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lemumi_s\Budzeta_grozij_19.12.2019._DS\"/>
    </mc:Choice>
  </mc:AlternateContent>
  <bookViews>
    <workbookView xWindow="0" yWindow="0" windowWidth="19200" windowHeight="10995" activeTab="1"/>
  </bookViews>
  <sheets>
    <sheet name="Izdevumi" sheetId="1" r:id="rId1"/>
    <sheet name="Ienemumi" sheetId="4" r:id="rId2"/>
    <sheet name="Kopa_ien-izd" sheetId="5" state="hidden" r:id="rId3"/>
  </sheets>
  <definedNames>
    <definedName name="_xlnm._FilterDatabase" localSheetId="1" hidden="1">Ienemumi!$A$7:$AL$161</definedName>
    <definedName name="_xlnm._FilterDatabase" localSheetId="0" hidden="1">Izdevumi!$A$9:$CF$329</definedName>
    <definedName name="_xlnm.Print_Area" localSheetId="2">'Kopa_ien-izd'!$A$2:$E$13</definedName>
    <definedName name="_xlnm.Print_Titles" localSheetId="1">Ienemumi!$6:$7</definedName>
    <definedName name="_xlnm.Print_Titles" localSheetId="0">Izdevumi!$6:$9</definedName>
    <definedName name="Z_C32C0FCD_AE7D_41A3_975E_D7367DDEA994_.wvu.PrintArea" localSheetId="1" hidden="1">Ienemumi!$A$4:$AK$161</definedName>
    <definedName name="Z_C32C0FCD_AE7D_41A3_975E_D7367DDEA994_.wvu.PrintArea" localSheetId="0" hidden="1">Izdevumi!$B$4:$CF$326</definedName>
    <definedName name="Z_C32C0FCD_AE7D_41A3_975E_D7367DDEA994_.wvu.PrintTitles" localSheetId="1" hidden="1">Ienemumi!$6:$7</definedName>
    <definedName name="Z_C32C0FCD_AE7D_41A3_975E_D7367DDEA994_.wvu.PrintTitles" localSheetId="0" hidden="1">Izdevumi!$6:$9</definedName>
    <definedName name="Z_C32C0FCD_AE7D_41A3_975E_D7367DDEA994_.wvu.Rows" localSheetId="1" hidden="1">Ienemumi!#REF!,Ienemumi!#REF!,Ienemumi!$150:$159</definedName>
  </definedNames>
  <calcPr calcId="162913"/>
  <customWorkbookViews>
    <customWorkbookView name="Inga Braca - Personal View" guid="{C32C0FCD-AE7D-41A3-975E-D7367DDEA994}" mergeInterval="0" personalView="1" maximized="1" windowWidth="1276" windowHeight="771" activeSheetId="1"/>
    <customWorkbookView name="Kristine Maurina - Personal View" guid="{8E07C9B9-277B-448A-92DB-DFFDE2869977}" mergeInterval="0" personalView="1" maximized="1" windowWidth="1276" windowHeight="805" activeSheetId="1"/>
  </customWorkbookViews>
</workbook>
</file>

<file path=xl/calcChain.xml><?xml version="1.0" encoding="utf-8"?>
<calcChain xmlns="http://schemas.openxmlformats.org/spreadsheetml/2006/main">
  <c r="AE272" i="1" l="1"/>
  <c r="AI155" i="4" l="1"/>
  <c r="AI154" i="4" s="1"/>
  <c r="AI148" i="4" s="1"/>
  <c r="AI150" i="4"/>
  <c r="AI138" i="4"/>
  <c r="AI128" i="4"/>
  <c r="AI127" i="4" s="1"/>
  <c r="AI126" i="4" s="1"/>
  <c r="AI96" i="4"/>
  <c r="AI90" i="4"/>
  <c r="AI89" i="4" s="1"/>
  <c r="AI85" i="4"/>
  <c r="AI82" i="4"/>
  <c r="AI80" i="4"/>
  <c r="AI77" i="4"/>
  <c r="AI73" i="4"/>
  <c r="AI69" i="4"/>
  <c r="AI65" i="4"/>
  <c r="AI64" i="4" s="1"/>
  <c r="AI62" i="4"/>
  <c r="AI58" i="4"/>
  <c r="AI55" i="4" s="1"/>
  <c r="AI56" i="4"/>
  <c r="AI53" i="4"/>
  <c r="AI51" i="4"/>
  <c r="AI50" i="4" s="1"/>
  <c r="AI48" i="4"/>
  <c r="AI47" i="4" s="1"/>
  <c r="AI45" i="4"/>
  <c r="AI44" i="4" s="1"/>
  <c r="AI39" i="4"/>
  <c r="AI36" i="4"/>
  <c r="AI33" i="4"/>
  <c r="AI32" i="4" s="1"/>
  <c r="AI30" i="4"/>
  <c r="AI29" i="4"/>
  <c r="AI27" i="4"/>
  <c r="AI26" i="4" s="1"/>
  <c r="AI23" i="4"/>
  <c r="AI20" i="4"/>
  <c r="AI17" i="4"/>
  <c r="AI16" i="4" s="1"/>
  <c r="AI15" i="4" s="1"/>
  <c r="AI12" i="4"/>
  <c r="AI11" i="4" s="1"/>
  <c r="AI10" i="4" s="1"/>
  <c r="T155" i="4"/>
  <c r="T154" i="4"/>
  <c r="T150" i="4"/>
  <c r="T138" i="4"/>
  <c r="T128" i="4"/>
  <c r="T127" i="4" s="1"/>
  <c r="T126" i="4" s="1"/>
  <c r="T96" i="4"/>
  <c r="T90" i="4"/>
  <c r="T89" i="4" s="1"/>
  <c r="T85" i="4"/>
  <c r="T82" i="4"/>
  <c r="T80" i="4"/>
  <c r="T77" i="4"/>
  <c r="T73" i="4"/>
  <c r="T69" i="4"/>
  <c r="T65" i="4"/>
  <c r="T64" i="4" s="1"/>
  <c r="T62" i="4"/>
  <c r="T58" i="4"/>
  <c r="T56" i="4"/>
  <c r="T55" i="4"/>
  <c r="T53" i="4"/>
  <c r="T51" i="4"/>
  <c r="T50" i="4"/>
  <c r="T48" i="4"/>
  <c r="T47" i="4" s="1"/>
  <c r="T45" i="4"/>
  <c r="T44" i="4" s="1"/>
  <c r="T39" i="4"/>
  <c r="T36" i="4"/>
  <c r="T33" i="4"/>
  <c r="T32" i="4" s="1"/>
  <c r="T30" i="4"/>
  <c r="T29" i="4"/>
  <c r="T26" i="4" s="1"/>
  <c r="T27" i="4"/>
  <c r="T23" i="4"/>
  <c r="T20" i="4"/>
  <c r="T17" i="4"/>
  <c r="T12" i="4"/>
  <c r="T11" i="4" s="1"/>
  <c r="T10" i="4" s="1"/>
  <c r="T327" i="1"/>
  <c r="T16" i="4" l="1"/>
  <c r="T15" i="4" s="1"/>
  <c r="T35" i="4"/>
  <c r="T76" i="4"/>
  <c r="T148" i="4"/>
  <c r="AI35" i="4"/>
  <c r="AI94" i="4" s="1"/>
  <c r="AI76" i="4"/>
  <c r="AI72" i="4" s="1"/>
  <c r="T72" i="4"/>
  <c r="T94" i="4" s="1"/>
  <c r="AD272" i="1"/>
  <c r="AD327" i="1" s="1"/>
  <c r="AD323" i="1"/>
  <c r="AD320" i="1"/>
  <c r="AD316" i="1"/>
  <c r="AD312" i="1"/>
  <c r="AD308" i="1"/>
  <c r="AD303" i="1"/>
  <c r="AD301" i="1"/>
  <c r="AD270" i="1"/>
  <c r="AD246" i="1"/>
  <c r="AD136" i="1"/>
  <c r="AD94" i="1"/>
  <c r="AD87" i="1"/>
  <c r="AD75" i="1"/>
  <c r="AD65" i="1"/>
  <c r="AD36" i="1"/>
  <c r="AD28" i="1"/>
  <c r="AD11" i="1"/>
  <c r="AD300" i="1" l="1"/>
  <c r="AI8" i="4"/>
  <c r="AI161" i="4" s="1"/>
  <c r="AI160" i="4"/>
  <c r="T8" i="4"/>
  <c r="T161" i="4" s="1"/>
  <c r="T160" i="4"/>
  <c r="AD328" i="1"/>
  <c r="AD269" i="1"/>
  <c r="AD326" i="1" s="1"/>
  <c r="S155" i="4" l="1"/>
  <c r="S154" i="4"/>
  <c r="S150" i="4"/>
  <c r="S138" i="4"/>
  <c r="S128" i="4"/>
  <c r="S96" i="4"/>
  <c r="S90" i="4"/>
  <c r="S89" i="4" s="1"/>
  <c r="S85" i="4"/>
  <c r="S82" i="4"/>
  <c r="S80" i="4"/>
  <c r="S77" i="4"/>
  <c r="S73" i="4"/>
  <c r="S69" i="4"/>
  <c r="S65" i="4"/>
  <c r="S64" i="4" s="1"/>
  <c r="S62" i="4"/>
  <c r="S58" i="4"/>
  <c r="S55" i="4" s="1"/>
  <c r="S56" i="4"/>
  <c r="S53" i="4"/>
  <c r="S51" i="4"/>
  <c r="S48" i="4"/>
  <c r="S45" i="4"/>
  <c r="S44" i="4" s="1"/>
  <c r="S39" i="4"/>
  <c r="S36" i="4"/>
  <c r="S33" i="4"/>
  <c r="S32" i="4" s="1"/>
  <c r="S30" i="4"/>
  <c r="S29" i="4" s="1"/>
  <c r="S27" i="4"/>
  <c r="S23" i="4"/>
  <c r="S20" i="4"/>
  <c r="S17" i="4"/>
  <c r="S12" i="4"/>
  <c r="S11" i="4" s="1"/>
  <c r="S10" i="4" s="1"/>
  <c r="AC327" i="1"/>
  <c r="AC323" i="1"/>
  <c r="AC320" i="1"/>
  <c r="AC316" i="1"/>
  <c r="AC312" i="1"/>
  <c r="AC308" i="1"/>
  <c r="AC303" i="1"/>
  <c r="AC301" i="1"/>
  <c r="AC270" i="1"/>
  <c r="AC246" i="1"/>
  <c r="AC136" i="1"/>
  <c r="AC94" i="1"/>
  <c r="AC87" i="1"/>
  <c r="AC75" i="1"/>
  <c r="AC65" i="1"/>
  <c r="AC36" i="1"/>
  <c r="AC28" i="1"/>
  <c r="AC11" i="1"/>
  <c r="S16" i="4" l="1"/>
  <c r="S15" i="4" s="1"/>
  <c r="S26" i="4"/>
  <c r="S50" i="4"/>
  <c r="S47" i="4" s="1"/>
  <c r="S35" i="4"/>
  <c r="S76" i="4"/>
  <c r="S72" i="4" s="1"/>
  <c r="S127" i="4"/>
  <c r="S126" i="4" s="1"/>
  <c r="AC300" i="1"/>
  <c r="AC328" i="1" s="1"/>
  <c r="S148" i="4"/>
  <c r="AC269" i="1"/>
  <c r="AC326" i="1" l="1"/>
  <c r="S94" i="4"/>
  <c r="S8" i="4" s="1"/>
  <c r="S161" i="4" s="1"/>
  <c r="S160" i="4" l="1"/>
  <c r="AB272" i="1"/>
  <c r="AB327" i="1"/>
  <c r="AB323" i="1"/>
  <c r="AB320" i="1"/>
  <c r="AB316" i="1"/>
  <c r="AB312" i="1"/>
  <c r="AB308" i="1"/>
  <c r="AB303" i="1"/>
  <c r="AB301" i="1"/>
  <c r="AB270" i="1"/>
  <c r="AB246" i="1"/>
  <c r="AB136" i="1"/>
  <c r="AB94" i="1"/>
  <c r="AB87" i="1"/>
  <c r="AB75" i="1"/>
  <c r="AB65" i="1"/>
  <c r="AB36" i="1"/>
  <c r="AB28" i="1"/>
  <c r="AB11" i="1"/>
  <c r="AB300" i="1" l="1"/>
  <c r="AB328" i="1"/>
  <c r="AB269" i="1"/>
  <c r="AB326" i="1" s="1"/>
  <c r="AA272" i="1" l="1"/>
  <c r="AA327" i="1"/>
  <c r="AA323" i="1"/>
  <c r="AA320" i="1"/>
  <c r="AA316" i="1"/>
  <c r="AA312" i="1"/>
  <c r="AA308" i="1"/>
  <c r="AA303" i="1"/>
  <c r="AA301" i="1"/>
  <c r="AA270" i="1"/>
  <c r="AA246" i="1"/>
  <c r="AA136" i="1"/>
  <c r="AA94" i="1"/>
  <c r="AA87" i="1"/>
  <c r="AA75" i="1"/>
  <c r="AA65" i="1"/>
  <c r="AA36" i="1"/>
  <c r="AA28" i="1"/>
  <c r="AA11" i="1"/>
  <c r="AA300" i="1" l="1"/>
  <c r="AA328" i="1"/>
  <c r="AA269" i="1"/>
  <c r="AA326" i="1" s="1"/>
  <c r="CC327" i="1" l="1"/>
  <c r="CC323" i="1"/>
  <c r="CC320" i="1"/>
  <c r="CC316" i="1"/>
  <c r="CC312" i="1"/>
  <c r="CC308" i="1"/>
  <c r="CC303" i="1"/>
  <c r="CC301" i="1"/>
  <c r="CC300" i="1" s="1"/>
  <c r="CC270" i="1"/>
  <c r="CC246" i="1"/>
  <c r="CC136" i="1"/>
  <c r="CC94" i="1"/>
  <c r="CC87" i="1"/>
  <c r="CC75" i="1"/>
  <c r="CC65" i="1"/>
  <c r="CC36" i="1"/>
  <c r="CC28" i="1"/>
  <c r="CC11" i="1"/>
  <c r="BF327" i="1"/>
  <c r="BF323" i="1"/>
  <c r="BF320" i="1"/>
  <c r="BF316" i="1"/>
  <c r="BF312" i="1"/>
  <c r="BF308" i="1"/>
  <c r="BF300" i="1" s="1"/>
  <c r="BF303" i="1"/>
  <c r="BF301" i="1"/>
  <c r="BF270" i="1"/>
  <c r="BF246" i="1"/>
  <c r="BF136" i="1"/>
  <c r="BF94" i="1"/>
  <c r="BF87" i="1"/>
  <c r="BF75" i="1"/>
  <c r="BF65" i="1"/>
  <c r="BF36" i="1"/>
  <c r="BF28" i="1"/>
  <c r="BF11" i="1"/>
  <c r="AE327" i="1"/>
  <c r="AE323" i="1"/>
  <c r="AE320" i="1"/>
  <c r="AE316" i="1"/>
  <c r="AE312" i="1"/>
  <c r="AE308" i="1"/>
  <c r="AE303" i="1"/>
  <c r="AE301" i="1"/>
  <c r="AE270" i="1"/>
  <c r="AE246" i="1"/>
  <c r="AE136" i="1"/>
  <c r="AE94" i="1"/>
  <c r="AE87" i="1"/>
  <c r="AE75" i="1"/>
  <c r="AE65" i="1"/>
  <c r="AE36" i="1"/>
  <c r="AE28" i="1"/>
  <c r="AE11" i="1"/>
  <c r="AE300" i="1" l="1"/>
  <c r="CC328" i="1"/>
  <c r="CC269" i="1"/>
  <c r="CC326" i="1" s="1"/>
  <c r="BF328" i="1"/>
  <c r="BF269" i="1"/>
  <c r="BF326" i="1" s="1"/>
  <c r="AE328" i="1"/>
  <c r="AE269" i="1"/>
  <c r="Z272" i="1"/>
  <c r="BR128" i="1"/>
  <c r="BQ128" i="1" s="1"/>
  <c r="BJ128" i="1"/>
  <c r="BI128" i="1" s="1"/>
  <c r="AV128" i="1"/>
  <c r="AU128" i="1" s="1"/>
  <c r="AI128" i="1"/>
  <c r="AH128" i="1" s="1"/>
  <c r="H128" i="1"/>
  <c r="G128" i="1" s="1"/>
  <c r="D128" i="1"/>
  <c r="AE326" i="1" l="1"/>
  <c r="E128" i="1"/>
  <c r="R66" i="4" l="1"/>
  <c r="AQ286" i="1" l="1"/>
  <c r="AQ285" i="1"/>
  <c r="AK285" i="1" l="1"/>
  <c r="AQ287" i="1" l="1"/>
  <c r="AQ284" i="1" l="1"/>
  <c r="AQ161" i="1"/>
  <c r="AQ202" i="1" l="1"/>
  <c r="R67" i="4"/>
  <c r="AQ227" i="1" l="1"/>
  <c r="Z273" i="1" l="1"/>
  <c r="AH71" i="4"/>
  <c r="R71" i="4"/>
  <c r="Z277" i="1"/>
  <c r="AQ218" i="1" l="1"/>
  <c r="AQ180" i="1"/>
  <c r="AQ183" i="1" l="1"/>
  <c r="AQ178" i="1"/>
  <c r="AQ231" i="1" l="1"/>
  <c r="CB272" i="1" l="1"/>
  <c r="BE273" i="1"/>
  <c r="BE272" i="1"/>
  <c r="R92" i="4"/>
  <c r="R88" i="4"/>
  <c r="CB275" i="1" l="1"/>
  <c r="Z275" i="1"/>
  <c r="BR63" i="1"/>
  <c r="BQ63" i="1" s="1"/>
  <c r="BJ63" i="1"/>
  <c r="BI63" i="1" s="1"/>
  <c r="AV63" i="1"/>
  <c r="AU63" i="1" s="1"/>
  <c r="AI63" i="1"/>
  <c r="AH63" i="1" s="1"/>
  <c r="H63" i="1"/>
  <c r="G63" i="1" s="1"/>
  <c r="D63" i="1"/>
  <c r="E63" i="1" l="1"/>
  <c r="AQ176" i="1" l="1"/>
  <c r="Z98" i="1" l="1"/>
  <c r="Z278" i="1" l="1"/>
  <c r="BR133" i="1"/>
  <c r="BQ133" i="1" s="1"/>
  <c r="BJ133" i="1"/>
  <c r="BI133" i="1" s="1"/>
  <c r="AV133" i="1"/>
  <c r="AU133" i="1" s="1"/>
  <c r="AI133" i="1"/>
  <c r="AH133" i="1" s="1"/>
  <c r="H133" i="1"/>
  <c r="G133" i="1" s="1"/>
  <c r="D133" i="1"/>
  <c r="E133" i="1" l="1"/>
  <c r="CB274" i="1" l="1"/>
  <c r="Z274" i="1"/>
  <c r="R68" i="4" l="1"/>
  <c r="G68" i="4" s="1"/>
  <c r="F68" i="4" s="1"/>
  <c r="X68" i="4"/>
  <c r="W68" i="4" s="1"/>
  <c r="AK68" i="4"/>
  <c r="V65" i="4"/>
  <c r="Y65" i="4"/>
  <c r="Z65" i="4"/>
  <c r="AA65" i="4"/>
  <c r="AB65" i="4"/>
  <c r="AC65" i="4"/>
  <c r="AD65" i="4"/>
  <c r="AE65" i="4"/>
  <c r="AF65" i="4"/>
  <c r="AG65" i="4"/>
  <c r="AH65" i="4"/>
  <c r="AJ65" i="4"/>
  <c r="L65" i="4"/>
  <c r="R65" i="4"/>
  <c r="U65" i="4"/>
  <c r="E65" i="4"/>
  <c r="E62" i="4"/>
  <c r="AL68" i="4" l="1"/>
  <c r="AQ237" i="1" l="1"/>
  <c r="AQ234" i="1" l="1"/>
  <c r="AQ164" i="1" l="1"/>
  <c r="R83" i="4" l="1"/>
  <c r="AQ189" i="1"/>
  <c r="AQ186" i="1" l="1"/>
  <c r="R79" i="4"/>
  <c r="BR215" i="1" l="1"/>
  <c r="BQ215" i="1" s="1"/>
  <c r="BJ215" i="1"/>
  <c r="BI215" i="1" s="1"/>
  <c r="AV215" i="1"/>
  <c r="AU215" i="1" s="1"/>
  <c r="AI215" i="1"/>
  <c r="AH215" i="1" s="1"/>
  <c r="H215" i="1"/>
  <c r="G215" i="1" s="1"/>
  <c r="D215" i="1"/>
  <c r="E215" i="1" l="1"/>
  <c r="AQ229" i="1" l="1"/>
  <c r="W272" i="1" l="1"/>
  <c r="Z327" i="1" l="1"/>
  <c r="Z323" i="1"/>
  <c r="Z320" i="1"/>
  <c r="Z316" i="1"/>
  <c r="Z312" i="1"/>
  <c r="Z308" i="1"/>
  <c r="Z303" i="1"/>
  <c r="Z301" i="1"/>
  <c r="Z270" i="1"/>
  <c r="Z246" i="1"/>
  <c r="Z136" i="1"/>
  <c r="Z94" i="1"/>
  <c r="Z87" i="1"/>
  <c r="Z75" i="1"/>
  <c r="Z65" i="1"/>
  <c r="Z36" i="1"/>
  <c r="Z28" i="1"/>
  <c r="Z11" i="1"/>
  <c r="CB327" i="1"/>
  <c r="CB323" i="1"/>
  <c r="CB320" i="1"/>
  <c r="CB316" i="1"/>
  <c r="CB312" i="1"/>
  <c r="CB308" i="1"/>
  <c r="CB303" i="1"/>
  <c r="CB301" i="1"/>
  <c r="CB270" i="1"/>
  <c r="CB246" i="1"/>
  <c r="CB136" i="1"/>
  <c r="CB94" i="1"/>
  <c r="CB87" i="1"/>
  <c r="CB75" i="1"/>
  <c r="CB65" i="1"/>
  <c r="CB36" i="1"/>
  <c r="CB28" i="1"/>
  <c r="CB11" i="1"/>
  <c r="AH155" i="4"/>
  <c r="AH154" i="4" s="1"/>
  <c r="AH150" i="4"/>
  <c r="AH138" i="4"/>
  <c r="AH128" i="4"/>
  <c r="AH127" i="4" s="1"/>
  <c r="AH126" i="4" s="1"/>
  <c r="AH96" i="4"/>
  <c r="AH90" i="4"/>
  <c r="AH89" i="4" s="1"/>
  <c r="AH85" i="4"/>
  <c r="AH82" i="4"/>
  <c r="AH80" i="4"/>
  <c r="AH77" i="4"/>
  <c r="AH73" i="4"/>
  <c r="AH69" i="4"/>
  <c r="AH64" i="4"/>
  <c r="AH62" i="4"/>
  <c r="AH58" i="4"/>
  <c r="AH56" i="4"/>
  <c r="AH53" i="4"/>
  <c r="AH51" i="4"/>
  <c r="AH48" i="4"/>
  <c r="AH45" i="4"/>
  <c r="AH44" i="4" s="1"/>
  <c r="AH39" i="4"/>
  <c r="AH36" i="4"/>
  <c r="AH33" i="4"/>
  <c r="AH32" i="4" s="1"/>
  <c r="AH30" i="4"/>
  <c r="AH29" i="4" s="1"/>
  <c r="AH27" i="4"/>
  <c r="AH23" i="4"/>
  <c r="AH20" i="4"/>
  <c r="AH17" i="4"/>
  <c r="AH12" i="4"/>
  <c r="AH11" i="4" s="1"/>
  <c r="AH10" i="4" s="1"/>
  <c r="AH148" i="4" l="1"/>
  <c r="AH35" i="4"/>
  <c r="AH50" i="4"/>
  <c r="AH47" i="4" s="1"/>
  <c r="Z300" i="1"/>
  <c r="Z328" i="1" s="1"/>
  <c r="CB300" i="1"/>
  <c r="CB328" i="1" s="1"/>
  <c r="AH55" i="4"/>
  <c r="AH16" i="4"/>
  <c r="AH15" i="4" s="1"/>
  <c r="AH26" i="4"/>
  <c r="AH76" i="4"/>
  <c r="AH72" i="4" s="1"/>
  <c r="Z269" i="1"/>
  <c r="CB269" i="1"/>
  <c r="Q66" i="4"/>
  <c r="CB326" i="1" l="1"/>
  <c r="Z326" i="1"/>
  <c r="AH94" i="4"/>
  <c r="AH8" i="4" s="1"/>
  <c r="AH161" i="4" s="1"/>
  <c r="AP284" i="1"/>
  <c r="AH160" i="4" l="1"/>
  <c r="BR292" i="1"/>
  <c r="BQ292" i="1" s="1"/>
  <c r="BR284" i="1"/>
  <c r="BQ284" i="1" s="1"/>
  <c r="BJ292" i="1"/>
  <c r="BI292" i="1" s="1"/>
  <c r="BJ283" i="1"/>
  <c r="BI283" i="1" s="1"/>
  <c r="BJ284" i="1"/>
  <c r="BI284" i="1" s="1"/>
  <c r="AV292" i="1"/>
  <c r="AU292" i="1" s="1"/>
  <c r="AI292" i="1"/>
  <c r="AH292" i="1" s="1"/>
  <c r="AV283" i="1"/>
  <c r="AU283" i="1" s="1"/>
  <c r="AV284" i="1"/>
  <c r="AU284" i="1" s="1"/>
  <c r="AI284" i="1"/>
  <c r="AH284" i="1" s="1"/>
  <c r="H284" i="1"/>
  <c r="G284" i="1" s="1"/>
  <c r="D284" i="1"/>
  <c r="E284" i="1" l="1"/>
  <c r="Y272" i="1" l="1"/>
  <c r="Q88" i="4"/>
  <c r="Q83" i="4" l="1"/>
  <c r="AP171" i="1"/>
  <c r="Y278" i="1"/>
  <c r="X272" i="1" l="1"/>
  <c r="X144" i="1"/>
  <c r="X23" i="1"/>
  <c r="X323" i="1"/>
  <c r="X320" i="1"/>
  <c r="X316" i="1"/>
  <c r="X312" i="1"/>
  <c r="X308" i="1"/>
  <c r="X303" i="1"/>
  <c r="X301" i="1"/>
  <c r="X270" i="1"/>
  <c r="X246" i="1"/>
  <c r="X136" i="1"/>
  <c r="X94" i="1"/>
  <c r="X87" i="1"/>
  <c r="X75" i="1"/>
  <c r="X65" i="1"/>
  <c r="X36" i="1"/>
  <c r="X28" i="1"/>
  <c r="X11" i="1"/>
  <c r="Y145" i="1"/>
  <c r="Y144" i="1"/>
  <c r="Y96" i="1"/>
  <c r="Y81" i="1"/>
  <c r="X327" i="1" l="1"/>
  <c r="X300" i="1"/>
  <c r="X328" i="1" s="1"/>
  <c r="X269" i="1"/>
  <c r="X326" i="1" l="1"/>
  <c r="Q67" i="4"/>
  <c r="Q65" i="4" s="1"/>
  <c r="BR175" i="1" l="1"/>
  <c r="BQ175" i="1" s="1"/>
  <c r="BJ175" i="1"/>
  <c r="BI175" i="1" s="1"/>
  <c r="AV175" i="1"/>
  <c r="AU175" i="1" s="1"/>
  <c r="AI175" i="1"/>
  <c r="AH175" i="1" s="1"/>
  <c r="H175" i="1"/>
  <c r="G175" i="1" s="1"/>
  <c r="D175" i="1"/>
  <c r="E175" i="1" l="1"/>
  <c r="BR214" i="1" l="1"/>
  <c r="BQ214" i="1" s="1"/>
  <c r="BJ214" i="1"/>
  <c r="BI214" i="1" s="1"/>
  <c r="AV214" i="1"/>
  <c r="AU214" i="1" s="1"/>
  <c r="AI214" i="1"/>
  <c r="AH214" i="1" s="1"/>
  <c r="H214" i="1"/>
  <c r="G214" i="1" s="1"/>
  <c r="D214" i="1"/>
  <c r="E214" i="1" l="1"/>
  <c r="BR223" i="1" l="1"/>
  <c r="BQ223" i="1" s="1"/>
  <c r="BJ223" i="1"/>
  <c r="BI223" i="1" s="1"/>
  <c r="AV223" i="1"/>
  <c r="AU223" i="1" s="1"/>
  <c r="AI223" i="1"/>
  <c r="AH223" i="1" s="1"/>
  <c r="H223" i="1"/>
  <c r="G223" i="1" s="1"/>
  <c r="D223" i="1"/>
  <c r="E223" i="1" l="1"/>
  <c r="Y98" i="1" l="1"/>
  <c r="Y40" i="1"/>
  <c r="R155" i="4" l="1"/>
  <c r="R154" i="4" s="1"/>
  <c r="R150" i="4"/>
  <c r="R138" i="4"/>
  <c r="R128" i="4"/>
  <c r="R96" i="4"/>
  <c r="R90" i="4"/>
  <c r="R89" i="4" s="1"/>
  <c r="R85" i="4"/>
  <c r="R82" i="4"/>
  <c r="R80" i="4"/>
  <c r="R77" i="4"/>
  <c r="R73" i="4"/>
  <c r="R69" i="4"/>
  <c r="R64" i="4"/>
  <c r="R62" i="4"/>
  <c r="R58" i="4"/>
  <c r="R56" i="4"/>
  <c r="R53" i="4"/>
  <c r="R51" i="4"/>
  <c r="R48" i="4"/>
  <c r="R45" i="4"/>
  <c r="R44" i="4" s="1"/>
  <c r="R39" i="4"/>
  <c r="R36" i="4"/>
  <c r="R33" i="4"/>
  <c r="R32" i="4" s="1"/>
  <c r="R30" i="4"/>
  <c r="R29" i="4" s="1"/>
  <c r="R27" i="4"/>
  <c r="R23" i="4"/>
  <c r="R20" i="4"/>
  <c r="R17" i="4"/>
  <c r="R12" i="4"/>
  <c r="R11" i="4" s="1"/>
  <c r="R10" i="4" s="1"/>
  <c r="Q155" i="4"/>
  <c r="Q154" i="4" s="1"/>
  <c r="Q150" i="4"/>
  <c r="Q138" i="4"/>
  <c r="Q128" i="4"/>
  <c r="Q96" i="4"/>
  <c r="Q90" i="4"/>
  <c r="Q89" i="4" s="1"/>
  <c r="Q85" i="4"/>
  <c r="Q82" i="4"/>
  <c r="Q80" i="4"/>
  <c r="Q77" i="4"/>
  <c r="Q73" i="4"/>
  <c r="Q69" i="4"/>
  <c r="Q64" i="4"/>
  <c r="Q62" i="4"/>
  <c r="Q58" i="4"/>
  <c r="Q56" i="4"/>
  <c r="Q53" i="4"/>
  <c r="Q51" i="4"/>
  <c r="Q48" i="4"/>
  <c r="Q45" i="4"/>
  <c r="Q44" i="4" s="1"/>
  <c r="Q39" i="4"/>
  <c r="Q36" i="4"/>
  <c r="Q33" i="4"/>
  <c r="Q32" i="4" s="1"/>
  <c r="Q30" i="4"/>
  <c r="Q29" i="4" s="1"/>
  <c r="Q27" i="4"/>
  <c r="Q23" i="4"/>
  <c r="Q20" i="4"/>
  <c r="Q17" i="4"/>
  <c r="Q12" i="4"/>
  <c r="Q11" i="4" s="1"/>
  <c r="Q10" i="4" s="1"/>
  <c r="R55" i="4" l="1"/>
  <c r="R127" i="4"/>
  <c r="R126" i="4" s="1"/>
  <c r="R16" i="4"/>
  <c r="R15" i="4" s="1"/>
  <c r="Q26" i="4"/>
  <c r="R35" i="4"/>
  <c r="Q35" i="4"/>
  <c r="Q55" i="4"/>
  <c r="Q16" i="4"/>
  <c r="Q15" i="4" s="1"/>
  <c r="R148" i="4"/>
  <c r="R26" i="4"/>
  <c r="Q127" i="4"/>
  <c r="Q126" i="4" s="1"/>
  <c r="R50" i="4"/>
  <c r="R47" i="4" s="1"/>
  <c r="Q76" i="4"/>
  <c r="Q72" i="4" s="1"/>
  <c r="R76" i="4"/>
  <c r="R72" i="4" s="1"/>
  <c r="Q50" i="4"/>
  <c r="Q47" i="4" s="1"/>
  <c r="Q148" i="4"/>
  <c r="R94" i="4" l="1"/>
  <c r="R160" i="4" s="1"/>
  <c r="Q94" i="4"/>
  <c r="Q160" i="4" s="1"/>
  <c r="R8" i="4" l="1"/>
  <c r="R161" i="4" s="1"/>
  <c r="Q8" i="4"/>
  <c r="Q161" i="4" s="1"/>
  <c r="W33" i="1" l="1"/>
  <c r="F320" i="1" l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Y320" i="1"/>
  <c r="AF320" i="1"/>
  <c r="AG320" i="1"/>
  <c r="AJ320" i="1"/>
  <c r="AK320" i="1"/>
  <c r="AL320" i="1"/>
  <c r="AM320" i="1"/>
  <c r="AN320" i="1"/>
  <c r="AO320" i="1"/>
  <c r="AP320" i="1"/>
  <c r="AQ320" i="1"/>
  <c r="AR320" i="1"/>
  <c r="AS320" i="1"/>
  <c r="AT320" i="1"/>
  <c r="AW320" i="1"/>
  <c r="AX320" i="1"/>
  <c r="AY320" i="1"/>
  <c r="AZ320" i="1"/>
  <c r="BA320" i="1"/>
  <c r="BB320" i="1"/>
  <c r="BC320" i="1"/>
  <c r="BD320" i="1"/>
  <c r="BE320" i="1"/>
  <c r="BG320" i="1"/>
  <c r="BH320" i="1"/>
  <c r="BK320" i="1"/>
  <c r="BL320" i="1"/>
  <c r="BM320" i="1"/>
  <c r="BN320" i="1"/>
  <c r="BO320" i="1"/>
  <c r="BP320" i="1"/>
  <c r="BS320" i="1"/>
  <c r="BT320" i="1"/>
  <c r="BU320" i="1"/>
  <c r="BV320" i="1"/>
  <c r="BW320" i="1"/>
  <c r="BX320" i="1"/>
  <c r="BY320" i="1"/>
  <c r="BZ320" i="1"/>
  <c r="CA320" i="1"/>
  <c r="CD320" i="1"/>
  <c r="BR322" i="1"/>
  <c r="BQ322" i="1" s="1"/>
  <c r="BJ322" i="1"/>
  <c r="BI322" i="1" s="1"/>
  <c r="AV322" i="1"/>
  <c r="AU322" i="1" s="1"/>
  <c r="AI322" i="1"/>
  <c r="AH322" i="1" s="1"/>
  <c r="H322" i="1"/>
  <c r="G322" i="1" s="1"/>
  <c r="D322" i="1"/>
  <c r="V326" i="1" l="1"/>
  <c r="V328" i="1"/>
  <c r="T328" i="1"/>
  <c r="T326" i="1"/>
  <c r="E322" i="1"/>
  <c r="W276" i="1" l="1"/>
  <c r="W42" i="1"/>
  <c r="BC39" i="1"/>
  <c r="P81" i="4"/>
  <c r="W39" i="1"/>
  <c r="W96" i="1" l="1"/>
  <c r="W78" i="1"/>
  <c r="W69" i="1"/>
  <c r="W277" i="1" l="1"/>
  <c r="W270" i="1" s="1"/>
  <c r="W91" i="1" l="1"/>
  <c r="P67" i="4" l="1"/>
  <c r="P136" i="4" l="1"/>
  <c r="W169" i="1" l="1"/>
  <c r="W117" i="1"/>
  <c r="V272" i="1" l="1"/>
  <c r="V327" i="1" s="1"/>
  <c r="P88" i="4" l="1"/>
  <c r="AK136" i="4"/>
  <c r="G136" i="4"/>
  <c r="F136" i="4" s="1"/>
  <c r="AL136" i="4" s="1"/>
  <c r="P66" i="4" l="1"/>
  <c r="P65" i="4" s="1"/>
  <c r="H283" i="1" l="1"/>
  <c r="U272" i="1"/>
  <c r="AO183" i="1" l="1"/>
  <c r="P92" i="4" l="1"/>
  <c r="AF92" i="4" l="1"/>
  <c r="P83" i="4" l="1"/>
  <c r="P86" i="4" l="1"/>
  <c r="O66" i="4" l="1"/>
  <c r="U145" i="1"/>
  <c r="U96" i="1" l="1"/>
  <c r="U277" i="1" l="1"/>
  <c r="BR160" i="1"/>
  <c r="BQ160" i="1" s="1"/>
  <c r="BJ160" i="1"/>
  <c r="BI160" i="1" s="1"/>
  <c r="AV160" i="1"/>
  <c r="AU160" i="1" s="1"/>
  <c r="AI160" i="1"/>
  <c r="AH160" i="1" s="1"/>
  <c r="H160" i="1"/>
  <c r="G160" i="1" s="1"/>
  <c r="D160" i="1"/>
  <c r="E160" i="1" l="1"/>
  <c r="AE71" i="4" l="1"/>
  <c r="O71" i="4"/>
  <c r="U57" i="1"/>
  <c r="O67" i="4"/>
  <c r="O65" i="4" s="1"/>
  <c r="U42" i="1" l="1"/>
  <c r="AK146" i="4" l="1"/>
  <c r="X146" i="4"/>
  <c r="W146" i="4" s="1"/>
  <c r="G146" i="4"/>
  <c r="F146" i="4" s="1"/>
  <c r="AI109" i="1"/>
  <c r="AH109" i="1" s="1"/>
  <c r="AV109" i="1"/>
  <c r="AU109" i="1" s="1"/>
  <c r="BJ109" i="1"/>
  <c r="BI109" i="1" s="1"/>
  <c r="BR109" i="1"/>
  <c r="BQ109" i="1" s="1"/>
  <c r="H109" i="1"/>
  <c r="G109" i="1" s="1"/>
  <c r="D109" i="1"/>
  <c r="AL146" i="4" l="1"/>
  <c r="E109" i="1"/>
  <c r="AN283" i="1" l="1"/>
  <c r="BY273" i="1"/>
  <c r="AN273" i="1"/>
  <c r="AN164" i="1"/>
  <c r="AN161" i="1"/>
  <c r="AN183" i="1"/>
  <c r="U278" i="1" l="1"/>
  <c r="BR222" i="1" l="1"/>
  <c r="BQ222" i="1" s="1"/>
  <c r="BJ222" i="1"/>
  <c r="BI222" i="1" s="1"/>
  <c r="AV222" i="1"/>
  <c r="AU222" i="1" s="1"/>
  <c r="AI222" i="1"/>
  <c r="AH222" i="1" s="1"/>
  <c r="H222" i="1"/>
  <c r="G222" i="1" s="1"/>
  <c r="D222" i="1"/>
  <c r="E222" i="1" l="1"/>
  <c r="AN234" i="1" l="1"/>
  <c r="BR283" i="1" l="1"/>
  <c r="BQ283" i="1" s="1"/>
  <c r="AI283" i="1"/>
  <c r="AH283" i="1" s="1"/>
  <c r="G283" i="1"/>
  <c r="D283" i="1"/>
  <c r="E283" i="1" l="1"/>
  <c r="O145" i="4" l="1"/>
  <c r="O138" i="4" s="1"/>
  <c r="S272" i="1" l="1"/>
  <c r="S145" i="1" l="1"/>
  <c r="N67" i="4" l="1"/>
  <c r="BR159" i="1"/>
  <c r="BQ159" i="1" s="1"/>
  <c r="BJ159" i="1"/>
  <c r="BI159" i="1" s="1"/>
  <c r="AV159" i="1"/>
  <c r="AU159" i="1" s="1"/>
  <c r="AI159" i="1"/>
  <c r="AH159" i="1" s="1"/>
  <c r="H159" i="1"/>
  <c r="G159" i="1" s="1"/>
  <c r="D159" i="1"/>
  <c r="E159" i="1" l="1"/>
  <c r="S81" i="1" l="1"/>
  <c r="S44" i="1" l="1"/>
  <c r="N141" i="4" l="1"/>
  <c r="S57" i="1" l="1"/>
  <c r="AM295" i="1" l="1"/>
  <c r="AM44" i="1"/>
  <c r="S276" i="1" l="1"/>
  <c r="S277" i="1" l="1"/>
  <c r="N143" i="4"/>
  <c r="N144" i="4" l="1"/>
  <c r="BR276" i="1" l="1"/>
  <c r="BQ276" i="1" s="1"/>
  <c r="BJ276" i="1"/>
  <c r="BI276" i="1" s="1"/>
  <c r="AV276" i="1"/>
  <c r="AU276" i="1" s="1"/>
  <c r="AI276" i="1"/>
  <c r="AH276" i="1" s="1"/>
  <c r="H276" i="1"/>
  <c r="G276" i="1" s="1"/>
  <c r="D276" i="1"/>
  <c r="E276" i="1" l="1"/>
  <c r="N66" i="4"/>
  <c r="N65" i="4" s="1"/>
  <c r="BR119" i="1"/>
  <c r="BQ119" i="1" s="1"/>
  <c r="BJ119" i="1"/>
  <c r="BI119" i="1" s="1"/>
  <c r="AV119" i="1"/>
  <c r="AU119" i="1" s="1"/>
  <c r="AI119" i="1"/>
  <c r="AH119" i="1" s="1"/>
  <c r="H119" i="1"/>
  <c r="G119" i="1" s="1"/>
  <c r="D119" i="1"/>
  <c r="E119" i="1" l="1"/>
  <c r="N92" i="4" l="1"/>
  <c r="BR163" i="1" l="1"/>
  <c r="BQ163" i="1" s="1"/>
  <c r="BJ163" i="1"/>
  <c r="BI163" i="1" s="1"/>
  <c r="AV163" i="1"/>
  <c r="AU163" i="1" s="1"/>
  <c r="AI163" i="1"/>
  <c r="AH163" i="1" s="1"/>
  <c r="H163" i="1"/>
  <c r="G163" i="1" s="1"/>
  <c r="D163" i="1"/>
  <c r="E163" i="1" l="1"/>
  <c r="L272" i="1" l="1"/>
  <c r="K292" i="1" l="1"/>
  <c r="H292" i="1" s="1"/>
  <c r="G292" i="1" s="1"/>
  <c r="E292" i="1" s="1"/>
  <c r="D292" i="1"/>
  <c r="K272" i="1" l="1"/>
  <c r="Q272" i="1"/>
  <c r="BS274" i="1" l="1"/>
  <c r="BV274" i="1"/>
  <c r="BT275" i="1"/>
  <c r="BT274" i="1"/>
  <c r="M272" i="1"/>
  <c r="M274" i="1"/>
  <c r="K278" i="1"/>
  <c r="K277" i="1"/>
  <c r="K275" i="1"/>
  <c r="K274" i="1"/>
  <c r="I277" i="1"/>
  <c r="I274" i="1"/>
  <c r="R272" i="1" l="1"/>
  <c r="U327" i="1" l="1"/>
  <c r="W327" i="1"/>
  <c r="Y327" i="1"/>
  <c r="U316" i="1"/>
  <c r="W316" i="1"/>
  <c r="Y316" i="1"/>
  <c r="U312" i="1"/>
  <c r="W312" i="1"/>
  <c r="Y312" i="1"/>
  <c r="U308" i="1"/>
  <c r="W308" i="1"/>
  <c r="Y308" i="1"/>
  <c r="U303" i="1"/>
  <c r="W303" i="1"/>
  <c r="Y303" i="1"/>
  <c r="U301" i="1"/>
  <c r="W301" i="1"/>
  <c r="Y301" i="1"/>
  <c r="U270" i="1"/>
  <c r="Y270" i="1"/>
  <c r="U246" i="1"/>
  <c r="W246" i="1"/>
  <c r="Y246" i="1"/>
  <c r="U136" i="1"/>
  <c r="W136" i="1"/>
  <c r="Y136" i="1"/>
  <c r="U87" i="1"/>
  <c r="W87" i="1"/>
  <c r="Y87" i="1"/>
  <c r="U94" i="1"/>
  <c r="W94" i="1"/>
  <c r="Y94" i="1"/>
  <c r="U75" i="1"/>
  <c r="W75" i="1"/>
  <c r="Y75" i="1"/>
  <c r="AF75" i="1"/>
  <c r="U65" i="1"/>
  <c r="W65" i="1"/>
  <c r="Y65" i="1"/>
  <c r="U36" i="1"/>
  <c r="W36" i="1"/>
  <c r="Y36" i="1"/>
  <c r="U28" i="1"/>
  <c r="W28" i="1"/>
  <c r="Y28" i="1"/>
  <c r="U11" i="1"/>
  <c r="W11" i="1"/>
  <c r="Y11" i="1"/>
  <c r="S327" i="1"/>
  <c r="S316" i="1"/>
  <c r="S312" i="1"/>
  <c r="S308" i="1"/>
  <c r="S303" i="1"/>
  <c r="S301" i="1"/>
  <c r="S270" i="1"/>
  <c r="S246" i="1"/>
  <c r="S136" i="1"/>
  <c r="S94" i="1"/>
  <c r="S87" i="1"/>
  <c r="S75" i="1"/>
  <c r="S65" i="1"/>
  <c r="S36" i="1"/>
  <c r="S28" i="1"/>
  <c r="S11" i="1"/>
  <c r="W269" i="1" l="1"/>
  <c r="Y269" i="1"/>
  <c r="Y300" i="1"/>
  <c r="Y328" i="1" s="1"/>
  <c r="U269" i="1"/>
  <c r="U300" i="1"/>
  <c r="U328" i="1" s="1"/>
  <c r="W300" i="1"/>
  <c r="W328" i="1" s="1"/>
  <c r="S269" i="1"/>
  <c r="S300" i="1"/>
  <c r="S328" i="1" s="1"/>
  <c r="Q277" i="1"/>
  <c r="M67" i="4"/>
  <c r="Y326" i="1" l="1"/>
  <c r="U326" i="1"/>
  <c r="W326" i="1"/>
  <c r="S326" i="1"/>
  <c r="M66" i="4"/>
  <c r="M65" i="4" s="1"/>
  <c r="BR62" i="1"/>
  <c r="BQ62" i="1" s="1"/>
  <c r="BJ62" i="1"/>
  <c r="BI62" i="1" s="1"/>
  <c r="AV62" i="1"/>
  <c r="AU62" i="1" s="1"/>
  <c r="AI62" i="1"/>
  <c r="AH62" i="1" s="1"/>
  <c r="H62" i="1"/>
  <c r="G62" i="1" s="1"/>
  <c r="D62" i="1"/>
  <c r="E62" i="1" l="1"/>
  <c r="Q247" i="1"/>
  <c r="P272" i="1" l="1"/>
  <c r="N272" i="1" l="1"/>
  <c r="M273" i="1" l="1"/>
  <c r="K71" i="4"/>
  <c r="AB71" i="4"/>
  <c r="K133" i="4"/>
  <c r="I118" i="4"/>
  <c r="I97" i="4"/>
  <c r="K273" i="1" l="1"/>
  <c r="K130" i="4" l="1"/>
  <c r="AK131" i="4"/>
  <c r="X131" i="4"/>
  <c r="W131" i="4" s="1"/>
  <c r="G131" i="4"/>
  <c r="F131" i="4" s="1"/>
  <c r="AL131" i="4" l="1"/>
  <c r="M57" i="1"/>
  <c r="M144" i="1" l="1"/>
  <c r="K67" i="4" l="1"/>
  <c r="K66" i="4" l="1"/>
  <c r="K65" i="4" s="1"/>
  <c r="BR26" i="1"/>
  <c r="BQ26" i="1" s="1"/>
  <c r="BJ26" i="1"/>
  <c r="BI26" i="1" s="1"/>
  <c r="AV26" i="1"/>
  <c r="AU26" i="1" s="1"/>
  <c r="AI26" i="1"/>
  <c r="AH26" i="1" s="1"/>
  <c r="H26" i="1"/>
  <c r="G26" i="1" s="1"/>
  <c r="D26" i="1"/>
  <c r="E26" i="1" l="1"/>
  <c r="M247" i="1" l="1"/>
  <c r="M17" i="1"/>
  <c r="BR132" i="1" l="1"/>
  <c r="BQ132" i="1" s="1"/>
  <c r="BJ132" i="1"/>
  <c r="BI132" i="1" s="1"/>
  <c r="AV132" i="1"/>
  <c r="AU132" i="1" s="1"/>
  <c r="AI132" i="1"/>
  <c r="AH132" i="1" s="1"/>
  <c r="H132" i="1"/>
  <c r="G132" i="1" s="1"/>
  <c r="D132" i="1"/>
  <c r="E132" i="1" l="1"/>
  <c r="BR131" i="1" l="1"/>
  <c r="BQ131" i="1" s="1"/>
  <c r="BJ131" i="1"/>
  <c r="BI131" i="1" s="1"/>
  <c r="AV131" i="1"/>
  <c r="AU131" i="1" s="1"/>
  <c r="AI131" i="1"/>
  <c r="AH131" i="1" s="1"/>
  <c r="H131" i="1"/>
  <c r="G131" i="1" s="1"/>
  <c r="D131" i="1"/>
  <c r="E131" i="1" l="1"/>
  <c r="BR108" i="1" l="1"/>
  <c r="BQ108" i="1" s="1"/>
  <c r="BJ108" i="1"/>
  <c r="BI108" i="1" s="1"/>
  <c r="AV108" i="1"/>
  <c r="AU108" i="1" s="1"/>
  <c r="AI108" i="1"/>
  <c r="AH108" i="1" s="1"/>
  <c r="H108" i="1"/>
  <c r="G108" i="1" s="1"/>
  <c r="D108" i="1"/>
  <c r="E108" i="1" l="1"/>
  <c r="AJ138" i="4" l="1"/>
  <c r="AG138" i="4"/>
  <c r="AF138" i="4"/>
  <c r="AE138" i="4"/>
  <c r="AD138" i="4"/>
  <c r="AC138" i="4"/>
  <c r="AB138" i="4"/>
  <c r="AA138" i="4"/>
  <c r="Z138" i="4"/>
  <c r="Y138" i="4"/>
  <c r="V138" i="4"/>
  <c r="U138" i="4"/>
  <c r="P138" i="4"/>
  <c r="N138" i="4"/>
  <c r="M138" i="4"/>
  <c r="L138" i="4"/>
  <c r="K138" i="4"/>
  <c r="J138" i="4"/>
  <c r="I138" i="4"/>
  <c r="H138" i="4"/>
  <c r="E138" i="4"/>
  <c r="AJ128" i="4"/>
  <c r="AG128" i="4"/>
  <c r="AF128" i="4"/>
  <c r="AE128" i="4"/>
  <c r="AD128" i="4"/>
  <c r="AC128" i="4"/>
  <c r="AB128" i="4"/>
  <c r="AA128" i="4"/>
  <c r="Z128" i="4"/>
  <c r="Y128" i="4"/>
  <c r="V128" i="4"/>
  <c r="U128" i="4"/>
  <c r="P128" i="4"/>
  <c r="O128" i="4"/>
  <c r="N128" i="4"/>
  <c r="M128" i="4"/>
  <c r="L128" i="4"/>
  <c r="K128" i="4"/>
  <c r="J128" i="4"/>
  <c r="I128" i="4"/>
  <c r="H128" i="4"/>
  <c r="E128" i="4"/>
  <c r="J127" i="4" l="1"/>
  <c r="J126" i="4" s="1"/>
  <c r="N127" i="4"/>
  <c r="N126" i="4" s="1"/>
  <c r="V127" i="4"/>
  <c r="V126" i="4" s="1"/>
  <c r="AB127" i="4"/>
  <c r="AB126" i="4" s="1"/>
  <c r="AF127" i="4"/>
  <c r="AF126" i="4" s="1"/>
  <c r="E127" i="4"/>
  <c r="E126" i="4" s="1"/>
  <c r="K127" i="4"/>
  <c r="K126" i="4" s="1"/>
  <c r="O127" i="4"/>
  <c r="O126" i="4" s="1"/>
  <c r="Y127" i="4"/>
  <c r="Y126" i="4" s="1"/>
  <c r="AC127" i="4"/>
  <c r="AC126" i="4" s="1"/>
  <c r="AG127" i="4"/>
  <c r="AG126" i="4" s="1"/>
  <c r="L127" i="4"/>
  <c r="L126" i="4" s="1"/>
  <c r="Z127" i="4"/>
  <c r="Z126" i="4" s="1"/>
  <c r="AJ127" i="4"/>
  <c r="AJ126" i="4" s="1"/>
  <c r="H127" i="4"/>
  <c r="H126" i="4" s="1"/>
  <c r="P127" i="4"/>
  <c r="P126" i="4" s="1"/>
  <c r="AD127" i="4"/>
  <c r="AD126" i="4" s="1"/>
  <c r="I127" i="4"/>
  <c r="I126" i="4" s="1"/>
  <c r="M127" i="4"/>
  <c r="M126" i="4" s="1"/>
  <c r="U127" i="4"/>
  <c r="U126" i="4" s="1"/>
  <c r="AA127" i="4"/>
  <c r="AA126" i="4" s="1"/>
  <c r="AE127" i="4"/>
  <c r="AE126" i="4" s="1"/>
  <c r="L161" i="1"/>
  <c r="AK135" i="4" l="1"/>
  <c r="X135" i="4"/>
  <c r="W135" i="4" s="1"/>
  <c r="G135" i="4"/>
  <c r="F135" i="4" s="1"/>
  <c r="AL135" i="4" l="1"/>
  <c r="BR55" i="1"/>
  <c r="BQ55" i="1" s="1"/>
  <c r="BJ55" i="1"/>
  <c r="BI55" i="1" s="1"/>
  <c r="AV55" i="1"/>
  <c r="AU55" i="1" s="1"/>
  <c r="AI55" i="1"/>
  <c r="AH55" i="1" s="1"/>
  <c r="H55" i="1"/>
  <c r="G55" i="1" s="1"/>
  <c r="D55" i="1"/>
  <c r="E55" i="1" l="1"/>
  <c r="J66" i="4" l="1"/>
  <c r="J65" i="4" s="1"/>
  <c r="L57" i="1"/>
  <c r="BR107" i="1"/>
  <c r="BQ107" i="1" s="1"/>
  <c r="BJ107" i="1"/>
  <c r="BI107" i="1" s="1"/>
  <c r="AV107" i="1"/>
  <c r="AU107" i="1" s="1"/>
  <c r="AI107" i="1"/>
  <c r="AH107" i="1" s="1"/>
  <c r="H107" i="1"/>
  <c r="G107" i="1" s="1"/>
  <c r="D107" i="1"/>
  <c r="E107" i="1" l="1"/>
  <c r="BR188" i="1"/>
  <c r="BQ188" i="1" s="1"/>
  <c r="BJ188" i="1"/>
  <c r="BI188" i="1" s="1"/>
  <c r="AV188" i="1"/>
  <c r="AU188" i="1" s="1"/>
  <c r="AI188" i="1"/>
  <c r="AH188" i="1" s="1"/>
  <c r="H188" i="1"/>
  <c r="G188" i="1" s="1"/>
  <c r="D188" i="1"/>
  <c r="BR195" i="1"/>
  <c r="BQ195" i="1" s="1"/>
  <c r="BJ195" i="1"/>
  <c r="BI195" i="1" s="1"/>
  <c r="AV195" i="1"/>
  <c r="AU195" i="1" s="1"/>
  <c r="AI195" i="1"/>
  <c r="AH195" i="1" s="1"/>
  <c r="H195" i="1"/>
  <c r="G195" i="1" s="1"/>
  <c r="D195" i="1"/>
  <c r="E188" i="1" l="1"/>
  <c r="E195" i="1"/>
  <c r="BR241" i="1" l="1"/>
  <c r="BQ241" i="1" s="1"/>
  <c r="BJ241" i="1"/>
  <c r="BI241" i="1" s="1"/>
  <c r="AV241" i="1"/>
  <c r="AU241" i="1" s="1"/>
  <c r="AI241" i="1"/>
  <c r="AH241" i="1" s="1"/>
  <c r="H241" i="1"/>
  <c r="G241" i="1" s="1"/>
  <c r="D241" i="1"/>
  <c r="E241" i="1" l="1"/>
  <c r="AK144" i="4" l="1"/>
  <c r="X144" i="4"/>
  <c r="W144" i="4" s="1"/>
  <c r="G144" i="4"/>
  <c r="F144" i="4" s="1"/>
  <c r="I67" i="4"/>
  <c r="K145" i="1"/>
  <c r="AL144" i="4" l="1"/>
  <c r="K57" i="1"/>
  <c r="I71" i="4"/>
  <c r="BR158" i="1"/>
  <c r="BQ158" i="1" s="1"/>
  <c r="AV158" i="1"/>
  <c r="AU158" i="1" s="1"/>
  <c r="BJ158" i="1"/>
  <c r="BI158" i="1" s="1"/>
  <c r="AV157" i="1"/>
  <c r="AU157" i="1" s="1"/>
  <c r="AI158" i="1"/>
  <c r="AH158" i="1" s="1"/>
  <c r="H158" i="1"/>
  <c r="G158" i="1" s="1"/>
  <c r="D158" i="1"/>
  <c r="AK286" i="1"/>
  <c r="I103" i="4"/>
  <c r="I104" i="4"/>
  <c r="E158" i="1" l="1"/>
  <c r="I101" i="4" l="1"/>
  <c r="I99" i="4"/>
  <c r="I83" i="4" l="1"/>
  <c r="I14" i="4" l="1"/>
  <c r="I13" i="4"/>
  <c r="I88" i="4" l="1"/>
  <c r="BT20" i="1"/>
  <c r="K20" i="1"/>
  <c r="I98" i="4" l="1"/>
  <c r="K81" i="1" l="1"/>
  <c r="K69" i="1" l="1"/>
  <c r="AK145" i="4"/>
  <c r="X145" i="4"/>
  <c r="W145" i="4" s="1"/>
  <c r="G145" i="4"/>
  <c r="F145" i="4" s="1"/>
  <c r="H157" i="1"/>
  <c r="G157" i="1" s="1"/>
  <c r="BR157" i="1"/>
  <c r="BQ157" i="1" s="1"/>
  <c r="BJ157" i="1"/>
  <c r="BI157" i="1" s="1"/>
  <c r="AI157" i="1"/>
  <c r="AH157" i="1" s="1"/>
  <c r="D157" i="1"/>
  <c r="Z71" i="4"/>
  <c r="AL145" i="4" l="1"/>
  <c r="E157" i="1"/>
  <c r="BR71" i="1" l="1"/>
  <c r="BQ71" i="1" s="1"/>
  <c r="BJ71" i="1"/>
  <c r="BI71" i="1" s="1"/>
  <c r="AV71" i="1"/>
  <c r="AU71" i="1" s="1"/>
  <c r="AI71" i="1"/>
  <c r="AH71" i="1" s="1"/>
  <c r="H71" i="1"/>
  <c r="G71" i="1" s="1"/>
  <c r="D71" i="1"/>
  <c r="E71" i="1" l="1"/>
  <c r="I100" i="4" l="1"/>
  <c r="I66" i="4" l="1"/>
  <c r="I65" i="4" s="1"/>
  <c r="I111" i="4"/>
  <c r="Z92" i="4"/>
  <c r="I92" i="4"/>
  <c r="BR106" i="1" l="1"/>
  <c r="BQ106" i="1" s="1"/>
  <c r="BJ106" i="1"/>
  <c r="BI106" i="1" s="1"/>
  <c r="AV106" i="1"/>
  <c r="AU106" i="1" s="1"/>
  <c r="AI106" i="1"/>
  <c r="AH106" i="1" s="1"/>
  <c r="H106" i="1"/>
  <c r="G106" i="1" s="1"/>
  <c r="D106" i="1"/>
  <c r="E106" i="1" l="1"/>
  <c r="BR156" i="1" l="1"/>
  <c r="BQ156" i="1" s="1"/>
  <c r="BJ156" i="1"/>
  <c r="BI156" i="1" s="1"/>
  <c r="AV156" i="1"/>
  <c r="AU156" i="1" s="1"/>
  <c r="AI156" i="1"/>
  <c r="AH156" i="1" s="1"/>
  <c r="H156" i="1"/>
  <c r="G156" i="1" s="1"/>
  <c r="D156" i="1"/>
  <c r="E156" i="1" l="1"/>
  <c r="BR170" i="1" l="1"/>
  <c r="BQ170" i="1" s="1"/>
  <c r="BJ170" i="1"/>
  <c r="BI170" i="1" s="1"/>
  <c r="AV170" i="1"/>
  <c r="AU170" i="1" s="1"/>
  <c r="AI170" i="1"/>
  <c r="AH170" i="1" s="1"/>
  <c r="H170" i="1"/>
  <c r="G170" i="1" s="1"/>
  <c r="D170" i="1"/>
  <c r="E170" i="1" l="1"/>
  <c r="I75" i="4" l="1"/>
  <c r="AK134" i="4" l="1"/>
  <c r="X134" i="4"/>
  <c r="W134" i="4" s="1"/>
  <c r="G134" i="4"/>
  <c r="F134" i="4" s="1"/>
  <c r="BR54" i="1"/>
  <c r="BQ54" i="1" s="1"/>
  <c r="BJ54" i="1"/>
  <c r="BI54" i="1" s="1"/>
  <c r="AV54" i="1"/>
  <c r="AU54" i="1" s="1"/>
  <c r="AI54" i="1"/>
  <c r="AH54" i="1" s="1"/>
  <c r="H54" i="1"/>
  <c r="G54" i="1" s="1"/>
  <c r="D54" i="1"/>
  <c r="AL134" i="4" l="1"/>
  <c r="E54" i="1"/>
  <c r="BR258" i="1" l="1"/>
  <c r="BQ258" i="1" s="1"/>
  <c r="BJ258" i="1"/>
  <c r="BI258" i="1" s="1"/>
  <c r="AV258" i="1"/>
  <c r="AU258" i="1" s="1"/>
  <c r="AI258" i="1"/>
  <c r="AH258" i="1" s="1"/>
  <c r="H258" i="1"/>
  <c r="G258" i="1" s="1"/>
  <c r="D258" i="1"/>
  <c r="E258" i="1" l="1"/>
  <c r="I114" i="4" l="1"/>
  <c r="I113" i="4" l="1"/>
  <c r="AK237" i="1"/>
  <c r="I105" i="4" l="1"/>
  <c r="AK235" i="1"/>
  <c r="AK218" i="1"/>
  <c r="I108" i="4"/>
  <c r="AK231" i="1"/>
  <c r="AK210" i="1"/>
  <c r="I112" i="4"/>
  <c r="AK194" i="1"/>
  <c r="AK110" i="4"/>
  <c r="X110" i="4"/>
  <c r="W110" i="4" s="1"/>
  <c r="G110" i="4"/>
  <c r="F110" i="4" s="1"/>
  <c r="AK25" i="1"/>
  <c r="AK242" i="1"/>
  <c r="AK178" i="1"/>
  <c r="AL110" i="4" l="1"/>
  <c r="AK116" i="4"/>
  <c r="X116" i="4"/>
  <c r="W116" i="4" s="1"/>
  <c r="G116" i="4"/>
  <c r="F116" i="4" s="1"/>
  <c r="AL116" i="4" l="1"/>
  <c r="BR32" i="1" l="1"/>
  <c r="BQ32" i="1" s="1"/>
  <c r="BJ32" i="1"/>
  <c r="BI32" i="1" s="1"/>
  <c r="AI32" i="1"/>
  <c r="AH32" i="1" s="1"/>
  <c r="H32" i="1"/>
  <c r="G32" i="1" s="1"/>
  <c r="D32" i="1"/>
  <c r="E32" i="1" l="1"/>
  <c r="AK186" i="1" l="1"/>
  <c r="I124" i="4" l="1"/>
  <c r="G124" i="4" s="1"/>
  <c r="F124" i="4" s="1"/>
  <c r="AJ96" i="4"/>
  <c r="AG96" i="4"/>
  <c r="AF96" i="4"/>
  <c r="AE96" i="4"/>
  <c r="AD96" i="4"/>
  <c r="AC96" i="4"/>
  <c r="AB96" i="4"/>
  <c r="AA96" i="4"/>
  <c r="Z96" i="4"/>
  <c r="Y96" i="4"/>
  <c r="V96" i="4"/>
  <c r="U96" i="4"/>
  <c r="P96" i="4"/>
  <c r="O96" i="4"/>
  <c r="N96" i="4"/>
  <c r="M96" i="4"/>
  <c r="L96" i="4"/>
  <c r="K96" i="4"/>
  <c r="J96" i="4"/>
  <c r="AK124" i="4"/>
  <c r="X124" i="4"/>
  <c r="W124" i="4" s="1"/>
  <c r="AL124" i="4" l="1"/>
  <c r="BR20" i="1"/>
  <c r="BQ20" i="1" s="1"/>
  <c r="BJ20" i="1"/>
  <c r="BI20" i="1" s="1"/>
  <c r="AV20" i="1"/>
  <c r="AU20" i="1" s="1"/>
  <c r="AI20" i="1"/>
  <c r="AH20" i="1" s="1"/>
  <c r="H20" i="1"/>
  <c r="G20" i="1" s="1"/>
  <c r="D20" i="1"/>
  <c r="E20" i="1" l="1"/>
  <c r="I52" i="4" l="1"/>
  <c r="I30" i="4"/>
  <c r="E30" i="4"/>
  <c r="H30" i="4"/>
  <c r="AK14" i="4" l="1"/>
  <c r="X14" i="4"/>
  <c r="W14" i="4" s="1"/>
  <c r="G14" i="4"/>
  <c r="F14" i="4" s="1"/>
  <c r="G13" i="4"/>
  <c r="AJ12" i="4"/>
  <c r="AG12" i="4"/>
  <c r="AF12" i="4"/>
  <c r="AE12" i="4"/>
  <c r="AD12" i="4"/>
  <c r="AC12" i="4"/>
  <c r="AB12" i="4"/>
  <c r="AA12" i="4"/>
  <c r="Z12" i="4"/>
  <c r="Y12" i="4"/>
  <c r="V12" i="4"/>
  <c r="U12" i="4"/>
  <c r="P12" i="4"/>
  <c r="O12" i="4"/>
  <c r="N12" i="4"/>
  <c r="M12" i="4"/>
  <c r="L12" i="4"/>
  <c r="K12" i="4"/>
  <c r="J12" i="4"/>
  <c r="I12" i="4"/>
  <c r="H12" i="4"/>
  <c r="E12" i="4"/>
  <c r="AL14" i="4" l="1"/>
  <c r="G12" i="4"/>
  <c r="I157" i="4" l="1"/>
  <c r="I96" i="4" l="1"/>
  <c r="F272" i="1" l="1"/>
  <c r="BR274" i="1"/>
  <c r="BQ274" i="1" s="1"/>
  <c r="BR275" i="1"/>
  <c r="BQ275" i="1" s="1"/>
  <c r="BJ274" i="1"/>
  <c r="BI274" i="1" s="1"/>
  <c r="BJ275" i="1"/>
  <c r="BI275" i="1" s="1"/>
  <c r="AV274" i="1"/>
  <c r="AU274" i="1" s="1"/>
  <c r="AV275" i="1"/>
  <c r="AU275" i="1" s="1"/>
  <c r="AI274" i="1"/>
  <c r="AH274" i="1" s="1"/>
  <c r="AI275" i="1"/>
  <c r="AH275" i="1" s="1"/>
  <c r="H274" i="1"/>
  <c r="G274" i="1" s="1"/>
  <c r="H275" i="1"/>
  <c r="G275" i="1" s="1"/>
  <c r="D274" i="1"/>
  <c r="D275" i="1"/>
  <c r="E275" i="1" l="1"/>
  <c r="E274" i="1"/>
  <c r="J23" i="1" l="1"/>
  <c r="J327" i="1" l="1"/>
  <c r="J323" i="1"/>
  <c r="J316" i="1"/>
  <c r="J312" i="1"/>
  <c r="J308" i="1"/>
  <c r="J303" i="1"/>
  <c r="J301" i="1"/>
  <c r="J270" i="1"/>
  <c r="J246" i="1"/>
  <c r="J136" i="1"/>
  <c r="J94" i="1"/>
  <c r="J87" i="1"/>
  <c r="J75" i="1"/>
  <c r="J65" i="1"/>
  <c r="J36" i="1"/>
  <c r="J28" i="1"/>
  <c r="J11" i="1"/>
  <c r="J300" i="1" l="1"/>
  <c r="J328" i="1" s="1"/>
  <c r="J269" i="1"/>
  <c r="J326" i="1" l="1"/>
  <c r="AK122" i="4"/>
  <c r="X122" i="4"/>
  <c r="W122" i="4" s="1"/>
  <c r="G122" i="4"/>
  <c r="F122" i="4" s="1"/>
  <c r="AL122" i="4" l="1"/>
  <c r="AI53" i="1" l="1"/>
  <c r="AH53" i="1" s="1"/>
  <c r="AV53" i="1"/>
  <c r="AU53" i="1" s="1"/>
  <c r="BJ53" i="1"/>
  <c r="BI53" i="1" s="1"/>
  <c r="BR53" i="1"/>
  <c r="BQ53" i="1" s="1"/>
  <c r="H53" i="1"/>
  <c r="G53" i="1" s="1"/>
  <c r="D53" i="1"/>
  <c r="E53" i="1" l="1"/>
  <c r="I57" i="1" l="1"/>
  <c r="BR83" i="1"/>
  <c r="BQ83" i="1" s="1"/>
  <c r="BJ83" i="1"/>
  <c r="BI83" i="1" s="1"/>
  <c r="AV83" i="1"/>
  <c r="AU83" i="1" s="1"/>
  <c r="AI83" i="1"/>
  <c r="AH83" i="1" s="1"/>
  <c r="H83" i="1"/>
  <c r="G83" i="1" s="1"/>
  <c r="D83" i="1"/>
  <c r="E83" i="1" l="1"/>
  <c r="Y71" i="4" l="1"/>
  <c r="H71" i="4"/>
  <c r="I273" i="1"/>
  <c r="BR155" i="1"/>
  <c r="BQ155" i="1" s="1"/>
  <c r="BJ155" i="1"/>
  <c r="BI155" i="1" s="1"/>
  <c r="AV155" i="1"/>
  <c r="AU155" i="1" s="1"/>
  <c r="AI155" i="1"/>
  <c r="AH155" i="1" s="1"/>
  <c r="H155" i="1"/>
  <c r="G155" i="1" s="1"/>
  <c r="D155" i="1"/>
  <c r="H67" i="4"/>
  <c r="E155" i="1" l="1"/>
  <c r="H66" i="4"/>
  <c r="H65" i="4" s="1"/>
  <c r="AJ178" i="1" l="1"/>
  <c r="AJ218" i="1" l="1"/>
  <c r="AJ189" i="1"/>
  <c r="I272" i="1" l="1"/>
  <c r="H272" i="1" s="1"/>
  <c r="H100" i="4"/>
  <c r="H97" i="4" l="1"/>
  <c r="H96" i="4" s="1"/>
  <c r="AK109" i="4"/>
  <c r="AK123" i="4"/>
  <c r="X123" i="4"/>
  <c r="W123" i="4" s="1"/>
  <c r="G123" i="4"/>
  <c r="F123" i="4" s="1"/>
  <c r="AL123" i="4" l="1"/>
  <c r="BR240" i="1"/>
  <c r="BQ240" i="1" s="1"/>
  <c r="BJ240" i="1"/>
  <c r="BI240" i="1" s="1"/>
  <c r="AV240" i="1"/>
  <c r="AU240" i="1" s="1"/>
  <c r="AI240" i="1"/>
  <c r="AH240" i="1" s="1"/>
  <c r="H240" i="1"/>
  <c r="G240" i="1" s="1"/>
  <c r="D240" i="1"/>
  <c r="E240" i="1" l="1"/>
  <c r="BR272" i="1" l="1"/>
  <c r="BQ272" i="1" s="1"/>
  <c r="BR273" i="1"/>
  <c r="BQ273" i="1" s="1"/>
  <c r="BJ272" i="1"/>
  <c r="BI272" i="1" s="1"/>
  <c r="BJ273" i="1"/>
  <c r="BI273" i="1" s="1"/>
  <c r="BJ277" i="1"/>
  <c r="BI277" i="1" s="1"/>
  <c r="BJ278" i="1"/>
  <c r="BJ279" i="1"/>
  <c r="BJ280" i="1"/>
  <c r="BJ281" i="1"/>
  <c r="BJ282" i="1"/>
  <c r="BJ285" i="1"/>
  <c r="BJ286" i="1"/>
  <c r="BJ287" i="1"/>
  <c r="BJ288" i="1"/>
  <c r="BJ289" i="1"/>
  <c r="BJ290" i="1"/>
  <c r="BJ291" i="1"/>
  <c r="BJ293" i="1"/>
  <c r="BJ294" i="1"/>
  <c r="BJ295" i="1"/>
  <c r="BJ296" i="1"/>
  <c r="BJ297" i="1"/>
  <c r="BJ298" i="1"/>
  <c r="BJ271" i="1"/>
  <c r="AV273" i="1"/>
  <c r="AU273" i="1" s="1"/>
  <c r="AI273" i="1"/>
  <c r="AH273" i="1" s="1"/>
  <c r="H273" i="1"/>
  <c r="G273" i="1" s="1"/>
  <c r="D273" i="1"/>
  <c r="E273" i="1" l="1"/>
  <c r="BR52" i="1" l="1"/>
  <c r="BQ52" i="1" s="1"/>
  <c r="BJ52" i="1"/>
  <c r="BI52" i="1" s="1"/>
  <c r="AV52" i="1"/>
  <c r="AU52" i="1" s="1"/>
  <c r="AI52" i="1"/>
  <c r="AH52" i="1" s="1"/>
  <c r="H52" i="1"/>
  <c r="G52" i="1" s="1"/>
  <c r="D52" i="1"/>
  <c r="E52" i="1" l="1"/>
  <c r="BR19" i="1" l="1"/>
  <c r="BQ19" i="1" s="1"/>
  <c r="BJ19" i="1"/>
  <c r="BI19" i="1" s="1"/>
  <c r="AV19" i="1"/>
  <c r="AU19" i="1" s="1"/>
  <c r="AI19" i="1"/>
  <c r="AH19" i="1" s="1"/>
  <c r="H19" i="1"/>
  <c r="G19" i="1" s="1"/>
  <c r="D19" i="1"/>
  <c r="E19" i="1" l="1"/>
  <c r="D324" i="1"/>
  <c r="D321" i="1"/>
  <c r="D320" i="1" s="1"/>
  <c r="D318" i="1"/>
  <c r="D317" i="1"/>
  <c r="D315" i="1"/>
  <c r="D314" i="1"/>
  <c r="D313" i="1"/>
  <c r="D311" i="1"/>
  <c r="D310" i="1"/>
  <c r="D309" i="1"/>
  <c r="D307" i="1"/>
  <c r="D306" i="1"/>
  <c r="D305" i="1"/>
  <c r="D304" i="1"/>
  <c r="D302" i="1"/>
  <c r="D298" i="1"/>
  <c r="D297" i="1"/>
  <c r="D296" i="1"/>
  <c r="D295" i="1"/>
  <c r="D294" i="1"/>
  <c r="D293" i="1"/>
  <c r="D291" i="1"/>
  <c r="D290" i="1"/>
  <c r="D289" i="1"/>
  <c r="D288" i="1"/>
  <c r="D287" i="1"/>
  <c r="D286" i="1"/>
  <c r="D285" i="1"/>
  <c r="D282" i="1"/>
  <c r="D281" i="1"/>
  <c r="D280" i="1"/>
  <c r="D279" i="1"/>
  <c r="D278" i="1"/>
  <c r="D277" i="1"/>
  <c r="D271" i="1"/>
  <c r="D267" i="1"/>
  <c r="D266" i="1"/>
  <c r="D265" i="1"/>
  <c r="D264" i="1"/>
  <c r="D263" i="1"/>
  <c r="D262" i="1"/>
  <c r="D261" i="1"/>
  <c r="D260" i="1"/>
  <c r="D259" i="1"/>
  <c r="D257" i="1"/>
  <c r="D256" i="1"/>
  <c r="D255" i="1"/>
  <c r="D254" i="1"/>
  <c r="D253" i="1"/>
  <c r="D252" i="1"/>
  <c r="D251" i="1"/>
  <c r="D250" i="1"/>
  <c r="D249" i="1"/>
  <c r="D248" i="1"/>
  <c r="D247" i="1"/>
  <c r="D244" i="1"/>
  <c r="D243" i="1"/>
  <c r="D242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1" i="1"/>
  <c r="D220" i="1"/>
  <c r="D219" i="1"/>
  <c r="D218" i="1"/>
  <c r="D217" i="1"/>
  <c r="D216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4" i="1"/>
  <c r="D193" i="1"/>
  <c r="D192" i="1"/>
  <c r="D191" i="1"/>
  <c r="D190" i="1"/>
  <c r="D189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4" i="1"/>
  <c r="D173" i="1"/>
  <c r="D172" i="1"/>
  <c r="D171" i="1"/>
  <c r="D169" i="1"/>
  <c r="D168" i="1"/>
  <c r="D167" i="1"/>
  <c r="D166" i="1"/>
  <c r="D165" i="1"/>
  <c r="D164" i="1"/>
  <c r="D162" i="1"/>
  <c r="D161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4" i="1"/>
  <c r="D130" i="1"/>
  <c r="D129" i="1"/>
  <c r="D127" i="1"/>
  <c r="D126" i="1"/>
  <c r="D125" i="1"/>
  <c r="D124" i="1"/>
  <c r="D123" i="1"/>
  <c r="D122" i="1"/>
  <c r="D121" i="1"/>
  <c r="D120" i="1"/>
  <c r="D118" i="1"/>
  <c r="D117" i="1"/>
  <c r="D116" i="1"/>
  <c r="D115" i="1"/>
  <c r="D114" i="1"/>
  <c r="D113" i="1"/>
  <c r="D112" i="1"/>
  <c r="D111" i="1"/>
  <c r="D110" i="1"/>
  <c r="D105" i="1"/>
  <c r="D104" i="1"/>
  <c r="D103" i="1"/>
  <c r="D102" i="1"/>
  <c r="D101" i="1"/>
  <c r="D100" i="1"/>
  <c r="D99" i="1"/>
  <c r="D98" i="1"/>
  <c r="D97" i="1"/>
  <c r="D96" i="1"/>
  <c r="D95" i="1"/>
  <c r="D92" i="1"/>
  <c r="D91" i="1"/>
  <c r="D90" i="1"/>
  <c r="D89" i="1"/>
  <c r="D88" i="1"/>
  <c r="D85" i="1"/>
  <c r="D84" i="1"/>
  <c r="D82" i="1"/>
  <c r="D81" i="1"/>
  <c r="D80" i="1"/>
  <c r="D79" i="1"/>
  <c r="D78" i="1"/>
  <c r="D77" i="1"/>
  <c r="D76" i="1"/>
  <c r="D73" i="1"/>
  <c r="D72" i="1"/>
  <c r="D70" i="1"/>
  <c r="D69" i="1"/>
  <c r="D68" i="1"/>
  <c r="D67" i="1"/>
  <c r="D66" i="1"/>
  <c r="D61" i="1"/>
  <c r="D60" i="1"/>
  <c r="D59" i="1"/>
  <c r="D58" i="1"/>
  <c r="D57" i="1"/>
  <c r="D56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4" i="1"/>
  <c r="D33" i="1"/>
  <c r="D31" i="1"/>
  <c r="D30" i="1"/>
  <c r="D29" i="1"/>
  <c r="D25" i="1"/>
  <c r="D24" i="1"/>
  <c r="D22" i="1"/>
  <c r="D21" i="1"/>
  <c r="D18" i="1"/>
  <c r="D17" i="1"/>
  <c r="D16" i="1"/>
  <c r="D15" i="1"/>
  <c r="D14" i="1"/>
  <c r="D13" i="1"/>
  <c r="D12" i="1"/>
  <c r="BR14" i="1"/>
  <c r="BQ14" i="1" s="1"/>
  <c r="BR324" i="1"/>
  <c r="BQ324" i="1" s="1"/>
  <c r="BQ323" i="1" s="1"/>
  <c r="BR321" i="1"/>
  <c r="BR319" i="1"/>
  <c r="BQ319" i="1" s="1"/>
  <c r="BR318" i="1"/>
  <c r="BQ318" i="1" s="1"/>
  <c r="BR317" i="1"/>
  <c r="BQ317" i="1" s="1"/>
  <c r="BR315" i="1"/>
  <c r="BQ315" i="1" s="1"/>
  <c r="BR314" i="1"/>
  <c r="BQ314" i="1" s="1"/>
  <c r="BR313" i="1"/>
  <c r="BQ313" i="1" s="1"/>
  <c r="BR311" i="1"/>
  <c r="BQ311" i="1" s="1"/>
  <c r="BR310" i="1"/>
  <c r="BQ310" i="1" s="1"/>
  <c r="BR309" i="1"/>
  <c r="BQ309" i="1" s="1"/>
  <c r="BR307" i="1"/>
  <c r="BQ307" i="1" s="1"/>
  <c r="BR306" i="1"/>
  <c r="BQ306" i="1" s="1"/>
  <c r="BR305" i="1"/>
  <c r="BQ305" i="1" s="1"/>
  <c r="BR304" i="1"/>
  <c r="BQ304" i="1" s="1"/>
  <c r="BR302" i="1"/>
  <c r="BQ302" i="1" s="1"/>
  <c r="BQ301" i="1" s="1"/>
  <c r="BR298" i="1"/>
  <c r="BQ298" i="1" s="1"/>
  <c r="BR297" i="1"/>
  <c r="BQ297" i="1" s="1"/>
  <c r="BR296" i="1"/>
  <c r="BQ296" i="1" s="1"/>
  <c r="BR295" i="1"/>
  <c r="BQ295" i="1" s="1"/>
  <c r="BR294" i="1"/>
  <c r="BQ294" i="1" s="1"/>
  <c r="BR293" i="1"/>
  <c r="BQ293" i="1" s="1"/>
  <c r="BR291" i="1"/>
  <c r="BQ291" i="1" s="1"/>
  <c r="BR290" i="1"/>
  <c r="BQ290" i="1" s="1"/>
  <c r="BR289" i="1"/>
  <c r="BQ289" i="1" s="1"/>
  <c r="BR288" i="1"/>
  <c r="BQ288" i="1" s="1"/>
  <c r="BR287" i="1"/>
  <c r="BQ287" i="1" s="1"/>
  <c r="BR286" i="1"/>
  <c r="BQ286" i="1" s="1"/>
  <c r="BR285" i="1"/>
  <c r="BQ285" i="1" s="1"/>
  <c r="BR282" i="1"/>
  <c r="BQ282" i="1" s="1"/>
  <c r="BR281" i="1"/>
  <c r="BQ281" i="1" s="1"/>
  <c r="BR280" i="1"/>
  <c r="BQ280" i="1" s="1"/>
  <c r="BR279" i="1"/>
  <c r="BQ279" i="1" s="1"/>
  <c r="BR278" i="1"/>
  <c r="BQ278" i="1" s="1"/>
  <c r="BR277" i="1"/>
  <c r="BQ277" i="1" s="1"/>
  <c r="BR271" i="1"/>
  <c r="BQ271" i="1" s="1"/>
  <c r="BR267" i="1"/>
  <c r="BQ267" i="1" s="1"/>
  <c r="BR266" i="1"/>
  <c r="BQ266" i="1" s="1"/>
  <c r="BR265" i="1"/>
  <c r="BQ265" i="1" s="1"/>
  <c r="BR264" i="1"/>
  <c r="BQ264" i="1" s="1"/>
  <c r="BR263" i="1"/>
  <c r="BQ263" i="1" s="1"/>
  <c r="BR262" i="1"/>
  <c r="BQ262" i="1" s="1"/>
  <c r="BR261" i="1"/>
  <c r="BQ261" i="1" s="1"/>
  <c r="BR260" i="1"/>
  <c r="BQ260" i="1" s="1"/>
  <c r="BR259" i="1"/>
  <c r="BQ259" i="1" s="1"/>
  <c r="BR257" i="1"/>
  <c r="BQ257" i="1" s="1"/>
  <c r="BR256" i="1"/>
  <c r="BQ256" i="1" s="1"/>
  <c r="BR255" i="1"/>
  <c r="BQ255" i="1" s="1"/>
  <c r="BR254" i="1"/>
  <c r="BQ254" i="1" s="1"/>
  <c r="BR253" i="1"/>
  <c r="BQ253" i="1" s="1"/>
  <c r="BR252" i="1"/>
  <c r="BQ252" i="1" s="1"/>
  <c r="BR251" i="1"/>
  <c r="BQ251" i="1" s="1"/>
  <c r="BR250" i="1"/>
  <c r="BQ250" i="1" s="1"/>
  <c r="BR249" i="1"/>
  <c r="BQ249" i="1" s="1"/>
  <c r="BR248" i="1"/>
  <c r="BQ248" i="1" s="1"/>
  <c r="BR247" i="1"/>
  <c r="BQ247" i="1" s="1"/>
  <c r="BR244" i="1"/>
  <c r="BQ244" i="1" s="1"/>
  <c r="BR243" i="1"/>
  <c r="BQ243" i="1" s="1"/>
  <c r="BR242" i="1"/>
  <c r="BQ242" i="1" s="1"/>
  <c r="BR239" i="1"/>
  <c r="BQ239" i="1" s="1"/>
  <c r="BR238" i="1"/>
  <c r="BQ238" i="1" s="1"/>
  <c r="BR237" i="1"/>
  <c r="BQ237" i="1" s="1"/>
  <c r="BR236" i="1"/>
  <c r="BQ236" i="1" s="1"/>
  <c r="BR235" i="1"/>
  <c r="BQ235" i="1" s="1"/>
  <c r="BR234" i="1"/>
  <c r="BQ234" i="1" s="1"/>
  <c r="BR233" i="1"/>
  <c r="BQ233" i="1" s="1"/>
  <c r="BR232" i="1"/>
  <c r="BQ232" i="1" s="1"/>
  <c r="BR231" i="1"/>
  <c r="BQ231" i="1" s="1"/>
  <c r="BR230" i="1"/>
  <c r="BQ230" i="1" s="1"/>
  <c r="BR229" i="1"/>
  <c r="BQ229" i="1" s="1"/>
  <c r="BR228" i="1"/>
  <c r="BQ228" i="1" s="1"/>
  <c r="BR227" i="1"/>
  <c r="BQ227" i="1" s="1"/>
  <c r="BR226" i="1"/>
  <c r="BQ226" i="1" s="1"/>
  <c r="BR225" i="1"/>
  <c r="BQ225" i="1" s="1"/>
  <c r="BR224" i="1"/>
  <c r="BQ224" i="1" s="1"/>
  <c r="BR221" i="1"/>
  <c r="BQ221" i="1" s="1"/>
  <c r="BR220" i="1"/>
  <c r="BQ220" i="1" s="1"/>
  <c r="BR219" i="1"/>
  <c r="BQ219" i="1" s="1"/>
  <c r="BR218" i="1"/>
  <c r="BQ218" i="1" s="1"/>
  <c r="BR217" i="1"/>
  <c r="BQ217" i="1" s="1"/>
  <c r="BR216" i="1"/>
  <c r="BQ216" i="1" s="1"/>
  <c r="BR213" i="1"/>
  <c r="BQ213" i="1" s="1"/>
  <c r="BR212" i="1"/>
  <c r="BQ212" i="1" s="1"/>
  <c r="BR211" i="1"/>
  <c r="BQ211" i="1" s="1"/>
  <c r="BR210" i="1"/>
  <c r="BQ210" i="1" s="1"/>
  <c r="BR209" i="1"/>
  <c r="BQ209" i="1" s="1"/>
  <c r="BR208" i="1"/>
  <c r="BQ208" i="1" s="1"/>
  <c r="BR207" i="1"/>
  <c r="BQ207" i="1" s="1"/>
  <c r="BR206" i="1"/>
  <c r="BQ206" i="1" s="1"/>
  <c r="BR205" i="1"/>
  <c r="BQ205" i="1" s="1"/>
  <c r="BR204" i="1"/>
  <c r="BQ204" i="1" s="1"/>
  <c r="BR203" i="1"/>
  <c r="BQ203" i="1" s="1"/>
  <c r="BR202" i="1"/>
  <c r="BQ202" i="1" s="1"/>
  <c r="BR201" i="1"/>
  <c r="BQ201" i="1" s="1"/>
  <c r="BR200" i="1"/>
  <c r="BQ200" i="1" s="1"/>
  <c r="BR199" i="1"/>
  <c r="BQ199" i="1" s="1"/>
  <c r="BR198" i="1"/>
  <c r="BQ198" i="1" s="1"/>
  <c r="BR197" i="1"/>
  <c r="BQ197" i="1" s="1"/>
  <c r="BR196" i="1"/>
  <c r="BQ196" i="1" s="1"/>
  <c r="BR194" i="1"/>
  <c r="BQ194" i="1" s="1"/>
  <c r="BR193" i="1"/>
  <c r="BQ193" i="1" s="1"/>
  <c r="BR192" i="1"/>
  <c r="BQ192" i="1" s="1"/>
  <c r="BR191" i="1"/>
  <c r="BQ191" i="1" s="1"/>
  <c r="BR190" i="1"/>
  <c r="BQ190" i="1" s="1"/>
  <c r="BR189" i="1"/>
  <c r="BQ189" i="1" s="1"/>
  <c r="BR187" i="1"/>
  <c r="BQ187" i="1" s="1"/>
  <c r="BR186" i="1"/>
  <c r="BQ186" i="1" s="1"/>
  <c r="BR185" i="1"/>
  <c r="BQ185" i="1" s="1"/>
  <c r="BR184" i="1"/>
  <c r="BQ184" i="1" s="1"/>
  <c r="BR183" i="1"/>
  <c r="BQ183" i="1" s="1"/>
  <c r="BR182" i="1"/>
  <c r="BQ182" i="1" s="1"/>
  <c r="BR181" i="1"/>
  <c r="BQ181" i="1" s="1"/>
  <c r="BR180" i="1"/>
  <c r="BQ180" i="1" s="1"/>
  <c r="BR179" i="1"/>
  <c r="BQ179" i="1" s="1"/>
  <c r="BR178" i="1"/>
  <c r="BQ178" i="1" s="1"/>
  <c r="BR177" i="1"/>
  <c r="BQ177" i="1" s="1"/>
  <c r="BR176" i="1"/>
  <c r="BQ176" i="1" s="1"/>
  <c r="BR174" i="1"/>
  <c r="BQ174" i="1" s="1"/>
  <c r="BR173" i="1"/>
  <c r="BQ173" i="1" s="1"/>
  <c r="BR172" i="1"/>
  <c r="BQ172" i="1" s="1"/>
  <c r="BR171" i="1"/>
  <c r="BQ171" i="1" s="1"/>
  <c r="BR169" i="1"/>
  <c r="BQ169" i="1" s="1"/>
  <c r="BR168" i="1"/>
  <c r="BQ168" i="1" s="1"/>
  <c r="BR167" i="1"/>
  <c r="BQ167" i="1" s="1"/>
  <c r="BR166" i="1"/>
  <c r="BQ166" i="1" s="1"/>
  <c r="BR165" i="1"/>
  <c r="BQ165" i="1" s="1"/>
  <c r="BR164" i="1"/>
  <c r="BQ164" i="1" s="1"/>
  <c r="BR162" i="1"/>
  <c r="BQ162" i="1" s="1"/>
  <c r="BR161" i="1"/>
  <c r="BQ161" i="1" s="1"/>
  <c r="BR154" i="1"/>
  <c r="BQ154" i="1" s="1"/>
  <c r="BR153" i="1"/>
  <c r="BQ153" i="1" s="1"/>
  <c r="BR152" i="1"/>
  <c r="BQ152" i="1" s="1"/>
  <c r="BR151" i="1"/>
  <c r="BQ151" i="1" s="1"/>
  <c r="BR150" i="1"/>
  <c r="BQ150" i="1" s="1"/>
  <c r="BR149" i="1"/>
  <c r="BQ149" i="1" s="1"/>
  <c r="BR148" i="1"/>
  <c r="BQ148" i="1" s="1"/>
  <c r="BR147" i="1"/>
  <c r="BQ147" i="1" s="1"/>
  <c r="BR146" i="1"/>
  <c r="BQ146" i="1" s="1"/>
  <c r="BR145" i="1"/>
  <c r="BQ145" i="1" s="1"/>
  <c r="BR144" i="1"/>
  <c r="BQ144" i="1" s="1"/>
  <c r="BR143" i="1"/>
  <c r="BQ143" i="1" s="1"/>
  <c r="BR142" i="1"/>
  <c r="BQ142" i="1" s="1"/>
  <c r="BR141" i="1"/>
  <c r="BQ141" i="1" s="1"/>
  <c r="BR140" i="1"/>
  <c r="BQ140" i="1" s="1"/>
  <c r="BR139" i="1"/>
  <c r="BQ139" i="1" s="1"/>
  <c r="BR138" i="1"/>
  <c r="BQ138" i="1" s="1"/>
  <c r="BR137" i="1"/>
  <c r="BQ137" i="1" s="1"/>
  <c r="BR134" i="1"/>
  <c r="BQ134" i="1" s="1"/>
  <c r="BR130" i="1"/>
  <c r="BQ130" i="1" s="1"/>
  <c r="BR129" i="1"/>
  <c r="BQ129" i="1" s="1"/>
  <c r="BR127" i="1"/>
  <c r="BQ127" i="1" s="1"/>
  <c r="BR126" i="1"/>
  <c r="BQ126" i="1" s="1"/>
  <c r="BR125" i="1"/>
  <c r="BQ125" i="1" s="1"/>
  <c r="BR124" i="1"/>
  <c r="BQ124" i="1" s="1"/>
  <c r="BR123" i="1"/>
  <c r="BQ123" i="1" s="1"/>
  <c r="BR122" i="1"/>
  <c r="BQ122" i="1" s="1"/>
  <c r="BR121" i="1"/>
  <c r="BQ121" i="1" s="1"/>
  <c r="BR120" i="1"/>
  <c r="BQ120" i="1" s="1"/>
  <c r="BR118" i="1"/>
  <c r="BQ118" i="1" s="1"/>
  <c r="BR117" i="1"/>
  <c r="BQ117" i="1" s="1"/>
  <c r="BR116" i="1"/>
  <c r="BQ116" i="1" s="1"/>
  <c r="BR115" i="1"/>
  <c r="BQ115" i="1" s="1"/>
  <c r="BR114" i="1"/>
  <c r="BQ114" i="1" s="1"/>
  <c r="BR113" i="1"/>
  <c r="BQ113" i="1" s="1"/>
  <c r="BR112" i="1"/>
  <c r="BQ112" i="1" s="1"/>
  <c r="BR111" i="1"/>
  <c r="BQ111" i="1" s="1"/>
  <c r="BR110" i="1"/>
  <c r="BQ110" i="1" s="1"/>
  <c r="BR105" i="1"/>
  <c r="BQ105" i="1" s="1"/>
  <c r="BR104" i="1"/>
  <c r="BQ104" i="1" s="1"/>
  <c r="BR103" i="1"/>
  <c r="BQ103" i="1" s="1"/>
  <c r="BR102" i="1"/>
  <c r="BQ102" i="1" s="1"/>
  <c r="BR101" i="1"/>
  <c r="BQ101" i="1" s="1"/>
  <c r="BR100" i="1"/>
  <c r="BQ100" i="1" s="1"/>
  <c r="BR99" i="1"/>
  <c r="BQ99" i="1" s="1"/>
  <c r="BR98" i="1"/>
  <c r="BQ98" i="1" s="1"/>
  <c r="BR97" i="1"/>
  <c r="BQ97" i="1" s="1"/>
  <c r="BR96" i="1"/>
  <c r="BQ96" i="1" s="1"/>
  <c r="BR95" i="1"/>
  <c r="BQ95" i="1" s="1"/>
  <c r="BR92" i="1"/>
  <c r="BQ92" i="1" s="1"/>
  <c r="BR91" i="1"/>
  <c r="BQ91" i="1" s="1"/>
  <c r="BR90" i="1"/>
  <c r="BQ90" i="1" s="1"/>
  <c r="BR89" i="1"/>
  <c r="BQ89" i="1" s="1"/>
  <c r="BR88" i="1"/>
  <c r="BQ88" i="1" s="1"/>
  <c r="BR85" i="1"/>
  <c r="BQ85" i="1" s="1"/>
  <c r="BR84" i="1"/>
  <c r="BQ84" i="1" s="1"/>
  <c r="BR82" i="1"/>
  <c r="BQ82" i="1" s="1"/>
  <c r="BR81" i="1"/>
  <c r="BQ81" i="1" s="1"/>
  <c r="BR80" i="1"/>
  <c r="BQ80" i="1" s="1"/>
  <c r="BR79" i="1"/>
  <c r="BQ79" i="1" s="1"/>
  <c r="BR78" i="1"/>
  <c r="BQ78" i="1" s="1"/>
  <c r="BR77" i="1"/>
  <c r="BQ77" i="1" s="1"/>
  <c r="BR76" i="1"/>
  <c r="BQ76" i="1" s="1"/>
  <c r="BR73" i="1"/>
  <c r="BQ73" i="1" s="1"/>
  <c r="BR72" i="1"/>
  <c r="BQ72" i="1" s="1"/>
  <c r="BR70" i="1"/>
  <c r="BQ70" i="1" s="1"/>
  <c r="BR69" i="1"/>
  <c r="BQ69" i="1" s="1"/>
  <c r="BR68" i="1"/>
  <c r="BQ68" i="1" s="1"/>
  <c r="BR67" i="1"/>
  <c r="BQ67" i="1" s="1"/>
  <c r="BR66" i="1"/>
  <c r="BQ66" i="1" s="1"/>
  <c r="BR61" i="1"/>
  <c r="BQ61" i="1" s="1"/>
  <c r="BR60" i="1"/>
  <c r="BQ60" i="1" s="1"/>
  <c r="BR59" i="1"/>
  <c r="BQ59" i="1" s="1"/>
  <c r="BR58" i="1"/>
  <c r="BQ58" i="1" s="1"/>
  <c r="BR57" i="1"/>
  <c r="BQ57" i="1" s="1"/>
  <c r="BR56" i="1"/>
  <c r="BQ56" i="1" s="1"/>
  <c r="BR51" i="1"/>
  <c r="BQ51" i="1" s="1"/>
  <c r="BR50" i="1"/>
  <c r="BQ50" i="1" s="1"/>
  <c r="BR49" i="1"/>
  <c r="BQ49" i="1" s="1"/>
  <c r="BR48" i="1"/>
  <c r="BQ48" i="1" s="1"/>
  <c r="BR47" i="1"/>
  <c r="BQ47" i="1" s="1"/>
  <c r="BR46" i="1"/>
  <c r="BQ46" i="1" s="1"/>
  <c r="BR45" i="1"/>
  <c r="BQ45" i="1" s="1"/>
  <c r="BR44" i="1"/>
  <c r="BQ44" i="1" s="1"/>
  <c r="BR43" i="1"/>
  <c r="BQ43" i="1" s="1"/>
  <c r="BR42" i="1"/>
  <c r="BQ42" i="1" s="1"/>
  <c r="BR41" i="1"/>
  <c r="BQ41" i="1" s="1"/>
  <c r="BR40" i="1"/>
  <c r="BQ40" i="1" s="1"/>
  <c r="BR39" i="1"/>
  <c r="BQ39" i="1" s="1"/>
  <c r="BR38" i="1"/>
  <c r="BQ38" i="1" s="1"/>
  <c r="BR37" i="1"/>
  <c r="BQ37" i="1" s="1"/>
  <c r="BR34" i="1"/>
  <c r="BQ34" i="1" s="1"/>
  <c r="BR33" i="1"/>
  <c r="BQ33" i="1" s="1"/>
  <c r="BR31" i="1"/>
  <c r="BQ31" i="1" s="1"/>
  <c r="BR30" i="1"/>
  <c r="BQ30" i="1" s="1"/>
  <c r="BR29" i="1"/>
  <c r="BQ29" i="1" s="1"/>
  <c r="BR25" i="1"/>
  <c r="BQ25" i="1" s="1"/>
  <c r="BR24" i="1"/>
  <c r="BQ24" i="1" s="1"/>
  <c r="BR23" i="1"/>
  <c r="BQ23" i="1" s="1"/>
  <c r="BR22" i="1"/>
  <c r="BQ22" i="1" s="1"/>
  <c r="BR21" i="1"/>
  <c r="BQ21" i="1" s="1"/>
  <c r="BR18" i="1"/>
  <c r="BQ18" i="1" s="1"/>
  <c r="BR17" i="1"/>
  <c r="BQ17" i="1" s="1"/>
  <c r="BR16" i="1"/>
  <c r="BQ16" i="1" s="1"/>
  <c r="BR15" i="1"/>
  <c r="BQ15" i="1" s="1"/>
  <c r="BR13" i="1"/>
  <c r="BQ13" i="1" s="1"/>
  <c r="BJ324" i="1"/>
  <c r="BI324" i="1" s="1"/>
  <c r="BI323" i="1" s="1"/>
  <c r="BJ321" i="1"/>
  <c r="BJ319" i="1"/>
  <c r="BI319" i="1" s="1"/>
  <c r="BJ318" i="1"/>
  <c r="BI318" i="1" s="1"/>
  <c r="BJ317" i="1"/>
  <c r="BI317" i="1" s="1"/>
  <c r="BJ315" i="1"/>
  <c r="BI315" i="1" s="1"/>
  <c r="BJ314" i="1"/>
  <c r="BI314" i="1" s="1"/>
  <c r="BJ313" i="1"/>
  <c r="BI313" i="1" s="1"/>
  <c r="BJ311" i="1"/>
  <c r="BI311" i="1" s="1"/>
  <c r="BJ310" i="1"/>
  <c r="BI310" i="1" s="1"/>
  <c r="BJ309" i="1"/>
  <c r="BI309" i="1" s="1"/>
  <c r="BJ307" i="1"/>
  <c r="BI307" i="1" s="1"/>
  <c r="BJ306" i="1"/>
  <c r="BI306" i="1" s="1"/>
  <c r="BJ305" i="1"/>
  <c r="BI305" i="1" s="1"/>
  <c r="BJ304" i="1"/>
  <c r="BI304" i="1" s="1"/>
  <c r="BJ302" i="1"/>
  <c r="BI302" i="1" s="1"/>
  <c r="BI301" i="1" s="1"/>
  <c r="BI298" i="1"/>
  <c r="BI297" i="1"/>
  <c r="BI296" i="1"/>
  <c r="BI295" i="1"/>
  <c r="BI294" i="1"/>
  <c r="BI293" i="1"/>
  <c r="BI291" i="1"/>
  <c r="BI290" i="1"/>
  <c r="BI289" i="1"/>
  <c r="BI288" i="1"/>
  <c r="BI287" i="1"/>
  <c r="BI286" i="1"/>
  <c r="BI285" i="1"/>
  <c r="BI282" i="1"/>
  <c r="BI281" i="1"/>
  <c r="BI280" i="1"/>
  <c r="BI279" i="1"/>
  <c r="BI278" i="1"/>
  <c r="BI271" i="1"/>
  <c r="BJ267" i="1"/>
  <c r="BI267" i="1" s="1"/>
  <c r="BJ266" i="1"/>
  <c r="BI266" i="1" s="1"/>
  <c r="BJ265" i="1"/>
  <c r="BI265" i="1" s="1"/>
  <c r="BJ264" i="1"/>
  <c r="BI264" i="1" s="1"/>
  <c r="BJ263" i="1"/>
  <c r="BI263" i="1" s="1"/>
  <c r="BJ262" i="1"/>
  <c r="BI262" i="1" s="1"/>
  <c r="BJ261" i="1"/>
  <c r="BI261" i="1" s="1"/>
  <c r="BJ260" i="1"/>
  <c r="BI260" i="1" s="1"/>
  <c r="BJ259" i="1"/>
  <c r="BI259" i="1" s="1"/>
  <c r="BJ257" i="1"/>
  <c r="BI257" i="1" s="1"/>
  <c r="BJ256" i="1"/>
  <c r="BI256" i="1" s="1"/>
  <c r="BJ255" i="1"/>
  <c r="BI255" i="1" s="1"/>
  <c r="BJ254" i="1"/>
  <c r="BI254" i="1" s="1"/>
  <c r="BJ253" i="1"/>
  <c r="BI253" i="1" s="1"/>
  <c r="BJ252" i="1"/>
  <c r="BI252" i="1" s="1"/>
  <c r="BJ251" i="1"/>
  <c r="BI251" i="1" s="1"/>
  <c r="BJ250" i="1"/>
  <c r="BI250" i="1" s="1"/>
  <c r="BJ249" i="1"/>
  <c r="BI249" i="1" s="1"/>
  <c r="BJ248" i="1"/>
  <c r="BI248" i="1" s="1"/>
  <c r="BJ247" i="1"/>
  <c r="BI247" i="1" s="1"/>
  <c r="BJ244" i="1"/>
  <c r="BI244" i="1" s="1"/>
  <c r="BJ243" i="1"/>
  <c r="BI243" i="1" s="1"/>
  <c r="BJ242" i="1"/>
  <c r="BI242" i="1" s="1"/>
  <c r="BJ239" i="1"/>
  <c r="BI239" i="1" s="1"/>
  <c r="BJ238" i="1"/>
  <c r="BI238" i="1" s="1"/>
  <c r="BJ237" i="1"/>
  <c r="BI237" i="1" s="1"/>
  <c r="BJ236" i="1"/>
  <c r="BI236" i="1" s="1"/>
  <c r="BJ235" i="1"/>
  <c r="BI235" i="1" s="1"/>
  <c r="BJ234" i="1"/>
  <c r="BI234" i="1" s="1"/>
  <c r="BJ233" i="1"/>
  <c r="BI233" i="1" s="1"/>
  <c r="BJ232" i="1"/>
  <c r="BI232" i="1" s="1"/>
  <c r="BJ231" i="1"/>
  <c r="BI231" i="1" s="1"/>
  <c r="BJ230" i="1"/>
  <c r="BI230" i="1" s="1"/>
  <c r="BJ229" i="1"/>
  <c r="BI229" i="1" s="1"/>
  <c r="BJ228" i="1"/>
  <c r="BI228" i="1" s="1"/>
  <c r="BJ227" i="1"/>
  <c r="BI227" i="1" s="1"/>
  <c r="BJ226" i="1"/>
  <c r="BI226" i="1" s="1"/>
  <c r="BJ225" i="1"/>
  <c r="BI225" i="1" s="1"/>
  <c r="BJ224" i="1"/>
  <c r="BI224" i="1" s="1"/>
  <c r="BJ221" i="1"/>
  <c r="BI221" i="1" s="1"/>
  <c r="BJ220" i="1"/>
  <c r="BI220" i="1" s="1"/>
  <c r="BJ219" i="1"/>
  <c r="BI219" i="1" s="1"/>
  <c r="BJ218" i="1"/>
  <c r="BI218" i="1" s="1"/>
  <c r="BJ217" i="1"/>
  <c r="BI217" i="1" s="1"/>
  <c r="BJ216" i="1"/>
  <c r="BI216" i="1" s="1"/>
  <c r="BJ213" i="1"/>
  <c r="BI213" i="1" s="1"/>
  <c r="BJ212" i="1"/>
  <c r="BI212" i="1" s="1"/>
  <c r="BJ211" i="1"/>
  <c r="BI211" i="1" s="1"/>
  <c r="BJ210" i="1"/>
  <c r="BI210" i="1" s="1"/>
  <c r="BJ209" i="1"/>
  <c r="BI209" i="1" s="1"/>
  <c r="BJ208" i="1"/>
  <c r="BI208" i="1" s="1"/>
  <c r="BJ207" i="1"/>
  <c r="BI207" i="1" s="1"/>
  <c r="BJ206" i="1"/>
  <c r="BI206" i="1" s="1"/>
  <c r="BJ205" i="1"/>
  <c r="BI205" i="1" s="1"/>
  <c r="BJ204" i="1"/>
  <c r="BI204" i="1" s="1"/>
  <c r="BJ203" i="1"/>
  <c r="BI203" i="1" s="1"/>
  <c r="BJ202" i="1"/>
  <c r="BI202" i="1" s="1"/>
  <c r="BJ201" i="1"/>
  <c r="BI201" i="1" s="1"/>
  <c r="BJ200" i="1"/>
  <c r="BI200" i="1" s="1"/>
  <c r="BJ199" i="1"/>
  <c r="BI199" i="1" s="1"/>
  <c r="BJ198" i="1"/>
  <c r="BI198" i="1" s="1"/>
  <c r="BJ197" i="1"/>
  <c r="BI197" i="1" s="1"/>
  <c r="BJ196" i="1"/>
  <c r="BI196" i="1" s="1"/>
  <c r="BJ194" i="1"/>
  <c r="BI194" i="1" s="1"/>
  <c r="BJ193" i="1"/>
  <c r="BI193" i="1" s="1"/>
  <c r="BJ192" i="1"/>
  <c r="BI192" i="1" s="1"/>
  <c r="BJ191" i="1"/>
  <c r="BI191" i="1" s="1"/>
  <c r="BJ190" i="1"/>
  <c r="BI190" i="1" s="1"/>
  <c r="BJ189" i="1"/>
  <c r="BI189" i="1" s="1"/>
  <c r="BJ187" i="1"/>
  <c r="BI187" i="1" s="1"/>
  <c r="BJ186" i="1"/>
  <c r="BI186" i="1" s="1"/>
  <c r="BJ185" i="1"/>
  <c r="BI185" i="1" s="1"/>
  <c r="BJ184" i="1"/>
  <c r="BI184" i="1" s="1"/>
  <c r="BJ183" i="1"/>
  <c r="BI183" i="1" s="1"/>
  <c r="BJ182" i="1"/>
  <c r="BI182" i="1" s="1"/>
  <c r="BJ181" i="1"/>
  <c r="BI181" i="1" s="1"/>
  <c r="BJ180" i="1"/>
  <c r="BI180" i="1" s="1"/>
  <c r="BJ179" i="1"/>
  <c r="BI179" i="1" s="1"/>
  <c r="BJ178" i="1"/>
  <c r="BI178" i="1" s="1"/>
  <c r="BJ177" i="1"/>
  <c r="BI177" i="1" s="1"/>
  <c r="BJ176" i="1"/>
  <c r="BI176" i="1" s="1"/>
  <c r="BJ174" i="1"/>
  <c r="BI174" i="1" s="1"/>
  <c r="BJ173" i="1"/>
  <c r="BI173" i="1" s="1"/>
  <c r="BJ172" i="1"/>
  <c r="BI172" i="1" s="1"/>
  <c r="BJ171" i="1"/>
  <c r="BI171" i="1" s="1"/>
  <c r="BJ169" i="1"/>
  <c r="BI169" i="1" s="1"/>
  <c r="BJ168" i="1"/>
  <c r="BI168" i="1" s="1"/>
  <c r="BJ167" i="1"/>
  <c r="BI167" i="1" s="1"/>
  <c r="BJ166" i="1"/>
  <c r="BI166" i="1" s="1"/>
  <c r="BJ165" i="1"/>
  <c r="BI165" i="1" s="1"/>
  <c r="BJ164" i="1"/>
  <c r="BI164" i="1" s="1"/>
  <c r="BJ162" i="1"/>
  <c r="BI162" i="1" s="1"/>
  <c r="BJ161" i="1"/>
  <c r="BI161" i="1" s="1"/>
  <c r="BJ154" i="1"/>
  <c r="BI154" i="1" s="1"/>
  <c r="BJ153" i="1"/>
  <c r="BI153" i="1" s="1"/>
  <c r="BJ152" i="1"/>
  <c r="BI152" i="1" s="1"/>
  <c r="BJ151" i="1"/>
  <c r="BI151" i="1" s="1"/>
  <c r="BJ150" i="1"/>
  <c r="BI150" i="1" s="1"/>
  <c r="BJ149" i="1"/>
  <c r="BI149" i="1" s="1"/>
  <c r="BJ148" i="1"/>
  <c r="BI148" i="1" s="1"/>
  <c r="BJ147" i="1"/>
  <c r="BI147" i="1" s="1"/>
  <c r="BJ146" i="1"/>
  <c r="BI146" i="1" s="1"/>
  <c r="BJ145" i="1"/>
  <c r="BI145" i="1" s="1"/>
  <c r="BJ144" i="1"/>
  <c r="BI144" i="1" s="1"/>
  <c r="BJ143" i="1"/>
  <c r="BI143" i="1" s="1"/>
  <c r="BJ142" i="1"/>
  <c r="BI142" i="1" s="1"/>
  <c r="BJ141" i="1"/>
  <c r="BI141" i="1" s="1"/>
  <c r="BJ140" i="1"/>
  <c r="BI140" i="1" s="1"/>
  <c r="BJ139" i="1"/>
  <c r="BI139" i="1" s="1"/>
  <c r="BJ138" i="1"/>
  <c r="BI138" i="1" s="1"/>
  <c r="BJ137" i="1"/>
  <c r="BI137" i="1" s="1"/>
  <c r="BJ134" i="1"/>
  <c r="BI134" i="1" s="1"/>
  <c r="BJ130" i="1"/>
  <c r="BI130" i="1" s="1"/>
  <c r="BJ129" i="1"/>
  <c r="BI129" i="1" s="1"/>
  <c r="BJ127" i="1"/>
  <c r="BI127" i="1" s="1"/>
  <c r="BJ126" i="1"/>
  <c r="BI126" i="1" s="1"/>
  <c r="BJ125" i="1"/>
  <c r="BI125" i="1" s="1"/>
  <c r="BJ124" i="1"/>
  <c r="BI124" i="1" s="1"/>
  <c r="BJ123" i="1"/>
  <c r="BI123" i="1" s="1"/>
  <c r="BJ122" i="1"/>
  <c r="BI122" i="1" s="1"/>
  <c r="BJ121" i="1"/>
  <c r="BI121" i="1" s="1"/>
  <c r="BJ120" i="1"/>
  <c r="BI120" i="1" s="1"/>
  <c r="BJ118" i="1"/>
  <c r="BI118" i="1" s="1"/>
  <c r="BJ117" i="1"/>
  <c r="BI117" i="1" s="1"/>
  <c r="BJ116" i="1"/>
  <c r="BI116" i="1" s="1"/>
  <c r="BJ115" i="1"/>
  <c r="BI115" i="1" s="1"/>
  <c r="BJ114" i="1"/>
  <c r="BI114" i="1" s="1"/>
  <c r="BJ113" i="1"/>
  <c r="BI113" i="1" s="1"/>
  <c r="BJ112" i="1"/>
  <c r="BI112" i="1" s="1"/>
  <c r="BJ111" i="1"/>
  <c r="BI111" i="1" s="1"/>
  <c r="BJ110" i="1"/>
  <c r="BI110" i="1" s="1"/>
  <c r="BJ105" i="1"/>
  <c r="BI105" i="1" s="1"/>
  <c r="BJ104" i="1"/>
  <c r="BI104" i="1" s="1"/>
  <c r="BJ103" i="1"/>
  <c r="BI103" i="1" s="1"/>
  <c r="BJ102" i="1"/>
  <c r="BI102" i="1" s="1"/>
  <c r="BJ101" i="1"/>
  <c r="BI101" i="1" s="1"/>
  <c r="BJ100" i="1"/>
  <c r="BI100" i="1" s="1"/>
  <c r="BJ99" i="1"/>
  <c r="BI99" i="1" s="1"/>
  <c r="BJ98" i="1"/>
  <c r="BI98" i="1" s="1"/>
  <c r="BJ97" i="1"/>
  <c r="BI97" i="1" s="1"/>
  <c r="BJ96" i="1"/>
  <c r="BI96" i="1" s="1"/>
  <c r="BJ95" i="1"/>
  <c r="BI95" i="1" s="1"/>
  <c r="BJ92" i="1"/>
  <c r="BI92" i="1" s="1"/>
  <c r="BJ91" i="1"/>
  <c r="BI91" i="1" s="1"/>
  <c r="BJ90" i="1"/>
  <c r="BI90" i="1" s="1"/>
  <c r="BJ89" i="1"/>
  <c r="BI89" i="1" s="1"/>
  <c r="BJ88" i="1"/>
  <c r="BI88" i="1" s="1"/>
  <c r="BJ85" i="1"/>
  <c r="BI85" i="1" s="1"/>
  <c r="BJ84" i="1"/>
  <c r="BI84" i="1" s="1"/>
  <c r="BJ82" i="1"/>
  <c r="BI82" i="1" s="1"/>
  <c r="BJ81" i="1"/>
  <c r="BI81" i="1" s="1"/>
  <c r="BJ80" i="1"/>
  <c r="BI80" i="1" s="1"/>
  <c r="BJ79" i="1"/>
  <c r="BI79" i="1" s="1"/>
  <c r="BJ78" i="1"/>
  <c r="BI78" i="1" s="1"/>
  <c r="BJ77" i="1"/>
  <c r="BI77" i="1" s="1"/>
  <c r="BJ76" i="1"/>
  <c r="BI76" i="1" s="1"/>
  <c r="BJ73" i="1"/>
  <c r="BI73" i="1" s="1"/>
  <c r="BJ72" i="1"/>
  <c r="BI72" i="1" s="1"/>
  <c r="BJ70" i="1"/>
  <c r="BI70" i="1" s="1"/>
  <c r="BJ69" i="1"/>
  <c r="BI69" i="1" s="1"/>
  <c r="BJ68" i="1"/>
  <c r="BI68" i="1" s="1"/>
  <c r="BJ67" i="1"/>
  <c r="BI67" i="1" s="1"/>
  <c r="BJ66" i="1"/>
  <c r="BI66" i="1" s="1"/>
  <c r="BJ61" i="1"/>
  <c r="BI61" i="1" s="1"/>
  <c r="BJ60" i="1"/>
  <c r="BI60" i="1" s="1"/>
  <c r="BJ59" i="1"/>
  <c r="BI59" i="1" s="1"/>
  <c r="BJ58" i="1"/>
  <c r="BI58" i="1" s="1"/>
  <c r="BJ57" i="1"/>
  <c r="BI57" i="1" s="1"/>
  <c r="BJ56" i="1"/>
  <c r="BI56" i="1" s="1"/>
  <c r="BJ51" i="1"/>
  <c r="BI51" i="1" s="1"/>
  <c r="BJ50" i="1"/>
  <c r="BI50" i="1" s="1"/>
  <c r="BJ49" i="1"/>
  <c r="BI49" i="1" s="1"/>
  <c r="BJ48" i="1"/>
  <c r="BI48" i="1" s="1"/>
  <c r="BJ47" i="1"/>
  <c r="BI47" i="1" s="1"/>
  <c r="BJ46" i="1"/>
  <c r="BI46" i="1" s="1"/>
  <c r="BJ45" i="1"/>
  <c r="BI45" i="1" s="1"/>
  <c r="BJ44" i="1"/>
  <c r="BI44" i="1" s="1"/>
  <c r="BJ43" i="1"/>
  <c r="BI43" i="1" s="1"/>
  <c r="BJ42" i="1"/>
  <c r="BI42" i="1" s="1"/>
  <c r="BJ41" i="1"/>
  <c r="BI41" i="1" s="1"/>
  <c r="BJ40" i="1"/>
  <c r="BI40" i="1" s="1"/>
  <c r="BJ39" i="1"/>
  <c r="BI39" i="1" s="1"/>
  <c r="BJ38" i="1"/>
  <c r="BI38" i="1" s="1"/>
  <c r="BJ37" i="1"/>
  <c r="BI37" i="1" s="1"/>
  <c r="BJ34" i="1"/>
  <c r="BI34" i="1" s="1"/>
  <c r="BJ33" i="1"/>
  <c r="BI33" i="1" s="1"/>
  <c r="BJ31" i="1"/>
  <c r="BI31" i="1" s="1"/>
  <c r="BJ30" i="1"/>
  <c r="BI30" i="1" s="1"/>
  <c r="BJ29" i="1"/>
  <c r="BI29" i="1" s="1"/>
  <c r="BJ25" i="1"/>
  <c r="BI25" i="1" s="1"/>
  <c r="BJ24" i="1"/>
  <c r="BI24" i="1" s="1"/>
  <c r="BJ23" i="1"/>
  <c r="BI23" i="1" s="1"/>
  <c r="BJ22" i="1"/>
  <c r="BI22" i="1" s="1"/>
  <c r="BJ21" i="1"/>
  <c r="BI21" i="1" s="1"/>
  <c r="BJ18" i="1"/>
  <c r="BI18" i="1" s="1"/>
  <c r="BJ17" i="1"/>
  <c r="BI17" i="1" s="1"/>
  <c r="BJ16" i="1"/>
  <c r="BI16" i="1" s="1"/>
  <c r="BJ15" i="1"/>
  <c r="BI15" i="1" s="1"/>
  <c r="BJ14" i="1"/>
  <c r="BI14" i="1" s="1"/>
  <c r="BJ13" i="1"/>
  <c r="BI13" i="1" s="1"/>
  <c r="AV324" i="1"/>
  <c r="AU324" i="1" s="1"/>
  <c r="AU323" i="1" s="1"/>
  <c r="AV321" i="1"/>
  <c r="AV319" i="1"/>
  <c r="AU319" i="1" s="1"/>
  <c r="AV318" i="1"/>
  <c r="AU318" i="1" s="1"/>
  <c r="AV317" i="1"/>
  <c r="AU317" i="1" s="1"/>
  <c r="AV315" i="1"/>
  <c r="AU315" i="1" s="1"/>
  <c r="AV314" i="1"/>
  <c r="AU314" i="1" s="1"/>
  <c r="AV313" i="1"/>
  <c r="AU313" i="1" s="1"/>
  <c r="AV311" i="1"/>
  <c r="AU311" i="1" s="1"/>
  <c r="AV310" i="1"/>
  <c r="AU310" i="1" s="1"/>
  <c r="AV309" i="1"/>
  <c r="AU309" i="1" s="1"/>
  <c r="AV307" i="1"/>
  <c r="AU307" i="1" s="1"/>
  <c r="AV306" i="1"/>
  <c r="AU306" i="1" s="1"/>
  <c r="AV305" i="1"/>
  <c r="AU305" i="1" s="1"/>
  <c r="AV304" i="1"/>
  <c r="AU304" i="1" s="1"/>
  <c r="AV302" i="1"/>
  <c r="AU302" i="1" s="1"/>
  <c r="AU301" i="1" s="1"/>
  <c r="AV299" i="1"/>
  <c r="AU299" i="1" s="1"/>
  <c r="AV298" i="1"/>
  <c r="AU298" i="1" s="1"/>
  <c r="AV297" i="1"/>
  <c r="AU297" i="1" s="1"/>
  <c r="AV296" i="1"/>
  <c r="AU296" i="1" s="1"/>
  <c r="AV295" i="1"/>
  <c r="AU295" i="1" s="1"/>
  <c r="AV294" i="1"/>
  <c r="AU294" i="1" s="1"/>
  <c r="AV293" i="1"/>
  <c r="AU293" i="1" s="1"/>
  <c r="AV291" i="1"/>
  <c r="AU291" i="1" s="1"/>
  <c r="AV290" i="1"/>
  <c r="AU290" i="1" s="1"/>
  <c r="AV289" i="1"/>
  <c r="AU289" i="1" s="1"/>
  <c r="AV288" i="1"/>
  <c r="AU288" i="1" s="1"/>
  <c r="AV287" i="1"/>
  <c r="AU287" i="1" s="1"/>
  <c r="AV286" i="1"/>
  <c r="AU286" i="1" s="1"/>
  <c r="AV285" i="1"/>
  <c r="AU285" i="1" s="1"/>
  <c r="AV282" i="1"/>
  <c r="AU282" i="1" s="1"/>
  <c r="AV281" i="1"/>
  <c r="AU281" i="1" s="1"/>
  <c r="AV280" i="1"/>
  <c r="AU280" i="1" s="1"/>
  <c r="AV279" i="1"/>
  <c r="AU279" i="1" s="1"/>
  <c r="AV278" i="1"/>
  <c r="AU278" i="1" s="1"/>
  <c r="AV277" i="1"/>
  <c r="AU277" i="1" s="1"/>
  <c r="AV272" i="1"/>
  <c r="AU272" i="1" s="1"/>
  <c r="AV271" i="1"/>
  <c r="AU271" i="1" s="1"/>
  <c r="AV267" i="1"/>
  <c r="AU267" i="1" s="1"/>
  <c r="AV266" i="1"/>
  <c r="AU266" i="1" s="1"/>
  <c r="AV265" i="1"/>
  <c r="AU265" i="1" s="1"/>
  <c r="AV264" i="1"/>
  <c r="AU264" i="1" s="1"/>
  <c r="AV263" i="1"/>
  <c r="AU263" i="1" s="1"/>
  <c r="AV262" i="1"/>
  <c r="AU262" i="1" s="1"/>
  <c r="AV261" i="1"/>
  <c r="AU261" i="1" s="1"/>
  <c r="AV260" i="1"/>
  <c r="AU260" i="1" s="1"/>
  <c r="AV259" i="1"/>
  <c r="AU259" i="1" s="1"/>
  <c r="AV257" i="1"/>
  <c r="AU257" i="1" s="1"/>
  <c r="AV256" i="1"/>
  <c r="AU256" i="1" s="1"/>
  <c r="AV255" i="1"/>
  <c r="AU255" i="1" s="1"/>
  <c r="AV254" i="1"/>
  <c r="AU254" i="1" s="1"/>
  <c r="AV253" i="1"/>
  <c r="AU253" i="1" s="1"/>
  <c r="AV252" i="1"/>
  <c r="AU252" i="1" s="1"/>
  <c r="AV251" i="1"/>
  <c r="AU251" i="1" s="1"/>
  <c r="AV250" i="1"/>
  <c r="AU250" i="1" s="1"/>
  <c r="AV249" i="1"/>
  <c r="AU249" i="1" s="1"/>
  <c r="AV248" i="1"/>
  <c r="AU248" i="1" s="1"/>
  <c r="AV247" i="1"/>
  <c r="AU247" i="1" s="1"/>
  <c r="AV244" i="1"/>
  <c r="AU244" i="1" s="1"/>
  <c r="AV243" i="1"/>
  <c r="AU243" i="1" s="1"/>
  <c r="AV242" i="1"/>
  <c r="AU242" i="1" s="1"/>
  <c r="AV239" i="1"/>
  <c r="AU239" i="1" s="1"/>
  <c r="AV238" i="1"/>
  <c r="AU238" i="1" s="1"/>
  <c r="AV237" i="1"/>
  <c r="AU237" i="1" s="1"/>
  <c r="AV236" i="1"/>
  <c r="AU236" i="1" s="1"/>
  <c r="AV235" i="1"/>
  <c r="AU235" i="1" s="1"/>
  <c r="AV234" i="1"/>
  <c r="AU234" i="1" s="1"/>
  <c r="AV233" i="1"/>
  <c r="AU233" i="1" s="1"/>
  <c r="AV232" i="1"/>
  <c r="AU232" i="1" s="1"/>
  <c r="AV231" i="1"/>
  <c r="AU231" i="1" s="1"/>
  <c r="AV230" i="1"/>
  <c r="AU230" i="1" s="1"/>
  <c r="AV229" i="1"/>
  <c r="AU229" i="1" s="1"/>
  <c r="AV228" i="1"/>
  <c r="AU228" i="1" s="1"/>
  <c r="AV227" i="1"/>
  <c r="AU227" i="1" s="1"/>
  <c r="AV226" i="1"/>
  <c r="AU226" i="1" s="1"/>
  <c r="AV225" i="1"/>
  <c r="AU225" i="1" s="1"/>
  <c r="AV224" i="1"/>
  <c r="AU224" i="1" s="1"/>
  <c r="AV221" i="1"/>
  <c r="AU221" i="1" s="1"/>
  <c r="AV220" i="1"/>
  <c r="AU220" i="1" s="1"/>
  <c r="AV219" i="1"/>
  <c r="AU219" i="1" s="1"/>
  <c r="AV218" i="1"/>
  <c r="AU218" i="1" s="1"/>
  <c r="AV217" i="1"/>
  <c r="AU217" i="1" s="1"/>
  <c r="AV216" i="1"/>
  <c r="AU216" i="1" s="1"/>
  <c r="AV213" i="1"/>
  <c r="AU213" i="1" s="1"/>
  <c r="AV212" i="1"/>
  <c r="AU212" i="1" s="1"/>
  <c r="AV211" i="1"/>
  <c r="AU211" i="1" s="1"/>
  <c r="AV210" i="1"/>
  <c r="AU210" i="1" s="1"/>
  <c r="AV209" i="1"/>
  <c r="AU209" i="1" s="1"/>
  <c r="AV208" i="1"/>
  <c r="AU208" i="1" s="1"/>
  <c r="AV207" i="1"/>
  <c r="AU207" i="1" s="1"/>
  <c r="AV206" i="1"/>
  <c r="AU206" i="1" s="1"/>
  <c r="AV205" i="1"/>
  <c r="AU205" i="1" s="1"/>
  <c r="AV204" i="1"/>
  <c r="AU204" i="1" s="1"/>
  <c r="AV203" i="1"/>
  <c r="AU203" i="1" s="1"/>
  <c r="AV202" i="1"/>
  <c r="AU202" i="1" s="1"/>
  <c r="AV201" i="1"/>
  <c r="AU201" i="1" s="1"/>
  <c r="AV200" i="1"/>
  <c r="AU200" i="1" s="1"/>
  <c r="AV199" i="1"/>
  <c r="AU199" i="1" s="1"/>
  <c r="AV198" i="1"/>
  <c r="AU198" i="1" s="1"/>
  <c r="AV197" i="1"/>
  <c r="AU197" i="1" s="1"/>
  <c r="AV196" i="1"/>
  <c r="AU196" i="1" s="1"/>
  <c r="AV194" i="1"/>
  <c r="AU194" i="1" s="1"/>
  <c r="AV193" i="1"/>
  <c r="AU193" i="1" s="1"/>
  <c r="AV192" i="1"/>
  <c r="AU192" i="1" s="1"/>
  <c r="AV191" i="1"/>
  <c r="AU191" i="1" s="1"/>
  <c r="AV190" i="1"/>
  <c r="AU190" i="1" s="1"/>
  <c r="AV189" i="1"/>
  <c r="AU189" i="1" s="1"/>
  <c r="AV187" i="1"/>
  <c r="AU187" i="1" s="1"/>
  <c r="AV186" i="1"/>
  <c r="AU186" i="1" s="1"/>
  <c r="AV185" i="1"/>
  <c r="AU185" i="1" s="1"/>
  <c r="AV184" i="1"/>
  <c r="AU184" i="1" s="1"/>
  <c r="AV183" i="1"/>
  <c r="AU183" i="1" s="1"/>
  <c r="AV182" i="1"/>
  <c r="AU182" i="1" s="1"/>
  <c r="AV181" i="1"/>
  <c r="AU181" i="1" s="1"/>
  <c r="AV180" i="1"/>
  <c r="AU180" i="1" s="1"/>
  <c r="AV179" i="1"/>
  <c r="AU179" i="1" s="1"/>
  <c r="AV178" i="1"/>
  <c r="AU178" i="1" s="1"/>
  <c r="AV177" i="1"/>
  <c r="AU177" i="1" s="1"/>
  <c r="AV176" i="1"/>
  <c r="AU176" i="1" s="1"/>
  <c r="AV174" i="1"/>
  <c r="AU174" i="1" s="1"/>
  <c r="AV173" i="1"/>
  <c r="AU173" i="1" s="1"/>
  <c r="AV172" i="1"/>
  <c r="AU172" i="1" s="1"/>
  <c r="AV171" i="1"/>
  <c r="AU171" i="1" s="1"/>
  <c r="AV169" i="1"/>
  <c r="AU169" i="1" s="1"/>
  <c r="AV168" i="1"/>
  <c r="AU168" i="1" s="1"/>
  <c r="AV167" i="1"/>
  <c r="AU167" i="1" s="1"/>
  <c r="AV166" i="1"/>
  <c r="AU166" i="1" s="1"/>
  <c r="AV165" i="1"/>
  <c r="AU165" i="1" s="1"/>
  <c r="AV164" i="1"/>
  <c r="AU164" i="1" s="1"/>
  <c r="AV162" i="1"/>
  <c r="AU162" i="1" s="1"/>
  <c r="AV161" i="1"/>
  <c r="AU161" i="1" s="1"/>
  <c r="AV154" i="1"/>
  <c r="AU154" i="1" s="1"/>
  <c r="AV153" i="1"/>
  <c r="AU153" i="1" s="1"/>
  <c r="AV152" i="1"/>
  <c r="AU152" i="1" s="1"/>
  <c r="AV151" i="1"/>
  <c r="AU151" i="1" s="1"/>
  <c r="AV150" i="1"/>
  <c r="AU150" i="1" s="1"/>
  <c r="AV149" i="1"/>
  <c r="AU149" i="1" s="1"/>
  <c r="AV148" i="1"/>
  <c r="AU148" i="1" s="1"/>
  <c r="AV147" i="1"/>
  <c r="AU147" i="1" s="1"/>
  <c r="AV146" i="1"/>
  <c r="AU146" i="1" s="1"/>
  <c r="AV145" i="1"/>
  <c r="AU145" i="1" s="1"/>
  <c r="AV144" i="1"/>
  <c r="AU144" i="1" s="1"/>
  <c r="AV143" i="1"/>
  <c r="AU143" i="1" s="1"/>
  <c r="AV142" i="1"/>
  <c r="AU142" i="1" s="1"/>
  <c r="AV141" i="1"/>
  <c r="AU141" i="1" s="1"/>
  <c r="AV140" i="1"/>
  <c r="AU140" i="1" s="1"/>
  <c r="AV139" i="1"/>
  <c r="AU139" i="1" s="1"/>
  <c r="AV138" i="1"/>
  <c r="AU138" i="1" s="1"/>
  <c r="AV137" i="1"/>
  <c r="AU137" i="1" s="1"/>
  <c r="AV134" i="1"/>
  <c r="AU134" i="1" s="1"/>
  <c r="AV130" i="1"/>
  <c r="AU130" i="1" s="1"/>
  <c r="AV129" i="1"/>
  <c r="AU129" i="1" s="1"/>
  <c r="AV127" i="1"/>
  <c r="AU127" i="1" s="1"/>
  <c r="AV126" i="1"/>
  <c r="AU126" i="1" s="1"/>
  <c r="AV125" i="1"/>
  <c r="AU125" i="1" s="1"/>
  <c r="AV124" i="1"/>
  <c r="AU124" i="1" s="1"/>
  <c r="AV123" i="1"/>
  <c r="AU123" i="1" s="1"/>
  <c r="AV122" i="1"/>
  <c r="AU122" i="1" s="1"/>
  <c r="AV121" i="1"/>
  <c r="AU121" i="1" s="1"/>
  <c r="AV120" i="1"/>
  <c r="AU120" i="1" s="1"/>
  <c r="AV118" i="1"/>
  <c r="AU118" i="1" s="1"/>
  <c r="AV117" i="1"/>
  <c r="AU117" i="1" s="1"/>
  <c r="AV116" i="1"/>
  <c r="AU116" i="1" s="1"/>
  <c r="AV115" i="1"/>
  <c r="AU115" i="1" s="1"/>
  <c r="AV114" i="1"/>
  <c r="AU114" i="1" s="1"/>
  <c r="AV113" i="1"/>
  <c r="AU113" i="1" s="1"/>
  <c r="AV112" i="1"/>
  <c r="AU112" i="1" s="1"/>
  <c r="AV111" i="1"/>
  <c r="AU111" i="1" s="1"/>
  <c r="AV110" i="1"/>
  <c r="AU110" i="1" s="1"/>
  <c r="AV105" i="1"/>
  <c r="AU105" i="1" s="1"/>
  <c r="AV104" i="1"/>
  <c r="AU104" i="1" s="1"/>
  <c r="AV103" i="1"/>
  <c r="AU103" i="1" s="1"/>
  <c r="AV102" i="1"/>
  <c r="AU102" i="1" s="1"/>
  <c r="AV101" i="1"/>
  <c r="AU101" i="1" s="1"/>
  <c r="AV100" i="1"/>
  <c r="AU100" i="1" s="1"/>
  <c r="AV99" i="1"/>
  <c r="AU99" i="1" s="1"/>
  <c r="AV98" i="1"/>
  <c r="AU98" i="1" s="1"/>
  <c r="AV97" i="1"/>
  <c r="AU97" i="1" s="1"/>
  <c r="AV96" i="1"/>
  <c r="AU96" i="1" s="1"/>
  <c r="AV95" i="1"/>
  <c r="AU95" i="1" s="1"/>
  <c r="AV92" i="1"/>
  <c r="AU92" i="1" s="1"/>
  <c r="AV91" i="1"/>
  <c r="AU91" i="1" s="1"/>
  <c r="AV90" i="1"/>
  <c r="AU90" i="1" s="1"/>
  <c r="AV89" i="1"/>
  <c r="AU89" i="1" s="1"/>
  <c r="AV88" i="1"/>
  <c r="AU88" i="1" s="1"/>
  <c r="AV85" i="1"/>
  <c r="AU85" i="1" s="1"/>
  <c r="AV84" i="1"/>
  <c r="AU84" i="1" s="1"/>
  <c r="AV82" i="1"/>
  <c r="AU82" i="1" s="1"/>
  <c r="AV81" i="1"/>
  <c r="AU81" i="1" s="1"/>
  <c r="AV80" i="1"/>
  <c r="AU80" i="1" s="1"/>
  <c r="AV79" i="1"/>
  <c r="AU79" i="1" s="1"/>
  <c r="AV78" i="1"/>
  <c r="AU78" i="1" s="1"/>
  <c r="AV77" i="1"/>
  <c r="AU77" i="1" s="1"/>
  <c r="AV76" i="1"/>
  <c r="AU76" i="1" s="1"/>
  <c r="AV73" i="1"/>
  <c r="AU73" i="1" s="1"/>
  <c r="AV72" i="1"/>
  <c r="AU72" i="1" s="1"/>
  <c r="AV70" i="1"/>
  <c r="AU70" i="1" s="1"/>
  <c r="AV69" i="1"/>
  <c r="AU69" i="1" s="1"/>
  <c r="AV68" i="1"/>
  <c r="AU68" i="1" s="1"/>
  <c r="AV67" i="1"/>
  <c r="AU67" i="1" s="1"/>
  <c r="AV66" i="1"/>
  <c r="AU66" i="1" s="1"/>
  <c r="AV61" i="1"/>
  <c r="AU61" i="1" s="1"/>
  <c r="AV60" i="1"/>
  <c r="AU60" i="1" s="1"/>
  <c r="AV59" i="1"/>
  <c r="AU59" i="1" s="1"/>
  <c r="AV58" i="1"/>
  <c r="AU58" i="1" s="1"/>
  <c r="AV57" i="1"/>
  <c r="AU57" i="1" s="1"/>
  <c r="AV56" i="1"/>
  <c r="AU56" i="1" s="1"/>
  <c r="AV51" i="1"/>
  <c r="AU51" i="1" s="1"/>
  <c r="AV50" i="1"/>
  <c r="AU50" i="1" s="1"/>
  <c r="AV49" i="1"/>
  <c r="AU49" i="1" s="1"/>
  <c r="AV48" i="1"/>
  <c r="AU48" i="1" s="1"/>
  <c r="AV47" i="1"/>
  <c r="AU47" i="1" s="1"/>
  <c r="AV46" i="1"/>
  <c r="AU46" i="1" s="1"/>
  <c r="AV45" i="1"/>
  <c r="AU45" i="1" s="1"/>
  <c r="AV44" i="1"/>
  <c r="AU44" i="1" s="1"/>
  <c r="AV43" i="1"/>
  <c r="AU43" i="1" s="1"/>
  <c r="AV42" i="1"/>
  <c r="AU42" i="1" s="1"/>
  <c r="AV41" i="1"/>
  <c r="AU41" i="1" s="1"/>
  <c r="AV40" i="1"/>
  <c r="AU40" i="1" s="1"/>
  <c r="AV39" i="1"/>
  <c r="AU39" i="1" s="1"/>
  <c r="AV38" i="1"/>
  <c r="AU38" i="1" s="1"/>
  <c r="AV37" i="1"/>
  <c r="AU37" i="1" s="1"/>
  <c r="AV34" i="1"/>
  <c r="AU34" i="1" s="1"/>
  <c r="AV33" i="1"/>
  <c r="AU33" i="1" s="1"/>
  <c r="AV31" i="1"/>
  <c r="AU31" i="1" s="1"/>
  <c r="AV30" i="1"/>
  <c r="AU30" i="1" s="1"/>
  <c r="AV29" i="1"/>
  <c r="AU29" i="1" s="1"/>
  <c r="AV25" i="1"/>
  <c r="AU25" i="1" s="1"/>
  <c r="AV24" i="1"/>
  <c r="AU24" i="1" s="1"/>
  <c r="AV23" i="1"/>
  <c r="AU23" i="1" s="1"/>
  <c r="AV22" i="1"/>
  <c r="AU22" i="1" s="1"/>
  <c r="AV21" i="1"/>
  <c r="AU21" i="1" s="1"/>
  <c r="AV18" i="1"/>
  <c r="AU18" i="1" s="1"/>
  <c r="AV17" i="1"/>
  <c r="AU17" i="1" s="1"/>
  <c r="AV16" i="1"/>
  <c r="AU16" i="1" s="1"/>
  <c r="AV15" i="1"/>
  <c r="AU15" i="1" s="1"/>
  <c r="AV14" i="1"/>
  <c r="AU14" i="1" s="1"/>
  <c r="AV13" i="1"/>
  <c r="AU13" i="1" s="1"/>
  <c r="AI324" i="1"/>
  <c r="AH324" i="1" s="1"/>
  <c r="AH323" i="1" s="1"/>
  <c r="AI321" i="1"/>
  <c r="AI318" i="1"/>
  <c r="AH318" i="1" s="1"/>
  <c r="AI317" i="1"/>
  <c r="AH317" i="1" s="1"/>
  <c r="AI315" i="1"/>
  <c r="AH315" i="1" s="1"/>
  <c r="AI314" i="1"/>
  <c r="AH314" i="1" s="1"/>
  <c r="AI313" i="1"/>
  <c r="AH313" i="1" s="1"/>
  <c r="AI311" i="1"/>
  <c r="AH311" i="1" s="1"/>
  <c r="AI310" i="1"/>
  <c r="AH310" i="1" s="1"/>
  <c r="AI309" i="1"/>
  <c r="AH309" i="1" s="1"/>
  <c r="AI307" i="1"/>
  <c r="AH307" i="1" s="1"/>
  <c r="AI306" i="1"/>
  <c r="AH306" i="1" s="1"/>
  <c r="AI305" i="1"/>
  <c r="AH305" i="1" s="1"/>
  <c r="AI304" i="1"/>
  <c r="AH304" i="1" s="1"/>
  <c r="AI302" i="1"/>
  <c r="AH302" i="1" s="1"/>
  <c r="AH301" i="1" s="1"/>
  <c r="AI298" i="1"/>
  <c r="AH298" i="1" s="1"/>
  <c r="AI297" i="1"/>
  <c r="AH297" i="1" s="1"/>
  <c r="AI296" i="1"/>
  <c r="AH296" i="1" s="1"/>
  <c r="AI295" i="1"/>
  <c r="AH295" i="1" s="1"/>
  <c r="AI294" i="1"/>
  <c r="AH294" i="1" s="1"/>
  <c r="AI293" i="1"/>
  <c r="AH293" i="1" s="1"/>
  <c r="AI291" i="1"/>
  <c r="AH291" i="1" s="1"/>
  <c r="AI290" i="1"/>
  <c r="AH290" i="1" s="1"/>
  <c r="AI289" i="1"/>
  <c r="AH289" i="1" s="1"/>
  <c r="AI288" i="1"/>
  <c r="AH288" i="1" s="1"/>
  <c r="AI287" i="1"/>
  <c r="AH287" i="1" s="1"/>
  <c r="AI286" i="1"/>
  <c r="AH286" i="1" s="1"/>
  <c r="AI285" i="1"/>
  <c r="AH285" i="1" s="1"/>
  <c r="AI282" i="1"/>
  <c r="AH282" i="1" s="1"/>
  <c r="AI281" i="1"/>
  <c r="AH281" i="1" s="1"/>
  <c r="AI280" i="1"/>
  <c r="AH280" i="1" s="1"/>
  <c r="AI279" i="1"/>
  <c r="AH279" i="1" s="1"/>
  <c r="AI278" i="1"/>
  <c r="AH278" i="1" s="1"/>
  <c r="AI277" i="1"/>
  <c r="AH277" i="1" s="1"/>
  <c r="AI272" i="1"/>
  <c r="AH272" i="1" s="1"/>
  <c r="AI271" i="1"/>
  <c r="AH271" i="1" s="1"/>
  <c r="AI267" i="1"/>
  <c r="AH267" i="1" s="1"/>
  <c r="AI266" i="1"/>
  <c r="AH266" i="1" s="1"/>
  <c r="AI265" i="1"/>
  <c r="AH265" i="1" s="1"/>
  <c r="AI264" i="1"/>
  <c r="AH264" i="1" s="1"/>
  <c r="AI263" i="1"/>
  <c r="AH263" i="1" s="1"/>
  <c r="AI262" i="1"/>
  <c r="AH262" i="1" s="1"/>
  <c r="AI261" i="1"/>
  <c r="AH261" i="1" s="1"/>
  <c r="AI260" i="1"/>
  <c r="AH260" i="1" s="1"/>
  <c r="AI259" i="1"/>
  <c r="AH259" i="1" s="1"/>
  <c r="AI257" i="1"/>
  <c r="AH257" i="1" s="1"/>
  <c r="AI256" i="1"/>
  <c r="AH256" i="1" s="1"/>
  <c r="AI255" i="1"/>
  <c r="AH255" i="1" s="1"/>
  <c r="AI254" i="1"/>
  <c r="AH254" i="1" s="1"/>
  <c r="AI253" i="1"/>
  <c r="AH253" i="1" s="1"/>
  <c r="AI252" i="1"/>
  <c r="AH252" i="1" s="1"/>
  <c r="AI251" i="1"/>
  <c r="AH251" i="1" s="1"/>
  <c r="AI250" i="1"/>
  <c r="AH250" i="1" s="1"/>
  <c r="AI249" i="1"/>
  <c r="AH249" i="1" s="1"/>
  <c r="AI248" i="1"/>
  <c r="AH248" i="1" s="1"/>
  <c r="AI247" i="1"/>
  <c r="AH247" i="1" s="1"/>
  <c r="AI244" i="1"/>
  <c r="AH244" i="1" s="1"/>
  <c r="AI243" i="1"/>
  <c r="AH243" i="1" s="1"/>
  <c r="AI242" i="1"/>
  <c r="AH242" i="1" s="1"/>
  <c r="AI239" i="1"/>
  <c r="AH239" i="1" s="1"/>
  <c r="AI238" i="1"/>
  <c r="AH238" i="1" s="1"/>
  <c r="AI237" i="1"/>
  <c r="AH237" i="1" s="1"/>
  <c r="AI236" i="1"/>
  <c r="AH236" i="1" s="1"/>
  <c r="AI235" i="1"/>
  <c r="AH235" i="1" s="1"/>
  <c r="AI234" i="1"/>
  <c r="AH234" i="1" s="1"/>
  <c r="AI233" i="1"/>
  <c r="AH233" i="1" s="1"/>
  <c r="AI232" i="1"/>
  <c r="AH232" i="1" s="1"/>
  <c r="AI231" i="1"/>
  <c r="AH231" i="1" s="1"/>
  <c r="AI230" i="1"/>
  <c r="AH230" i="1" s="1"/>
  <c r="AI229" i="1"/>
  <c r="AH229" i="1" s="1"/>
  <c r="AI228" i="1"/>
  <c r="AH228" i="1" s="1"/>
  <c r="AI227" i="1"/>
  <c r="AH227" i="1" s="1"/>
  <c r="AI226" i="1"/>
  <c r="AH226" i="1" s="1"/>
  <c r="AI225" i="1"/>
  <c r="AH225" i="1" s="1"/>
  <c r="AI224" i="1"/>
  <c r="AH224" i="1" s="1"/>
  <c r="AI221" i="1"/>
  <c r="AH221" i="1" s="1"/>
  <c r="AI220" i="1"/>
  <c r="AH220" i="1" s="1"/>
  <c r="AI219" i="1"/>
  <c r="AH219" i="1" s="1"/>
  <c r="AI218" i="1"/>
  <c r="AH218" i="1" s="1"/>
  <c r="AI217" i="1"/>
  <c r="AH217" i="1" s="1"/>
  <c r="AI216" i="1"/>
  <c r="AH216" i="1" s="1"/>
  <c r="AI213" i="1"/>
  <c r="AH213" i="1" s="1"/>
  <c r="AI212" i="1"/>
  <c r="AH212" i="1" s="1"/>
  <c r="AI211" i="1"/>
  <c r="AH211" i="1" s="1"/>
  <c r="AI210" i="1"/>
  <c r="AH210" i="1" s="1"/>
  <c r="AI209" i="1"/>
  <c r="AH209" i="1" s="1"/>
  <c r="AI208" i="1"/>
  <c r="AH208" i="1" s="1"/>
  <c r="AI207" i="1"/>
  <c r="AH207" i="1" s="1"/>
  <c r="AI206" i="1"/>
  <c r="AH206" i="1" s="1"/>
  <c r="AI205" i="1"/>
  <c r="AH205" i="1" s="1"/>
  <c r="AI204" i="1"/>
  <c r="AH204" i="1" s="1"/>
  <c r="AI203" i="1"/>
  <c r="AH203" i="1" s="1"/>
  <c r="AI202" i="1"/>
  <c r="AH202" i="1" s="1"/>
  <c r="AI201" i="1"/>
  <c r="AH201" i="1" s="1"/>
  <c r="AI200" i="1"/>
  <c r="AH200" i="1" s="1"/>
  <c r="AI199" i="1"/>
  <c r="AH199" i="1" s="1"/>
  <c r="AI198" i="1"/>
  <c r="AH198" i="1" s="1"/>
  <c r="AI197" i="1"/>
  <c r="AH197" i="1" s="1"/>
  <c r="AI196" i="1"/>
  <c r="AH196" i="1" s="1"/>
  <c r="AI194" i="1"/>
  <c r="AH194" i="1" s="1"/>
  <c r="AI193" i="1"/>
  <c r="AH193" i="1" s="1"/>
  <c r="AI192" i="1"/>
  <c r="AH192" i="1" s="1"/>
  <c r="AI191" i="1"/>
  <c r="AH191" i="1" s="1"/>
  <c r="AI190" i="1"/>
  <c r="AH190" i="1" s="1"/>
  <c r="AI189" i="1"/>
  <c r="AH189" i="1" s="1"/>
  <c r="AI187" i="1"/>
  <c r="AH187" i="1" s="1"/>
  <c r="AI186" i="1"/>
  <c r="AH186" i="1" s="1"/>
  <c r="AI185" i="1"/>
  <c r="AH185" i="1" s="1"/>
  <c r="AI184" i="1"/>
  <c r="AH184" i="1" s="1"/>
  <c r="AI183" i="1"/>
  <c r="AH183" i="1" s="1"/>
  <c r="AI182" i="1"/>
  <c r="AH182" i="1" s="1"/>
  <c r="AI181" i="1"/>
  <c r="AH181" i="1" s="1"/>
  <c r="AI180" i="1"/>
  <c r="AH180" i="1" s="1"/>
  <c r="AI179" i="1"/>
  <c r="AH179" i="1" s="1"/>
  <c r="AI178" i="1"/>
  <c r="AH178" i="1" s="1"/>
  <c r="AI177" i="1"/>
  <c r="AH177" i="1" s="1"/>
  <c r="AI176" i="1"/>
  <c r="AH176" i="1" s="1"/>
  <c r="AI174" i="1"/>
  <c r="AH174" i="1" s="1"/>
  <c r="AI173" i="1"/>
  <c r="AH173" i="1" s="1"/>
  <c r="AI172" i="1"/>
  <c r="AH172" i="1" s="1"/>
  <c r="AI171" i="1"/>
  <c r="AH171" i="1" s="1"/>
  <c r="AI169" i="1"/>
  <c r="AH169" i="1" s="1"/>
  <c r="AI168" i="1"/>
  <c r="AH168" i="1" s="1"/>
  <c r="AI167" i="1"/>
  <c r="AH167" i="1" s="1"/>
  <c r="AI166" i="1"/>
  <c r="AH166" i="1" s="1"/>
  <c r="AI165" i="1"/>
  <c r="AH165" i="1" s="1"/>
  <c r="AI164" i="1"/>
  <c r="AH164" i="1" s="1"/>
  <c r="AI162" i="1"/>
  <c r="AH162" i="1" s="1"/>
  <c r="AI161" i="1"/>
  <c r="AH161" i="1" s="1"/>
  <c r="AI154" i="1"/>
  <c r="AH154" i="1" s="1"/>
  <c r="AI153" i="1"/>
  <c r="AH153" i="1" s="1"/>
  <c r="AI152" i="1"/>
  <c r="AH152" i="1" s="1"/>
  <c r="AI151" i="1"/>
  <c r="AH151" i="1" s="1"/>
  <c r="AI150" i="1"/>
  <c r="AH150" i="1" s="1"/>
  <c r="AI149" i="1"/>
  <c r="AH149" i="1" s="1"/>
  <c r="AI148" i="1"/>
  <c r="AH148" i="1" s="1"/>
  <c r="AI147" i="1"/>
  <c r="AH147" i="1" s="1"/>
  <c r="AI146" i="1"/>
  <c r="AH146" i="1" s="1"/>
  <c r="AI145" i="1"/>
  <c r="AH145" i="1" s="1"/>
  <c r="AI144" i="1"/>
  <c r="AH144" i="1" s="1"/>
  <c r="AI143" i="1"/>
  <c r="AH143" i="1" s="1"/>
  <c r="AI142" i="1"/>
  <c r="AH142" i="1" s="1"/>
  <c r="AI141" i="1"/>
  <c r="AH141" i="1" s="1"/>
  <c r="AI140" i="1"/>
  <c r="AH140" i="1" s="1"/>
  <c r="AI139" i="1"/>
  <c r="AH139" i="1" s="1"/>
  <c r="AI138" i="1"/>
  <c r="AH138" i="1" s="1"/>
  <c r="AI137" i="1"/>
  <c r="AH137" i="1" s="1"/>
  <c r="AI134" i="1"/>
  <c r="AH134" i="1" s="1"/>
  <c r="AI130" i="1"/>
  <c r="AH130" i="1" s="1"/>
  <c r="AI129" i="1"/>
  <c r="AH129" i="1" s="1"/>
  <c r="AI127" i="1"/>
  <c r="AH127" i="1" s="1"/>
  <c r="AI126" i="1"/>
  <c r="AH126" i="1" s="1"/>
  <c r="AI125" i="1"/>
  <c r="AH125" i="1" s="1"/>
  <c r="AI124" i="1"/>
  <c r="AH124" i="1" s="1"/>
  <c r="AI123" i="1"/>
  <c r="AH123" i="1" s="1"/>
  <c r="AI122" i="1"/>
  <c r="AH122" i="1" s="1"/>
  <c r="AI121" i="1"/>
  <c r="AH121" i="1" s="1"/>
  <c r="AI120" i="1"/>
  <c r="AH120" i="1" s="1"/>
  <c r="AI118" i="1"/>
  <c r="AH118" i="1" s="1"/>
  <c r="AI117" i="1"/>
  <c r="AH117" i="1" s="1"/>
  <c r="AI116" i="1"/>
  <c r="AH116" i="1" s="1"/>
  <c r="AI115" i="1"/>
  <c r="AH115" i="1" s="1"/>
  <c r="AI114" i="1"/>
  <c r="AH114" i="1" s="1"/>
  <c r="AI113" i="1"/>
  <c r="AH113" i="1" s="1"/>
  <c r="AI112" i="1"/>
  <c r="AH112" i="1" s="1"/>
  <c r="AI111" i="1"/>
  <c r="AH111" i="1" s="1"/>
  <c r="AI110" i="1"/>
  <c r="AH110" i="1" s="1"/>
  <c r="AI105" i="1"/>
  <c r="AH105" i="1" s="1"/>
  <c r="AI104" i="1"/>
  <c r="AH104" i="1" s="1"/>
  <c r="AI103" i="1"/>
  <c r="AH103" i="1" s="1"/>
  <c r="AI102" i="1"/>
  <c r="AH102" i="1" s="1"/>
  <c r="AI101" i="1"/>
  <c r="AH101" i="1" s="1"/>
  <c r="AI100" i="1"/>
  <c r="AH100" i="1" s="1"/>
  <c r="AI99" i="1"/>
  <c r="AH99" i="1" s="1"/>
  <c r="AI98" i="1"/>
  <c r="AH98" i="1" s="1"/>
  <c r="AI97" i="1"/>
  <c r="AH97" i="1" s="1"/>
  <c r="AI96" i="1"/>
  <c r="AH96" i="1" s="1"/>
  <c r="AI95" i="1"/>
  <c r="AH95" i="1" s="1"/>
  <c r="AI92" i="1"/>
  <c r="AH92" i="1" s="1"/>
  <c r="AI91" i="1"/>
  <c r="AH91" i="1" s="1"/>
  <c r="AI90" i="1"/>
  <c r="AH90" i="1" s="1"/>
  <c r="AI89" i="1"/>
  <c r="AH89" i="1" s="1"/>
  <c r="AI88" i="1"/>
  <c r="AH88" i="1" s="1"/>
  <c r="AI85" i="1"/>
  <c r="AH85" i="1" s="1"/>
  <c r="AI84" i="1"/>
  <c r="AH84" i="1" s="1"/>
  <c r="AI82" i="1"/>
  <c r="AH82" i="1" s="1"/>
  <c r="AI81" i="1"/>
  <c r="AH81" i="1" s="1"/>
  <c r="AI80" i="1"/>
  <c r="AH80" i="1" s="1"/>
  <c r="AI79" i="1"/>
  <c r="AH79" i="1" s="1"/>
  <c r="AI78" i="1"/>
  <c r="AH78" i="1" s="1"/>
  <c r="AI77" i="1"/>
  <c r="AH77" i="1" s="1"/>
  <c r="AI76" i="1"/>
  <c r="AH76" i="1" s="1"/>
  <c r="AI73" i="1"/>
  <c r="AH73" i="1" s="1"/>
  <c r="AI72" i="1"/>
  <c r="AH72" i="1" s="1"/>
  <c r="AI70" i="1"/>
  <c r="AH70" i="1" s="1"/>
  <c r="AI69" i="1"/>
  <c r="AH69" i="1" s="1"/>
  <c r="AI68" i="1"/>
  <c r="AH68" i="1" s="1"/>
  <c r="AI67" i="1"/>
  <c r="AH67" i="1" s="1"/>
  <c r="AI66" i="1"/>
  <c r="AH66" i="1" s="1"/>
  <c r="AI61" i="1"/>
  <c r="AH61" i="1" s="1"/>
  <c r="AI60" i="1"/>
  <c r="AH60" i="1" s="1"/>
  <c r="AI59" i="1"/>
  <c r="AH59" i="1" s="1"/>
  <c r="AI58" i="1"/>
  <c r="AH58" i="1" s="1"/>
  <c r="AI57" i="1"/>
  <c r="AH57" i="1" s="1"/>
  <c r="AI56" i="1"/>
  <c r="AH56" i="1" s="1"/>
  <c r="AI51" i="1"/>
  <c r="AH51" i="1" s="1"/>
  <c r="AI50" i="1"/>
  <c r="AH50" i="1" s="1"/>
  <c r="AI49" i="1"/>
  <c r="AH49" i="1" s="1"/>
  <c r="AI48" i="1"/>
  <c r="AH48" i="1" s="1"/>
  <c r="AI47" i="1"/>
  <c r="AH47" i="1" s="1"/>
  <c r="AI46" i="1"/>
  <c r="AH46" i="1" s="1"/>
  <c r="AI45" i="1"/>
  <c r="AH45" i="1" s="1"/>
  <c r="AI44" i="1"/>
  <c r="AH44" i="1" s="1"/>
  <c r="AI43" i="1"/>
  <c r="AH43" i="1" s="1"/>
  <c r="AI42" i="1"/>
  <c r="AH42" i="1" s="1"/>
  <c r="AI41" i="1"/>
  <c r="AH41" i="1" s="1"/>
  <c r="AI40" i="1"/>
  <c r="AH40" i="1" s="1"/>
  <c r="AI39" i="1"/>
  <c r="AH39" i="1" s="1"/>
  <c r="AI38" i="1"/>
  <c r="AH38" i="1" s="1"/>
  <c r="AI37" i="1"/>
  <c r="AH37" i="1" s="1"/>
  <c r="AI34" i="1"/>
  <c r="AH34" i="1" s="1"/>
  <c r="AI33" i="1"/>
  <c r="AH33" i="1" s="1"/>
  <c r="AI31" i="1"/>
  <c r="AH31" i="1" s="1"/>
  <c r="AI30" i="1"/>
  <c r="AH30" i="1" s="1"/>
  <c r="AI29" i="1"/>
  <c r="AH29" i="1" s="1"/>
  <c r="AI25" i="1"/>
  <c r="AH25" i="1" s="1"/>
  <c r="AI24" i="1"/>
  <c r="AH24" i="1" s="1"/>
  <c r="AI23" i="1"/>
  <c r="AH23" i="1" s="1"/>
  <c r="AI22" i="1"/>
  <c r="AH22" i="1" s="1"/>
  <c r="AI21" i="1"/>
  <c r="AH21" i="1" s="1"/>
  <c r="AI18" i="1"/>
  <c r="AH18" i="1" s="1"/>
  <c r="AI17" i="1"/>
  <c r="AH17" i="1" s="1"/>
  <c r="AI16" i="1"/>
  <c r="AH16" i="1" s="1"/>
  <c r="AI15" i="1"/>
  <c r="AH15" i="1" s="1"/>
  <c r="AI14" i="1"/>
  <c r="AH14" i="1" s="1"/>
  <c r="AI13" i="1"/>
  <c r="AH13" i="1" s="1"/>
  <c r="H324" i="1"/>
  <c r="G324" i="1" s="1"/>
  <c r="H321" i="1"/>
  <c r="H318" i="1"/>
  <c r="G318" i="1" s="1"/>
  <c r="H317" i="1"/>
  <c r="G317" i="1" s="1"/>
  <c r="H315" i="1"/>
  <c r="G315" i="1" s="1"/>
  <c r="H314" i="1"/>
  <c r="G314" i="1" s="1"/>
  <c r="H313" i="1"/>
  <c r="G313" i="1" s="1"/>
  <c r="H311" i="1"/>
  <c r="G311" i="1" s="1"/>
  <c r="H310" i="1"/>
  <c r="G310" i="1" s="1"/>
  <c r="H309" i="1"/>
  <c r="G309" i="1" s="1"/>
  <c r="H307" i="1"/>
  <c r="G307" i="1" s="1"/>
  <c r="H306" i="1"/>
  <c r="G306" i="1" s="1"/>
  <c r="H305" i="1"/>
  <c r="G305" i="1" s="1"/>
  <c r="H304" i="1"/>
  <c r="G304" i="1" s="1"/>
  <c r="H302" i="1"/>
  <c r="G302" i="1" s="1"/>
  <c r="H298" i="1"/>
  <c r="G298" i="1" s="1"/>
  <c r="H297" i="1"/>
  <c r="G297" i="1" s="1"/>
  <c r="H296" i="1"/>
  <c r="G296" i="1" s="1"/>
  <c r="H295" i="1"/>
  <c r="G295" i="1" s="1"/>
  <c r="H294" i="1"/>
  <c r="G294" i="1" s="1"/>
  <c r="H293" i="1"/>
  <c r="G293" i="1" s="1"/>
  <c r="H291" i="1"/>
  <c r="G291" i="1" s="1"/>
  <c r="H290" i="1"/>
  <c r="G290" i="1" s="1"/>
  <c r="H289" i="1"/>
  <c r="G289" i="1" s="1"/>
  <c r="H288" i="1"/>
  <c r="G288" i="1" s="1"/>
  <c r="H287" i="1"/>
  <c r="G287" i="1" s="1"/>
  <c r="H286" i="1"/>
  <c r="G286" i="1" s="1"/>
  <c r="H285" i="1"/>
  <c r="G285" i="1" s="1"/>
  <c r="H282" i="1"/>
  <c r="G282" i="1" s="1"/>
  <c r="H281" i="1"/>
  <c r="G281" i="1" s="1"/>
  <c r="H280" i="1"/>
  <c r="G280" i="1" s="1"/>
  <c r="H279" i="1"/>
  <c r="G279" i="1" s="1"/>
  <c r="H278" i="1"/>
  <c r="G278" i="1" s="1"/>
  <c r="H277" i="1"/>
  <c r="G277" i="1" s="1"/>
  <c r="H271" i="1"/>
  <c r="H267" i="1"/>
  <c r="G267" i="1" s="1"/>
  <c r="H266" i="1"/>
  <c r="G266" i="1" s="1"/>
  <c r="H265" i="1"/>
  <c r="G265" i="1" s="1"/>
  <c r="H264" i="1"/>
  <c r="G264" i="1" s="1"/>
  <c r="H263" i="1"/>
  <c r="G263" i="1" s="1"/>
  <c r="H262" i="1"/>
  <c r="G262" i="1" s="1"/>
  <c r="H261" i="1"/>
  <c r="G261" i="1" s="1"/>
  <c r="H260" i="1"/>
  <c r="G260" i="1" s="1"/>
  <c r="H259" i="1"/>
  <c r="G259" i="1" s="1"/>
  <c r="H257" i="1"/>
  <c r="G257" i="1" s="1"/>
  <c r="H256" i="1"/>
  <c r="G256" i="1" s="1"/>
  <c r="H255" i="1"/>
  <c r="G255" i="1" s="1"/>
  <c r="H254" i="1"/>
  <c r="G254" i="1" s="1"/>
  <c r="H253" i="1"/>
  <c r="G253" i="1" s="1"/>
  <c r="H252" i="1"/>
  <c r="G252" i="1" s="1"/>
  <c r="H251" i="1"/>
  <c r="G251" i="1" s="1"/>
  <c r="H250" i="1"/>
  <c r="G250" i="1" s="1"/>
  <c r="H249" i="1"/>
  <c r="G249" i="1" s="1"/>
  <c r="H248" i="1"/>
  <c r="G248" i="1" s="1"/>
  <c r="H247" i="1"/>
  <c r="G247" i="1" s="1"/>
  <c r="H244" i="1"/>
  <c r="G244" i="1" s="1"/>
  <c r="H243" i="1"/>
  <c r="G243" i="1" s="1"/>
  <c r="H242" i="1"/>
  <c r="G242" i="1" s="1"/>
  <c r="H239" i="1"/>
  <c r="G239" i="1" s="1"/>
  <c r="H238" i="1"/>
  <c r="G238" i="1" s="1"/>
  <c r="H237" i="1"/>
  <c r="G237" i="1" s="1"/>
  <c r="H236" i="1"/>
  <c r="G236" i="1" s="1"/>
  <c r="H235" i="1"/>
  <c r="G235" i="1" s="1"/>
  <c r="H234" i="1"/>
  <c r="G234" i="1" s="1"/>
  <c r="H233" i="1"/>
  <c r="G233" i="1" s="1"/>
  <c r="H232" i="1"/>
  <c r="G232" i="1" s="1"/>
  <c r="H231" i="1"/>
  <c r="G231" i="1" s="1"/>
  <c r="H230" i="1"/>
  <c r="G230" i="1" s="1"/>
  <c r="H229" i="1"/>
  <c r="G229" i="1" s="1"/>
  <c r="H228" i="1"/>
  <c r="G228" i="1" s="1"/>
  <c r="H227" i="1"/>
  <c r="G227" i="1" s="1"/>
  <c r="H226" i="1"/>
  <c r="G226" i="1" s="1"/>
  <c r="H225" i="1"/>
  <c r="G225" i="1" s="1"/>
  <c r="H224" i="1"/>
  <c r="G224" i="1" s="1"/>
  <c r="H221" i="1"/>
  <c r="G221" i="1" s="1"/>
  <c r="H220" i="1"/>
  <c r="G220" i="1" s="1"/>
  <c r="H219" i="1"/>
  <c r="G219" i="1" s="1"/>
  <c r="H218" i="1"/>
  <c r="G218" i="1" s="1"/>
  <c r="H217" i="1"/>
  <c r="G217" i="1" s="1"/>
  <c r="H216" i="1"/>
  <c r="G216" i="1" s="1"/>
  <c r="H213" i="1"/>
  <c r="G213" i="1" s="1"/>
  <c r="H212" i="1"/>
  <c r="G212" i="1" s="1"/>
  <c r="H211" i="1"/>
  <c r="G211" i="1" s="1"/>
  <c r="H210" i="1"/>
  <c r="G210" i="1" s="1"/>
  <c r="H209" i="1"/>
  <c r="G209" i="1" s="1"/>
  <c r="H208" i="1"/>
  <c r="G208" i="1" s="1"/>
  <c r="H207" i="1"/>
  <c r="G207" i="1" s="1"/>
  <c r="H206" i="1"/>
  <c r="G206" i="1" s="1"/>
  <c r="H205" i="1"/>
  <c r="G205" i="1" s="1"/>
  <c r="H204" i="1"/>
  <c r="G204" i="1" s="1"/>
  <c r="H203" i="1"/>
  <c r="G203" i="1" s="1"/>
  <c r="H202" i="1"/>
  <c r="G202" i="1" s="1"/>
  <c r="H201" i="1"/>
  <c r="G201" i="1" s="1"/>
  <c r="H200" i="1"/>
  <c r="G200" i="1" s="1"/>
  <c r="H199" i="1"/>
  <c r="G199" i="1" s="1"/>
  <c r="H198" i="1"/>
  <c r="G198" i="1" s="1"/>
  <c r="H197" i="1"/>
  <c r="G197" i="1" s="1"/>
  <c r="H196" i="1"/>
  <c r="G196" i="1" s="1"/>
  <c r="H194" i="1"/>
  <c r="G194" i="1" s="1"/>
  <c r="H193" i="1"/>
  <c r="G193" i="1" s="1"/>
  <c r="H192" i="1"/>
  <c r="G192" i="1" s="1"/>
  <c r="H191" i="1"/>
  <c r="G191" i="1" s="1"/>
  <c r="H190" i="1"/>
  <c r="G190" i="1" s="1"/>
  <c r="H189" i="1"/>
  <c r="G189" i="1" s="1"/>
  <c r="H187" i="1"/>
  <c r="G187" i="1" s="1"/>
  <c r="H186" i="1"/>
  <c r="G186" i="1" s="1"/>
  <c r="H185" i="1"/>
  <c r="G185" i="1" s="1"/>
  <c r="H184" i="1"/>
  <c r="G184" i="1" s="1"/>
  <c r="H183" i="1"/>
  <c r="G183" i="1" s="1"/>
  <c r="H182" i="1"/>
  <c r="G182" i="1" s="1"/>
  <c r="H181" i="1"/>
  <c r="G181" i="1" s="1"/>
  <c r="H180" i="1"/>
  <c r="G180" i="1" s="1"/>
  <c r="H179" i="1"/>
  <c r="G179" i="1" s="1"/>
  <c r="H178" i="1"/>
  <c r="G178" i="1" s="1"/>
  <c r="H177" i="1"/>
  <c r="G177" i="1" s="1"/>
  <c r="H176" i="1"/>
  <c r="G176" i="1" s="1"/>
  <c r="H174" i="1"/>
  <c r="G174" i="1" s="1"/>
  <c r="H173" i="1"/>
  <c r="G173" i="1" s="1"/>
  <c r="H172" i="1"/>
  <c r="G172" i="1" s="1"/>
  <c r="H171" i="1"/>
  <c r="G171" i="1" s="1"/>
  <c r="H169" i="1"/>
  <c r="G169" i="1" s="1"/>
  <c r="H168" i="1"/>
  <c r="G168" i="1" s="1"/>
  <c r="H167" i="1"/>
  <c r="G167" i="1" s="1"/>
  <c r="H166" i="1"/>
  <c r="G166" i="1" s="1"/>
  <c r="H165" i="1"/>
  <c r="G165" i="1" s="1"/>
  <c r="H164" i="1"/>
  <c r="G164" i="1" s="1"/>
  <c r="H162" i="1"/>
  <c r="G162" i="1" s="1"/>
  <c r="H161" i="1"/>
  <c r="G161" i="1" s="1"/>
  <c r="H154" i="1"/>
  <c r="G154" i="1" s="1"/>
  <c r="H153" i="1"/>
  <c r="G153" i="1" s="1"/>
  <c r="H152" i="1"/>
  <c r="G152" i="1" s="1"/>
  <c r="H151" i="1"/>
  <c r="G151" i="1" s="1"/>
  <c r="H150" i="1"/>
  <c r="G150" i="1" s="1"/>
  <c r="H149" i="1"/>
  <c r="G149" i="1" s="1"/>
  <c r="H148" i="1"/>
  <c r="G148" i="1" s="1"/>
  <c r="H147" i="1"/>
  <c r="G147" i="1" s="1"/>
  <c r="H146" i="1"/>
  <c r="G146" i="1" s="1"/>
  <c r="H145" i="1"/>
  <c r="G145" i="1" s="1"/>
  <c r="H144" i="1"/>
  <c r="G144" i="1" s="1"/>
  <c r="H143" i="1"/>
  <c r="G143" i="1" s="1"/>
  <c r="H142" i="1"/>
  <c r="G142" i="1" s="1"/>
  <c r="H141" i="1"/>
  <c r="G141" i="1" s="1"/>
  <c r="H140" i="1"/>
  <c r="G140" i="1" s="1"/>
  <c r="H139" i="1"/>
  <c r="G139" i="1" s="1"/>
  <c r="H138" i="1"/>
  <c r="G138" i="1" s="1"/>
  <c r="H137" i="1"/>
  <c r="G137" i="1" s="1"/>
  <c r="H134" i="1"/>
  <c r="G134" i="1" s="1"/>
  <c r="H130" i="1"/>
  <c r="G130" i="1" s="1"/>
  <c r="H129" i="1"/>
  <c r="G129" i="1" s="1"/>
  <c r="H127" i="1"/>
  <c r="G127" i="1" s="1"/>
  <c r="H126" i="1"/>
  <c r="G126" i="1" s="1"/>
  <c r="H125" i="1"/>
  <c r="G125" i="1" s="1"/>
  <c r="H124" i="1"/>
  <c r="G124" i="1" s="1"/>
  <c r="H123" i="1"/>
  <c r="G123" i="1" s="1"/>
  <c r="H122" i="1"/>
  <c r="G122" i="1" s="1"/>
  <c r="H121" i="1"/>
  <c r="G121" i="1" s="1"/>
  <c r="H120" i="1"/>
  <c r="G120" i="1" s="1"/>
  <c r="H118" i="1"/>
  <c r="G118" i="1" s="1"/>
  <c r="H117" i="1"/>
  <c r="G117" i="1" s="1"/>
  <c r="H116" i="1"/>
  <c r="G116" i="1" s="1"/>
  <c r="H115" i="1"/>
  <c r="G115" i="1" s="1"/>
  <c r="H114" i="1"/>
  <c r="G114" i="1" s="1"/>
  <c r="H113" i="1"/>
  <c r="G113" i="1" s="1"/>
  <c r="H112" i="1"/>
  <c r="G112" i="1" s="1"/>
  <c r="H111" i="1"/>
  <c r="G111" i="1" s="1"/>
  <c r="H110" i="1"/>
  <c r="G110" i="1" s="1"/>
  <c r="H105" i="1"/>
  <c r="G105" i="1" s="1"/>
  <c r="H104" i="1"/>
  <c r="G104" i="1" s="1"/>
  <c r="H103" i="1"/>
  <c r="G103" i="1" s="1"/>
  <c r="H102" i="1"/>
  <c r="G102" i="1" s="1"/>
  <c r="H101" i="1"/>
  <c r="G101" i="1" s="1"/>
  <c r="H100" i="1"/>
  <c r="G100" i="1" s="1"/>
  <c r="H99" i="1"/>
  <c r="G99" i="1" s="1"/>
  <c r="H98" i="1"/>
  <c r="G98" i="1" s="1"/>
  <c r="H97" i="1"/>
  <c r="G97" i="1" s="1"/>
  <c r="H96" i="1"/>
  <c r="G96" i="1" s="1"/>
  <c r="H95" i="1"/>
  <c r="G95" i="1" s="1"/>
  <c r="H92" i="1"/>
  <c r="G92" i="1" s="1"/>
  <c r="H91" i="1"/>
  <c r="G91" i="1" s="1"/>
  <c r="H90" i="1"/>
  <c r="G90" i="1" s="1"/>
  <c r="H89" i="1"/>
  <c r="G89" i="1" s="1"/>
  <c r="H88" i="1"/>
  <c r="G88" i="1" s="1"/>
  <c r="H85" i="1"/>
  <c r="G85" i="1" s="1"/>
  <c r="H84" i="1"/>
  <c r="G84" i="1" s="1"/>
  <c r="H82" i="1"/>
  <c r="G82" i="1" s="1"/>
  <c r="H81" i="1"/>
  <c r="G81" i="1" s="1"/>
  <c r="H80" i="1"/>
  <c r="G80" i="1" s="1"/>
  <c r="H79" i="1"/>
  <c r="G79" i="1" s="1"/>
  <c r="H78" i="1"/>
  <c r="G78" i="1" s="1"/>
  <c r="H77" i="1"/>
  <c r="G77" i="1" s="1"/>
  <c r="H76" i="1"/>
  <c r="G76" i="1" s="1"/>
  <c r="H73" i="1"/>
  <c r="G73" i="1" s="1"/>
  <c r="H72" i="1"/>
  <c r="G72" i="1" s="1"/>
  <c r="H70" i="1"/>
  <c r="G70" i="1" s="1"/>
  <c r="H69" i="1"/>
  <c r="G69" i="1" s="1"/>
  <c r="H68" i="1"/>
  <c r="G68" i="1" s="1"/>
  <c r="H67" i="1"/>
  <c r="G67" i="1" s="1"/>
  <c r="H66" i="1"/>
  <c r="G66" i="1" s="1"/>
  <c r="H61" i="1"/>
  <c r="G61" i="1" s="1"/>
  <c r="H60" i="1"/>
  <c r="G60" i="1" s="1"/>
  <c r="H59" i="1"/>
  <c r="G59" i="1" s="1"/>
  <c r="H58" i="1"/>
  <c r="G58" i="1" s="1"/>
  <c r="H57" i="1"/>
  <c r="G57" i="1" s="1"/>
  <c r="H56" i="1"/>
  <c r="G56" i="1" s="1"/>
  <c r="H51" i="1"/>
  <c r="G51" i="1" s="1"/>
  <c r="H50" i="1"/>
  <c r="G50" i="1" s="1"/>
  <c r="H49" i="1"/>
  <c r="G49" i="1" s="1"/>
  <c r="H48" i="1"/>
  <c r="G48" i="1" s="1"/>
  <c r="H47" i="1"/>
  <c r="G47" i="1" s="1"/>
  <c r="H46" i="1"/>
  <c r="G46" i="1" s="1"/>
  <c r="H45" i="1"/>
  <c r="G45" i="1" s="1"/>
  <c r="H44" i="1"/>
  <c r="G44" i="1" s="1"/>
  <c r="H43" i="1"/>
  <c r="G43" i="1" s="1"/>
  <c r="H42" i="1"/>
  <c r="G42" i="1" s="1"/>
  <c r="H41" i="1"/>
  <c r="G41" i="1" s="1"/>
  <c r="H40" i="1"/>
  <c r="G40" i="1" s="1"/>
  <c r="H39" i="1"/>
  <c r="G39" i="1" s="1"/>
  <c r="H38" i="1"/>
  <c r="G38" i="1" s="1"/>
  <c r="H37" i="1"/>
  <c r="G37" i="1" s="1"/>
  <c r="H34" i="1"/>
  <c r="G34" i="1" s="1"/>
  <c r="H33" i="1"/>
  <c r="G33" i="1" s="1"/>
  <c r="H31" i="1"/>
  <c r="G31" i="1" s="1"/>
  <c r="H30" i="1"/>
  <c r="G30" i="1" s="1"/>
  <c r="H29" i="1"/>
  <c r="G29" i="1" s="1"/>
  <c r="H25" i="1"/>
  <c r="G25" i="1" s="1"/>
  <c r="H24" i="1"/>
  <c r="G24" i="1" s="1"/>
  <c r="H23" i="1"/>
  <c r="H22" i="1"/>
  <c r="G22" i="1" s="1"/>
  <c r="H21" i="1"/>
  <c r="G21" i="1" s="1"/>
  <c r="H18" i="1"/>
  <c r="G18" i="1" s="1"/>
  <c r="H17" i="1"/>
  <c r="G17" i="1" s="1"/>
  <c r="H16" i="1"/>
  <c r="G16" i="1" s="1"/>
  <c r="H15" i="1"/>
  <c r="G15" i="1" s="1"/>
  <c r="H14" i="1"/>
  <c r="G14" i="1" s="1"/>
  <c r="H13" i="1"/>
  <c r="G13" i="1" s="1"/>
  <c r="BR12" i="1"/>
  <c r="CD327" i="1"/>
  <c r="CA327" i="1"/>
  <c r="BZ327" i="1"/>
  <c r="BY327" i="1"/>
  <c r="BX327" i="1"/>
  <c r="BW327" i="1"/>
  <c r="BV327" i="1"/>
  <c r="BU327" i="1"/>
  <c r="BT327" i="1"/>
  <c r="BS327" i="1"/>
  <c r="CD323" i="1"/>
  <c r="CA323" i="1"/>
  <c r="BZ323" i="1"/>
  <c r="BY323" i="1"/>
  <c r="BX323" i="1"/>
  <c r="BW323" i="1"/>
  <c r="BV323" i="1"/>
  <c r="BU323" i="1"/>
  <c r="BT323" i="1"/>
  <c r="BS323" i="1"/>
  <c r="CD316" i="1"/>
  <c r="CA316" i="1"/>
  <c r="BZ316" i="1"/>
  <c r="BY316" i="1"/>
  <c r="BX316" i="1"/>
  <c r="BW316" i="1"/>
  <c r="BV316" i="1"/>
  <c r="BU316" i="1"/>
  <c r="BT316" i="1"/>
  <c r="BS316" i="1"/>
  <c r="CD312" i="1"/>
  <c r="CA312" i="1"/>
  <c r="BZ312" i="1"/>
  <c r="BY312" i="1"/>
  <c r="BX312" i="1"/>
  <c r="BW312" i="1"/>
  <c r="BV312" i="1"/>
  <c r="BU312" i="1"/>
  <c r="BT312" i="1"/>
  <c r="BS312" i="1"/>
  <c r="CD308" i="1"/>
  <c r="CA308" i="1"/>
  <c r="BZ308" i="1"/>
  <c r="BY308" i="1"/>
  <c r="BX308" i="1"/>
  <c r="BW308" i="1"/>
  <c r="BV308" i="1"/>
  <c r="BU308" i="1"/>
  <c r="BT308" i="1"/>
  <c r="BS308" i="1"/>
  <c r="CD303" i="1"/>
  <c r="CA303" i="1"/>
  <c r="BZ303" i="1"/>
  <c r="BY303" i="1"/>
  <c r="BX303" i="1"/>
  <c r="BW303" i="1"/>
  <c r="BV303" i="1"/>
  <c r="BU303" i="1"/>
  <c r="BT303" i="1"/>
  <c r="BS303" i="1"/>
  <c r="CD301" i="1"/>
  <c r="CA301" i="1"/>
  <c r="BZ301" i="1"/>
  <c r="BY301" i="1"/>
  <c r="BX301" i="1"/>
  <c r="BW301" i="1"/>
  <c r="BV301" i="1"/>
  <c r="BU301" i="1"/>
  <c r="BT301" i="1"/>
  <c r="BS301" i="1"/>
  <c r="BR301" i="1"/>
  <c r="CD270" i="1"/>
  <c r="CA270" i="1"/>
  <c r="BZ270" i="1"/>
  <c r="BY270" i="1"/>
  <c r="BX270" i="1"/>
  <c r="BW270" i="1"/>
  <c r="BV270" i="1"/>
  <c r="BU270" i="1"/>
  <c r="BT270" i="1"/>
  <c r="BS270" i="1"/>
  <c r="CD246" i="1"/>
  <c r="CA246" i="1"/>
  <c r="BZ246" i="1"/>
  <c r="BY246" i="1"/>
  <c r="BX246" i="1"/>
  <c r="BW246" i="1"/>
  <c r="BV246" i="1"/>
  <c r="BU246" i="1"/>
  <c r="BT246" i="1"/>
  <c r="BS246" i="1"/>
  <c r="CD136" i="1"/>
  <c r="CA136" i="1"/>
  <c r="BZ136" i="1"/>
  <c r="BY136" i="1"/>
  <c r="BX136" i="1"/>
  <c r="BW136" i="1"/>
  <c r="BV136" i="1"/>
  <c r="BU136" i="1"/>
  <c r="BT136" i="1"/>
  <c r="BS136" i="1"/>
  <c r="CD94" i="1"/>
  <c r="CA94" i="1"/>
  <c r="BZ94" i="1"/>
  <c r="BY94" i="1"/>
  <c r="BX94" i="1"/>
  <c r="BW94" i="1"/>
  <c r="BV94" i="1"/>
  <c r="BU94" i="1"/>
  <c r="BT94" i="1"/>
  <c r="BS94" i="1"/>
  <c r="CD87" i="1"/>
  <c r="CA87" i="1"/>
  <c r="BZ87" i="1"/>
  <c r="BY87" i="1"/>
  <c r="BX87" i="1"/>
  <c r="BW87" i="1"/>
  <c r="BV87" i="1"/>
  <c r="BU87" i="1"/>
  <c r="BT87" i="1"/>
  <c r="BS87" i="1"/>
  <c r="CD75" i="1"/>
  <c r="CA75" i="1"/>
  <c r="BZ75" i="1"/>
  <c r="BY75" i="1"/>
  <c r="BX75" i="1"/>
  <c r="BW75" i="1"/>
  <c r="BV75" i="1"/>
  <c r="BU75" i="1"/>
  <c r="BT75" i="1"/>
  <c r="BS75" i="1"/>
  <c r="CD65" i="1"/>
  <c r="CA65" i="1"/>
  <c r="BZ65" i="1"/>
  <c r="BY65" i="1"/>
  <c r="BX65" i="1"/>
  <c r="BW65" i="1"/>
  <c r="BV65" i="1"/>
  <c r="BU65" i="1"/>
  <c r="BT65" i="1"/>
  <c r="BS65" i="1"/>
  <c r="CD36" i="1"/>
  <c r="CA36" i="1"/>
  <c r="BZ36" i="1"/>
  <c r="BY36" i="1"/>
  <c r="BX36" i="1"/>
  <c r="BW36" i="1"/>
  <c r="BV36" i="1"/>
  <c r="BU36" i="1"/>
  <c r="BT36" i="1"/>
  <c r="BS36" i="1"/>
  <c r="CD28" i="1"/>
  <c r="CA28" i="1"/>
  <c r="BZ28" i="1"/>
  <c r="BY28" i="1"/>
  <c r="BX28" i="1"/>
  <c r="BW28" i="1"/>
  <c r="BV28" i="1"/>
  <c r="BU28" i="1"/>
  <c r="BT28" i="1"/>
  <c r="BS28" i="1"/>
  <c r="CD11" i="1"/>
  <c r="CA11" i="1"/>
  <c r="BZ11" i="1"/>
  <c r="BY11" i="1"/>
  <c r="BX11" i="1"/>
  <c r="BW11" i="1"/>
  <c r="BV11" i="1"/>
  <c r="BU11" i="1"/>
  <c r="BT11" i="1"/>
  <c r="BS11" i="1"/>
  <c r="BJ12" i="1"/>
  <c r="BI12" i="1" s="1"/>
  <c r="BO327" i="1"/>
  <c r="BN327" i="1"/>
  <c r="BM327" i="1"/>
  <c r="BL327" i="1"/>
  <c r="BK327" i="1"/>
  <c r="BO323" i="1"/>
  <c r="BN323" i="1"/>
  <c r="BM323" i="1"/>
  <c r="BL323" i="1"/>
  <c r="BK323" i="1"/>
  <c r="BO316" i="1"/>
  <c r="BN316" i="1"/>
  <c r="BM316" i="1"/>
  <c r="BL316" i="1"/>
  <c r="BK316" i="1"/>
  <c r="BO312" i="1"/>
  <c r="BN312" i="1"/>
  <c r="BM312" i="1"/>
  <c r="BL312" i="1"/>
  <c r="BK312" i="1"/>
  <c r="BO308" i="1"/>
  <c r="BN308" i="1"/>
  <c r="BM308" i="1"/>
  <c r="BL308" i="1"/>
  <c r="BK308" i="1"/>
  <c r="BO303" i="1"/>
  <c r="BN303" i="1"/>
  <c r="BM303" i="1"/>
  <c r="BL303" i="1"/>
  <c r="BK303" i="1"/>
  <c r="BO301" i="1"/>
  <c r="BN301" i="1"/>
  <c r="BM301" i="1"/>
  <c r="BL301" i="1"/>
  <c r="BK301" i="1"/>
  <c r="BO270" i="1"/>
  <c r="BN270" i="1"/>
  <c r="BM270" i="1"/>
  <c r="BL270" i="1"/>
  <c r="BK270" i="1"/>
  <c r="BO246" i="1"/>
  <c r="BN246" i="1"/>
  <c r="BM246" i="1"/>
  <c r="BL246" i="1"/>
  <c r="BK246" i="1"/>
  <c r="BO136" i="1"/>
  <c r="BN136" i="1"/>
  <c r="BM136" i="1"/>
  <c r="BL136" i="1"/>
  <c r="BK136" i="1"/>
  <c r="BO94" i="1"/>
  <c r="BN94" i="1"/>
  <c r="BM94" i="1"/>
  <c r="BL94" i="1"/>
  <c r="BK94" i="1"/>
  <c r="BO87" i="1"/>
  <c r="BN87" i="1"/>
  <c r="BM87" i="1"/>
  <c r="BL87" i="1"/>
  <c r="BK87" i="1"/>
  <c r="BO75" i="1"/>
  <c r="BN75" i="1"/>
  <c r="BM75" i="1"/>
  <c r="BL75" i="1"/>
  <c r="BK75" i="1"/>
  <c r="BO65" i="1"/>
  <c r="BN65" i="1"/>
  <c r="BM65" i="1"/>
  <c r="BL65" i="1"/>
  <c r="BK65" i="1"/>
  <c r="BO36" i="1"/>
  <c r="BN36" i="1"/>
  <c r="BM36" i="1"/>
  <c r="BL36" i="1"/>
  <c r="BK36" i="1"/>
  <c r="BO28" i="1"/>
  <c r="BN28" i="1"/>
  <c r="BM28" i="1"/>
  <c r="BL28" i="1"/>
  <c r="BK28" i="1"/>
  <c r="BO11" i="1"/>
  <c r="BN11" i="1"/>
  <c r="BM11" i="1"/>
  <c r="BL11" i="1"/>
  <c r="BK11" i="1"/>
  <c r="AV12" i="1"/>
  <c r="AU12" i="1" s="1"/>
  <c r="BG327" i="1"/>
  <c r="BE327" i="1"/>
  <c r="BD327" i="1"/>
  <c r="BC327" i="1"/>
  <c r="BB327" i="1"/>
  <c r="BA327" i="1"/>
  <c r="AZ327" i="1"/>
  <c r="AY327" i="1"/>
  <c r="AX327" i="1"/>
  <c r="AW327" i="1"/>
  <c r="BG323" i="1"/>
  <c r="BE323" i="1"/>
  <c r="BD323" i="1"/>
  <c r="BC323" i="1"/>
  <c r="BB323" i="1"/>
  <c r="BA323" i="1"/>
  <c r="AZ323" i="1"/>
  <c r="AY323" i="1"/>
  <c r="AX323" i="1"/>
  <c r="AW323" i="1"/>
  <c r="BG316" i="1"/>
  <c r="BE316" i="1"/>
  <c r="BD316" i="1"/>
  <c r="BC316" i="1"/>
  <c r="BB316" i="1"/>
  <c r="BA316" i="1"/>
  <c r="AZ316" i="1"/>
  <c r="AY316" i="1"/>
  <c r="AX316" i="1"/>
  <c r="AW316" i="1"/>
  <c r="BG312" i="1"/>
  <c r="BE312" i="1"/>
  <c r="BD312" i="1"/>
  <c r="BC312" i="1"/>
  <c r="BB312" i="1"/>
  <c r="BA312" i="1"/>
  <c r="AZ312" i="1"/>
  <c r="AY312" i="1"/>
  <c r="AX312" i="1"/>
  <c r="AW312" i="1"/>
  <c r="BG308" i="1"/>
  <c r="BE308" i="1"/>
  <c r="BD308" i="1"/>
  <c r="BC308" i="1"/>
  <c r="BB308" i="1"/>
  <c r="BA308" i="1"/>
  <c r="AZ308" i="1"/>
  <c r="AY308" i="1"/>
  <c r="AX308" i="1"/>
  <c r="AW308" i="1"/>
  <c r="BG303" i="1"/>
  <c r="BE303" i="1"/>
  <c r="BD303" i="1"/>
  <c r="BC303" i="1"/>
  <c r="BB303" i="1"/>
  <c r="BA303" i="1"/>
  <c r="AZ303" i="1"/>
  <c r="AY303" i="1"/>
  <c r="AX303" i="1"/>
  <c r="AW303" i="1"/>
  <c r="BG301" i="1"/>
  <c r="BE301" i="1"/>
  <c r="BD301" i="1"/>
  <c r="BC301" i="1"/>
  <c r="BB301" i="1"/>
  <c r="BA301" i="1"/>
  <c r="AZ301" i="1"/>
  <c r="AY301" i="1"/>
  <c r="AX301" i="1"/>
  <c r="AW301" i="1"/>
  <c r="BG270" i="1"/>
  <c r="BE270" i="1"/>
  <c r="BD270" i="1"/>
  <c r="BC270" i="1"/>
  <c r="BB270" i="1"/>
  <c r="BA270" i="1"/>
  <c r="AZ270" i="1"/>
  <c r="AY270" i="1"/>
  <c r="AX270" i="1"/>
  <c r="AW270" i="1"/>
  <c r="BG246" i="1"/>
  <c r="BE246" i="1"/>
  <c r="BD246" i="1"/>
  <c r="BC246" i="1"/>
  <c r="BB246" i="1"/>
  <c r="BA246" i="1"/>
  <c r="AZ246" i="1"/>
  <c r="AY246" i="1"/>
  <c r="AX246" i="1"/>
  <c r="AW246" i="1"/>
  <c r="BG136" i="1"/>
  <c r="BE136" i="1"/>
  <c r="BD136" i="1"/>
  <c r="BC136" i="1"/>
  <c r="BB136" i="1"/>
  <c r="BA136" i="1"/>
  <c r="AZ136" i="1"/>
  <c r="AY136" i="1"/>
  <c r="AX136" i="1"/>
  <c r="AW136" i="1"/>
  <c r="BG94" i="1"/>
  <c r="BE94" i="1"/>
  <c r="BD94" i="1"/>
  <c r="BC94" i="1"/>
  <c r="BB94" i="1"/>
  <c r="BA94" i="1"/>
  <c r="AZ94" i="1"/>
  <c r="AY94" i="1"/>
  <c r="AX94" i="1"/>
  <c r="AW94" i="1"/>
  <c r="BG87" i="1"/>
  <c r="BE87" i="1"/>
  <c r="BD87" i="1"/>
  <c r="BC87" i="1"/>
  <c r="BB87" i="1"/>
  <c r="BA87" i="1"/>
  <c r="AZ87" i="1"/>
  <c r="AY87" i="1"/>
  <c r="AX87" i="1"/>
  <c r="AW87" i="1"/>
  <c r="BG75" i="1"/>
  <c r="BE75" i="1"/>
  <c r="BD75" i="1"/>
  <c r="BC75" i="1"/>
  <c r="BB75" i="1"/>
  <c r="BA75" i="1"/>
  <c r="AZ75" i="1"/>
  <c r="AY75" i="1"/>
  <c r="AX75" i="1"/>
  <c r="AW75" i="1"/>
  <c r="BG65" i="1"/>
  <c r="BE65" i="1"/>
  <c r="BD65" i="1"/>
  <c r="BC65" i="1"/>
  <c r="BB65" i="1"/>
  <c r="BA65" i="1"/>
  <c r="AZ65" i="1"/>
  <c r="AY65" i="1"/>
  <c r="AX65" i="1"/>
  <c r="AW65" i="1"/>
  <c r="BG36" i="1"/>
  <c r="BE36" i="1"/>
  <c r="BD36" i="1"/>
  <c r="BC36" i="1"/>
  <c r="BB36" i="1"/>
  <c r="BA36" i="1"/>
  <c r="AZ36" i="1"/>
  <c r="AY36" i="1"/>
  <c r="AX36" i="1"/>
  <c r="AW36" i="1"/>
  <c r="BG28" i="1"/>
  <c r="BE28" i="1"/>
  <c r="BD28" i="1"/>
  <c r="BC28" i="1"/>
  <c r="BB28" i="1"/>
  <c r="BA28" i="1"/>
  <c r="AZ28" i="1"/>
  <c r="AY28" i="1"/>
  <c r="AX28" i="1"/>
  <c r="AW28" i="1"/>
  <c r="BG11" i="1"/>
  <c r="BE11" i="1"/>
  <c r="BD11" i="1"/>
  <c r="BC11" i="1"/>
  <c r="BB11" i="1"/>
  <c r="BA11" i="1"/>
  <c r="AZ11" i="1"/>
  <c r="AY11" i="1"/>
  <c r="AX11" i="1"/>
  <c r="AW11" i="1"/>
  <c r="AI12" i="1"/>
  <c r="AH12" i="1" s="1"/>
  <c r="AS327" i="1"/>
  <c r="AR327" i="1"/>
  <c r="AQ327" i="1"/>
  <c r="AP327" i="1"/>
  <c r="AO327" i="1"/>
  <c r="AN327" i="1"/>
  <c r="AM327" i="1"/>
  <c r="AL327" i="1"/>
  <c r="AK327" i="1"/>
  <c r="AJ327" i="1"/>
  <c r="AS323" i="1"/>
  <c r="AR323" i="1"/>
  <c r="AQ323" i="1"/>
  <c r="AP323" i="1"/>
  <c r="AO323" i="1"/>
  <c r="AN323" i="1"/>
  <c r="AM323" i="1"/>
  <c r="AL323" i="1"/>
  <c r="AK323" i="1"/>
  <c r="AJ323" i="1"/>
  <c r="AS316" i="1"/>
  <c r="AR316" i="1"/>
  <c r="AQ316" i="1"/>
  <c r="AP316" i="1"/>
  <c r="AO316" i="1"/>
  <c r="AN316" i="1"/>
  <c r="AM316" i="1"/>
  <c r="AL316" i="1"/>
  <c r="AK316" i="1"/>
  <c r="AJ316" i="1"/>
  <c r="AS312" i="1"/>
  <c r="AR312" i="1"/>
  <c r="AQ312" i="1"/>
  <c r="AP312" i="1"/>
  <c r="AO312" i="1"/>
  <c r="AN312" i="1"/>
  <c r="AM312" i="1"/>
  <c r="AL312" i="1"/>
  <c r="AK312" i="1"/>
  <c r="AJ312" i="1"/>
  <c r="AS308" i="1"/>
  <c r="AR308" i="1"/>
  <c r="AQ308" i="1"/>
  <c r="AP308" i="1"/>
  <c r="AO308" i="1"/>
  <c r="AN308" i="1"/>
  <c r="AM308" i="1"/>
  <c r="AL308" i="1"/>
  <c r="AK308" i="1"/>
  <c r="AJ308" i="1"/>
  <c r="AS303" i="1"/>
  <c r="AR303" i="1"/>
  <c r="AQ303" i="1"/>
  <c r="AP303" i="1"/>
  <c r="AO303" i="1"/>
  <c r="AN303" i="1"/>
  <c r="AM303" i="1"/>
  <c r="AL303" i="1"/>
  <c r="AK303" i="1"/>
  <c r="AJ303" i="1"/>
  <c r="AS301" i="1"/>
  <c r="AR301" i="1"/>
  <c r="AQ301" i="1"/>
  <c r="AP301" i="1"/>
  <c r="AO301" i="1"/>
  <c r="AN301" i="1"/>
  <c r="AM301" i="1"/>
  <c r="AL301" i="1"/>
  <c r="AK301" i="1"/>
  <c r="AJ301" i="1"/>
  <c r="AS270" i="1"/>
  <c r="AR270" i="1"/>
  <c r="AQ270" i="1"/>
  <c r="AP270" i="1"/>
  <c r="AO270" i="1"/>
  <c r="AN270" i="1"/>
  <c r="AM270" i="1"/>
  <c r="AL270" i="1"/>
  <c r="AK270" i="1"/>
  <c r="AJ270" i="1"/>
  <c r="AS246" i="1"/>
  <c r="AR246" i="1"/>
  <c r="AQ246" i="1"/>
  <c r="AP246" i="1"/>
  <c r="AO246" i="1"/>
  <c r="AN246" i="1"/>
  <c r="AM246" i="1"/>
  <c r="AL246" i="1"/>
  <c r="AK246" i="1"/>
  <c r="AJ246" i="1"/>
  <c r="AS136" i="1"/>
  <c r="AR136" i="1"/>
  <c r="AQ136" i="1"/>
  <c r="AP136" i="1"/>
  <c r="AO136" i="1"/>
  <c r="AN136" i="1"/>
  <c r="AM136" i="1"/>
  <c r="AL136" i="1"/>
  <c r="AK136" i="1"/>
  <c r="AJ136" i="1"/>
  <c r="AS94" i="1"/>
  <c r="AR94" i="1"/>
  <c r="AQ94" i="1"/>
  <c r="AP94" i="1"/>
  <c r="AO94" i="1"/>
  <c r="AN94" i="1"/>
  <c r="AM94" i="1"/>
  <c r="AL94" i="1"/>
  <c r="AK94" i="1"/>
  <c r="AJ94" i="1"/>
  <c r="AS87" i="1"/>
  <c r="AR87" i="1"/>
  <c r="AQ87" i="1"/>
  <c r="AP87" i="1"/>
  <c r="AO87" i="1"/>
  <c r="AN87" i="1"/>
  <c r="AM87" i="1"/>
  <c r="AL87" i="1"/>
  <c r="AK87" i="1"/>
  <c r="AJ87" i="1"/>
  <c r="AS75" i="1"/>
  <c r="AR75" i="1"/>
  <c r="AQ75" i="1"/>
  <c r="AP75" i="1"/>
  <c r="AO75" i="1"/>
  <c r="AN75" i="1"/>
  <c r="AM75" i="1"/>
  <c r="AL75" i="1"/>
  <c r="AK75" i="1"/>
  <c r="AJ75" i="1"/>
  <c r="AS65" i="1"/>
  <c r="AR65" i="1"/>
  <c r="AQ65" i="1"/>
  <c r="AP65" i="1"/>
  <c r="AO65" i="1"/>
  <c r="AN65" i="1"/>
  <c r="AM65" i="1"/>
  <c r="AL65" i="1"/>
  <c r="AK65" i="1"/>
  <c r="AJ65" i="1"/>
  <c r="AS36" i="1"/>
  <c r="AR36" i="1"/>
  <c r="AQ36" i="1"/>
  <c r="AP36" i="1"/>
  <c r="AO36" i="1"/>
  <c r="AN36" i="1"/>
  <c r="AM36" i="1"/>
  <c r="AL36" i="1"/>
  <c r="AK36" i="1"/>
  <c r="AJ36" i="1"/>
  <c r="AS28" i="1"/>
  <c r="AR28" i="1"/>
  <c r="AQ28" i="1"/>
  <c r="AP28" i="1"/>
  <c r="AO28" i="1"/>
  <c r="AN28" i="1"/>
  <c r="AM28" i="1"/>
  <c r="AL28" i="1"/>
  <c r="AK28" i="1"/>
  <c r="AJ28" i="1"/>
  <c r="AS11" i="1"/>
  <c r="AR11" i="1"/>
  <c r="AQ11" i="1"/>
  <c r="AP11" i="1"/>
  <c r="AO11" i="1"/>
  <c r="AN11" i="1"/>
  <c r="AM11" i="1"/>
  <c r="AL11" i="1"/>
  <c r="AK11" i="1"/>
  <c r="AJ11" i="1"/>
  <c r="H12" i="1"/>
  <c r="G271" i="1" l="1"/>
  <c r="H270" i="1"/>
  <c r="G321" i="1"/>
  <c r="G320" i="1" s="1"/>
  <c r="H320" i="1"/>
  <c r="AH321" i="1"/>
  <c r="AH320" i="1" s="1"/>
  <c r="AI320" i="1"/>
  <c r="BQ321" i="1"/>
  <c r="BQ320" i="1" s="1"/>
  <c r="BR320" i="1"/>
  <c r="BI321" i="1"/>
  <c r="BI320" i="1" s="1"/>
  <c r="BJ320" i="1"/>
  <c r="AU321" i="1"/>
  <c r="AU320" i="1" s="1"/>
  <c r="AV320" i="1"/>
  <c r="D94" i="1"/>
  <c r="BI316" i="1"/>
  <c r="AV301" i="1"/>
  <c r="BJ323" i="1"/>
  <c r="BJ316" i="1"/>
  <c r="BR316" i="1"/>
  <c r="BR323" i="1"/>
  <c r="AI301" i="1"/>
  <c r="E177" i="1"/>
  <c r="E207" i="1"/>
  <c r="BJ87" i="1"/>
  <c r="E112" i="1"/>
  <c r="AI323" i="1"/>
  <c r="AI312" i="1"/>
  <c r="E162" i="1"/>
  <c r="E167" i="1"/>
  <c r="E250" i="1"/>
  <c r="E309" i="1"/>
  <c r="AI308" i="1"/>
  <c r="E217" i="1"/>
  <c r="AV312" i="1"/>
  <c r="BU300" i="1"/>
  <c r="BU328" i="1" s="1"/>
  <c r="BR308" i="1"/>
  <c r="E144" i="1"/>
  <c r="E227" i="1"/>
  <c r="E235" i="1"/>
  <c r="E277" i="1"/>
  <c r="E315" i="1"/>
  <c r="AP300" i="1"/>
  <c r="AP328" i="1" s="1"/>
  <c r="AI316" i="1"/>
  <c r="AY300" i="1"/>
  <c r="AY328" i="1" s="1"/>
  <c r="AV308" i="1"/>
  <c r="BJ301" i="1"/>
  <c r="E145" i="1"/>
  <c r="E193" i="1"/>
  <c r="E267" i="1"/>
  <c r="AV323" i="1"/>
  <c r="BJ303" i="1"/>
  <c r="BJ312" i="1"/>
  <c r="BR246" i="1"/>
  <c r="E15" i="1"/>
  <c r="E130" i="1"/>
  <c r="E185" i="1"/>
  <c r="E190" i="1"/>
  <c r="E317" i="1"/>
  <c r="AU316" i="1"/>
  <c r="AI303" i="1"/>
  <c r="BR65" i="1"/>
  <c r="BY300" i="1"/>
  <c r="BY328" i="1" s="1"/>
  <c r="E92" i="1"/>
  <c r="E314" i="1"/>
  <c r="AU308" i="1"/>
  <c r="BQ87" i="1"/>
  <c r="BC300" i="1"/>
  <c r="BC328" i="1" s="1"/>
  <c r="AV316" i="1"/>
  <c r="BJ308" i="1"/>
  <c r="BR312" i="1"/>
  <c r="E204" i="1"/>
  <c r="AU303" i="1"/>
  <c r="BQ65" i="1"/>
  <c r="E18" i="1"/>
  <c r="E89" i="1"/>
  <c r="E134" i="1"/>
  <c r="E150" i="1"/>
  <c r="E153" i="1"/>
  <c r="E186" i="1"/>
  <c r="E219" i="1"/>
  <c r="E225" i="1"/>
  <c r="AV94" i="1"/>
  <c r="BJ65" i="1"/>
  <c r="E46" i="1"/>
  <c r="E66" i="1"/>
  <c r="E168" i="1"/>
  <c r="E210" i="1"/>
  <c r="BR75" i="1"/>
  <c r="BR87" i="1"/>
  <c r="E77" i="1"/>
  <c r="E148" i="1"/>
  <c r="AI136" i="1"/>
  <c r="AU94" i="1"/>
  <c r="E101" i="1"/>
  <c r="AI75" i="1"/>
  <c r="BR136" i="1"/>
  <c r="E81" i="1"/>
  <c r="E88" i="1"/>
  <c r="E142" i="1"/>
  <c r="E183" i="1"/>
  <c r="E211" i="1"/>
  <c r="AU28" i="1"/>
  <c r="AI65" i="1"/>
  <c r="AI270" i="1"/>
  <c r="BR94" i="1"/>
  <c r="E69" i="1"/>
  <c r="E73" i="1"/>
  <c r="E95" i="1"/>
  <c r="E103" i="1"/>
  <c r="E113" i="1"/>
  <c r="E129" i="1"/>
  <c r="E140" i="1"/>
  <c r="E181" i="1"/>
  <c r="E194" i="1"/>
  <c r="E199" i="1"/>
  <c r="E229" i="1"/>
  <c r="E233" i="1"/>
  <c r="E237" i="1"/>
  <c r="E243" i="1"/>
  <c r="E252" i="1"/>
  <c r="E256" i="1"/>
  <c r="E263" i="1"/>
  <c r="E266" i="1"/>
  <c r="BQ136" i="1"/>
  <c r="AI246" i="1"/>
  <c r="AV136" i="1"/>
  <c r="BJ136" i="1"/>
  <c r="E100" i="1"/>
  <c r="E104" i="1"/>
  <c r="E111" i="1"/>
  <c r="E114" i="1"/>
  <c r="E122" i="1"/>
  <c r="E165" i="1"/>
  <c r="E203" i="1"/>
  <c r="E230" i="1"/>
  <c r="E238" i="1"/>
  <c r="E244" i="1"/>
  <c r="E249" i="1"/>
  <c r="E253" i="1"/>
  <c r="BI87" i="1"/>
  <c r="BI75" i="1"/>
  <c r="E31" i="1"/>
  <c r="E37" i="1"/>
  <c r="E17" i="1"/>
  <c r="E29" i="1"/>
  <c r="E42" i="1"/>
  <c r="E45" i="1"/>
  <c r="E48" i="1"/>
  <c r="E56" i="1"/>
  <c r="E58" i="1"/>
  <c r="E43" i="1"/>
  <c r="E49" i="1"/>
  <c r="BJ11" i="1"/>
  <c r="BR11" i="1"/>
  <c r="E24" i="1"/>
  <c r="E13" i="1"/>
  <c r="E16" i="1"/>
  <c r="E21" i="1"/>
  <c r="AL300" i="1"/>
  <c r="AL328" i="1" s="1"/>
  <c r="AQ300" i="1"/>
  <c r="AQ328" i="1" s="1"/>
  <c r="AO300" i="1"/>
  <c r="AO328" i="1" s="1"/>
  <c r="AS300" i="1"/>
  <c r="AS328" i="1" s="1"/>
  <c r="AV327" i="1"/>
  <c r="BR36" i="1"/>
  <c r="BR270" i="1"/>
  <c r="E38" i="1"/>
  <c r="E59" i="1"/>
  <c r="E67" i="1"/>
  <c r="E70" i="1"/>
  <c r="E76" i="1"/>
  <c r="E121" i="1"/>
  <c r="E125" i="1"/>
  <c r="E137" i="1"/>
  <c r="E174" i="1"/>
  <c r="E178" i="1"/>
  <c r="E306" i="1"/>
  <c r="BI308" i="1"/>
  <c r="AN300" i="1"/>
  <c r="AN328" i="1" s="1"/>
  <c r="AV65" i="1"/>
  <c r="AZ300" i="1"/>
  <c r="AZ328" i="1" s="1"/>
  <c r="BD300" i="1"/>
  <c r="BD328" i="1" s="1"/>
  <c r="AX300" i="1"/>
  <c r="AX328" i="1" s="1"/>
  <c r="BB300" i="1"/>
  <c r="BB328" i="1" s="1"/>
  <c r="BG300" i="1"/>
  <c r="BG328" i="1" s="1"/>
  <c r="BJ246" i="1"/>
  <c r="BR28" i="1"/>
  <c r="BR303" i="1"/>
  <c r="BV300" i="1"/>
  <c r="BV328" i="1" s="1"/>
  <c r="BZ300" i="1"/>
  <c r="BZ328" i="1" s="1"/>
  <c r="BT300" i="1"/>
  <c r="BT328" i="1" s="1"/>
  <c r="BX300" i="1"/>
  <c r="BX328" i="1" s="1"/>
  <c r="CD300" i="1"/>
  <c r="CD328" i="1" s="1"/>
  <c r="E30" i="1"/>
  <c r="E34" i="1"/>
  <c r="E126" i="1"/>
  <c r="E172" i="1"/>
  <c r="E213" i="1"/>
  <c r="E224" i="1"/>
  <c r="E234" i="1"/>
  <c r="AM269" i="1"/>
  <c r="AR300" i="1"/>
  <c r="AR328" i="1" s="1"/>
  <c r="AV36" i="1"/>
  <c r="AV303" i="1"/>
  <c r="AW300" i="1"/>
  <c r="AW328" i="1" s="1"/>
  <c r="BA300" i="1"/>
  <c r="BA328" i="1" s="1"/>
  <c r="BE300" i="1"/>
  <c r="BE328" i="1" s="1"/>
  <c r="BS300" i="1"/>
  <c r="BS328" i="1" s="1"/>
  <c r="BW300" i="1"/>
  <c r="BW328" i="1" s="1"/>
  <c r="CA300" i="1"/>
  <c r="CA328" i="1" s="1"/>
  <c r="BQ12" i="1"/>
  <c r="E25" i="1"/>
  <c r="E105" i="1"/>
  <c r="E115" i="1"/>
  <c r="E197" i="1"/>
  <c r="E138" i="1"/>
  <c r="E143" i="1"/>
  <c r="E146" i="1"/>
  <c r="E151" i="1"/>
  <c r="E154" i="1"/>
  <c r="E166" i="1"/>
  <c r="E169" i="1"/>
  <c r="E176" i="1"/>
  <c r="E179" i="1"/>
  <c r="E184" i="1"/>
  <c r="E187" i="1"/>
  <c r="E198" i="1"/>
  <c r="E201" i="1"/>
  <c r="E205" i="1"/>
  <c r="E216" i="1"/>
  <c r="E231" i="1"/>
  <c r="E239" i="1"/>
  <c r="E278" i="1"/>
  <c r="E282" i="1"/>
  <c r="E287" i="1"/>
  <c r="E291" i="1"/>
  <c r="E296" i="1"/>
  <c r="E324" i="1"/>
  <c r="AU65" i="1"/>
  <c r="E40" i="1"/>
  <c r="E44" i="1"/>
  <c r="E50" i="1"/>
  <c r="E57" i="1"/>
  <c r="E60" i="1"/>
  <c r="E68" i="1"/>
  <c r="E80" i="1"/>
  <c r="E84" i="1"/>
  <c r="E96" i="1"/>
  <c r="E99" i="1"/>
  <c r="E102" i="1"/>
  <c r="E116" i="1"/>
  <c r="E120" i="1"/>
  <c r="E123" i="1"/>
  <c r="E141" i="1"/>
  <c r="E149" i="1"/>
  <c r="E152" i="1"/>
  <c r="E164" i="1"/>
  <c r="E173" i="1"/>
  <c r="E182" i="1"/>
  <c r="E196" i="1"/>
  <c r="E202" i="1"/>
  <c r="E212" i="1"/>
  <c r="E220" i="1"/>
  <c r="E248" i="1"/>
  <c r="E254" i="1"/>
  <c r="E265" i="1"/>
  <c r="AU136" i="1"/>
  <c r="BI28" i="1"/>
  <c r="BI36" i="1"/>
  <c r="E33" i="1"/>
  <c r="E41" i="1"/>
  <c r="E51" i="1"/>
  <c r="E61" i="1"/>
  <c r="E72" i="1"/>
  <c r="E78" i="1"/>
  <c r="E91" i="1"/>
  <c r="E97" i="1"/>
  <c r="E117" i="1"/>
  <c r="E124" i="1"/>
  <c r="E139" i="1"/>
  <c r="E147" i="1"/>
  <c r="E161" i="1"/>
  <c r="E171" i="1"/>
  <c r="E180" i="1"/>
  <c r="E189" i="1"/>
  <c r="E192" i="1"/>
  <c r="E206" i="1"/>
  <c r="E209" i="1"/>
  <c r="E221" i="1"/>
  <c r="E226" i="1"/>
  <c r="E259" i="1"/>
  <c r="E305" i="1"/>
  <c r="E310" i="1"/>
  <c r="AH303" i="1"/>
  <c r="BI312" i="1"/>
  <c r="BQ94" i="1"/>
  <c r="BQ270" i="1"/>
  <c r="E280" i="1"/>
  <c r="E289" i="1"/>
  <c r="E294" i="1"/>
  <c r="E298" i="1"/>
  <c r="E281" i="1"/>
  <c r="E290" i="1"/>
  <c r="E295" i="1"/>
  <c r="AV11" i="1"/>
  <c r="BD269" i="1"/>
  <c r="AV28" i="1"/>
  <c r="AV87" i="1"/>
  <c r="BJ75" i="1"/>
  <c r="BJ94" i="1"/>
  <c r="E14" i="1"/>
  <c r="E22" i="1"/>
  <c r="E79" i="1"/>
  <c r="E85" i="1"/>
  <c r="E90" i="1"/>
  <c r="E98" i="1"/>
  <c r="E110" i="1"/>
  <c r="E118" i="1"/>
  <c r="E127" i="1"/>
  <c r="E261" i="1"/>
  <c r="E304" i="1"/>
  <c r="E313" i="1"/>
  <c r="E318" i="1"/>
  <c r="AH28" i="1"/>
  <c r="AH136" i="1"/>
  <c r="AH270" i="1"/>
  <c r="AH312" i="1"/>
  <c r="AI36" i="1"/>
  <c r="AI94" i="1"/>
  <c r="AJ300" i="1"/>
  <c r="AJ328" i="1" s="1"/>
  <c r="AV75" i="1"/>
  <c r="AV270" i="1"/>
  <c r="BU269" i="1"/>
  <c r="E39" i="1"/>
  <c r="E47" i="1"/>
  <c r="E82" i="1"/>
  <c r="E191" i="1"/>
  <c r="E200" i="1"/>
  <c r="E208" i="1"/>
  <c r="E218" i="1"/>
  <c r="E228" i="1"/>
  <c r="E232" i="1"/>
  <c r="E236" i="1"/>
  <c r="E242" i="1"/>
  <c r="E257" i="1"/>
  <c r="E271" i="1"/>
  <c r="E279" i="1"/>
  <c r="E285" i="1"/>
  <c r="E288" i="1"/>
  <c r="E293" i="1"/>
  <c r="E297" i="1"/>
  <c r="AH94" i="1"/>
  <c r="BI65" i="1"/>
  <c r="AL269" i="1"/>
  <c r="AI28" i="1"/>
  <c r="AI87" i="1"/>
  <c r="AK300" i="1"/>
  <c r="AK328" i="1" s="1"/>
  <c r="AV246" i="1"/>
  <c r="BJ28" i="1"/>
  <c r="E262" i="1"/>
  <c r="E286" i="1"/>
  <c r="AH36" i="1"/>
  <c r="AH316" i="1"/>
  <c r="AU246" i="1"/>
  <c r="E247" i="1"/>
  <c r="E255" i="1"/>
  <c r="E264" i="1"/>
  <c r="E307" i="1"/>
  <c r="E311" i="1"/>
  <c r="AH65" i="1"/>
  <c r="AH308" i="1"/>
  <c r="BI136" i="1"/>
  <c r="AU270" i="1"/>
  <c r="AU312" i="1"/>
  <c r="E251" i="1"/>
  <c r="E260" i="1"/>
  <c r="E302" i="1"/>
  <c r="BQ308" i="1"/>
  <c r="BJ36" i="1"/>
  <c r="BQ75" i="1"/>
  <c r="BI303" i="1"/>
  <c r="BQ316" i="1"/>
  <c r="BQ246" i="1"/>
  <c r="BQ303" i="1"/>
  <c r="BQ312" i="1"/>
  <c r="BJ270" i="1"/>
  <c r="BQ36" i="1"/>
  <c r="BQ28" i="1"/>
  <c r="BI270" i="1"/>
  <c r="BI246" i="1"/>
  <c r="BI94" i="1"/>
  <c r="BJ327" i="1"/>
  <c r="AU87" i="1"/>
  <c r="AU75" i="1"/>
  <c r="AU36" i="1"/>
  <c r="AH246" i="1"/>
  <c r="AH87" i="1"/>
  <c r="AH75" i="1"/>
  <c r="AH11" i="1"/>
  <c r="AQ269" i="1"/>
  <c r="AU327" i="1"/>
  <c r="AU11" i="1"/>
  <c r="BL269" i="1"/>
  <c r="BM300" i="1"/>
  <c r="BM328" i="1" s="1"/>
  <c r="BN300" i="1"/>
  <c r="BN328" i="1" s="1"/>
  <c r="AI11" i="1"/>
  <c r="AI327" i="1"/>
  <c r="BI11" i="1"/>
  <c r="BN269" i="1"/>
  <c r="BK300" i="1"/>
  <c r="BK328" i="1" s="1"/>
  <c r="BO300" i="1"/>
  <c r="BO328" i="1" s="1"/>
  <c r="BR327" i="1"/>
  <c r="BY269" i="1"/>
  <c r="BV269" i="1"/>
  <c r="BZ269" i="1"/>
  <c r="BS269" i="1"/>
  <c r="BW269" i="1"/>
  <c r="CA269" i="1"/>
  <c r="BT269" i="1"/>
  <c r="BX269" i="1"/>
  <c r="CD269" i="1"/>
  <c r="BL300" i="1"/>
  <c r="BL328" i="1" s="1"/>
  <c r="BM269" i="1"/>
  <c r="BK269" i="1"/>
  <c r="BO269" i="1"/>
  <c r="AY269" i="1"/>
  <c r="BC269" i="1"/>
  <c r="AZ269" i="1"/>
  <c r="AW269" i="1"/>
  <c r="BA269" i="1"/>
  <c r="BE269" i="1"/>
  <c r="AX269" i="1"/>
  <c r="BB269" i="1"/>
  <c r="BG269" i="1"/>
  <c r="AM300" i="1"/>
  <c r="AM328" i="1" s="1"/>
  <c r="AH327" i="1"/>
  <c r="AP269" i="1"/>
  <c r="AJ269" i="1"/>
  <c r="AN269" i="1"/>
  <c r="AR269" i="1"/>
  <c r="AK269" i="1"/>
  <c r="AO269" i="1"/>
  <c r="AS269" i="1"/>
  <c r="H323" i="1"/>
  <c r="H316" i="1"/>
  <c r="H312" i="1"/>
  <c r="H308" i="1"/>
  <c r="H303" i="1"/>
  <c r="H301" i="1"/>
  <c r="H246" i="1"/>
  <c r="H136" i="1"/>
  <c r="H94" i="1"/>
  <c r="H87" i="1"/>
  <c r="H75" i="1"/>
  <c r="H65" i="1"/>
  <c r="H36" i="1"/>
  <c r="H28" i="1"/>
  <c r="BQ327" i="1" l="1"/>
  <c r="BI327" i="1"/>
  <c r="E321" i="1"/>
  <c r="E320" i="1" s="1"/>
  <c r="BQ11" i="1"/>
  <c r="BQ269" i="1" s="1"/>
  <c r="AZ326" i="1"/>
  <c r="AJ326" i="1"/>
  <c r="BZ326" i="1"/>
  <c r="BG326" i="1"/>
  <c r="AQ326" i="1"/>
  <c r="AY326" i="1"/>
  <c r="BB326" i="1"/>
  <c r="AW326" i="1"/>
  <c r="BA326" i="1"/>
  <c r="BY326" i="1"/>
  <c r="AU300" i="1"/>
  <c r="AU328" i="1" s="1"/>
  <c r="BU326" i="1"/>
  <c r="AI300" i="1"/>
  <c r="AI328" i="1" s="1"/>
  <c r="AK326" i="1"/>
  <c r="BE326" i="1"/>
  <c r="BC326" i="1"/>
  <c r="BX326" i="1"/>
  <c r="BI300" i="1"/>
  <c r="BI328" i="1" s="1"/>
  <c r="AL326" i="1"/>
  <c r="BD326" i="1"/>
  <c r="AO326" i="1"/>
  <c r="BW326" i="1"/>
  <c r="BJ300" i="1"/>
  <c r="BJ328" i="1" s="1"/>
  <c r="AP326" i="1"/>
  <c r="AS326" i="1"/>
  <c r="AN326" i="1"/>
  <c r="AV300" i="1"/>
  <c r="AV328" i="1" s="1"/>
  <c r="CA326" i="1"/>
  <c r="BN326" i="1"/>
  <c r="AX326" i="1"/>
  <c r="AR326" i="1"/>
  <c r="BT326" i="1"/>
  <c r="AH300" i="1"/>
  <c r="AH328" i="1" s="1"/>
  <c r="BR300" i="1"/>
  <c r="BR328" i="1" s="1"/>
  <c r="BR269" i="1"/>
  <c r="BJ269" i="1"/>
  <c r="AV269" i="1"/>
  <c r="CD326" i="1"/>
  <c r="BV326" i="1"/>
  <c r="BQ300" i="1"/>
  <c r="BQ328" i="1" s="1"/>
  <c r="BS326" i="1"/>
  <c r="BO326" i="1"/>
  <c r="BK326" i="1"/>
  <c r="BI269" i="1"/>
  <c r="AI269" i="1"/>
  <c r="AH269" i="1"/>
  <c r="H300" i="1"/>
  <c r="BM326" i="1"/>
  <c r="AU269" i="1"/>
  <c r="BL326" i="1"/>
  <c r="AM326" i="1"/>
  <c r="BI326" i="1" l="1"/>
  <c r="D5" i="5" s="1"/>
  <c r="AI326" i="1"/>
  <c r="AH326" i="1"/>
  <c r="AU326" i="1"/>
  <c r="BJ326" i="1"/>
  <c r="AV326" i="1"/>
  <c r="BR326" i="1"/>
  <c r="BQ326" i="1"/>
  <c r="E312" i="1"/>
  <c r="E303" i="1"/>
  <c r="E301" i="1"/>
  <c r="E246" i="1"/>
  <c r="AF327" i="1"/>
  <c r="R327" i="1"/>
  <c r="Q327" i="1"/>
  <c r="P327" i="1"/>
  <c r="O327" i="1"/>
  <c r="N327" i="1"/>
  <c r="M327" i="1"/>
  <c r="L327" i="1"/>
  <c r="K327" i="1"/>
  <c r="I327" i="1"/>
  <c r="AF323" i="1"/>
  <c r="R323" i="1"/>
  <c r="Q323" i="1"/>
  <c r="P323" i="1"/>
  <c r="O323" i="1"/>
  <c r="N323" i="1"/>
  <c r="M323" i="1"/>
  <c r="L323" i="1"/>
  <c r="K323" i="1"/>
  <c r="I323" i="1"/>
  <c r="G323" i="1"/>
  <c r="AF316" i="1"/>
  <c r="R316" i="1"/>
  <c r="Q316" i="1"/>
  <c r="P316" i="1"/>
  <c r="O316" i="1"/>
  <c r="N316" i="1"/>
  <c r="M316" i="1"/>
  <c r="L316" i="1"/>
  <c r="K316" i="1"/>
  <c r="I316" i="1"/>
  <c r="G316" i="1"/>
  <c r="AF312" i="1"/>
  <c r="R312" i="1"/>
  <c r="Q312" i="1"/>
  <c r="P312" i="1"/>
  <c r="O312" i="1"/>
  <c r="N312" i="1"/>
  <c r="M312" i="1"/>
  <c r="L312" i="1"/>
  <c r="K312" i="1"/>
  <c r="I312" i="1"/>
  <c r="G312" i="1"/>
  <c r="AF308" i="1"/>
  <c r="R308" i="1"/>
  <c r="Q308" i="1"/>
  <c r="P308" i="1"/>
  <c r="O308" i="1"/>
  <c r="N308" i="1"/>
  <c r="M308" i="1"/>
  <c r="L308" i="1"/>
  <c r="K308" i="1"/>
  <c r="I308" i="1"/>
  <c r="G308" i="1"/>
  <c r="AF303" i="1"/>
  <c r="R303" i="1"/>
  <c r="Q303" i="1"/>
  <c r="P303" i="1"/>
  <c r="O303" i="1"/>
  <c r="N303" i="1"/>
  <c r="M303" i="1"/>
  <c r="L303" i="1"/>
  <c r="K303" i="1"/>
  <c r="I303" i="1"/>
  <c r="G303" i="1"/>
  <c r="AF301" i="1"/>
  <c r="R301" i="1"/>
  <c r="Q301" i="1"/>
  <c r="P301" i="1"/>
  <c r="O301" i="1"/>
  <c r="N301" i="1"/>
  <c r="M301" i="1"/>
  <c r="L301" i="1"/>
  <c r="K301" i="1"/>
  <c r="I301" i="1"/>
  <c r="G301" i="1"/>
  <c r="AF270" i="1"/>
  <c r="R270" i="1"/>
  <c r="Q270" i="1"/>
  <c r="P270" i="1"/>
  <c r="O270" i="1"/>
  <c r="N270" i="1"/>
  <c r="M270" i="1"/>
  <c r="L270" i="1"/>
  <c r="K270" i="1"/>
  <c r="I270" i="1"/>
  <c r="AF246" i="1"/>
  <c r="R246" i="1"/>
  <c r="Q246" i="1"/>
  <c r="P246" i="1"/>
  <c r="O246" i="1"/>
  <c r="N246" i="1"/>
  <c r="M246" i="1"/>
  <c r="L246" i="1"/>
  <c r="K246" i="1"/>
  <c r="I246" i="1"/>
  <c r="G246" i="1"/>
  <c r="AF136" i="1"/>
  <c r="R136" i="1"/>
  <c r="Q136" i="1"/>
  <c r="P136" i="1"/>
  <c r="O136" i="1"/>
  <c r="N136" i="1"/>
  <c r="M136" i="1"/>
  <c r="L136" i="1"/>
  <c r="K136" i="1"/>
  <c r="I136" i="1"/>
  <c r="G136" i="1"/>
  <c r="AF94" i="1"/>
  <c r="R94" i="1"/>
  <c r="Q94" i="1"/>
  <c r="P94" i="1"/>
  <c r="O94" i="1"/>
  <c r="N94" i="1"/>
  <c r="M94" i="1"/>
  <c r="L94" i="1"/>
  <c r="K94" i="1"/>
  <c r="I94" i="1"/>
  <c r="G94" i="1"/>
  <c r="AF87" i="1"/>
  <c r="R87" i="1"/>
  <c r="Q87" i="1"/>
  <c r="P87" i="1"/>
  <c r="O87" i="1"/>
  <c r="N87" i="1"/>
  <c r="M87" i="1"/>
  <c r="L87" i="1"/>
  <c r="K87" i="1"/>
  <c r="I87" i="1"/>
  <c r="G87" i="1"/>
  <c r="R75" i="1"/>
  <c r="Q75" i="1"/>
  <c r="P75" i="1"/>
  <c r="O75" i="1"/>
  <c r="N75" i="1"/>
  <c r="M75" i="1"/>
  <c r="L75" i="1"/>
  <c r="K75" i="1"/>
  <c r="I75" i="1"/>
  <c r="G75" i="1"/>
  <c r="AF65" i="1"/>
  <c r="R65" i="1"/>
  <c r="Q65" i="1"/>
  <c r="P65" i="1"/>
  <c r="O65" i="1"/>
  <c r="N65" i="1"/>
  <c r="M65" i="1"/>
  <c r="L65" i="1"/>
  <c r="K65" i="1"/>
  <c r="I65" i="1"/>
  <c r="G65" i="1"/>
  <c r="AF36" i="1"/>
  <c r="R36" i="1"/>
  <c r="Q36" i="1"/>
  <c r="P36" i="1"/>
  <c r="O36" i="1"/>
  <c r="N36" i="1"/>
  <c r="M36" i="1"/>
  <c r="L36" i="1"/>
  <c r="K36" i="1"/>
  <c r="I36" i="1"/>
  <c r="G36" i="1"/>
  <c r="AF28" i="1"/>
  <c r="R28" i="1"/>
  <c r="Q28" i="1"/>
  <c r="P28" i="1"/>
  <c r="O28" i="1"/>
  <c r="N28" i="1"/>
  <c r="M28" i="1"/>
  <c r="L28" i="1"/>
  <c r="K28" i="1"/>
  <c r="I28" i="1"/>
  <c r="G28" i="1"/>
  <c r="AF11" i="1"/>
  <c r="R11" i="1"/>
  <c r="Q11" i="1"/>
  <c r="P11" i="1"/>
  <c r="O11" i="1"/>
  <c r="N11" i="1"/>
  <c r="M11" i="1"/>
  <c r="L11" i="1"/>
  <c r="K11" i="1"/>
  <c r="I11" i="1"/>
  <c r="D323" i="1"/>
  <c r="D316" i="1"/>
  <c r="D312" i="1"/>
  <c r="D308" i="1"/>
  <c r="D303" i="1"/>
  <c r="D301" i="1"/>
  <c r="D246" i="1"/>
  <c r="D136" i="1"/>
  <c r="D87" i="1"/>
  <c r="D75" i="1"/>
  <c r="D65" i="1"/>
  <c r="D36" i="1"/>
  <c r="D28" i="1"/>
  <c r="E323" i="1"/>
  <c r="B13" i="5" l="1"/>
  <c r="E87" i="1"/>
  <c r="E65" i="1"/>
  <c r="E75" i="1"/>
  <c r="O300" i="1"/>
  <c r="O328" i="1" s="1"/>
  <c r="I300" i="1"/>
  <c r="I328" i="1" s="1"/>
  <c r="N300" i="1"/>
  <c r="N328" i="1" s="1"/>
  <c r="R300" i="1"/>
  <c r="R328" i="1" s="1"/>
  <c r="K300" i="1"/>
  <c r="K328" i="1" s="1"/>
  <c r="AF300" i="1"/>
  <c r="AF328" i="1" s="1"/>
  <c r="L300" i="1"/>
  <c r="L328" i="1" s="1"/>
  <c r="P300" i="1"/>
  <c r="P328" i="1" s="1"/>
  <c r="G300" i="1"/>
  <c r="M300" i="1"/>
  <c r="M328" i="1" s="1"/>
  <c r="Q300" i="1"/>
  <c r="Q328" i="1" s="1"/>
  <c r="E94" i="1"/>
  <c r="E28" i="1"/>
  <c r="E36" i="1"/>
  <c r="I269" i="1"/>
  <c r="E136" i="1"/>
  <c r="E308" i="1"/>
  <c r="E316" i="1"/>
  <c r="D300" i="1"/>
  <c r="M269" i="1"/>
  <c r="K269" i="1"/>
  <c r="O269" i="1"/>
  <c r="R269" i="1"/>
  <c r="Q269" i="1"/>
  <c r="N269" i="1"/>
  <c r="L269" i="1"/>
  <c r="P269" i="1"/>
  <c r="AF269" i="1"/>
  <c r="X92" i="4"/>
  <c r="W92" i="4" s="1"/>
  <c r="X71" i="4"/>
  <c r="W71" i="4" s="1"/>
  <c r="X157" i="4"/>
  <c r="W157" i="4" s="1"/>
  <c r="X156" i="4"/>
  <c r="W156" i="4" s="1"/>
  <c r="X152" i="4"/>
  <c r="W152" i="4" s="1"/>
  <c r="X151" i="4"/>
  <c r="W151" i="4" s="1"/>
  <c r="X143" i="4"/>
  <c r="W143" i="4" s="1"/>
  <c r="X133" i="4"/>
  <c r="W133" i="4" s="1"/>
  <c r="X132" i="4"/>
  <c r="W132" i="4" s="1"/>
  <c r="X142" i="4"/>
  <c r="W142" i="4" s="1"/>
  <c r="X130" i="4"/>
  <c r="X141" i="4"/>
  <c r="W141" i="4" s="1"/>
  <c r="X140" i="4"/>
  <c r="X121" i="4"/>
  <c r="W121" i="4" s="1"/>
  <c r="X120" i="4"/>
  <c r="W120" i="4" s="1"/>
  <c r="X119" i="4"/>
  <c r="W119" i="4" s="1"/>
  <c r="X118" i="4"/>
  <c r="W118" i="4" s="1"/>
  <c r="X117" i="4"/>
  <c r="W117" i="4" s="1"/>
  <c r="X115" i="4"/>
  <c r="W115" i="4" s="1"/>
  <c r="X114" i="4"/>
  <c r="W114" i="4" s="1"/>
  <c r="X113" i="4"/>
  <c r="W113" i="4" s="1"/>
  <c r="X112" i="4"/>
  <c r="W112" i="4" s="1"/>
  <c r="X111" i="4"/>
  <c r="W111" i="4" s="1"/>
  <c r="X109" i="4"/>
  <c r="W109" i="4" s="1"/>
  <c r="X108" i="4"/>
  <c r="W108" i="4" s="1"/>
  <c r="X107" i="4"/>
  <c r="W107" i="4" s="1"/>
  <c r="X106" i="4"/>
  <c r="W106" i="4" s="1"/>
  <c r="X105" i="4"/>
  <c r="W105" i="4" s="1"/>
  <c r="X104" i="4"/>
  <c r="W104" i="4" s="1"/>
  <c r="X103" i="4"/>
  <c r="W103" i="4" s="1"/>
  <c r="X102" i="4"/>
  <c r="W102" i="4" s="1"/>
  <c r="X101" i="4"/>
  <c r="W101" i="4" s="1"/>
  <c r="X100" i="4"/>
  <c r="W100" i="4" s="1"/>
  <c r="X99" i="4"/>
  <c r="W99" i="4" s="1"/>
  <c r="X98" i="4"/>
  <c r="W98" i="4" s="1"/>
  <c r="X97" i="4"/>
  <c r="X91" i="4"/>
  <c r="W91" i="4" s="1"/>
  <c r="W90" i="4" s="1"/>
  <c r="X88" i="4"/>
  <c r="W88" i="4" s="1"/>
  <c r="X87" i="4"/>
  <c r="X86" i="4"/>
  <c r="W86" i="4" s="1"/>
  <c r="X84" i="4"/>
  <c r="W84" i="4" s="1"/>
  <c r="X83" i="4"/>
  <c r="X81" i="4"/>
  <c r="W81" i="4" s="1"/>
  <c r="W80" i="4" s="1"/>
  <c r="X79" i="4"/>
  <c r="W79" i="4" s="1"/>
  <c r="X78" i="4"/>
  <c r="W78" i="4" s="1"/>
  <c r="X75" i="4"/>
  <c r="W75" i="4" s="1"/>
  <c r="X74" i="4"/>
  <c r="X70" i="4"/>
  <c r="W70" i="4" s="1"/>
  <c r="X67" i="4"/>
  <c r="W67" i="4" s="1"/>
  <c r="X66" i="4"/>
  <c r="X63" i="4"/>
  <c r="W63" i="4" s="1"/>
  <c r="W62" i="4" s="1"/>
  <c r="X61" i="4"/>
  <c r="W61" i="4" s="1"/>
  <c r="X60" i="4"/>
  <c r="W60" i="4" s="1"/>
  <c r="X59" i="4"/>
  <c r="X57" i="4"/>
  <c r="X54" i="4"/>
  <c r="X53" i="4" s="1"/>
  <c r="X52" i="4"/>
  <c r="W52" i="4" s="1"/>
  <c r="W51" i="4" s="1"/>
  <c r="X49" i="4"/>
  <c r="X46" i="4"/>
  <c r="W46" i="4" s="1"/>
  <c r="W45" i="4" s="1"/>
  <c r="W44" i="4" s="1"/>
  <c r="X43" i="4"/>
  <c r="W43" i="4" s="1"/>
  <c r="X42" i="4"/>
  <c r="W42" i="4" s="1"/>
  <c r="X41" i="4"/>
  <c r="W41" i="4" s="1"/>
  <c r="X40" i="4"/>
  <c r="W40" i="4" s="1"/>
  <c r="X38" i="4"/>
  <c r="W38" i="4" s="1"/>
  <c r="X37" i="4"/>
  <c r="W37" i="4" s="1"/>
  <c r="X34" i="4"/>
  <c r="X31" i="4"/>
  <c r="W31" i="4" s="1"/>
  <c r="W30" i="4" s="1"/>
  <c r="W29" i="4" s="1"/>
  <c r="X28" i="4"/>
  <c r="X27" i="4" s="1"/>
  <c r="X25" i="4"/>
  <c r="W25" i="4" s="1"/>
  <c r="X24" i="4"/>
  <c r="X22" i="4"/>
  <c r="W22" i="4" s="1"/>
  <c r="X21" i="4"/>
  <c r="W21" i="4" s="1"/>
  <c r="X19" i="4"/>
  <c r="W19" i="4" s="1"/>
  <c r="X18" i="4"/>
  <c r="X13" i="4"/>
  <c r="F34" i="4"/>
  <c r="F33" i="4" s="1"/>
  <c r="F32" i="4" s="1"/>
  <c r="H33" i="4"/>
  <c r="H32" i="4" s="1"/>
  <c r="E33" i="4"/>
  <c r="AK34" i="4"/>
  <c r="G157" i="4"/>
  <c r="F157" i="4" s="1"/>
  <c r="G156" i="4"/>
  <c r="G152" i="4"/>
  <c r="F152" i="4" s="1"/>
  <c r="G151" i="4"/>
  <c r="F151" i="4" s="1"/>
  <c r="G143" i="4"/>
  <c r="F143" i="4" s="1"/>
  <c r="G133" i="4"/>
  <c r="F133" i="4" s="1"/>
  <c r="G132" i="4"/>
  <c r="F132" i="4" s="1"/>
  <c r="G142" i="4"/>
  <c r="F142" i="4" s="1"/>
  <c r="G130" i="4"/>
  <c r="G141" i="4"/>
  <c r="F141" i="4" s="1"/>
  <c r="G140" i="4"/>
  <c r="G121" i="4"/>
  <c r="F121" i="4" s="1"/>
  <c r="G120" i="4"/>
  <c r="G119" i="4"/>
  <c r="F119" i="4" s="1"/>
  <c r="G118" i="4"/>
  <c r="F118" i="4" s="1"/>
  <c r="G117" i="4"/>
  <c r="F117" i="4" s="1"/>
  <c r="G115" i="4"/>
  <c r="F115" i="4" s="1"/>
  <c r="G114" i="4"/>
  <c r="F114" i="4" s="1"/>
  <c r="G113" i="4"/>
  <c r="F113" i="4" s="1"/>
  <c r="G112" i="4"/>
  <c r="F112" i="4" s="1"/>
  <c r="G111" i="4"/>
  <c r="F111" i="4" s="1"/>
  <c r="G109" i="4"/>
  <c r="F109" i="4" s="1"/>
  <c r="G108" i="4"/>
  <c r="F108" i="4" s="1"/>
  <c r="G107" i="4"/>
  <c r="F107" i="4" s="1"/>
  <c r="G106" i="4"/>
  <c r="F106" i="4" s="1"/>
  <c r="G105" i="4"/>
  <c r="F105" i="4" s="1"/>
  <c r="G104" i="4"/>
  <c r="F104" i="4" s="1"/>
  <c r="G103" i="4"/>
  <c r="F103" i="4" s="1"/>
  <c r="G102" i="4"/>
  <c r="F102" i="4" s="1"/>
  <c r="G101" i="4"/>
  <c r="F101" i="4" s="1"/>
  <c r="G100" i="4"/>
  <c r="F100" i="4" s="1"/>
  <c r="G99" i="4"/>
  <c r="F99" i="4" s="1"/>
  <c r="G98" i="4"/>
  <c r="F98" i="4" s="1"/>
  <c r="G97" i="4"/>
  <c r="G92" i="4"/>
  <c r="F92" i="4" s="1"/>
  <c r="G91" i="4"/>
  <c r="F91" i="4" s="1"/>
  <c r="F90" i="4" s="1"/>
  <c r="G88" i="4"/>
  <c r="F88" i="4" s="1"/>
  <c r="G87" i="4"/>
  <c r="F87" i="4" s="1"/>
  <c r="G86" i="4"/>
  <c r="F86" i="4" s="1"/>
  <c r="G84" i="4"/>
  <c r="F84" i="4" s="1"/>
  <c r="G83" i="4"/>
  <c r="F83" i="4" s="1"/>
  <c r="G81" i="4"/>
  <c r="F81" i="4" s="1"/>
  <c r="F80" i="4" s="1"/>
  <c r="G79" i="4"/>
  <c r="F79" i="4" s="1"/>
  <c r="G78" i="4"/>
  <c r="F78" i="4" s="1"/>
  <c r="G75" i="4"/>
  <c r="F75" i="4" s="1"/>
  <c r="G74" i="4"/>
  <c r="F74" i="4" s="1"/>
  <c r="G71" i="4"/>
  <c r="F71" i="4" s="1"/>
  <c r="G70" i="4"/>
  <c r="F70" i="4" s="1"/>
  <c r="G67" i="4"/>
  <c r="F67" i="4" s="1"/>
  <c r="G66" i="4"/>
  <c r="G63" i="4"/>
  <c r="F63" i="4" s="1"/>
  <c r="F62" i="4" s="1"/>
  <c r="G61" i="4"/>
  <c r="F61" i="4" s="1"/>
  <c r="G60" i="4"/>
  <c r="F60" i="4" s="1"/>
  <c r="G59" i="4"/>
  <c r="G57" i="4"/>
  <c r="F57" i="4" s="1"/>
  <c r="F56" i="4" s="1"/>
  <c r="G54" i="4"/>
  <c r="G53" i="4" s="1"/>
  <c r="G52" i="4"/>
  <c r="F52" i="4" s="1"/>
  <c r="G49" i="4"/>
  <c r="F49" i="4" s="1"/>
  <c r="F48" i="4" s="1"/>
  <c r="G46" i="4"/>
  <c r="G43" i="4"/>
  <c r="F43" i="4" s="1"/>
  <c r="G42" i="4"/>
  <c r="F42" i="4" s="1"/>
  <c r="G41" i="4"/>
  <c r="F41" i="4" s="1"/>
  <c r="G40" i="4"/>
  <c r="F40" i="4" s="1"/>
  <c r="G38" i="4"/>
  <c r="F38" i="4" s="1"/>
  <c r="G37" i="4"/>
  <c r="F37" i="4" s="1"/>
  <c r="G31" i="4"/>
  <c r="G28" i="4"/>
  <c r="G25" i="4"/>
  <c r="F25" i="4" s="1"/>
  <c r="G24" i="4"/>
  <c r="F24" i="4" s="1"/>
  <c r="G22" i="4"/>
  <c r="F22" i="4" s="1"/>
  <c r="G21" i="4"/>
  <c r="F21" i="4" s="1"/>
  <c r="G19" i="4"/>
  <c r="F19" i="4" s="1"/>
  <c r="G18" i="4"/>
  <c r="F18" i="4" s="1"/>
  <c r="F13" i="4"/>
  <c r="AJ155" i="4"/>
  <c r="AJ154" i="4" s="1"/>
  <c r="AG155" i="4"/>
  <c r="AG154" i="4" s="1"/>
  <c r="AF155" i="4"/>
  <c r="AF154" i="4" s="1"/>
  <c r="AE155" i="4"/>
  <c r="AE154" i="4" s="1"/>
  <c r="AD155" i="4"/>
  <c r="AD154" i="4" s="1"/>
  <c r="AC155" i="4"/>
  <c r="AC154" i="4" s="1"/>
  <c r="AB155" i="4"/>
  <c r="AB154" i="4" s="1"/>
  <c r="AA155" i="4"/>
  <c r="AA154" i="4" s="1"/>
  <c r="Z155" i="4"/>
  <c r="Z154" i="4" s="1"/>
  <c r="Y155" i="4"/>
  <c r="Y154" i="4" s="1"/>
  <c r="AJ150" i="4"/>
  <c r="AG150" i="4"/>
  <c r="AF150" i="4"/>
  <c r="AE150" i="4"/>
  <c r="AD150" i="4"/>
  <c r="AC150" i="4"/>
  <c r="AB150" i="4"/>
  <c r="AA150" i="4"/>
  <c r="Z150" i="4"/>
  <c r="Y150" i="4"/>
  <c r="AJ90" i="4"/>
  <c r="AJ89" i="4" s="1"/>
  <c r="AG90" i="4"/>
  <c r="AG89" i="4" s="1"/>
  <c r="AF90" i="4"/>
  <c r="AF89" i="4" s="1"/>
  <c r="AE90" i="4"/>
  <c r="AE89" i="4" s="1"/>
  <c r="AD90" i="4"/>
  <c r="AD89" i="4" s="1"/>
  <c r="AC90" i="4"/>
  <c r="AC89" i="4" s="1"/>
  <c r="AB90" i="4"/>
  <c r="AB89" i="4" s="1"/>
  <c r="AA90" i="4"/>
  <c r="AA89" i="4" s="1"/>
  <c r="Z90" i="4"/>
  <c r="Z89" i="4" s="1"/>
  <c r="Y90" i="4"/>
  <c r="Y89" i="4" s="1"/>
  <c r="AJ85" i="4"/>
  <c r="AG85" i="4"/>
  <c r="AF85" i="4"/>
  <c r="AE85" i="4"/>
  <c r="AD85" i="4"/>
  <c r="AC85" i="4"/>
  <c r="AB85" i="4"/>
  <c r="AA85" i="4"/>
  <c r="Z85" i="4"/>
  <c r="Y85" i="4"/>
  <c r="AJ82" i="4"/>
  <c r="AG82" i="4"/>
  <c r="AF82" i="4"/>
  <c r="AE82" i="4"/>
  <c r="AD82" i="4"/>
  <c r="AC82" i="4"/>
  <c r="AB82" i="4"/>
  <c r="AA82" i="4"/>
  <c r="Z82" i="4"/>
  <c r="Y82" i="4"/>
  <c r="AJ80" i="4"/>
  <c r="AG80" i="4"/>
  <c r="AF80" i="4"/>
  <c r="AE80" i="4"/>
  <c r="AD80" i="4"/>
  <c r="AC80" i="4"/>
  <c r="AB80" i="4"/>
  <c r="AA80" i="4"/>
  <c r="Z80" i="4"/>
  <c r="Y80" i="4"/>
  <c r="AJ77" i="4"/>
  <c r="AG77" i="4"/>
  <c r="AF77" i="4"/>
  <c r="AE77" i="4"/>
  <c r="AD77" i="4"/>
  <c r="AC77" i="4"/>
  <c r="AB77" i="4"/>
  <c r="AA77" i="4"/>
  <c r="Z77" i="4"/>
  <c r="Y77" i="4"/>
  <c r="AJ73" i="4"/>
  <c r="AG73" i="4"/>
  <c r="AF73" i="4"/>
  <c r="AE73" i="4"/>
  <c r="AD73" i="4"/>
  <c r="AC73" i="4"/>
  <c r="AB73" i="4"/>
  <c r="AA73" i="4"/>
  <c r="Z73" i="4"/>
  <c r="Y73" i="4"/>
  <c r="AJ69" i="4"/>
  <c r="AG69" i="4"/>
  <c r="AF69" i="4"/>
  <c r="AE69" i="4"/>
  <c r="AD69" i="4"/>
  <c r="AC69" i="4"/>
  <c r="AB69" i="4"/>
  <c r="AA69" i="4"/>
  <c r="Z69" i="4"/>
  <c r="Y69" i="4"/>
  <c r="AJ64" i="4"/>
  <c r="AG64" i="4"/>
  <c r="AF64" i="4"/>
  <c r="AE64" i="4"/>
  <c r="AD64" i="4"/>
  <c r="AC64" i="4"/>
  <c r="AB64" i="4"/>
  <c r="AA64" i="4"/>
  <c r="Z64" i="4"/>
  <c r="Y64" i="4"/>
  <c r="AJ62" i="4"/>
  <c r="AG62" i="4"/>
  <c r="AF62" i="4"/>
  <c r="AE62" i="4"/>
  <c r="AD62" i="4"/>
  <c r="AC62" i="4"/>
  <c r="AB62" i="4"/>
  <c r="AA62" i="4"/>
  <c r="Z62" i="4"/>
  <c r="Y62" i="4"/>
  <c r="AJ58" i="4"/>
  <c r="AG58" i="4"/>
  <c r="AF58" i="4"/>
  <c r="AE58" i="4"/>
  <c r="AD58" i="4"/>
  <c r="AC58" i="4"/>
  <c r="AB58" i="4"/>
  <c r="AA58" i="4"/>
  <c r="Z58" i="4"/>
  <c r="Y58" i="4"/>
  <c r="AJ56" i="4"/>
  <c r="AG56" i="4"/>
  <c r="AF56" i="4"/>
  <c r="AE56" i="4"/>
  <c r="AD56" i="4"/>
  <c r="AC56" i="4"/>
  <c r="AB56" i="4"/>
  <c r="AA56" i="4"/>
  <c r="Z56" i="4"/>
  <c r="Y56" i="4"/>
  <c r="AJ53" i="4"/>
  <c r="AG53" i="4"/>
  <c r="AF53" i="4"/>
  <c r="AE53" i="4"/>
  <c r="AD53" i="4"/>
  <c r="AC53" i="4"/>
  <c r="AB53" i="4"/>
  <c r="AA53" i="4"/>
  <c r="Z53" i="4"/>
  <c r="Y53" i="4"/>
  <c r="AJ51" i="4"/>
  <c r="AG51" i="4"/>
  <c r="AF51" i="4"/>
  <c r="AE51" i="4"/>
  <c r="AD51" i="4"/>
  <c r="AC51" i="4"/>
  <c r="AB51" i="4"/>
  <c r="AA51" i="4"/>
  <c r="Z51" i="4"/>
  <c r="Y51" i="4"/>
  <c r="AJ48" i="4"/>
  <c r="AG48" i="4"/>
  <c r="AF48" i="4"/>
  <c r="AE48" i="4"/>
  <c r="AD48" i="4"/>
  <c r="AC48" i="4"/>
  <c r="AB48" i="4"/>
  <c r="AA48" i="4"/>
  <c r="Z48" i="4"/>
  <c r="Y48" i="4"/>
  <c r="AJ45" i="4"/>
  <c r="AJ44" i="4" s="1"/>
  <c r="AG45" i="4"/>
  <c r="AG44" i="4" s="1"/>
  <c r="AF45" i="4"/>
  <c r="AF44" i="4" s="1"/>
  <c r="AE45" i="4"/>
  <c r="AE44" i="4" s="1"/>
  <c r="AD45" i="4"/>
  <c r="AD44" i="4" s="1"/>
  <c r="AC45" i="4"/>
  <c r="AC44" i="4" s="1"/>
  <c r="AB45" i="4"/>
  <c r="AB44" i="4" s="1"/>
  <c r="AA45" i="4"/>
  <c r="AA44" i="4" s="1"/>
  <c r="Z45" i="4"/>
  <c r="Z44" i="4" s="1"/>
  <c r="Y45" i="4"/>
  <c r="Y44" i="4" s="1"/>
  <c r="AJ39" i="4"/>
  <c r="AG39" i="4"/>
  <c r="AF39" i="4"/>
  <c r="AE39" i="4"/>
  <c r="AD39" i="4"/>
  <c r="AC39" i="4"/>
  <c r="AB39" i="4"/>
  <c r="AA39" i="4"/>
  <c r="Z39" i="4"/>
  <c r="Y39" i="4"/>
  <c r="AJ36" i="4"/>
  <c r="AG36" i="4"/>
  <c r="AF36" i="4"/>
  <c r="AE36" i="4"/>
  <c r="AD36" i="4"/>
  <c r="AC36" i="4"/>
  <c r="AB36" i="4"/>
  <c r="AA36" i="4"/>
  <c r="Z36" i="4"/>
  <c r="Y36" i="4"/>
  <c r="AJ33" i="4"/>
  <c r="AJ32" i="4" s="1"/>
  <c r="AG33" i="4"/>
  <c r="AG32" i="4" s="1"/>
  <c r="AF33" i="4"/>
  <c r="AE33" i="4"/>
  <c r="AE32" i="4" s="1"/>
  <c r="AD33" i="4"/>
  <c r="AD32" i="4" s="1"/>
  <c r="AC33" i="4"/>
  <c r="AC32" i="4" s="1"/>
  <c r="AB33" i="4"/>
  <c r="AB32" i="4" s="1"/>
  <c r="AA33" i="4"/>
  <c r="AA32" i="4" s="1"/>
  <c r="Z33" i="4"/>
  <c r="Z32" i="4" s="1"/>
  <c r="Y33" i="4"/>
  <c r="Y32" i="4" s="1"/>
  <c r="AF32" i="4"/>
  <c r="AJ30" i="4"/>
  <c r="AJ29" i="4" s="1"/>
  <c r="AG30" i="4"/>
  <c r="AG29" i="4" s="1"/>
  <c r="AF30" i="4"/>
  <c r="AF29" i="4" s="1"/>
  <c r="AE30" i="4"/>
  <c r="AE29" i="4" s="1"/>
  <c r="AD30" i="4"/>
  <c r="AD29" i="4" s="1"/>
  <c r="AC30" i="4"/>
  <c r="AC29" i="4" s="1"/>
  <c r="AB30" i="4"/>
  <c r="AB29" i="4" s="1"/>
  <c r="AA30" i="4"/>
  <c r="AA29" i="4" s="1"/>
  <c r="Z30" i="4"/>
  <c r="Z29" i="4" s="1"/>
  <c r="Y30" i="4"/>
  <c r="Y29" i="4" s="1"/>
  <c r="AJ27" i="4"/>
  <c r="AG27" i="4"/>
  <c r="AF27" i="4"/>
  <c r="AE27" i="4"/>
  <c r="AD27" i="4"/>
  <c r="AC27" i="4"/>
  <c r="AB27" i="4"/>
  <c r="AA27" i="4"/>
  <c r="Z27" i="4"/>
  <c r="Y27" i="4"/>
  <c r="AJ23" i="4"/>
  <c r="AG23" i="4"/>
  <c r="AF23" i="4"/>
  <c r="AE23" i="4"/>
  <c r="AD23" i="4"/>
  <c r="AC23" i="4"/>
  <c r="AB23" i="4"/>
  <c r="AA23" i="4"/>
  <c r="Z23" i="4"/>
  <c r="Y23" i="4"/>
  <c r="AJ20" i="4"/>
  <c r="AG20" i="4"/>
  <c r="AF20" i="4"/>
  <c r="AE20" i="4"/>
  <c r="AD20" i="4"/>
  <c r="AC20" i="4"/>
  <c r="AB20" i="4"/>
  <c r="AA20" i="4"/>
  <c r="Z20" i="4"/>
  <c r="Y20" i="4"/>
  <c r="AJ17" i="4"/>
  <c r="AG17" i="4"/>
  <c r="AF17" i="4"/>
  <c r="AE17" i="4"/>
  <c r="AD17" i="4"/>
  <c r="AC17" i="4"/>
  <c r="AB17" i="4"/>
  <c r="AA17" i="4"/>
  <c r="Z17" i="4"/>
  <c r="Y17" i="4"/>
  <c r="AJ11" i="4"/>
  <c r="AJ10" i="4" s="1"/>
  <c r="AG11" i="4"/>
  <c r="AG10" i="4" s="1"/>
  <c r="AF11" i="4"/>
  <c r="AF10" i="4" s="1"/>
  <c r="AE11" i="4"/>
  <c r="AE10" i="4" s="1"/>
  <c r="AD11" i="4"/>
  <c r="AD10" i="4" s="1"/>
  <c r="AC11" i="4"/>
  <c r="AC10" i="4" s="1"/>
  <c r="AB11" i="4"/>
  <c r="AB10" i="4" s="1"/>
  <c r="AA11" i="4"/>
  <c r="AA10" i="4" s="1"/>
  <c r="Z11" i="4"/>
  <c r="Z10" i="4" s="1"/>
  <c r="Y11" i="4"/>
  <c r="Y10" i="4" s="1"/>
  <c r="U155" i="4"/>
  <c r="U154" i="4" s="1"/>
  <c r="P155" i="4"/>
  <c r="P154" i="4" s="1"/>
  <c r="O155" i="4"/>
  <c r="O154" i="4" s="1"/>
  <c r="N155" i="4"/>
  <c r="N154" i="4" s="1"/>
  <c r="M155" i="4"/>
  <c r="M154" i="4" s="1"/>
  <c r="L155" i="4"/>
  <c r="L154" i="4" s="1"/>
  <c r="K155" i="4"/>
  <c r="K154" i="4" s="1"/>
  <c r="J155" i="4"/>
  <c r="J154" i="4" s="1"/>
  <c r="I155" i="4"/>
  <c r="I154" i="4" s="1"/>
  <c r="H155" i="4"/>
  <c r="H154" i="4" s="1"/>
  <c r="U150" i="4"/>
  <c r="P150" i="4"/>
  <c r="O150" i="4"/>
  <c r="N150" i="4"/>
  <c r="M150" i="4"/>
  <c r="L150" i="4"/>
  <c r="K150" i="4"/>
  <c r="J150" i="4"/>
  <c r="I150" i="4"/>
  <c r="H150" i="4"/>
  <c r="U90" i="4"/>
  <c r="U89" i="4" s="1"/>
  <c r="P90" i="4"/>
  <c r="P89" i="4" s="1"/>
  <c r="O90" i="4"/>
  <c r="O89" i="4" s="1"/>
  <c r="N90" i="4"/>
  <c r="N89" i="4" s="1"/>
  <c r="M90" i="4"/>
  <c r="M89" i="4" s="1"/>
  <c r="L90" i="4"/>
  <c r="L89" i="4" s="1"/>
  <c r="K90" i="4"/>
  <c r="K89" i="4" s="1"/>
  <c r="J90" i="4"/>
  <c r="J89" i="4" s="1"/>
  <c r="I90" i="4"/>
  <c r="I89" i="4" s="1"/>
  <c r="H90" i="4"/>
  <c r="H89" i="4" s="1"/>
  <c r="U85" i="4"/>
  <c r="P85" i="4"/>
  <c r="O85" i="4"/>
  <c r="N85" i="4"/>
  <c r="M85" i="4"/>
  <c r="L85" i="4"/>
  <c r="K85" i="4"/>
  <c r="J85" i="4"/>
  <c r="I85" i="4"/>
  <c r="H85" i="4"/>
  <c r="U82" i="4"/>
  <c r="P82" i="4"/>
  <c r="O82" i="4"/>
  <c r="N82" i="4"/>
  <c r="M82" i="4"/>
  <c r="L82" i="4"/>
  <c r="K82" i="4"/>
  <c r="J82" i="4"/>
  <c r="I82" i="4"/>
  <c r="H82" i="4"/>
  <c r="U80" i="4"/>
  <c r="P80" i="4"/>
  <c r="O80" i="4"/>
  <c r="N80" i="4"/>
  <c r="M80" i="4"/>
  <c r="L80" i="4"/>
  <c r="K80" i="4"/>
  <c r="J80" i="4"/>
  <c r="I80" i="4"/>
  <c r="H80" i="4"/>
  <c r="U77" i="4"/>
  <c r="P77" i="4"/>
  <c r="O77" i="4"/>
  <c r="N77" i="4"/>
  <c r="M77" i="4"/>
  <c r="L77" i="4"/>
  <c r="K77" i="4"/>
  <c r="J77" i="4"/>
  <c r="I77" i="4"/>
  <c r="H77" i="4"/>
  <c r="U73" i="4"/>
  <c r="P73" i="4"/>
  <c r="O73" i="4"/>
  <c r="N73" i="4"/>
  <c r="M73" i="4"/>
  <c r="L73" i="4"/>
  <c r="K73" i="4"/>
  <c r="J73" i="4"/>
  <c r="I73" i="4"/>
  <c r="H73" i="4"/>
  <c r="U69" i="4"/>
  <c r="P69" i="4"/>
  <c r="O69" i="4"/>
  <c r="N69" i="4"/>
  <c r="M69" i="4"/>
  <c r="L69" i="4"/>
  <c r="K69" i="4"/>
  <c r="J69" i="4"/>
  <c r="I69" i="4"/>
  <c r="H69" i="4"/>
  <c r="U64" i="4"/>
  <c r="P64" i="4"/>
  <c r="O64" i="4"/>
  <c r="N64" i="4"/>
  <c r="M64" i="4"/>
  <c r="L64" i="4"/>
  <c r="K64" i="4"/>
  <c r="J64" i="4"/>
  <c r="I64" i="4"/>
  <c r="H64" i="4"/>
  <c r="U62" i="4"/>
  <c r="P62" i="4"/>
  <c r="O62" i="4"/>
  <c r="N62" i="4"/>
  <c r="M62" i="4"/>
  <c r="L62" i="4"/>
  <c r="K62" i="4"/>
  <c r="J62" i="4"/>
  <c r="I62" i="4"/>
  <c r="H62" i="4"/>
  <c r="U58" i="4"/>
  <c r="P58" i="4"/>
  <c r="O58" i="4"/>
  <c r="N58" i="4"/>
  <c r="M58" i="4"/>
  <c r="L58" i="4"/>
  <c r="K58" i="4"/>
  <c r="J58" i="4"/>
  <c r="I58" i="4"/>
  <c r="H58" i="4"/>
  <c r="U56" i="4"/>
  <c r="P56" i="4"/>
  <c r="O56" i="4"/>
  <c r="N56" i="4"/>
  <c r="M56" i="4"/>
  <c r="L56" i="4"/>
  <c r="K56" i="4"/>
  <c r="J56" i="4"/>
  <c r="I56" i="4"/>
  <c r="H56" i="4"/>
  <c r="U53" i="4"/>
  <c r="P53" i="4"/>
  <c r="O53" i="4"/>
  <c r="N53" i="4"/>
  <c r="M53" i="4"/>
  <c r="L53" i="4"/>
  <c r="K53" i="4"/>
  <c r="J53" i="4"/>
  <c r="I53" i="4"/>
  <c r="H53" i="4"/>
  <c r="U51" i="4"/>
  <c r="P51" i="4"/>
  <c r="O51" i="4"/>
  <c r="N51" i="4"/>
  <c r="M51" i="4"/>
  <c r="L51" i="4"/>
  <c r="K51" i="4"/>
  <c r="J51" i="4"/>
  <c r="I51" i="4"/>
  <c r="H51" i="4"/>
  <c r="U48" i="4"/>
  <c r="P48" i="4"/>
  <c r="O48" i="4"/>
  <c r="N48" i="4"/>
  <c r="M48" i="4"/>
  <c r="L48" i="4"/>
  <c r="K48" i="4"/>
  <c r="J48" i="4"/>
  <c r="I48" i="4"/>
  <c r="H48" i="4"/>
  <c r="U45" i="4"/>
  <c r="U44" i="4" s="1"/>
  <c r="P45" i="4"/>
  <c r="P44" i="4" s="1"/>
  <c r="O45" i="4"/>
  <c r="O44" i="4" s="1"/>
  <c r="N45" i="4"/>
  <c r="N44" i="4" s="1"/>
  <c r="M45" i="4"/>
  <c r="M44" i="4" s="1"/>
  <c r="L45" i="4"/>
  <c r="L44" i="4" s="1"/>
  <c r="K45" i="4"/>
  <c r="K44" i="4" s="1"/>
  <c r="J45" i="4"/>
  <c r="J44" i="4" s="1"/>
  <c r="I45" i="4"/>
  <c r="I44" i="4" s="1"/>
  <c r="H45" i="4"/>
  <c r="H44" i="4" s="1"/>
  <c r="U39" i="4"/>
  <c r="P39" i="4"/>
  <c r="O39" i="4"/>
  <c r="N39" i="4"/>
  <c r="M39" i="4"/>
  <c r="L39" i="4"/>
  <c r="K39" i="4"/>
  <c r="J39" i="4"/>
  <c r="I39" i="4"/>
  <c r="H39" i="4"/>
  <c r="U36" i="4"/>
  <c r="P36" i="4"/>
  <c r="O36" i="4"/>
  <c r="N36" i="4"/>
  <c r="M36" i="4"/>
  <c r="L36" i="4"/>
  <c r="K36" i="4"/>
  <c r="J36" i="4"/>
  <c r="I36" i="4"/>
  <c r="H36" i="4"/>
  <c r="U33" i="4"/>
  <c r="U32" i="4" s="1"/>
  <c r="P33" i="4"/>
  <c r="P32" i="4" s="1"/>
  <c r="O33" i="4"/>
  <c r="O32" i="4" s="1"/>
  <c r="N33" i="4"/>
  <c r="N32" i="4" s="1"/>
  <c r="M33" i="4"/>
  <c r="M32" i="4" s="1"/>
  <c r="L33" i="4"/>
  <c r="L32" i="4" s="1"/>
  <c r="K33" i="4"/>
  <c r="K32" i="4" s="1"/>
  <c r="J33" i="4"/>
  <c r="J32" i="4" s="1"/>
  <c r="I33" i="4"/>
  <c r="I32" i="4" s="1"/>
  <c r="G33" i="4"/>
  <c r="G32" i="4" s="1"/>
  <c r="U30" i="4"/>
  <c r="U29" i="4" s="1"/>
  <c r="P30" i="4"/>
  <c r="P29" i="4" s="1"/>
  <c r="O30" i="4"/>
  <c r="O29" i="4" s="1"/>
  <c r="N30" i="4"/>
  <c r="N29" i="4" s="1"/>
  <c r="M30" i="4"/>
  <c r="M29" i="4" s="1"/>
  <c r="L30" i="4"/>
  <c r="L29" i="4" s="1"/>
  <c r="K30" i="4"/>
  <c r="K29" i="4" s="1"/>
  <c r="J30" i="4"/>
  <c r="J29" i="4" s="1"/>
  <c r="I29" i="4"/>
  <c r="H29" i="4"/>
  <c r="U27" i="4"/>
  <c r="P27" i="4"/>
  <c r="O27" i="4"/>
  <c r="N27" i="4"/>
  <c r="M27" i="4"/>
  <c r="L27" i="4"/>
  <c r="K27" i="4"/>
  <c r="J27" i="4"/>
  <c r="I27" i="4"/>
  <c r="H27" i="4"/>
  <c r="U23" i="4"/>
  <c r="P23" i="4"/>
  <c r="O23" i="4"/>
  <c r="N23" i="4"/>
  <c r="M23" i="4"/>
  <c r="L23" i="4"/>
  <c r="K23" i="4"/>
  <c r="J23" i="4"/>
  <c r="I23" i="4"/>
  <c r="H23" i="4"/>
  <c r="U20" i="4"/>
  <c r="P20" i="4"/>
  <c r="O20" i="4"/>
  <c r="N20" i="4"/>
  <c r="M20" i="4"/>
  <c r="L20" i="4"/>
  <c r="K20" i="4"/>
  <c r="J20" i="4"/>
  <c r="I20" i="4"/>
  <c r="H20" i="4"/>
  <c r="U17" i="4"/>
  <c r="P17" i="4"/>
  <c r="O17" i="4"/>
  <c r="N17" i="4"/>
  <c r="M17" i="4"/>
  <c r="L17" i="4"/>
  <c r="K17" i="4"/>
  <c r="J17" i="4"/>
  <c r="I17" i="4"/>
  <c r="H17" i="4"/>
  <c r="U11" i="4"/>
  <c r="U10" i="4" s="1"/>
  <c r="P11" i="4"/>
  <c r="P10" i="4" s="1"/>
  <c r="O11" i="4"/>
  <c r="O10" i="4" s="1"/>
  <c r="N11" i="4"/>
  <c r="N10" i="4" s="1"/>
  <c r="M11" i="4"/>
  <c r="M10" i="4" s="1"/>
  <c r="L11" i="4"/>
  <c r="L10" i="4" s="1"/>
  <c r="K11" i="4"/>
  <c r="K10" i="4" s="1"/>
  <c r="J11" i="4"/>
  <c r="J10" i="4" s="1"/>
  <c r="I11" i="4"/>
  <c r="I10" i="4" s="1"/>
  <c r="H11" i="4"/>
  <c r="H10" i="4" s="1"/>
  <c r="AK151" i="4"/>
  <c r="AK152" i="4"/>
  <c r="V69" i="4"/>
  <c r="E69" i="4"/>
  <c r="E64" i="4"/>
  <c r="X65" i="4" l="1"/>
  <c r="X64" i="4" s="1"/>
  <c r="F66" i="4"/>
  <c r="F65" i="4" s="1"/>
  <c r="F64" i="4" s="1"/>
  <c r="G65" i="4"/>
  <c r="G64" i="4" s="1"/>
  <c r="G56" i="4"/>
  <c r="X90" i="4"/>
  <c r="X89" i="4" s="1"/>
  <c r="W130" i="4"/>
  <c r="W128" i="4" s="1"/>
  <c r="X128" i="4"/>
  <c r="G138" i="4"/>
  <c r="F130" i="4"/>
  <c r="F128" i="4" s="1"/>
  <c r="G128" i="4"/>
  <c r="X138" i="4"/>
  <c r="F140" i="4"/>
  <c r="F138" i="4" s="1"/>
  <c r="W140" i="4"/>
  <c r="W138" i="4" s="1"/>
  <c r="W97" i="4"/>
  <c r="W96" i="4" s="1"/>
  <c r="X96" i="4"/>
  <c r="W13" i="4"/>
  <c r="AL13" i="4" s="1"/>
  <c r="X12" i="4"/>
  <c r="X11" i="4" s="1"/>
  <c r="X10" i="4" s="1"/>
  <c r="F28" i="4"/>
  <c r="F27" i="4" s="1"/>
  <c r="G96" i="4"/>
  <c r="F51" i="4"/>
  <c r="AL52" i="4"/>
  <c r="AL51" i="4" s="1"/>
  <c r="F31" i="4"/>
  <c r="F30" i="4" s="1"/>
  <c r="F29" i="4" s="1"/>
  <c r="F12" i="4"/>
  <c r="F11" i="4" s="1"/>
  <c r="F10" i="4" s="1"/>
  <c r="I326" i="1"/>
  <c r="Z55" i="4"/>
  <c r="AD55" i="4"/>
  <c r="M326" i="1"/>
  <c r="E300" i="1"/>
  <c r="B12" i="5" s="1"/>
  <c r="X30" i="4"/>
  <c r="X29" i="4" s="1"/>
  <c r="X26" i="4" s="1"/>
  <c r="AC50" i="4"/>
  <c r="AC47" i="4" s="1"/>
  <c r="X62" i="4"/>
  <c r="AL84" i="4"/>
  <c r="AA26" i="4"/>
  <c r="AE26" i="4"/>
  <c r="X51" i="4"/>
  <c r="X50" i="4" s="1"/>
  <c r="AE16" i="4"/>
  <c r="AE15" i="4" s="1"/>
  <c r="AJ55" i="4"/>
  <c r="I50" i="4"/>
  <c r="I47" i="4" s="1"/>
  <c r="AB148" i="4"/>
  <c r="AF148" i="4"/>
  <c r="AL21" i="4"/>
  <c r="X77" i="4"/>
  <c r="AL78" i="4"/>
  <c r="G30" i="4"/>
  <c r="G29" i="4" s="1"/>
  <c r="H35" i="4"/>
  <c r="L35" i="4"/>
  <c r="P35" i="4"/>
  <c r="H55" i="4"/>
  <c r="L55" i="4"/>
  <c r="P55" i="4"/>
  <c r="G77" i="4"/>
  <c r="Z148" i="4"/>
  <c r="AD148" i="4"/>
  <c r="AJ148" i="4"/>
  <c r="AL19" i="4"/>
  <c r="AL25" i="4"/>
  <c r="AA35" i="4"/>
  <c r="AE35" i="4"/>
  <c r="AB76" i="4"/>
  <c r="AB72" i="4" s="1"/>
  <c r="AF76" i="4"/>
  <c r="AF72" i="4" s="1"/>
  <c r="AL109" i="4"/>
  <c r="X150" i="4"/>
  <c r="AL107" i="4"/>
  <c r="AL112" i="4"/>
  <c r="AL117" i="4"/>
  <c r="AL121" i="4"/>
  <c r="AL142" i="4"/>
  <c r="AL151" i="4"/>
  <c r="AL71" i="4"/>
  <c r="P326" i="1"/>
  <c r="R326" i="1"/>
  <c r="K326" i="1"/>
  <c r="O326" i="1"/>
  <c r="AF326" i="1"/>
  <c r="N326" i="1"/>
  <c r="Q326" i="1"/>
  <c r="L326" i="1"/>
  <c r="AL38" i="4"/>
  <c r="AL43" i="4"/>
  <c r="W89" i="4"/>
  <c r="AD16" i="4"/>
  <c r="AD15" i="4" s="1"/>
  <c r="X36" i="4"/>
  <c r="AB35" i="4"/>
  <c r="AF35" i="4"/>
  <c r="Z35" i="4"/>
  <c r="AJ35" i="4"/>
  <c r="AG148" i="4"/>
  <c r="AL99" i="4"/>
  <c r="AL103" i="4"/>
  <c r="X69" i="4"/>
  <c r="AL132" i="4"/>
  <c r="AL152" i="4"/>
  <c r="AL92" i="4"/>
  <c r="AL41" i="4"/>
  <c r="AL98" i="4"/>
  <c r="AL102" i="4"/>
  <c r="W69" i="4"/>
  <c r="G17" i="4"/>
  <c r="AL42" i="4"/>
  <c r="AL60" i="4"/>
  <c r="AL67" i="4"/>
  <c r="AL75" i="4"/>
  <c r="AL88" i="4"/>
  <c r="AL106" i="4"/>
  <c r="AL111" i="4"/>
  <c r="AL115" i="4"/>
  <c r="AL141" i="4"/>
  <c r="AL133" i="4"/>
  <c r="AC148" i="4"/>
  <c r="AL105" i="4"/>
  <c r="AL119" i="4"/>
  <c r="G23" i="4"/>
  <c r="AG26" i="4"/>
  <c r="AG50" i="4"/>
  <c r="AG47" i="4" s="1"/>
  <c r="AL22" i="4"/>
  <c r="AL61" i="4"/>
  <c r="AL100" i="4"/>
  <c r="AL104" i="4"/>
  <c r="AL143" i="4"/>
  <c r="AL37" i="4"/>
  <c r="AL114" i="4"/>
  <c r="Y35" i="4"/>
  <c r="AC35" i="4"/>
  <c r="X23" i="4"/>
  <c r="AL40" i="4"/>
  <c r="AL79" i="4"/>
  <c r="AL86" i="4"/>
  <c r="AL101" i="4"/>
  <c r="AL108" i="4"/>
  <c r="AL113" i="4"/>
  <c r="AL118" i="4"/>
  <c r="AL157" i="4"/>
  <c r="AL70" i="4"/>
  <c r="AD35" i="4"/>
  <c r="X155" i="4"/>
  <c r="X154" i="4" s="1"/>
  <c r="AL63" i="4"/>
  <c r="AL62" i="4" s="1"/>
  <c r="AA76" i="4"/>
  <c r="AA72" i="4" s="1"/>
  <c r="G27" i="4"/>
  <c r="Z16" i="4"/>
  <c r="Z15" i="4" s="1"/>
  <c r="AJ16" i="4"/>
  <c r="AJ15" i="4" s="1"/>
  <c r="Z50" i="4"/>
  <c r="Z47" i="4" s="1"/>
  <c r="AD50" i="4"/>
  <c r="AD47" i="4" s="1"/>
  <c r="AJ50" i="4"/>
  <c r="AJ47" i="4" s="1"/>
  <c r="AA55" i="4"/>
  <c r="AE55" i="4"/>
  <c r="Y55" i="4"/>
  <c r="AC55" i="4"/>
  <c r="AG55" i="4"/>
  <c r="Y148" i="4"/>
  <c r="W155" i="4"/>
  <c r="W154" i="4" s="1"/>
  <c r="AL81" i="4"/>
  <c r="AL80" i="4" s="1"/>
  <c r="AE76" i="4"/>
  <c r="AE72" i="4" s="1"/>
  <c r="AL91" i="4"/>
  <c r="AL90" i="4" s="1"/>
  <c r="G90" i="4"/>
  <c r="G89" i="4" s="1"/>
  <c r="AA16" i="4"/>
  <c r="AA15" i="4" s="1"/>
  <c r="AA50" i="4"/>
  <c r="AA47" i="4" s="1"/>
  <c r="AE50" i="4"/>
  <c r="AE47" i="4" s="1"/>
  <c r="Y50" i="4"/>
  <c r="Y47" i="4" s="1"/>
  <c r="AB55" i="4"/>
  <c r="AF55" i="4"/>
  <c r="W28" i="4"/>
  <c r="W150" i="4"/>
  <c r="G62" i="4"/>
  <c r="AG35" i="4"/>
  <c r="X45" i="4"/>
  <c r="X44" i="4" s="1"/>
  <c r="Y76" i="4"/>
  <c r="Y72" i="4" s="1"/>
  <c r="AC76" i="4"/>
  <c r="AC72" i="4" s="1"/>
  <c r="AG76" i="4"/>
  <c r="AG72" i="4" s="1"/>
  <c r="G45" i="4"/>
  <c r="G44" i="4" s="1"/>
  <c r="AB16" i="4"/>
  <c r="AB15" i="4" s="1"/>
  <c r="AF16" i="4"/>
  <c r="AF15" i="4" s="1"/>
  <c r="AB26" i="4"/>
  <c r="AF26" i="4"/>
  <c r="AD26" i="4"/>
  <c r="AJ26" i="4"/>
  <c r="X58" i="4"/>
  <c r="Y16" i="4"/>
  <c r="Y15" i="4" s="1"/>
  <c r="AC16" i="4"/>
  <c r="AC15" i="4" s="1"/>
  <c r="AG16" i="4"/>
  <c r="AG15" i="4" s="1"/>
  <c r="Y26" i="4"/>
  <c r="Z26" i="4"/>
  <c r="X39" i="4"/>
  <c r="X80" i="4"/>
  <c r="W54" i="4"/>
  <c r="AA148" i="4"/>
  <c r="AE148" i="4"/>
  <c r="W34" i="4"/>
  <c r="X33" i="4"/>
  <c r="X32" i="4" s="1"/>
  <c r="W39" i="4"/>
  <c r="W66" i="4"/>
  <c r="W65" i="4" s="1"/>
  <c r="W74" i="4"/>
  <c r="X73" i="4"/>
  <c r="AC26" i="4"/>
  <c r="AB50" i="4"/>
  <c r="AB47" i="4" s="1"/>
  <c r="AF50" i="4"/>
  <c r="AF47" i="4" s="1"/>
  <c r="F156" i="4"/>
  <c r="AL156" i="4" s="1"/>
  <c r="G155" i="4"/>
  <c r="G154" i="4" s="1"/>
  <c r="Z76" i="4"/>
  <c r="Z72" i="4" s="1"/>
  <c r="AD76" i="4"/>
  <c r="AD72" i="4" s="1"/>
  <c r="AJ76" i="4"/>
  <c r="AJ72" i="4" s="1"/>
  <c r="X17" i="4"/>
  <c r="W18" i="4"/>
  <c r="W49" i="4"/>
  <c r="AL49" i="4" s="1"/>
  <c r="X48" i="4"/>
  <c r="W57" i="4"/>
  <c r="X56" i="4"/>
  <c r="W83" i="4"/>
  <c r="X82" i="4"/>
  <c r="W87" i="4"/>
  <c r="X85" i="4"/>
  <c r="W24" i="4"/>
  <c r="W36" i="4"/>
  <c r="W59" i="4"/>
  <c r="W20" i="4"/>
  <c r="I35" i="4"/>
  <c r="M35" i="4"/>
  <c r="U35" i="4"/>
  <c r="X20" i="4"/>
  <c r="W77" i="4"/>
  <c r="J16" i="4"/>
  <c r="J15" i="4" s="1"/>
  <c r="N16" i="4"/>
  <c r="N15" i="4" s="1"/>
  <c r="J50" i="4"/>
  <c r="J47" i="4" s="1"/>
  <c r="N50" i="4"/>
  <c r="N47" i="4" s="1"/>
  <c r="F20" i="4"/>
  <c r="G36" i="4"/>
  <c r="G11" i="4"/>
  <c r="G10" i="4" s="1"/>
  <c r="N35" i="4"/>
  <c r="G48" i="4"/>
  <c r="M50" i="4"/>
  <c r="M47" i="4" s="1"/>
  <c r="U50" i="4"/>
  <c r="U47" i="4" s="1"/>
  <c r="G69" i="4"/>
  <c r="G80" i="4"/>
  <c r="F73" i="4"/>
  <c r="F85" i="4"/>
  <c r="G20" i="4"/>
  <c r="G39" i="4"/>
  <c r="G51" i="4"/>
  <c r="G50" i="4" s="1"/>
  <c r="G73" i="4"/>
  <c r="U76" i="4"/>
  <c r="U72" i="4" s="1"/>
  <c r="G85" i="4"/>
  <c r="G150" i="4"/>
  <c r="F17" i="4"/>
  <c r="F36" i="4"/>
  <c r="F69" i="4"/>
  <c r="F82" i="4"/>
  <c r="F150" i="4"/>
  <c r="G58" i="4"/>
  <c r="G82" i="4"/>
  <c r="M148" i="4"/>
  <c r="F23" i="4"/>
  <c r="F77" i="4"/>
  <c r="F89" i="4"/>
  <c r="F39" i="4"/>
  <c r="U26" i="4"/>
  <c r="K35" i="4"/>
  <c r="O35" i="4"/>
  <c r="H50" i="4"/>
  <c r="H47" i="4" s="1"/>
  <c r="L50" i="4"/>
  <c r="L47" i="4" s="1"/>
  <c r="P50" i="4"/>
  <c r="P47" i="4" s="1"/>
  <c r="K16" i="4"/>
  <c r="K15" i="4" s="1"/>
  <c r="O16" i="4"/>
  <c r="O15" i="4" s="1"/>
  <c r="H16" i="4"/>
  <c r="H15" i="4" s="1"/>
  <c r="L16" i="4"/>
  <c r="L15" i="4" s="1"/>
  <c r="P16" i="4"/>
  <c r="P15" i="4" s="1"/>
  <c r="J26" i="4"/>
  <c r="N26" i="4"/>
  <c r="J76" i="4"/>
  <c r="J72" i="4" s="1"/>
  <c r="N76" i="4"/>
  <c r="N72" i="4" s="1"/>
  <c r="K76" i="4"/>
  <c r="K72" i="4" s="1"/>
  <c r="O76" i="4"/>
  <c r="O72" i="4" s="1"/>
  <c r="U148" i="4"/>
  <c r="J35" i="4"/>
  <c r="K50" i="4"/>
  <c r="K47" i="4" s="1"/>
  <c r="O50" i="4"/>
  <c r="O47" i="4" s="1"/>
  <c r="H26" i="4"/>
  <c r="L26" i="4"/>
  <c r="P26" i="4"/>
  <c r="I148" i="4"/>
  <c r="M26" i="4"/>
  <c r="I76" i="4"/>
  <c r="I72" i="4" s="1"/>
  <c r="M76" i="4"/>
  <c r="M72" i="4" s="1"/>
  <c r="I55" i="4"/>
  <c r="M55" i="4"/>
  <c r="U55" i="4"/>
  <c r="J55" i="4"/>
  <c r="N55" i="4"/>
  <c r="K148" i="4"/>
  <c r="I16" i="4"/>
  <c r="I15" i="4" s="1"/>
  <c r="M16" i="4"/>
  <c r="M15" i="4" s="1"/>
  <c r="U16" i="4"/>
  <c r="U15" i="4" s="1"/>
  <c r="I26" i="4"/>
  <c r="H76" i="4"/>
  <c r="H72" i="4" s="1"/>
  <c r="L76" i="4"/>
  <c r="L72" i="4" s="1"/>
  <c r="P76" i="4"/>
  <c r="P72" i="4" s="1"/>
  <c r="K26" i="4"/>
  <c r="O26" i="4"/>
  <c r="K55" i="4"/>
  <c r="O55" i="4"/>
  <c r="O148" i="4"/>
  <c r="J148" i="4"/>
  <c r="N148" i="4"/>
  <c r="H148" i="4"/>
  <c r="L148" i="4"/>
  <c r="P148" i="4"/>
  <c r="G55" i="4" l="1"/>
  <c r="F127" i="4"/>
  <c r="F126" i="4" s="1"/>
  <c r="G127" i="4"/>
  <c r="G126" i="4" s="1"/>
  <c r="AL130" i="4"/>
  <c r="AL128" i="4" s="1"/>
  <c r="AL140" i="4"/>
  <c r="AL138" i="4" s="1"/>
  <c r="X127" i="4"/>
  <c r="X126" i="4" s="1"/>
  <c r="W127" i="4"/>
  <c r="W126" i="4" s="1"/>
  <c r="W12" i="4"/>
  <c r="W11" i="4" s="1"/>
  <c r="W10" i="4" s="1"/>
  <c r="G26" i="4"/>
  <c r="F26" i="4"/>
  <c r="AL31" i="4"/>
  <c r="AL30" i="4" s="1"/>
  <c r="AL29" i="4" s="1"/>
  <c r="AL12" i="4"/>
  <c r="AL11" i="4" s="1"/>
  <c r="AL10" i="4" s="1"/>
  <c r="AL20" i="4"/>
  <c r="AL77" i="4"/>
  <c r="X35" i="4"/>
  <c r="F155" i="4"/>
  <c r="F154" i="4" s="1"/>
  <c r="F148" i="4" s="1"/>
  <c r="AL150" i="4"/>
  <c r="AL36" i="4"/>
  <c r="G16" i="4"/>
  <c r="G15" i="4" s="1"/>
  <c r="X148" i="4"/>
  <c r="AF94" i="4"/>
  <c r="AF8" i="4" s="1"/>
  <c r="AF161" i="4" s="1"/>
  <c r="Y94" i="4"/>
  <c r="Y8" i="4" s="1"/>
  <c r="Y161" i="4" s="1"/>
  <c r="G35" i="4"/>
  <c r="X76" i="4"/>
  <c r="X72" i="4" s="1"/>
  <c r="AL155" i="4"/>
  <c r="AL154" i="4" s="1"/>
  <c r="AE94" i="4"/>
  <c r="AE8" i="4" s="1"/>
  <c r="AE161" i="4" s="1"/>
  <c r="AL69" i="4"/>
  <c r="X55" i="4"/>
  <c r="AL89" i="4"/>
  <c r="X16" i="4"/>
  <c r="X15" i="4" s="1"/>
  <c r="AL39" i="4"/>
  <c r="G148" i="4"/>
  <c r="G47" i="4"/>
  <c r="W148" i="4"/>
  <c r="F35" i="4"/>
  <c r="W35" i="4"/>
  <c r="AB94" i="4"/>
  <c r="AB8" i="4" s="1"/>
  <c r="AB161" i="4" s="1"/>
  <c r="X47" i="4"/>
  <c r="AA94" i="4"/>
  <c r="AA160" i="4" s="1"/>
  <c r="AJ94" i="4"/>
  <c r="AJ8" i="4" s="1"/>
  <c r="AJ161" i="4" s="1"/>
  <c r="W23" i="4"/>
  <c r="AL24" i="4"/>
  <c r="AL23" i="4" s="1"/>
  <c r="W82" i="4"/>
  <c r="AL83" i="4"/>
  <c r="AL82" i="4" s="1"/>
  <c r="W48" i="4"/>
  <c r="AL48" i="4"/>
  <c r="AD94" i="4"/>
  <c r="AD8" i="4" s="1"/>
  <c r="AD161" i="4" s="1"/>
  <c r="W64" i="4"/>
  <c r="AL66" i="4"/>
  <c r="W33" i="4"/>
  <c r="W32" i="4" s="1"/>
  <c r="AL34" i="4"/>
  <c r="AL33" i="4" s="1"/>
  <c r="AL32" i="4" s="1"/>
  <c r="AG94" i="4"/>
  <c r="AG8" i="4" s="1"/>
  <c r="AG161" i="4" s="1"/>
  <c r="W73" i="4"/>
  <c r="AL74" i="4"/>
  <c r="AL73" i="4" s="1"/>
  <c r="W58" i="4"/>
  <c r="W17" i="4"/>
  <c r="AL18" i="4"/>
  <c r="AL17" i="4" s="1"/>
  <c r="W27" i="4"/>
  <c r="W26" i="4" s="1"/>
  <c r="AL28" i="4"/>
  <c r="AL27" i="4" s="1"/>
  <c r="W85" i="4"/>
  <c r="AL87" i="4"/>
  <c r="AL85" i="4" s="1"/>
  <c r="W56" i="4"/>
  <c r="AL57" i="4"/>
  <c r="AL56" i="4" s="1"/>
  <c r="W53" i="4"/>
  <c r="W50" i="4" s="1"/>
  <c r="Z94" i="4"/>
  <c r="Z160" i="4" s="1"/>
  <c r="AC94" i="4"/>
  <c r="AC8" i="4" s="1"/>
  <c r="AC161" i="4" s="1"/>
  <c r="F76" i="4"/>
  <c r="F72" i="4" s="1"/>
  <c r="G76" i="4"/>
  <c r="G72" i="4" s="1"/>
  <c r="J94" i="4"/>
  <c r="J8" i="4" s="1"/>
  <c r="J161" i="4" s="1"/>
  <c r="U94" i="4"/>
  <c r="U8" i="4" s="1"/>
  <c r="U161" i="4" s="1"/>
  <c r="I94" i="4"/>
  <c r="I160" i="4" s="1"/>
  <c r="L94" i="4"/>
  <c r="L160" i="4" s="1"/>
  <c r="F16" i="4"/>
  <c r="F15" i="4" s="1"/>
  <c r="N94" i="4"/>
  <c r="N8" i="4" s="1"/>
  <c r="N161" i="4" s="1"/>
  <c r="H94" i="4"/>
  <c r="H8" i="4" s="1"/>
  <c r="H161" i="4" s="1"/>
  <c r="M94" i="4"/>
  <c r="M8" i="4" s="1"/>
  <c r="M161" i="4" s="1"/>
  <c r="K94" i="4"/>
  <c r="K8" i="4" s="1"/>
  <c r="K161" i="4" s="1"/>
  <c r="P94" i="4"/>
  <c r="P8" i="4" s="1"/>
  <c r="P161" i="4" s="1"/>
  <c r="O94" i="4"/>
  <c r="O8" i="4" s="1"/>
  <c r="O161" i="4" s="1"/>
  <c r="AL65" i="4" l="1"/>
  <c r="AL64" i="4" s="1"/>
  <c r="AL127" i="4"/>
  <c r="AL148" i="4"/>
  <c r="D9" i="5"/>
  <c r="AF160" i="4"/>
  <c r="Y160" i="4"/>
  <c r="AL16" i="4"/>
  <c r="AL15" i="4" s="1"/>
  <c r="AL35" i="4"/>
  <c r="G94" i="4"/>
  <c r="G160" i="4" s="1"/>
  <c r="J160" i="4"/>
  <c r="AE160" i="4"/>
  <c r="AD160" i="4"/>
  <c r="AA8" i="4"/>
  <c r="AA161" i="4" s="1"/>
  <c r="X94" i="4"/>
  <c r="X160" i="4" s="1"/>
  <c r="AL26" i="4"/>
  <c r="AC160" i="4"/>
  <c r="AL76" i="4"/>
  <c r="AL72" i="4" s="1"/>
  <c r="U160" i="4"/>
  <c r="AB160" i="4"/>
  <c r="AG160" i="4"/>
  <c r="Z8" i="4"/>
  <c r="Z161" i="4" s="1"/>
  <c r="W76" i="4"/>
  <c r="W72" i="4" s="1"/>
  <c r="W47" i="4"/>
  <c r="AJ160" i="4"/>
  <c r="W16" i="4"/>
  <c r="W15" i="4" s="1"/>
  <c r="W55" i="4"/>
  <c r="I8" i="4"/>
  <c r="I161" i="4" s="1"/>
  <c r="H160" i="4"/>
  <c r="L8" i="4"/>
  <c r="L161" i="4" s="1"/>
  <c r="M160" i="4"/>
  <c r="K160" i="4"/>
  <c r="P160" i="4"/>
  <c r="N160" i="4"/>
  <c r="O160" i="4"/>
  <c r="AL126" i="4" l="1"/>
  <c r="B11" i="5" s="1"/>
  <c r="G8" i="4"/>
  <c r="G161" i="4" s="1"/>
  <c r="X8" i="4"/>
  <c r="X161" i="4" s="1"/>
  <c r="W94" i="4"/>
  <c r="W160" i="4" s="1"/>
  <c r="W8" i="4" l="1"/>
  <c r="W161" i="4" s="1"/>
  <c r="E51" i="4" l="1"/>
  <c r="AK37" i="4" l="1"/>
  <c r="E97" i="4" l="1"/>
  <c r="AK142" i="4"/>
  <c r="F97" i="4" l="1"/>
  <c r="F23" i="1"/>
  <c r="AL97" i="4" l="1"/>
  <c r="D23" i="1"/>
  <c r="G23" i="1"/>
  <c r="E23" i="1" s="1"/>
  <c r="AK143" i="4"/>
  <c r="D11" i="1" l="1"/>
  <c r="D269" i="1" l="1"/>
  <c r="D272" i="1"/>
  <c r="G272" i="1"/>
  <c r="E54" i="4"/>
  <c r="F54" i="4" s="1"/>
  <c r="AL54" i="4" s="1"/>
  <c r="AL53" i="4" s="1"/>
  <c r="F53" i="4" l="1"/>
  <c r="F50" i="4" s="1"/>
  <c r="F47" i="4" s="1"/>
  <c r="E272" i="1"/>
  <c r="E270" i="1" s="1"/>
  <c r="B10" i="5" s="1"/>
  <c r="G270" i="1"/>
  <c r="D270" i="1"/>
  <c r="D328" i="1" s="1"/>
  <c r="D327" i="1"/>
  <c r="AK115" i="4"/>
  <c r="D326" i="1" l="1"/>
  <c r="F323" i="1"/>
  <c r="BP327" i="1"/>
  <c r="BP323" i="1"/>
  <c r="BH323" i="1"/>
  <c r="AT323" i="1"/>
  <c r="AG323" i="1"/>
  <c r="AL50" i="4" l="1"/>
  <c r="AL47" i="4" s="1"/>
  <c r="E59" i="4"/>
  <c r="F59" i="4" s="1"/>
  <c r="F58" i="4" l="1"/>
  <c r="F55" i="4" s="1"/>
  <c r="AL59" i="4"/>
  <c r="AL58" i="4" s="1"/>
  <c r="AL55" i="4" s="1"/>
  <c r="E120" i="4"/>
  <c r="E96" i="4" s="1"/>
  <c r="F120" i="4" l="1"/>
  <c r="F96" i="4" s="1"/>
  <c r="E46" i="4"/>
  <c r="F46" i="4" s="1"/>
  <c r="AL120" i="4" l="1"/>
  <c r="F45" i="4"/>
  <c r="F44" i="4" s="1"/>
  <c r="F94" i="4" s="1"/>
  <c r="AL46" i="4"/>
  <c r="AL45" i="4" s="1"/>
  <c r="AL44" i="4" s="1"/>
  <c r="AL94" i="4" s="1"/>
  <c r="V51" i="4"/>
  <c r="AL96" i="4" l="1"/>
  <c r="B9" i="5" s="1"/>
  <c r="F160" i="4"/>
  <c r="F8" i="4"/>
  <c r="F161" i="4" s="1"/>
  <c r="B4" i="5"/>
  <c r="AL160" i="4"/>
  <c r="BP316" i="1"/>
  <c r="BH316" i="1"/>
  <c r="AT316" i="1"/>
  <c r="AG316" i="1"/>
  <c r="F316" i="1"/>
  <c r="BP312" i="1"/>
  <c r="BH312" i="1"/>
  <c r="AT312" i="1"/>
  <c r="AG312" i="1"/>
  <c r="F312" i="1"/>
  <c r="BP308" i="1"/>
  <c r="BH308" i="1"/>
  <c r="AT308" i="1"/>
  <c r="AG308" i="1"/>
  <c r="F308" i="1"/>
  <c r="BP303" i="1"/>
  <c r="BH303" i="1"/>
  <c r="AT303" i="1"/>
  <c r="AG303" i="1"/>
  <c r="F303" i="1"/>
  <c r="BP301" i="1"/>
  <c r="BH301" i="1"/>
  <c r="AT301" i="1"/>
  <c r="AG301" i="1"/>
  <c r="F301" i="1"/>
  <c r="AL8" i="4" l="1"/>
  <c r="AL161" i="4" s="1"/>
  <c r="AT300" i="1"/>
  <c r="BH300" i="1"/>
  <c r="AG300" i="1"/>
  <c r="BP300" i="1"/>
  <c r="F300" i="1"/>
  <c r="BP270" i="1"/>
  <c r="BH270" i="1"/>
  <c r="AT270" i="1"/>
  <c r="AG270" i="1"/>
  <c r="AK121" i="4" l="1"/>
  <c r="AK120" i="4"/>
  <c r="V62" i="4" l="1"/>
  <c r="AK104" i="4" l="1"/>
  <c r="AK70" i="4" l="1"/>
  <c r="AK63" i="4" l="1"/>
  <c r="E155" i="4" l="1"/>
  <c r="E32" i="4" l="1"/>
  <c r="V33" i="4"/>
  <c r="V32" i="4" s="1"/>
  <c r="E53" i="4" l="1"/>
  <c r="V53" i="4"/>
  <c r="AK62" i="4" l="1"/>
  <c r="AK71" i="4" l="1"/>
  <c r="AK69" i="4" s="1"/>
  <c r="AK75" i="4" l="1"/>
  <c r="AK140" i="4" l="1"/>
  <c r="AK141" i="4"/>
  <c r="AK130" i="4"/>
  <c r="AK132" i="4"/>
  <c r="AK133" i="4"/>
  <c r="AK128" i="4" l="1"/>
  <c r="AK138" i="4"/>
  <c r="V73" i="4"/>
  <c r="E73" i="4"/>
  <c r="AK127" i="4" l="1"/>
  <c r="AK126" i="4" s="1"/>
  <c r="AK33" i="4"/>
  <c r="AK32" i="4" s="1"/>
  <c r="AK13" i="4" l="1"/>
  <c r="AK12" i="4" s="1"/>
  <c r="BP246" i="1" l="1"/>
  <c r="AK157" i="4" l="1"/>
  <c r="AK156" i="4"/>
  <c r="AK119" i="4"/>
  <c r="AK118" i="4"/>
  <c r="AK114" i="4"/>
  <c r="AK113" i="4"/>
  <c r="AK112" i="4"/>
  <c r="AK111" i="4"/>
  <c r="AK108" i="4"/>
  <c r="AK107" i="4"/>
  <c r="AK105" i="4"/>
  <c r="AK103" i="4"/>
  <c r="AK102" i="4"/>
  <c r="AK97" i="4"/>
  <c r="AK88" i="4"/>
  <c r="AK74" i="4"/>
  <c r="AK73" i="4" s="1"/>
  <c r="AK67" i="4"/>
  <c r="AK66" i="4"/>
  <c r="AK61" i="4"/>
  <c r="AK60" i="4"/>
  <c r="AK59" i="4"/>
  <c r="AK57" i="4"/>
  <c r="AK54" i="4"/>
  <c r="AK53" i="4" s="1"/>
  <c r="AK52" i="4" s="1"/>
  <c r="AK49" i="4"/>
  <c r="AK46" i="4"/>
  <c r="AK43" i="4"/>
  <c r="AK42" i="4"/>
  <c r="AK41" i="4"/>
  <c r="AK40" i="4"/>
  <c r="AK38" i="4"/>
  <c r="AK31" i="4"/>
  <c r="AK28" i="4"/>
  <c r="AK25" i="4"/>
  <c r="AK24" i="4"/>
  <c r="AK22" i="4"/>
  <c r="AK21" i="4"/>
  <c r="AK19" i="4"/>
  <c r="AK18" i="4"/>
  <c r="AK65" i="4" l="1"/>
  <c r="AK39" i="4"/>
  <c r="AK51" i="4"/>
  <c r="AK117" i="4"/>
  <c r="AK155" i="4" l="1"/>
  <c r="AK154" i="4" s="1"/>
  <c r="D8" i="5" s="1"/>
  <c r="AK150" i="4"/>
  <c r="D4" i="5" s="1"/>
  <c r="D7" i="5" s="1"/>
  <c r="AK64" i="4"/>
  <c r="AK58" i="4"/>
  <c r="AK56" i="4"/>
  <c r="AK45" i="4"/>
  <c r="AK44" i="4" s="1"/>
  <c r="AK36" i="4"/>
  <c r="AK30" i="4"/>
  <c r="AK29" i="4" s="1"/>
  <c r="AK23" i="4"/>
  <c r="AK20" i="4"/>
  <c r="AK17" i="4"/>
  <c r="AK48" i="4"/>
  <c r="AK27" i="4"/>
  <c r="V155" i="4"/>
  <c r="V154" i="4" s="1"/>
  <c r="V150" i="4"/>
  <c r="V90" i="4"/>
  <c r="V89" i="4" s="1"/>
  <c r="V85" i="4"/>
  <c r="V82" i="4"/>
  <c r="V80" i="4"/>
  <c r="V77" i="4"/>
  <c r="V64" i="4"/>
  <c r="V58" i="4"/>
  <c r="V56" i="4"/>
  <c r="V48" i="4"/>
  <c r="V45" i="4"/>
  <c r="V44" i="4" s="1"/>
  <c r="V39" i="4"/>
  <c r="V36" i="4"/>
  <c r="V30" i="4"/>
  <c r="V29" i="4" s="1"/>
  <c r="V27" i="4"/>
  <c r="V23" i="4"/>
  <c r="V20" i="4"/>
  <c r="V17" i="4"/>
  <c r="V11" i="4"/>
  <c r="V10" i="4" s="1"/>
  <c r="AK55" i="4" l="1"/>
  <c r="V55" i="4"/>
  <c r="AK16" i="4"/>
  <c r="AK15" i="4" s="1"/>
  <c r="AK35" i="4"/>
  <c r="AK11" i="4"/>
  <c r="AK10" i="4" s="1"/>
  <c r="V35" i="4"/>
  <c r="V50" i="4"/>
  <c r="V47" i="4" s="1"/>
  <c r="V16" i="4"/>
  <c r="V15" i="4" s="1"/>
  <c r="AK50" i="4"/>
  <c r="AK47" i="4" s="1"/>
  <c r="AK26" i="4"/>
  <c r="V26" i="4"/>
  <c r="V76" i="4"/>
  <c r="V72" i="4" s="1"/>
  <c r="V148" i="4"/>
  <c r="AK148" i="4"/>
  <c r="V94" i="4" l="1"/>
  <c r="V8" i="4" s="1"/>
  <c r="V161" i="4" s="1"/>
  <c r="V160" i="4" l="1"/>
  <c r="BP11" i="1" l="1"/>
  <c r="BP28" i="1"/>
  <c r="BP36" i="1"/>
  <c r="BP65" i="1"/>
  <c r="BP75" i="1"/>
  <c r="BP87" i="1"/>
  <c r="BP94" i="1"/>
  <c r="BP136" i="1"/>
  <c r="BP328" i="1" l="1"/>
  <c r="BP269" i="1"/>
  <c r="BP326" i="1" s="1"/>
  <c r="AK106" i="4" l="1"/>
  <c r="AT65" i="1" l="1"/>
  <c r="E23" i="4" l="1"/>
  <c r="E20" i="4"/>
  <c r="E17" i="4"/>
  <c r="E16" i="4" l="1"/>
  <c r="E45" i="4" l="1"/>
  <c r="E44" i="4" s="1"/>
  <c r="E50" i="4" l="1"/>
  <c r="E150" i="4" l="1"/>
  <c r="E58" i="4"/>
  <c r="E56" i="4"/>
  <c r="E48" i="4"/>
  <c r="E39" i="4"/>
  <c r="E36" i="4"/>
  <c r="E29" i="4"/>
  <c r="E27" i="4"/>
  <c r="E55" i="4" l="1"/>
  <c r="E26" i="4"/>
  <c r="E154" i="4"/>
  <c r="E11" i="4"/>
  <c r="E10" i="4" s="1"/>
  <c r="E35" i="4"/>
  <c r="E47" i="4"/>
  <c r="E148" i="4" l="1"/>
  <c r="E15" i="4"/>
  <c r="AG87" i="1" l="1"/>
  <c r="AT87" i="1"/>
  <c r="BH87" i="1"/>
  <c r="CE329" i="1" l="1"/>
  <c r="F87" i="1" l="1"/>
  <c r="BH65" i="1" l="1"/>
  <c r="BH28" i="1" l="1"/>
  <c r="AG11" i="1"/>
  <c r="BH11" i="1" l="1"/>
  <c r="AT11" i="1"/>
  <c r="BH94" i="1" l="1"/>
  <c r="AT94" i="1"/>
  <c r="AG94" i="1" l="1"/>
  <c r="AG75" i="1" l="1"/>
  <c r="BH75" i="1" l="1"/>
  <c r="AK99" i="4" l="1"/>
  <c r="AK98" i="4" l="1"/>
  <c r="AK91" i="4" l="1"/>
  <c r="AK90" i="4" s="1"/>
  <c r="E90" i="4"/>
  <c r="AG28" i="1" l="1"/>
  <c r="AT28" i="1"/>
  <c r="AT75" i="1" l="1"/>
  <c r="AG65" i="1" l="1"/>
  <c r="F65" i="1" l="1"/>
  <c r="BH246" i="1" l="1"/>
  <c r="AG246" i="1"/>
  <c r="AT246" i="1"/>
  <c r="AT136" i="1" l="1"/>
  <c r="BH136" i="1" l="1"/>
  <c r="AG136" i="1"/>
  <c r="BH36" i="1" l="1"/>
  <c r="BH327" i="1"/>
  <c r="AT327" i="1"/>
  <c r="AT36" i="1"/>
  <c r="BH328" i="1" l="1"/>
  <c r="BH269" i="1"/>
  <c r="BH326" i="1" s="1"/>
  <c r="AT269" i="1"/>
  <c r="AT326" i="1" s="1"/>
  <c r="AT328" i="1"/>
  <c r="BH329" i="1" l="1"/>
  <c r="AT329" i="1"/>
  <c r="AG327" i="1" l="1"/>
  <c r="AG36" i="1"/>
  <c r="F36" i="1"/>
  <c r="AG328" i="1" l="1"/>
  <c r="AG269" i="1"/>
  <c r="AG326" i="1" s="1"/>
  <c r="AG329" i="1" l="1"/>
  <c r="AK78" i="4" l="1"/>
  <c r="E77" i="4"/>
  <c r="AK79" i="4"/>
  <c r="E82" i="4"/>
  <c r="AK83" i="4"/>
  <c r="AK84" i="4"/>
  <c r="E80" i="4"/>
  <c r="AK81" i="4"/>
  <c r="AK80" i="4" s="1"/>
  <c r="AK86" i="4"/>
  <c r="E85" i="4"/>
  <c r="AK87" i="4"/>
  <c r="E89" i="4"/>
  <c r="AK92" i="4"/>
  <c r="AK89" i="4" s="1"/>
  <c r="AK77" i="4" l="1"/>
  <c r="AK85" i="4"/>
  <c r="AK82" i="4"/>
  <c r="E76" i="4"/>
  <c r="AK76" i="4" l="1"/>
  <c r="AK72" i="4" s="1"/>
  <c r="AK94" i="4" s="1"/>
  <c r="AK160" i="4" s="1"/>
  <c r="E72" i="4"/>
  <c r="E94" i="4" l="1"/>
  <c r="E160" i="4" l="1"/>
  <c r="AK100" i="4" l="1"/>
  <c r="F270" i="1" l="1"/>
  <c r="AK101" i="4" l="1"/>
  <c r="AK96" i="4" s="1"/>
  <c r="E8" i="4" l="1"/>
  <c r="AK8" i="4"/>
  <c r="AK161" i="4" s="1"/>
  <c r="E161" i="4" l="1"/>
  <c r="B8" i="5"/>
  <c r="AK163" i="4" l="1"/>
  <c r="F75" i="1" l="1"/>
  <c r="F136" i="1" l="1"/>
  <c r="F94" i="1"/>
  <c r="F11" i="1"/>
  <c r="F28" i="1"/>
  <c r="F246" i="1"/>
  <c r="F327" i="1"/>
  <c r="F269" i="1" l="1"/>
  <c r="F326" i="1" s="1"/>
  <c r="F328" i="1"/>
  <c r="F329" i="1" l="1"/>
  <c r="D329" i="1" l="1"/>
  <c r="H327" i="1"/>
  <c r="H11" i="1"/>
  <c r="H269" i="1" s="1"/>
  <c r="H326" i="1" s="1"/>
  <c r="G12" i="1"/>
  <c r="G327" i="1" l="1"/>
  <c r="E12" i="1"/>
  <c r="H328" i="1"/>
  <c r="G11" i="1"/>
  <c r="E11" i="1" l="1"/>
  <c r="E327" i="1"/>
  <c r="G328" i="1"/>
  <c r="G269" i="1"/>
  <c r="G326" i="1" s="1"/>
  <c r="E269" i="1" l="1"/>
  <c r="E328" i="1"/>
  <c r="E326" i="1" l="1"/>
  <c r="D332" i="1" s="1"/>
  <c r="B5" i="5"/>
  <c r="B7" i="5" s="1"/>
</calcChain>
</file>

<file path=xl/comments1.xml><?xml version="1.0" encoding="utf-8"?>
<comments xmlns="http://schemas.openxmlformats.org/spreadsheetml/2006/main">
  <authors>
    <author>Elina Markaine</author>
    <author>Kristīne Hermane</author>
  </authors>
  <commentList>
    <comment ref="I23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I236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ar rīkojumu</t>
        </r>
      </text>
    </comment>
    <comment ref="K277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Ieskaitīts ieņēm.samazinājums no LP projekta uz domes tranzītkonta atlikumu 2352 un samazināts plānotais atlikums domes tranzītkontam sakarā ar atlikuma uz g.s.samazinājumu - 12169 EUR</t>
        </r>
      </text>
    </comment>
    <comment ref="W277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1405 euro - CFLA līdzekļi, LP projektam, kas ir pašv. kontā, bet ko nepieprasīs LP.</t>
        </r>
      </text>
    </comment>
    <comment ref="K292" authorId="1" shapeId="0">
      <text>
        <r>
          <rPr>
            <b/>
            <sz val="9"/>
            <color indexed="81"/>
            <rFont val="Tahoma"/>
            <family val="2"/>
            <charset val="186"/>
          </rPr>
          <t>Kristīne Hermane:</t>
        </r>
        <r>
          <rPr>
            <sz val="9"/>
            <color indexed="81"/>
            <rFont val="Tahoma"/>
            <family val="2"/>
            <charset val="186"/>
          </rPr>
          <t xml:space="preserve">
132 euro ir iekļauta summā 180983</t>
        </r>
      </text>
    </comment>
  </commentList>
</comments>
</file>

<file path=xl/comments2.xml><?xml version="1.0" encoding="utf-8"?>
<comments xmlns="http://schemas.openxmlformats.org/spreadsheetml/2006/main">
  <authors>
    <author>Elina Markaine</author>
  </authors>
  <commentList>
    <comment ref="I54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No Ostas pārvaldes</t>
        </r>
      </text>
    </comment>
    <comment ref="I100" authorId="0" shapeId="0">
      <text>
        <r>
          <rPr>
            <b/>
            <sz val="9"/>
            <color indexed="81"/>
            <rFont val="Tahoma"/>
            <family val="2"/>
            <charset val="186"/>
          </rPr>
          <t>Elina Markaine:</t>
        </r>
        <r>
          <rPr>
            <sz val="9"/>
            <color indexed="81"/>
            <rFont val="Tahoma"/>
            <family val="2"/>
            <charset val="186"/>
          </rPr>
          <t xml:space="preserve">
Domes tranzītkonts LP projektam - 12169 EUR</t>
        </r>
      </text>
    </comment>
  </commentList>
</comments>
</file>

<file path=xl/sharedStrings.xml><?xml version="1.0" encoding="utf-8"?>
<sst xmlns="http://schemas.openxmlformats.org/spreadsheetml/2006/main" count="1075" uniqueCount="865">
  <si>
    <t>Kopā</t>
  </si>
  <si>
    <t>Pamatbudžets</t>
  </si>
  <si>
    <t>Maksas pakalpojumi</t>
  </si>
  <si>
    <t>Ziedojumi</t>
  </si>
  <si>
    <t>01</t>
  </si>
  <si>
    <t>Jūrmalas pilsētas dome</t>
  </si>
  <si>
    <t>03</t>
  </si>
  <si>
    <t>04</t>
  </si>
  <si>
    <t>Ekonomiskā darbība</t>
  </si>
  <si>
    <t>05</t>
  </si>
  <si>
    <t>Vides aizsardzība</t>
  </si>
  <si>
    <t>06</t>
  </si>
  <si>
    <t>07</t>
  </si>
  <si>
    <t>Veselība</t>
  </si>
  <si>
    <t>08</t>
  </si>
  <si>
    <t>Atpūta, kultūra un reliģija</t>
  </si>
  <si>
    <t>Jūrmalas pilsētas muzejs</t>
  </si>
  <si>
    <t>09</t>
  </si>
  <si>
    <t>Izglītība</t>
  </si>
  <si>
    <t>Vaivaru pamatskola</t>
  </si>
  <si>
    <t>Pumpuru vidusskola</t>
  </si>
  <si>
    <t>Sociālā aizsardzība</t>
  </si>
  <si>
    <t>Kontrole 1:</t>
  </si>
  <si>
    <t>Kontrole 2:</t>
  </si>
  <si>
    <t>Kontrole 3:</t>
  </si>
  <si>
    <t>Kods</t>
  </si>
  <si>
    <t>Ieņēmumu veids</t>
  </si>
  <si>
    <t>1.0.0.0.</t>
  </si>
  <si>
    <t>IENĀKUMA NODOKĻI</t>
  </si>
  <si>
    <t>1.1.0.0.</t>
  </si>
  <si>
    <t>Ieņēmumi no iedzīvotāju ienākuma nodokļa</t>
  </si>
  <si>
    <t>1.1.1.0.</t>
  </si>
  <si>
    <t>Iedzīvotāju ienākuma nodoklis</t>
  </si>
  <si>
    <t>1.1.1.1.</t>
  </si>
  <si>
    <t>4.0.0.0.</t>
  </si>
  <si>
    <t>ĪPAŠUMA NODOKĻI</t>
  </si>
  <si>
    <t>4.1.0.0.</t>
  </si>
  <si>
    <t>Nekustamā īpašuma nodoklis</t>
  </si>
  <si>
    <t>4.1.1.1.</t>
  </si>
  <si>
    <t>Nekustamā īpašuma nodokļa par zemi kārtējā saimnieciskā gada ieņēmumi</t>
  </si>
  <si>
    <t>4.1.1.2.</t>
  </si>
  <si>
    <t>Nekustamā īpašuma nodokļa par zemi iepriekšējo gadu parādi</t>
  </si>
  <si>
    <t>4.1.2.0.</t>
  </si>
  <si>
    <t>4.1.2.1.</t>
  </si>
  <si>
    <t>4.1.2.2.</t>
  </si>
  <si>
    <t>5.0.0.0.</t>
  </si>
  <si>
    <t>NODOKĻI PAR PAKALPOJUMIEM UN PRECĒM</t>
  </si>
  <si>
    <t>5.4.0.0.</t>
  </si>
  <si>
    <t>Nodokļi atsevišķām precēm un pakalpojumu veidiem</t>
  </si>
  <si>
    <t>5.4.1.0.</t>
  </si>
  <si>
    <t>Azartspēļu nodoklis</t>
  </si>
  <si>
    <t>5.5.0.0.</t>
  </si>
  <si>
    <t>Nodokļi un maksājumi par tiesībām lietot atsevišķas preces</t>
  </si>
  <si>
    <t>5.5.3.0.</t>
  </si>
  <si>
    <t>Dabas resursu nodoklis</t>
  </si>
  <si>
    <t>8.0.0.0.</t>
  </si>
  <si>
    <t>8.6.0.0.</t>
  </si>
  <si>
    <t>9.0.0.0.</t>
  </si>
  <si>
    <t>VALSTS (PAŠVALDĪBU) NODEVAS UN KANCELEJAS NODEVAS</t>
  </si>
  <si>
    <t>9.4.0.0.</t>
  </si>
  <si>
    <t>Valsts nodevas, kuras ieskaita pašvaldību budžetā</t>
  </si>
  <si>
    <t>9.4.5.0.</t>
  </si>
  <si>
    <t>9.4.9.0.</t>
  </si>
  <si>
    <t>9.5.0.0.</t>
  </si>
  <si>
    <t>Pašvaldību nodevas</t>
  </si>
  <si>
    <t>9.5.1.4.</t>
  </si>
  <si>
    <t>9.5.1.6.</t>
  </si>
  <si>
    <t>9.5.1.7.</t>
  </si>
  <si>
    <t>10.0.0.0.</t>
  </si>
  <si>
    <t>NAUDAS SODI UN SANKCIJAS</t>
  </si>
  <si>
    <t>10.1.0.0.</t>
  </si>
  <si>
    <t>Naudas sodi</t>
  </si>
  <si>
    <t>10.1.4.0.</t>
  </si>
  <si>
    <t>Naudas sodi, ko uzliek pašvaldības</t>
  </si>
  <si>
    <t>12.0.0.0.</t>
  </si>
  <si>
    <t>PĀRĒJIE NENODOKĻU IEŅĒMUMI</t>
  </si>
  <si>
    <t>12.2.0.0.</t>
  </si>
  <si>
    <t>Nenodokļu ieņēmumi un ieņēmumi no zaudējumu atlīdzībām un kompensācijām</t>
  </si>
  <si>
    <t xml:space="preserve">12.2.3.0. </t>
  </si>
  <si>
    <t>Ieņēmumi no ūdenstilpju un zvejas tiesību nomas un zvejas tiesību rūpnieciskas izmantošanas (licences)</t>
  </si>
  <si>
    <t>12.3.0.0.</t>
  </si>
  <si>
    <t>Citi dažādi nenodokļu ieņēmumi</t>
  </si>
  <si>
    <t>13.0.0.0.</t>
  </si>
  <si>
    <t>18.0.0.0.</t>
  </si>
  <si>
    <t>VALSTS BUDŽETA TRANSFERTI</t>
  </si>
  <si>
    <t>18.6.0.0.</t>
  </si>
  <si>
    <t xml:space="preserve">18.6.2.0. </t>
  </si>
  <si>
    <t>19.0.0.0.</t>
  </si>
  <si>
    <t>PAŠVALDĪBU BUDŽETU TRANSFERTI</t>
  </si>
  <si>
    <t>19.2.0.0.</t>
  </si>
  <si>
    <t>21.0.0.0.</t>
  </si>
  <si>
    <t>21.1.0.0.</t>
  </si>
  <si>
    <t>21.3.0.0.</t>
  </si>
  <si>
    <t>21.3.5.0.</t>
  </si>
  <si>
    <t>Maksa par izglītības pakalpojumiem</t>
  </si>
  <si>
    <t>21.3.5.1.</t>
  </si>
  <si>
    <t>21.3.5.9.</t>
  </si>
  <si>
    <t>21.3.7.0.</t>
  </si>
  <si>
    <t>Ieņēmumi par dokumentu izsniegšanu un kancelejas pakalpojumiem</t>
  </si>
  <si>
    <t>21.3.7.9.</t>
  </si>
  <si>
    <t>21.3.8.0.</t>
  </si>
  <si>
    <t>21.3.8.1.</t>
  </si>
  <si>
    <t>21.3.8.3.</t>
  </si>
  <si>
    <t>21.3.9.0.</t>
  </si>
  <si>
    <t>21.3.9.1.</t>
  </si>
  <si>
    <t>21.3.9.3.</t>
  </si>
  <si>
    <t>21.3.9.9.</t>
  </si>
  <si>
    <t>21.4.2.0.</t>
  </si>
  <si>
    <t>23.0.0.0.</t>
  </si>
  <si>
    <t>23.5.0.0.</t>
  </si>
  <si>
    <t>Ienākumi no valsts un pašvaldību īpašuma iznomāšanas</t>
  </si>
  <si>
    <t>Zemes noma</t>
  </si>
  <si>
    <t>Telpu noma</t>
  </si>
  <si>
    <t>Pludmales noma</t>
  </si>
  <si>
    <t>I Pamatbudžets</t>
  </si>
  <si>
    <t>Pašvaldības konsolidētie budžeta ieņēmumi</t>
  </si>
  <si>
    <t>Dažādi nenodokļu ieņēmumi</t>
  </si>
  <si>
    <t>12.3.9.0.</t>
  </si>
  <si>
    <t>12.3.9.9.</t>
  </si>
  <si>
    <t>Pārējie dažādi nenodokļu ieņēmumi, kas nav iepriekš klasificēti šajā klasifikācijā</t>
  </si>
  <si>
    <t>18.6.3.0.</t>
  </si>
  <si>
    <t>Mērķdotācijas pašvaldību autoceļu (ielu) fondiem</t>
  </si>
  <si>
    <t>Kopā pamatbudžeta ieņēmumi (bez kredītlīdzekļiem un atlikuma gada sākumā):</t>
  </si>
  <si>
    <t>IEŅĒMUMI NO UZŅĒMĒJDARBĪBAS UN ĪPAŠUMA</t>
  </si>
  <si>
    <t>PVN nomaksa</t>
  </si>
  <si>
    <t>Atlikums gada beigās</t>
  </si>
  <si>
    <t>Kopā pašvaldības konsolidētā budžeta ieņēmumi bez atlikumiem gada sākumā un plānotajiem kredītiem</t>
  </si>
  <si>
    <t>Mērķdotācija pedagogu atalgojumam</t>
  </si>
  <si>
    <t>Valsts budžeta transferti</t>
  </si>
  <si>
    <t>Aizņēmumi</t>
  </si>
  <si>
    <t>9.5.2.1.</t>
  </si>
  <si>
    <t>13.2.1.0.</t>
  </si>
  <si>
    <t>Ieņēmumi no zemes īpašuma pārdošanas</t>
  </si>
  <si>
    <t>13.5.0.0.</t>
  </si>
  <si>
    <t>13.5.1.0.</t>
  </si>
  <si>
    <t>13.5.2.0.</t>
  </si>
  <si>
    <t>13.5.3.0.</t>
  </si>
  <si>
    <t>Jūrmalas Valsts ģimnāzija</t>
  </si>
  <si>
    <t xml:space="preserve">Saņemts no Valsts kases sadales konta iepriekšējā gada nesadalītais iedzīvotāju ienākuma nodokļa atlikums </t>
  </si>
  <si>
    <t xml:space="preserve">Nekustamā īpašuma nodoklis par ēkām </t>
  </si>
  <si>
    <t>Pašvaldības nodeva par tirdzniecību publiskās vietās</t>
  </si>
  <si>
    <t>Pašvaldības nodeva par transportlīdzekļu iebraukšanu īpaša režīma zonās</t>
  </si>
  <si>
    <t>Pašvaldības nodeva par reklāmas, afišu un sludinājumu izvietošanu publiskās vietās</t>
  </si>
  <si>
    <t>Mērķdotācijas pašvaldībām pasažieru regulārajiem pārvadājumiem</t>
  </si>
  <si>
    <t>Ieņēmumi par telpu nomu </t>
  </si>
  <si>
    <t>23.4.1.0.</t>
  </si>
  <si>
    <t>Juridisku personu ziedojumi un dāvinājumi naudā</t>
  </si>
  <si>
    <t>Dotācijas skolēniem ēdināšanas izdevumiem</t>
  </si>
  <si>
    <t>Nekustamā īpašuma nodokļa par ēkām  kārtējā gada maksājumi</t>
  </si>
  <si>
    <t>Nekustamā īpašuma nodokļa par ēkām parādi par iepriekšējiem gadiem</t>
  </si>
  <si>
    <t>IEŅĒMUMI NO VALSTS (PAŠVALDĪBU) ĪPAŠUMA IZNOMĀŠANAS, PĀRDOŠANAS UN NO NODOKĻU PAMATPARĀDA KAPITALIZĀCIJAS</t>
  </si>
  <si>
    <t>Jūrmalas Kultūras centrs</t>
  </si>
  <si>
    <t>Jūrmalas Bērnu un jauniešu interešu centrs</t>
  </si>
  <si>
    <t>Jūrmalas pilsētas Mežmalas vidusskola</t>
  </si>
  <si>
    <t>Jūrmalas sākumskola "Atvase"</t>
  </si>
  <si>
    <t>Jūrmalas vakara vidusskola</t>
  </si>
  <si>
    <t>Programma</t>
  </si>
  <si>
    <t>II Speciālais budžets</t>
  </si>
  <si>
    <t>SAŅEMTIE ZIEDOJUMI UN DĀVINĀJUMI</t>
  </si>
  <si>
    <t>Speciālā budžeta līdzekļu atlikums gada sākumā</t>
  </si>
  <si>
    <t>Saņemtie ziedojumi un dāvinājumi</t>
  </si>
  <si>
    <t xml:space="preserve">ziedojumi un dāvinājumi, kas saņemti no juridiskām personām </t>
  </si>
  <si>
    <t xml:space="preserve">ziedojumi un dāvinājumi, kas saņemti no fiziskām personām </t>
  </si>
  <si>
    <t>Ziedojumi un dāvinājumi, kas saņemti no fiziskām personām</t>
  </si>
  <si>
    <t>Vispārējie valdības dienesti</t>
  </si>
  <si>
    <t>Sabiedriskā kārtība un drošība</t>
  </si>
  <si>
    <t>Teritoriju un mājokļu apsaimniekošana</t>
  </si>
  <si>
    <t>Pašvaldības pamatbudžets</t>
  </si>
  <si>
    <t>Līdzfinansējuma un priekšfinansējuma nodrošināšana ES un citas ārvalstu finanšu palīdzības projektu īstenošanā</t>
  </si>
  <si>
    <t>Apstādījumu atjaunošanas līdzekļi</t>
  </si>
  <si>
    <t>Nekustamā īpašuma nodoklis par zemi</t>
  </si>
  <si>
    <t>4.1.1.0.</t>
  </si>
  <si>
    <t>Mācību maksa</t>
  </si>
  <si>
    <t>Pārējie ieņēmumi par izglītības pakalpojumiem</t>
  </si>
  <si>
    <t>Ieņēmumi par pārējo dokumentu izsniegšanu un pārējiem kancelejas pakalpojumiem</t>
  </si>
  <si>
    <t>Ieņēmumi no kustamā īpašuma iznomāšanas</t>
  </si>
  <si>
    <t>Ieņēmumi par nomu un īri</t>
  </si>
  <si>
    <t>Maksa par personu uzturēšanos sociālās aprūpes iestādēs</t>
  </si>
  <si>
    <t>Citi ieņēmumi par maksas pakalpojumiem</t>
  </si>
  <si>
    <t>Pamatbudžeta līdzekļu atlikums gada sākumā</t>
  </si>
  <si>
    <t>Pašvaldības budžeta līdzekļu atlikums</t>
  </si>
  <si>
    <t>Apropriācijas rezerve</t>
  </si>
  <si>
    <t>Iestādes uzturēšana</t>
  </si>
  <si>
    <t>Iemaksas pašvaldību izlīdzināšanas fondā</t>
  </si>
  <si>
    <t>Izdevumi neparedzētiem gadījumiem</t>
  </si>
  <si>
    <t>Iebraukšanas nodevas iekasēšanas nodrošinājums</t>
  </si>
  <si>
    <t>Pretplūdu pasākumu veikšana un iestādes uzturēšanas izdevumi</t>
  </si>
  <si>
    <t>Kapsētu teritoriju apsaimniekošana</t>
  </si>
  <si>
    <t>Specializēto medicīnisko pakalpojumu līdzfinansējums</t>
  </si>
  <si>
    <t xml:space="preserve">Pilsētas kultūras un atpūtas pasākumi </t>
  </si>
  <si>
    <t>Aprūpe pašvaldības sociālās aprūpes institūcijās</t>
  </si>
  <si>
    <t>Bērnu tiesību aizsardzības nodrošināšana</t>
  </si>
  <si>
    <t>Piezīmes</t>
  </si>
  <si>
    <t>Pārējās valsts nodevas, kuras ieskaita pašvaldību budžetā</t>
  </si>
  <si>
    <t>Ieņēmumi par biļešu realizāciju</t>
  </si>
  <si>
    <t>POS termināla nodrošinājums u.c.</t>
  </si>
  <si>
    <t>Jūrmalas Centrālā bibliotēka</t>
  </si>
  <si>
    <t>Jūrmalas pilsētas bāriņtiesa</t>
  </si>
  <si>
    <t>Majoru vidusskola</t>
  </si>
  <si>
    <t>Sākumskola "Ābelīte"</t>
  </si>
  <si>
    <t>Jūrmalas sākumskola "Taurenītis"</t>
  </si>
  <si>
    <t>Slokas pamatskola</t>
  </si>
  <si>
    <t>21.4.2.9.</t>
  </si>
  <si>
    <t>Pārējo veselības aprūpes pakalpojumu līdzfinansējums</t>
  </si>
  <si>
    <t>Integrācijas projektu īstenošana</t>
  </si>
  <si>
    <t>Sociālā aizsardzība invaliditātes gadījumā</t>
  </si>
  <si>
    <t>Atbalsts gados veciem cilvēkiem</t>
  </si>
  <si>
    <t>Atbalsts ģimenēm ar bērniem</t>
  </si>
  <si>
    <t>Mājokļa atbalsts</t>
  </si>
  <si>
    <t>Atkarību profilakses programmu finansējums</t>
  </si>
  <si>
    <t>Pansionāta pakalpojumu sniegšana</t>
  </si>
  <si>
    <t>Nakts patversme</t>
  </si>
  <si>
    <t>Zupas virtuves pakalpojumu nodrošināšana</t>
  </si>
  <si>
    <t>13.2.0.0.</t>
  </si>
  <si>
    <t>Ieņēmumi no zemes, meža īpašuma pārdošanas</t>
  </si>
  <si>
    <t>Sabiedriskā transporta organizēšanas pasākumi</t>
  </si>
  <si>
    <t>Vides aizsardzības veicināšanas pasākumu vadība, regulēšana, uzraudzība</t>
  </si>
  <si>
    <t>Centralizētie pasākumi vispārējās izglītības jomā</t>
  </si>
  <si>
    <t>Pašvaldības īpašumu pārvaldīšana</t>
  </si>
  <si>
    <t>Sporta pasākumi</t>
  </si>
  <si>
    <t>Tūrisma attīstības nodrošināšanas pasākumi</t>
  </si>
  <si>
    <t>21.1.9.2.</t>
  </si>
  <si>
    <t>Ieņēmumi no citu valstu finanšu palīdzības programmu īstenošanas</t>
  </si>
  <si>
    <t>Pilsētas svētku noformējums</t>
  </si>
  <si>
    <t>Norēķini par izglītības pakalpojumiem, ko sniedz citas pašvaldības</t>
  </si>
  <si>
    <t>Atskaitījumi CSDD par apstāšanās un stāvēšanas noteikumu pārkāpumu iekasēšanas nodrošināšanu</t>
  </si>
  <si>
    <t>Pašvaldības pārziņā esošo teritoriju apsaimniekošana (kopšana un tīrīšana)</t>
  </si>
  <si>
    <t>Iestādes uzturēšana un vispārējās izglītības nodrošināšana</t>
  </si>
  <si>
    <t>Iestādes uzturēšana un pirmsskolas izglītības nodrošināšana</t>
  </si>
  <si>
    <t>Pašvaldību no valsts budžeta iestādēm saņemtie transferti Eiropas Savienības politiku instrumentu un pārējās ārvalstu finanšu palīdzības līdzfinansētajiem projektiem (pasākumiem)</t>
  </si>
  <si>
    <t>Pašvaldību saņemtie transferti no citām pašvaldībām</t>
  </si>
  <si>
    <t>Pašvaldību saņemtie transferti no valsts budžeta</t>
  </si>
  <si>
    <t>Vidēja termiņa un ilgtermiņa aizņēmumi</t>
  </si>
  <si>
    <t>21.4.9.9.</t>
  </si>
  <si>
    <t>Pārējie iepriekš neklasificētie pašu ieņēmumi</t>
  </si>
  <si>
    <t>21.4.0.0.</t>
  </si>
  <si>
    <t>Ilgtermiņa aizņēmumi</t>
  </si>
  <si>
    <t>Jūrmalas Valsts ģimnāzijas un sākumskolas "Atvase" daudzfunkcionālās sporta halles projektēšana un celtniecība</t>
  </si>
  <si>
    <t>Pirmsskolas izglītības iestāžu labiekārtošanas pasākumi</t>
  </si>
  <si>
    <t>Pilsētas kultūrvēsturiskā mantojuma saglabāšana</t>
  </si>
  <si>
    <t>Brīvpusdienu nodrošināšana</t>
  </si>
  <si>
    <t>Iestādes uzturēšana, interešu un profesionālās ievirzes izglītības nodrošināšana</t>
  </si>
  <si>
    <t>Iestādes uzturēšana, profesionālās ievirzes izglītības nodrošināšana</t>
  </si>
  <si>
    <t>Iestādes uzturēšana un sabiedriskās kārtības nodrošināšana</t>
  </si>
  <si>
    <t>Ar ārējo sakaru attīstību saistītās starptautiskās un institucionālās sadarbības aktivitātes</t>
  </si>
  <si>
    <t>Jūrmalas Alternatīvā skola</t>
  </si>
  <si>
    <t>Notekūdeņu apsaimniekošana (meliorācijas sistēmas apsaimniekošana)</t>
  </si>
  <si>
    <t>Iestādes uzturēšana,interešu un profesionālās ievirzes izglītības nodrošināšana</t>
  </si>
  <si>
    <t>Sporta skolas pasākumi</t>
  </si>
  <si>
    <t>5.5.3.1.</t>
  </si>
  <si>
    <t>Dabas resursu nodoklis par dabas resursu ieguvi un vides piesārņošanu</t>
  </si>
  <si>
    <t>Pilsētas ekonomiskās attīstības pasākumi</t>
  </si>
  <si>
    <t>Centralizēti pasākumi</t>
  </si>
  <si>
    <t>Administratīvo ēku būvniecība, atjaunošana un uzlabošana</t>
  </si>
  <si>
    <t>Publisku teritoriju, ēku un mājokļu būvniecība, atjaunošana un uzlabošana</t>
  </si>
  <si>
    <t>Kultūras centru un namu būvniecība, atjaunošana un uzlabošana</t>
  </si>
  <si>
    <t>Pirmsskolas izglītības iestāžu būvniecība, atjaunošana un uzlabošana</t>
  </si>
  <si>
    <t>Sākumskolu, pamatskolu un vidusskolu būvniecība, atjaunošana un uzlabošana</t>
  </si>
  <si>
    <t>Interešu un profesionālās ievirzes izglītības iestāžu būvniecība, atjaunošana un uzlabošana</t>
  </si>
  <si>
    <t>Muzeju ēku būvniecība, atjaunošana un uzlabošana</t>
  </si>
  <si>
    <t>Pilsētas mežu un publiskās teritorijās esošo koku kopšanas pasākumi</t>
  </si>
  <si>
    <t>Sabiedrisko attiecību veidošanas pasākumi</t>
  </si>
  <si>
    <t>Vides piesārņojuma novēršana un samazināšana</t>
  </si>
  <si>
    <t>Vides aizsardzības pasākumi bioloģiskās daudzveidības un ainavas aizsardzības jomā</t>
  </si>
  <si>
    <t>Ar tiesvedības procesiem saistīti izdevumi</t>
  </si>
  <si>
    <t>Juridiskie pakalpojumi ar pašvaldības darbu saistītos jautājumos</t>
  </si>
  <si>
    <t>Nacionālo vērtību stiprināšana</t>
  </si>
  <si>
    <t>Etniskā integrācija</t>
  </si>
  <si>
    <t>Integrācija kultūras aspektā</t>
  </si>
  <si>
    <t>Sociālā integrācija</t>
  </si>
  <si>
    <t>Integrācijas rīcības virzieni izglītības jomā</t>
  </si>
  <si>
    <t>Pilsoniskās sabiedrības stiprināšana</t>
  </si>
  <si>
    <t xml:space="preserve">Pārējais citur neklasificēts atbalsts sociāli atstumtām personām </t>
  </si>
  <si>
    <t>Pārējie citur neklasificētie sociālās aizsardzības pasākumi</t>
  </si>
  <si>
    <t>Bilance</t>
  </si>
  <si>
    <t>12.3.1.0.</t>
  </si>
  <si>
    <t>Mājas aprūpes un pavadoņu pakalpojuma nodrošināšana</t>
  </si>
  <si>
    <t>Pilsētas teritoriju labiekārtošanas pasākumi</t>
  </si>
  <si>
    <t>Pilsētas ielu apgaismojuma nodrošināšana</t>
  </si>
  <si>
    <t>Pilsētas kultūras un atpūtas pasākumi</t>
  </si>
  <si>
    <t>Jūrmalas pilsētas Jaundubultu vidusskola</t>
  </si>
  <si>
    <t>Jūrmalas Mākslas skola</t>
  </si>
  <si>
    <t>Jūrmalas Mūzikas vidusskola</t>
  </si>
  <si>
    <t>Jūrmalas Sporta skola</t>
  </si>
  <si>
    <t>F40320010</t>
  </si>
  <si>
    <t>Mērķdotācija asistentu pakalpojumu nodrošināšanai skolās</t>
  </si>
  <si>
    <t>F40020010</t>
  </si>
  <si>
    <t>Procentu ieņēmumi par depozītiem, kontu atlikumiem, valsts parāda vērtspapīriem un atlikto maksājumu</t>
  </si>
  <si>
    <t>IESTĀDES IEŅĒMUMI</t>
  </si>
  <si>
    <t>Iestādes ieņēmumi no ārvalstu finanšu palīdzības</t>
  </si>
  <si>
    <t>Ieņēmumi no iestāžu sniegtajiem maksas pakalpojumiem un citi pašu ieņēmumi</t>
  </si>
  <si>
    <t>Pārējie 21.3.0.0.grupā neklasificētie iestāžu ieņēmumi par iestāžu sniegtajiem maksas pakalpojumiem un citi pašu ieņēmumi</t>
  </si>
  <si>
    <t>4.1.3.0.</t>
  </si>
  <si>
    <t>4.1.3.1.</t>
  </si>
  <si>
    <t>4.1.3.2.</t>
  </si>
  <si>
    <t>Nekustamā īpašuma nodoklis par mājokļiem</t>
  </si>
  <si>
    <t>Nekustamā īpašuma nodokļa par mājokļiem  kārtējā saimnieciskā gada ieņēmumi</t>
  </si>
  <si>
    <t>Nekustamā īpašuma nodokļa par mājokļiem parādi par iepriekšējiem gadiem</t>
  </si>
  <si>
    <t>Jūrmalas ostas pārvalde</t>
  </si>
  <si>
    <t>Sabiedrība ar ierobežotu atbildību "Jūrmalas gaisma"</t>
  </si>
  <si>
    <t>Jūrmalas pilsētas stadiona "Sloka" uzturēšana</t>
  </si>
  <si>
    <t>Majoru sporta laukuma uzturēšana</t>
  </si>
  <si>
    <t>Sporta nama "Taurenītis" uzturēšana</t>
  </si>
  <si>
    <t>Sabiedrība ar ierobežotu atbildību "Dzintaru koncertzāle"</t>
  </si>
  <si>
    <t>"LATVIJAS STARPTAUTISKĀ SKOLA"</t>
  </si>
  <si>
    <t>Jūrmalas pilsētas pašvaldības iestāde "Sprīdītis"</t>
  </si>
  <si>
    <t>Sabiedrība ar ierobežotu atbildību "Jūrmalas ūdens"</t>
  </si>
  <si>
    <t>Notekūdeņu apsaimniekošana (lietus ūdens kanalizācijas apsaimniekošana)</t>
  </si>
  <si>
    <t>01.1.1.</t>
  </si>
  <si>
    <t>01.1.2.,
01.1.3.</t>
  </si>
  <si>
    <t>01.1.4.</t>
  </si>
  <si>
    <t>01.1.5.</t>
  </si>
  <si>
    <t>01.1.6.</t>
  </si>
  <si>
    <t>03.1.1.</t>
  </si>
  <si>
    <t>03.1.2.</t>
  </si>
  <si>
    <t>03.1.3.</t>
  </si>
  <si>
    <t>04.1.3.</t>
  </si>
  <si>
    <t>04.1.5.</t>
  </si>
  <si>
    <t>04.1.6.</t>
  </si>
  <si>
    <t>04.1.7.</t>
  </si>
  <si>
    <t>05.1.1.</t>
  </si>
  <si>
    <t>05.1.2.</t>
  </si>
  <si>
    <t>05.1.3.</t>
  </si>
  <si>
    <t>05.1.4.</t>
  </si>
  <si>
    <t>05.1.5.</t>
  </si>
  <si>
    <t>05.2.1.</t>
  </si>
  <si>
    <t>04.3.1.</t>
  </si>
  <si>
    <t>04.3.2.</t>
  </si>
  <si>
    <t>04.3.3.</t>
  </si>
  <si>
    <t>06.1.1.</t>
  </si>
  <si>
    <t>06.1.2.</t>
  </si>
  <si>
    <t>06.1.5.</t>
  </si>
  <si>
    <t>06.1.3.
06.1.4.</t>
  </si>
  <si>
    <t>06.1.6.</t>
  </si>
  <si>
    <t>08.1.3.</t>
  </si>
  <si>
    <t>08.1.4.</t>
  </si>
  <si>
    <t>08.1.5.</t>
  </si>
  <si>
    <t>08.1.6.</t>
  </si>
  <si>
    <t>08.1.7.</t>
  </si>
  <si>
    <t>09.1.1.</t>
  </si>
  <si>
    <t>09.1.2.</t>
  </si>
  <si>
    <t>09.1.3.</t>
  </si>
  <si>
    <t>09.1.4.</t>
  </si>
  <si>
    <t>09.1.5.</t>
  </si>
  <si>
    <t>03.3.1.</t>
  </si>
  <si>
    <t>05.2.2.</t>
  </si>
  <si>
    <t>06.2.1.</t>
  </si>
  <si>
    <t>06.3.1.</t>
  </si>
  <si>
    <t>07.1.1.</t>
  </si>
  <si>
    <t>07.1.2.</t>
  </si>
  <si>
    <t>07.1.3.</t>
  </si>
  <si>
    <t>07.2.1.</t>
  </si>
  <si>
    <t>08.2.1.</t>
  </si>
  <si>
    <t>08.2.2.</t>
  </si>
  <si>
    <t>08.2.3.</t>
  </si>
  <si>
    <t>08.2.4.</t>
  </si>
  <si>
    <t>08.2.5.</t>
  </si>
  <si>
    <t>08.2.6.</t>
  </si>
  <si>
    <t>08.2.7.</t>
  </si>
  <si>
    <t>08.3.1.</t>
  </si>
  <si>
    <t>08.4.1.</t>
  </si>
  <si>
    <t>08.4.2.</t>
  </si>
  <si>
    <t>08.5.1.</t>
  </si>
  <si>
    <t>08.5.2.</t>
  </si>
  <si>
    <t>08.5.3.</t>
  </si>
  <si>
    <t>08.5.4.</t>
  </si>
  <si>
    <t>08.5.5.</t>
  </si>
  <si>
    <t>08.6.1.</t>
  </si>
  <si>
    <t>08.7.1.</t>
  </si>
  <si>
    <t>09.2.1.</t>
  </si>
  <si>
    <t>09.2.2.</t>
  </si>
  <si>
    <t>09.3.1.</t>
  </si>
  <si>
    <t>09.3.2.</t>
  </si>
  <si>
    <t>09.4.1.</t>
  </si>
  <si>
    <t>09.5.1.</t>
  </si>
  <si>
    <t>09.5.2.</t>
  </si>
  <si>
    <t>09.6.1.</t>
  </si>
  <si>
    <t>09.6.2.</t>
  </si>
  <si>
    <t>09.7.1.</t>
  </si>
  <si>
    <t>09.7.2.</t>
  </si>
  <si>
    <t>09.8.1.</t>
  </si>
  <si>
    <t>09.8.2.</t>
  </si>
  <si>
    <t>09.9.1.</t>
  </si>
  <si>
    <t>09.9.2.</t>
  </si>
  <si>
    <t>09.10.1.</t>
  </si>
  <si>
    <t>09.11.2.</t>
  </si>
  <si>
    <t>09.10.2.</t>
  </si>
  <si>
    <t>09.11.1.</t>
  </si>
  <si>
    <t>09.12.1.</t>
  </si>
  <si>
    <t>09.13.1.</t>
  </si>
  <si>
    <t>09.13.2.</t>
  </si>
  <si>
    <t>09.14.1.</t>
  </si>
  <si>
    <t>09.14.2.</t>
  </si>
  <si>
    <t>09.15.1.</t>
  </si>
  <si>
    <t>09.15.2.</t>
  </si>
  <si>
    <t>09.16.1.</t>
  </si>
  <si>
    <t>09.16.2.</t>
  </si>
  <si>
    <t>09.17.1.</t>
  </si>
  <si>
    <t>09.17.2.</t>
  </si>
  <si>
    <t>09.18.1.</t>
  </si>
  <si>
    <t>09.18.2.</t>
  </si>
  <si>
    <t>09.19.1.</t>
  </si>
  <si>
    <t>09.19.2.</t>
  </si>
  <si>
    <t>09.20.1.</t>
  </si>
  <si>
    <t>09.21.1.</t>
  </si>
  <si>
    <t>09.21.2.</t>
  </si>
  <si>
    <t>09.22.1.</t>
  </si>
  <si>
    <t>09.22.2.</t>
  </si>
  <si>
    <t>09.23.1.</t>
  </si>
  <si>
    <t>09.23.2.</t>
  </si>
  <si>
    <t>09.24.1.</t>
  </si>
  <si>
    <t>09.24.2.</t>
  </si>
  <si>
    <t>09.25.1.</t>
  </si>
  <si>
    <t>09.25.2.</t>
  </si>
  <si>
    <t>09.26.1.</t>
  </si>
  <si>
    <t>09.26.2.</t>
  </si>
  <si>
    <t>09.27.1.</t>
  </si>
  <si>
    <t>09.27.2.</t>
  </si>
  <si>
    <t>09.28.1.</t>
  </si>
  <si>
    <t>09.29.1.</t>
  </si>
  <si>
    <t>09.29.2.</t>
  </si>
  <si>
    <t>09.31.1.</t>
  </si>
  <si>
    <t>09.31.2.</t>
  </si>
  <si>
    <t>09.32.1.</t>
  </si>
  <si>
    <t>10.2.1.</t>
  </si>
  <si>
    <t>10.2.2.</t>
  </si>
  <si>
    <t>10.2.3.</t>
  </si>
  <si>
    <t>10.2.4.</t>
  </si>
  <si>
    <t>10.2.5.</t>
  </si>
  <si>
    <t>10.2.6.</t>
  </si>
  <si>
    <t>10.2.7.</t>
  </si>
  <si>
    <t>10.2.8.</t>
  </si>
  <si>
    <t>10.3.4.</t>
  </si>
  <si>
    <t>10.3.5.</t>
  </si>
  <si>
    <t>10.3.6.</t>
  </si>
  <si>
    <t>10.3.7.</t>
  </si>
  <si>
    <t>10.4.1.</t>
  </si>
  <si>
    <t>10.5.1.</t>
  </si>
  <si>
    <t>Konsolidējamie izdevumi</t>
  </si>
  <si>
    <t>3.pielikums</t>
  </si>
  <si>
    <t>21.pielikums</t>
  </si>
  <si>
    <t>15.pielikums</t>
  </si>
  <si>
    <t>10.pielikums</t>
  </si>
  <si>
    <t>04.2.1.</t>
  </si>
  <si>
    <t>26.pielikums</t>
  </si>
  <si>
    <t>24.pielikums</t>
  </si>
  <si>
    <t>Jūrmalas Valsts ģimnāzijas sporta halles uzturēšana</t>
  </si>
  <si>
    <t>Jūrmalas Sporta servisa centrs</t>
  </si>
  <si>
    <t>25.pielikums</t>
  </si>
  <si>
    <t>Jūrmalas pilsētas pašvaldības policija</t>
  </si>
  <si>
    <t>Iestādes uzturēšana un bibliotēku pakalpojumu pieejamības nodrošināšana</t>
  </si>
  <si>
    <t>Iestādes uzturēšana un kultūras pakalpojumu sniegšanas nodrošināšana</t>
  </si>
  <si>
    <t>Iestādes uzturēšana un muzeju un izstāžu pakalpojumu sniegšanas nodrošināšana</t>
  </si>
  <si>
    <t>Iestādes uzturēšana, interešu izglītības un jaunatnes darba nodrošināšana</t>
  </si>
  <si>
    <t>19.3.0.0.</t>
  </si>
  <si>
    <t>01.1.8.</t>
  </si>
  <si>
    <t>Procentu maksājumi Valsts kasei</t>
  </si>
  <si>
    <t>Pārējo sociālo iestāžu būvniecība, atjaunošana un uzlabošana</t>
  </si>
  <si>
    <t>Pamatkapitāla palielināšana</t>
  </si>
  <si>
    <t>Sporta attīstības un publicitātes pasākumi</t>
  </si>
  <si>
    <t>Kapitālsabiedrības organizēto koncertu pieejamības veicināšana</t>
  </si>
  <si>
    <t>08.1.1.,
08.1.2.</t>
  </si>
  <si>
    <t>Konsolidē-jamie ieņēmumi</t>
  </si>
  <si>
    <t>Ieņēmumu pārsniegums pār izdevumiem</t>
  </si>
  <si>
    <t>Finansēšana</t>
  </si>
  <si>
    <t>euro</t>
  </si>
  <si>
    <t xml:space="preserve">    Atlikums gada sākumā</t>
  </si>
  <si>
    <t xml:space="preserve">    Atlikums gada beigās</t>
  </si>
  <si>
    <t xml:space="preserve">    Aizņēmumi</t>
  </si>
  <si>
    <t xml:space="preserve">    Aizņēmumu atmaksa</t>
  </si>
  <si>
    <t xml:space="preserve">    Pamatkapitāla palielinājums</t>
  </si>
  <si>
    <t>Kultūras pasākumi</t>
  </si>
  <si>
    <t>Jūrmalas pilsētas pašvaldības iestāde "Jūrmalas veselības veicināšanas un sociālo pakalpojumu centrs"</t>
  </si>
  <si>
    <t>Jūrmalas pilsētas Lielupes pamatskola</t>
  </si>
  <si>
    <t>Ķemeru pamatskola</t>
  </si>
  <si>
    <t xml:space="preserve">Dubultu kultūras un izglītības centra Strēlnieku prospektā 30, Jūrmalā būvniecībai" daļai, kas nepieciešama Jūrmalas Mūzikas vidusskolas 2.kārtas būvniecības darbu īstenošanai </t>
  </si>
  <si>
    <t>Pašvaldības un tās iestāžu savstarpējie transferti</t>
  </si>
  <si>
    <t>Jūrmalas pludmales centra uzturēšana</t>
  </si>
  <si>
    <t>Sporta veida attīstība</t>
  </si>
  <si>
    <t>Līdzfinansējums privātajām  izglītības iestādēm</t>
  </si>
  <si>
    <t>Kultūrizglītības un vides  izglītības pasākumi</t>
  </si>
  <si>
    <t>14.pielikums</t>
  </si>
  <si>
    <t>20.pielikums</t>
  </si>
  <si>
    <t>08.1.8.</t>
  </si>
  <si>
    <t>09.1.6.</t>
  </si>
  <si>
    <t>09.1.7.</t>
  </si>
  <si>
    <t>Dienas aprūpes centru bērniem pakalpojuma nodrošināšana</t>
  </si>
  <si>
    <t xml:space="preserve">Dienas  centrs pensijas vecuma personām un invalīdiem </t>
  </si>
  <si>
    <t>Invalīdu pārvadāšanas nodrošināšana</t>
  </si>
  <si>
    <t>8.6.4.0.</t>
  </si>
  <si>
    <t>Ceļu un to kompleksa investīciju projektiem</t>
  </si>
  <si>
    <t>Mērķdotācija pansionāta iemītniekiem</t>
  </si>
  <si>
    <t>21.1.9.4.</t>
  </si>
  <si>
    <t>Līdzfinansējuma nodrošināšana konferenču, semināru un starpnozaru pasākumu īstenošanai</t>
  </si>
  <si>
    <t>04.3.4.</t>
  </si>
  <si>
    <t>Veselības aprūpes pieejamības palielināšana</t>
  </si>
  <si>
    <t>08.1.10.</t>
  </si>
  <si>
    <t>09.20.2.</t>
  </si>
  <si>
    <t>01.1.7.</t>
  </si>
  <si>
    <t>08.1.11.</t>
  </si>
  <si>
    <t>04.1.13.</t>
  </si>
  <si>
    <t>08.1.9.</t>
  </si>
  <si>
    <t>08.5.6.</t>
  </si>
  <si>
    <t>10.2.9.</t>
  </si>
  <si>
    <t>10.3.3.</t>
  </si>
  <si>
    <t>28.pielikums</t>
  </si>
  <si>
    <t>Pasākumi kvalitatīvas un daudzveidīgas izglītības attīstībai un atbalstam</t>
  </si>
  <si>
    <t>10.6.1.</t>
  </si>
  <si>
    <t xml:space="preserve">Pašvaldības sabiedrība ar ierobežotu atbildību "Veselības un sociālās aprūpes centrs-Sloka" </t>
  </si>
  <si>
    <t>Sociālo pakalpojumu centra "Ķemeri" darbības nodrošināšana</t>
  </si>
  <si>
    <t>Pirmsskolas izglītības iestādes "Bitīte" pārbūve</t>
  </si>
  <si>
    <t>Atpūtu un sportu veicinošas infrastruktūras izveide, atjaunošana un labiekārtošana</t>
  </si>
  <si>
    <t>30.pielikums</t>
  </si>
  <si>
    <t>Jūrmalas pirmsskolas izglītības iestāde "Austras koks"</t>
  </si>
  <si>
    <t>Jūrmalas pirmsskolas izglītības iestāde "Bitīte"</t>
  </si>
  <si>
    <t>Jūrmalas pirmsskolas izglītības iestāde "Katrīna"</t>
  </si>
  <si>
    <t>Jūrmalas pirmsskolas izglītības iestāde "Lācītis"</t>
  </si>
  <si>
    <t>Jūrmalas pirmsskolas izglītības iestāde "Madara"</t>
  </si>
  <si>
    <t>Jūrmalas pirmsskolas izglītības iestāde "Mārīte"</t>
  </si>
  <si>
    <t>Jūrmalas pirmsskolas izglītības iestāde "Namiņš"</t>
  </si>
  <si>
    <t>Jūrmalas pirmsskolas izglītības iestāde "Podziņa"</t>
  </si>
  <si>
    <t>Jūrmalas pirmsskolas izglītības iestāde "Saulīte"</t>
  </si>
  <si>
    <t>Jūrmalas pirmsskolas izglītības iestāde "Zvaniņš"</t>
  </si>
  <si>
    <t>Teātra, koncertzāles, estrāžu būvniecība, atjaunošana un uzlabošana</t>
  </si>
  <si>
    <t>Jūrmalas pilsētas domes Labklājības pārvalde</t>
  </si>
  <si>
    <t>Procentu ieņēmumi par atlikto maksājumu no vēl nesamaksātās pirkuma maksas daļas</t>
  </si>
  <si>
    <t>Valsts nodevas par laulības reģistrāciju, civilstāvokļa akta reģistra ieraksta aktualizēšanu vai atjaunošanu un atkārtotas civilstāvokļa aktu reģistrācijas apliecības izsniegšanu</t>
  </si>
  <si>
    <t>Pašvaldības nodeva par būvatļaujas izdošanu vai būvniecības ieceres akceptu</t>
  </si>
  <si>
    <t>Ieņēmumi par pārējiem sniegtajiem maksas pakalpojumiem</t>
  </si>
  <si>
    <t>Pārējie šajā klasifikācijā iepriekš neklasificētie ieņēmumi</t>
  </si>
  <si>
    <t>Pārējie iepriekš neklasificētie īpašiem mērķiem noteiktie ieņēmumi</t>
  </si>
  <si>
    <t>17.0.0.0.</t>
  </si>
  <si>
    <t>NO VALSTS BUDŽETA DAĻĒJI FINANSĒTO ATVASINĀTO PUBLISKO PERSONU UN BUDŽETA NEFINANSĒTO IESTĀŽU TRANSFERTI</t>
  </si>
  <si>
    <t>17.2.0.0.</t>
  </si>
  <si>
    <t>Pašvaldību saņemtie transferti no valsts budžeta daļēji finansētām atsavinātām publiskām personām un no budžeta nefinansētām iestādēm</t>
  </si>
  <si>
    <t>Mērķdotācija grāmatu un mācību līdzekļu iegādei</t>
  </si>
  <si>
    <t>Projekts "Atbalsts integrētu teritoriālo investīciju īstenošanai Jūrmalas pilsētas pašvaldībā”</t>
  </si>
  <si>
    <t>Projekts  "Pasākumi vietējās sabiedrības veselības veicināšanai un slimību profilaksei Jūrmalā"</t>
  </si>
  <si>
    <t>Projekts "Proti un dari"</t>
  </si>
  <si>
    <t>Projekts "Mācies zaļāk-pārbīdi klases robežas"</t>
  </si>
  <si>
    <t xml:space="preserve">Projekts "Autisks bērns vispārizglītojošā klasē: skolas personāla iespējas pilnvērtība iekļaujoša mācību procesa veicināšanai" </t>
  </si>
  <si>
    <t>Projekts "Deinstitucionalizācija un sociālie pakalpojumi personām ar invaliditāti un bērniem"</t>
  </si>
  <si>
    <t xml:space="preserve">Projekts "Profesionāla sociālā darba attīstība pašvaldībās" </t>
  </si>
  <si>
    <t>Projekts "Karjeras atbalsts vispārējās un profesionālās izglītības iestādēs"</t>
  </si>
  <si>
    <t>Projekts "Atbalsts izglītojamo individuālo kompetenču attīstībai"</t>
  </si>
  <si>
    <t>01.2.1.</t>
  </si>
  <si>
    <t>01.2.2.</t>
  </si>
  <si>
    <t>01.2.3.</t>
  </si>
  <si>
    <t>01.2.4.</t>
  </si>
  <si>
    <t>04.1.4.</t>
  </si>
  <si>
    <t>07.1.4.</t>
  </si>
  <si>
    <t>08.6.2.</t>
  </si>
  <si>
    <t>09.9.3.</t>
  </si>
  <si>
    <t>09.11.3.</t>
  </si>
  <si>
    <t>09.23.4.</t>
  </si>
  <si>
    <t>09.24.3.</t>
  </si>
  <si>
    <t>09.27.3.</t>
  </si>
  <si>
    <t>10.3.8.</t>
  </si>
  <si>
    <t>10.3.1.
10.3.2.</t>
  </si>
  <si>
    <t>04.1.15.</t>
  </si>
  <si>
    <t>04.1.16.</t>
  </si>
  <si>
    <t>09.1.10.</t>
  </si>
  <si>
    <t>09.1.12.</t>
  </si>
  <si>
    <t>09.1.13.</t>
  </si>
  <si>
    <t>Administratīvās ēkas pārbūve sociālo funkciju nodrošināšanai</t>
  </si>
  <si>
    <t>10.1.1.
10.1.2.</t>
  </si>
  <si>
    <t>23.pielikums</t>
  </si>
  <si>
    <t>11.pielikums</t>
  </si>
  <si>
    <t>17.pielikums</t>
  </si>
  <si>
    <t>9.pielikums</t>
  </si>
  <si>
    <t>Mērķdotācija interešu pedagogiem</t>
  </si>
  <si>
    <t>Mērķdotācija 5.6.gadīgo apmācībai pedagogu atalgojumam</t>
  </si>
  <si>
    <t>kārtējā gada ieņēmumi</t>
  </si>
  <si>
    <t>kārtējā gada izdevumi</t>
  </si>
  <si>
    <t>Asignējumu apjoms 2019.gadam</t>
  </si>
  <si>
    <r>
      <t>Jūrmalas pilsētas pašvaldības 2019.gada budžeta ieņēmumi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</si>
  <si>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F20010000</t>
  </si>
  <si>
    <t>Pašvaldības budžeta ieņēmumu atlikums</t>
  </si>
  <si>
    <t>Atlikums no projektu līdzekļiem Domei</t>
  </si>
  <si>
    <t>Atlikums no projektu līdzekļiem iestādēs (bez Domes)</t>
  </si>
  <si>
    <t>Maksas pakalpojumu atlikums (Dome)</t>
  </si>
  <si>
    <t>Maksas pakalpojumu atlikums iestāžu kontos (bez domes)</t>
  </si>
  <si>
    <t>Mērķdotācija Mācību līdzekļu un grāmatu iegādei</t>
  </si>
  <si>
    <t>Mērķdotācija pedagogu atalgojumam vispārējā izglītība</t>
  </si>
  <si>
    <t>Mērķdotācija atlikums interešu izglītības pedagogu atalgojumam</t>
  </si>
  <si>
    <t>Mērķdotācja izglītības iestādēm (5.,6. gadīgie)</t>
  </si>
  <si>
    <t>Mērķdotācija profesionālās ievirzes pedagogiem</t>
  </si>
  <si>
    <t>Mērķdotācijas asistenta pakalpojumiem</t>
  </si>
  <si>
    <t>Mēķdotācijamāksliniecisko kolektīvu vadītājiem (Mūz.sk.)</t>
  </si>
  <si>
    <t>Zvejas tiesību noma</t>
  </si>
  <si>
    <t>Mēķdotācija speciālajām skolām</t>
  </si>
  <si>
    <t>Mērķdotācija Autoceļu fondam</t>
  </si>
  <si>
    <t>Ceļu un to kompleksa investīciju projektu īstenošana</t>
  </si>
  <si>
    <t>SIA "Jūrmalas ūdens" pamatkapitāla palielināšanai, Jūrmalas ūdenssaimniecības attīstības projekta II kārta īstenošanai</t>
  </si>
  <si>
    <t>SIA "Jūrmalas ūdens" pamatkapitāla palielināšanai, Jūrmalas ūdenssaimniecības attīstības projekta III kārta īstenošanai</t>
  </si>
  <si>
    <t>Ēkas lit.002 rekonstrukcija par Mākslas skolu Strēlnieku prospektā 30 un Jāņa Poruka prospekta izbūve posmā no Friča Brīvzemnieka ielas līdz sporta zālei "Taurenītis" Jūrmalā</t>
  </si>
  <si>
    <t>Aspazijas mājas Nr.002 restaurācija un ēkas Nr.001 rekonstrukcija, saglabājot funkciju muzejs Z.Meierovica prospektā 18/20, Jūrmalā</t>
  </si>
  <si>
    <t>Dzintaru koncertzāles slēgtās telpas rekonstrukcija/restaurācija Turaidas ielā 1, Jūrmalā</t>
  </si>
  <si>
    <t>Bērnudārza jaunbūve Tukuma ielā 9, Jūrmalā</t>
  </si>
  <si>
    <t>Kompleksi risinājumi siltumnīcefekta gāzu emisiju samazināšanai Jūrmalas pilsētas Mežmalas vidusskolā</t>
  </si>
  <si>
    <t>Ēkas rekonstrukcija ar funkcijas maiņu par sociālās aprūpes ēku ar publiski pieejamām telpām 1.stāvā Skolas ielā 44</t>
  </si>
  <si>
    <t>Mācību korpusa lit.002 rekonstrukcija bez apjoma palielināšanas Dūņu ceļš 2, Jūrmalā</t>
  </si>
  <si>
    <t>Kopā izdevumi (bez atlikuma gada beigās, aizņēmumu atmaksas un pamatkapitāla palielināšanas)</t>
  </si>
  <si>
    <t>Budžetu izdevumu klasifikācijas FKK / Budžeta finansēšanas klasifikācijas kods / Reģistrācijas Nr.</t>
  </si>
  <si>
    <t>Tāmes Nr.</t>
  </si>
  <si>
    <t>F22 01 00 00</t>
  </si>
  <si>
    <t>F40 02 00 00</t>
  </si>
  <si>
    <t>Aizņēmumu atmaksa, t.sk:</t>
  </si>
  <si>
    <t>Pašvaldības konsolidētie budžeta izdevumi</t>
  </si>
  <si>
    <t>F55 01 00 00</t>
  </si>
  <si>
    <t>Budžeta finansēta institūcija / klasifikācijas koda nosaukums / aktivitātes nosaukums</t>
  </si>
  <si>
    <r>
      <t>Jūrmalas pilsētas pašvaldības budžeta izdevumi 2019.gadam (</t>
    </r>
    <r>
      <rPr>
        <b/>
        <i/>
        <sz val="14"/>
        <rFont val="Times New Roman"/>
        <family val="1"/>
        <charset val="186"/>
      </rPr>
      <t>euro</t>
    </r>
    <r>
      <rPr>
        <b/>
        <sz val="14"/>
        <rFont val="Times New Roman"/>
        <family val="1"/>
        <charset val="186"/>
      </rPr>
      <t>)</t>
    </r>
  </si>
  <si>
    <t>Maksas pakalpojumu atlikums (iestāžu kontos)</t>
  </si>
  <si>
    <t>Atlikums no projektu līdzekļiem (Dome)</t>
  </si>
  <si>
    <t>Atlikums no projektu līdzekļiem (iestāžu kontos)</t>
  </si>
  <si>
    <t>Mērķdotācija pedagogu atalgojumam sporta profesionālās ievirzes izglītības programmu finansēšanai</t>
  </si>
  <si>
    <t>Mērķdotācija pedagogu atalgojumam kultūras profesionālās ievirzes izglītības programmu finansēšanai</t>
  </si>
  <si>
    <t>Mērķdotācija māksliniecisko kolektīvu vadītājiem</t>
  </si>
  <si>
    <t>Mērķdotācija pašvaldību spec.skolu izdevumiem</t>
  </si>
  <si>
    <t>12.3.1.1.</t>
  </si>
  <si>
    <t>Ieņēmumi no apbūvēta zemes gabala privatizācijas</t>
  </si>
  <si>
    <t>Ieņēmumi no privatizācijas</t>
  </si>
  <si>
    <t>Projekts "Algoti pagaidu sabiedriskie darbi 2018"</t>
  </si>
  <si>
    <t>Projekts "Līdzdalība pilsētplānošanā sabiedrības veselības uzlabošanai/ HEAT"</t>
  </si>
  <si>
    <t>Projekts "Karte visiem"</t>
  </si>
  <si>
    <t>Projekts "Lielupes radīto plūdu un krasta erozijas risku apdraudējumu novēršanas pasākumi Dubultos-Majoros-Dzintaros"</t>
  </si>
  <si>
    <t>Projekts "Jaunu dabas un kultūras tūrisma pakalpojumu radīšana Rīgas jūras līča piekrastē"</t>
  </si>
  <si>
    <t>Projekts "KAS slēpjas aiz grāmatas?"</t>
  </si>
  <si>
    <t>Projekts "Jūrmalas jauniešu informācijas tīkls"</t>
  </si>
  <si>
    <t>Projekts "Jūrmalas pilsētas Jaundubultu vidusskolas ēkas energoefektivitātes paaugstināšana"</t>
  </si>
  <si>
    <t>Projekts "Jūrmalas pilsētas Jaundubultu vidusskolas ēkas k-1 (autoskolas ēka) energoefektivitātes paaugstināšana"</t>
  </si>
  <si>
    <t>Projekts "Jūrmalas pilsētas Kauguru vidusskolas ēkas energoefektivitātes paaugstināšana"</t>
  </si>
  <si>
    <t>Projekts "Atbalsts priekšlaicīgas mācību pārtraukšanas samazināšanai”</t>
  </si>
  <si>
    <t>Projekts "Be active!"/"Esi aktīvs!"</t>
  </si>
  <si>
    <t>Projekts "Me.You.Personality"/"Es.Tu.Personība."</t>
  </si>
  <si>
    <t>Projekts "Skolēnu starptautiskā zinātniskā konference"</t>
  </si>
  <si>
    <t>Projekts "Starpkultūru saiknes veidošana ar Eiropas Brīvprātīgā Darba starpniecību"</t>
  </si>
  <si>
    <t>Projekts ''Vēro, dalies, audz"</t>
  </si>
  <si>
    <t xml:space="preserve">Projekts "Ja es būtu/IF I were"  </t>
  </si>
  <si>
    <t>Projekts "Es esmu moderns skolotājs/I am a modern teacher"</t>
  </si>
  <si>
    <t>Projekts "Mediji vieno un šķir"</t>
  </si>
  <si>
    <t xml:space="preserve">Projekts "SUNShINE paātrināšana" (Accelerate SUNShINE) </t>
  </si>
  <si>
    <t>Informācijas un komunikācijas tehnoloģiju uzturēšana, atjaunošana un uzlabošana</t>
  </si>
  <si>
    <t>Pašvaldību saņemtie valsts budžeta transferti</t>
  </si>
  <si>
    <t>Ieņēmumi no vadošā partnera partneru grupas īstenotajiem ārvalstu finanšu palīdzības projektiem</t>
  </si>
  <si>
    <t>ES ierobežotās projektu iesniegumu atlasesprojekta "Jaunu dabas un kultūras tūrisma pakalpojumu radīšana Rīgas jūras līcā Rietumu piekrastē" daļas "Mellužu estrādes ēkas restaurācija un bāra ēkas pārbūve, teritorijas labiekārtojums" priekšfinansēšana</t>
  </si>
  <si>
    <t>Atgriežamās fizisku un juridisku personu pārmaksas pašvaldībai no iepriekšējiem pārskata periodiem</t>
  </si>
  <si>
    <t>Nekustamā īpašuma būvniecība, atjaunošana un uzlabošana policijas vajadzībām</t>
  </si>
  <si>
    <t>Jūrmalas pilsētas Jaundubultu vidusskolas ēkas energoefektivitātes paaugstināšana</t>
  </si>
  <si>
    <t>Jūrmalas pilsētas Kauguru vidusskolas ēkas energoefektivitātes paaugstināšana un telpu atjaunošana</t>
  </si>
  <si>
    <t>Iepriekšējo gadu pamatkapitāla palielināšana</t>
  </si>
  <si>
    <t>04.1.1.</t>
  </si>
  <si>
    <t>Citu pašvaldību transferti sociālo un veselības funkciju nodrošināšanai (VVSPC)</t>
  </si>
  <si>
    <t>27.pielikums</t>
  </si>
  <si>
    <t>03.2.1.</t>
  </si>
  <si>
    <t>04.1.2.</t>
  </si>
  <si>
    <t>04.1.8., 04.1.9.</t>
  </si>
  <si>
    <t>04.1.10.</t>
  </si>
  <si>
    <t>04.1.11.</t>
  </si>
  <si>
    <t>04.1.12.</t>
  </si>
  <si>
    <t>04.1.14.</t>
  </si>
  <si>
    <t>8.pielikums</t>
  </si>
  <si>
    <t>5., 6., 7., 8., 18.pielikums</t>
  </si>
  <si>
    <t>04.3.5.</t>
  </si>
  <si>
    <t>06.1.7.</t>
  </si>
  <si>
    <t>06.1.8.</t>
  </si>
  <si>
    <t>11., 22., 24.pielikums</t>
  </si>
  <si>
    <t xml:space="preserve">12., 13.pielikums </t>
  </si>
  <si>
    <t>32.pielikums</t>
  </si>
  <si>
    <t>08.3.2.</t>
  </si>
  <si>
    <t>4., 10., 11.pielikums</t>
  </si>
  <si>
    <t>19.pielikums</t>
  </si>
  <si>
    <t>4., 10.pielikums</t>
  </si>
  <si>
    <t>33.pielikums</t>
  </si>
  <si>
    <t>09.1.8. 09.1.9.</t>
  </si>
  <si>
    <t>09.1.11.</t>
  </si>
  <si>
    <t>09.1.14.</t>
  </si>
  <si>
    <t>09.1.15.</t>
  </si>
  <si>
    <t>09.1.16.</t>
  </si>
  <si>
    <t>09.1.17.</t>
  </si>
  <si>
    <t>09.1.18.</t>
  </si>
  <si>
    <t>09.1.19.</t>
  </si>
  <si>
    <t>09.4.2.</t>
  </si>
  <si>
    <t>09.4.3.</t>
  </si>
  <si>
    <t>16.pielikums</t>
  </si>
  <si>
    <t>09.4.4.</t>
  </si>
  <si>
    <t>09.5.3.</t>
  </si>
  <si>
    <t>09.5.4.</t>
  </si>
  <si>
    <t>09.8.3.</t>
  </si>
  <si>
    <t>09.11.4.</t>
  </si>
  <si>
    <t>09.11.5.</t>
  </si>
  <si>
    <t>09.23.3.</t>
  </si>
  <si>
    <t>10.2.10.</t>
  </si>
  <si>
    <t>30., 31.pielikums</t>
  </si>
  <si>
    <t>29., 30.pielikums</t>
  </si>
  <si>
    <t>29., 30., 31.pielikums</t>
  </si>
  <si>
    <t>10.6.2.</t>
  </si>
  <si>
    <t>09.30.1.</t>
  </si>
  <si>
    <t>09.30.2.</t>
  </si>
  <si>
    <t>09.30.3.</t>
  </si>
  <si>
    <t>Mērķdotācija  - Skolas soma</t>
  </si>
  <si>
    <t>Jūrmalas pilsētas pašvaldības iestāde "Jūrmalas kapi"</t>
  </si>
  <si>
    <t>Projekts ""Starptautiskās konkurētspējas veicināšana" (uzņēmējdarbībā)/ 2019.gada aktivitātes"</t>
  </si>
  <si>
    <t>Projekts "Nodarbināto personu profesionālās kompetences pilnveide”</t>
  </si>
  <si>
    <t>Lielupes radīto plūdu un krasta erozijas risku apdraudējumu novēršanas pasākumi Dubultos-Majoros-Dzintaros</t>
  </si>
  <si>
    <t>Pašvaldības budžeta norēķini ar valsts budžetu</t>
  </si>
  <si>
    <t>01.2.5.</t>
  </si>
  <si>
    <t>Jūrmalas pilsētas pašvaldības 2019.-2021.gada Ceļu fonda izlietojuma programma</t>
  </si>
  <si>
    <t>08.1.12.</t>
  </si>
  <si>
    <t>4.pielikums</t>
  </si>
  <si>
    <t>Jūrmalas pilsētas Kauguru vidusskola</t>
  </si>
  <si>
    <t>2019.gada budžets</t>
  </si>
  <si>
    <t>2019.gada budžets apstiprināts</t>
  </si>
  <si>
    <t>2019.gada budžets, izmaiņas kopā</t>
  </si>
  <si>
    <t>Konsolidē-jamie ieņēmumi, apstiprināti</t>
  </si>
  <si>
    <t>Konsolidē-jamie ieņēmumi, izmaiņas kopā</t>
  </si>
  <si>
    <t>Kopā apstiprināts</t>
  </si>
  <si>
    <t>Pamatbudžets apstiprināts</t>
  </si>
  <si>
    <t>SN/Rīkojuma Nr.</t>
  </si>
  <si>
    <t>Pamatbudžets, izmaiņas kopā</t>
  </si>
  <si>
    <t>Valsts budžeta transferti, izmaiņas kopā</t>
  </si>
  <si>
    <t>Valsts budžeta transferti apstiprināti</t>
  </si>
  <si>
    <t>Maksas pakalpojumi apstiprināti</t>
  </si>
  <si>
    <t>Maksas pakalpojumi, izmaiņas kopā</t>
  </si>
  <si>
    <t>Ziedojumi apstiprināti</t>
  </si>
  <si>
    <t>Ziedojumi, izmaiņas kopā</t>
  </si>
  <si>
    <t>Konsolidējamie izdevumi, apstiprināti</t>
  </si>
  <si>
    <t>Konsolidējamie izdevumi,  izmaiņas kopā</t>
  </si>
  <si>
    <t>10</t>
  </si>
  <si>
    <t xml:space="preserve">Projekts "Atbalsts integrētu teritoriālo investīciju īstenošanai Jūrmalas pilsētas pašvaldībā, II kārta" </t>
  </si>
  <si>
    <t>01.1.9.</t>
  </si>
  <si>
    <t>nākamie</t>
  </si>
  <si>
    <t xml:space="preserve">Projekts "Sadarbība un zināšanu nodošana dabas tūrisma attīstības veicināšanai" </t>
  </si>
  <si>
    <t>04.1.17.</t>
  </si>
  <si>
    <t>Konsolidējamie izdevumi uz ieņēmumu pārsniegumu</t>
  </si>
  <si>
    <t>Projekta "Skolotāju kompetenču attīstība darbā ar skolēniem ar uzvedības problēmām"</t>
  </si>
  <si>
    <t>09.30.4.</t>
  </si>
  <si>
    <t>Atlikums pārskaitītajam pamatkapitāla palielinājumam</t>
  </si>
  <si>
    <t>2.pielikums Jūrmalas pilsētas domes</t>
  </si>
  <si>
    <t>2018.gada 18.decembra saistošajiem noteikumiem Nr.44</t>
  </si>
  <si>
    <t>(protokols Nr.17. 2.punkts)</t>
  </si>
  <si>
    <t>1.pielikums Jūrmalas pilsētas domes</t>
  </si>
  <si>
    <t>2019.gada budžets kopā ar konsolidāciju</t>
  </si>
  <si>
    <t>Projekts "Iniciatīvas veicināšana un kapacitātes stiprināšana jauniešu uzņēmējdarbības sekmēšanai"</t>
  </si>
  <si>
    <t>09.1.20.</t>
  </si>
  <si>
    <t>Projekts "Baltijas jūras reģiona apgaismojums – pilsētu līdzdalība ilgtspējīga viedā apgaismojuma risinājumu izstrādē/ LUCIA"</t>
  </si>
  <si>
    <t>06.1.9.</t>
  </si>
  <si>
    <t>24.01. SN Nr.1</t>
  </si>
  <si>
    <t>04.1.18.</t>
  </si>
  <si>
    <t>Konkurss "Ģimenei draudzīgākā pašvaldība"</t>
  </si>
  <si>
    <t>01.02. Nr.1.1-14/49, 1.1-14/50</t>
  </si>
  <si>
    <t>Pašvaldības iestāžu norēķini ar pašvaldības budžetu</t>
  </si>
  <si>
    <t>Ieņēmumu pārsniegums pār izdevumiem no proj.līdz. Domei</t>
  </si>
  <si>
    <t>Ieņēmumu pārsniegums pār izdevumiem no proj.līdz.iestādēs</t>
  </si>
  <si>
    <t>1.1.1.2.</t>
  </si>
  <si>
    <t>Saņemts  no Valsts kases sadales konta pārskata gadā ieskaitītais iedzīvotāju ienākuma nodoklis</t>
  </si>
  <si>
    <t>Kredīti valsts kases kontos (JPD)</t>
  </si>
  <si>
    <t>Glābšanas staciju būvniecība, atjaunošana un uzlabošana</t>
  </si>
  <si>
    <t>03.1.4.</t>
  </si>
  <si>
    <t>Citi valsts līdzekļi</t>
  </si>
  <si>
    <t>Mērķdotācija - Piemaksas, prēmijas, naudas balvas</t>
  </si>
  <si>
    <t>Projekts ''Sniegt iespēju bērniem/EmpowerKids''</t>
  </si>
  <si>
    <t>10.2.11.</t>
  </si>
  <si>
    <t>04.1.19.</t>
  </si>
  <si>
    <t>Projekts "Jūrmalas ūdenstūrisma pakalpojumu infrastruktūras attīstība atbilstoši pilsētas ekonomiskajai specializācijai"</t>
  </si>
  <si>
    <t>Jūrmalas ūdenstūrisma pakalpojumu infrastruktūras attīstība atbilstoši pilsētas ekonomiskajai specializācijai</t>
  </si>
  <si>
    <t>09.4.5.</t>
  </si>
  <si>
    <t xml:space="preserve">Projekts "Labi!"/"OK!" </t>
  </si>
  <si>
    <t>Projekts "Jaunie gidi"</t>
  </si>
  <si>
    <t>09.1.21.</t>
  </si>
  <si>
    <t>08.1.13.</t>
  </si>
  <si>
    <t>Projekts "Jūrmalas brīvdabas muzeja infrastruktūras attīstība, veicinot zvejas un jūras kultūras mantojuma saglabāšanu"</t>
  </si>
  <si>
    <t>Pasākums "Algoti pagaidu sabiedriskie darbi 2019”</t>
  </si>
  <si>
    <t>05.1.6.</t>
  </si>
  <si>
    <t>Projekts "Nacionālas nozīmes projekts "Piekrastes apsaimniekošanas praktisko aktivitāšu realizēšana", Jūrmalas pašvaldībā 2019.gadā"</t>
  </si>
  <si>
    <t>Projekts "Jūrmalas Sporta skolas peldbaseinu ēkas pārbūve un energoefektivitātes paaugstināšana"</t>
  </si>
  <si>
    <t>09.1.22.</t>
  </si>
  <si>
    <t>Jūrmalas Sporta skolas peldbaseinu ēkas pārbūve un energoefektivitātes paaugstināšana</t>
  </si>
  <si>
    <t>01.1.10., 01.1.11., 01.1.12.,01.1.13.</t>
  </si>
  <si>
    <t>Projekts "Jūrmalas pilsētas vispārējās vidējās izglītības iestāžu infrastruktūras pilnveide"</t>
  </si>
  <si>
    <t>09.1.23.</t>
  </si>
  <si>
    <t>Jūrmalas pilsētas vispārējās vidējās izglītības iestāžu infrastruktūras pilnveide</t>
  </si>
  <si>
    <t>21.02. SN Nr.8</t>
  </si>
  <si>
    <t>Projekts "Ceļā uz apjomīgākiem mērķiem un pilsoniskumu Eiropas reģionos"</t>
  </si>
  <si>
    <t>09.30.5.</t>
  </si>
  <si>
    <t>Projekts "Mūzikas instrumentu iegāde mācību procesa, konkursu un koncertu prakses nodrošināšanai Jūrmalas Mūzikas vidusskolā"</t>
  </si>
  <si>
    <t>09.12.2.</t>
  </si>
  <si>
    <t>09.10.3.</t>
  </si>
  <si>
    <t xml:space="preserve">Projekts „Jūrmalas Mākslas skolas mācību stundu “Darbs materiālā – animācija” mācību procesa kvalitatīva nodrošināšana un pilnveidošana” </t>
  </si>
  <si>
    <t>8., 18.pielikums</t>
  </si>
  <si>
    <t>Projekts "Infrastruktūras pilnveidošana un atjaunošana Rīgas jūras līča piekrastē Jūrmalas pilsētā"</t>
  </si>
  <si>
    <t>08.1.14.</t>
  </si>
  <si>
    <t>04.1.20.</t>
  </si>
  <si>
    <t>Projekts "Ceļu infrastruktūras atjaunošana un autostāvvietas izbūve Ķemeros"</t>
  </si>
  <si>
    <t>Ceļu infrastruktūras atjaunošana un autostāvvietas izbūve Ķemeros</t>
  </si>
  <si>
    <t>F40220010</t>
  </si>
  <si>
    <t>Vidēja termiņa aizņēmumi</t>
  </si>
  <si>
    <t>21.03. SN Nr.11</t>
  </si>
  <si>
    <t>Bibliotēku ēku būvniecība, atjaunošana un uzlabošana</t>
  </si>
  <si>
    <t>08.1.15.</t>
  </si>
  <si>
    <t xml:space="preserve">Projekts "Mārtiņa Pormaņa kolekcijas izpēte un pieejamības nodrošināšana" </t>
  </si>
  <si>
    <t>08.6.3.</t>
  </si>
  <si>
    <t xml:space="preserve">Projekts "Laivu būves attīstība Rīgas jūras līča piekrastē" </t>
  </si>
  <si>
    <t>08.6.4.</t>
  </si>
  <si>
    <t>Jūrmalas pilsētas vēlēšanu komisija</t>
  </si>
  <si>
    <t>01.3.1.</t>
  </si>
  <si>
    <t>Jaunu dabas un kultūras tūrisma pakalpojumu radīšana Rīgas jūras līča piekrastē - Ķemeru ūdenstorņa pārbūvei</t>
  </si>
  <si>
    <t xml:space="preserve">Jaunu dabas un kultūras tūrisma pakalpojumu radīšana Rīgas jūras līča piekrastē - Mellužu estrādei </t>
  </si>
  <si>
    <t>18.04. SN Nr.16</t>
  </si>
  <si>
    <t>25.04. SN Nr.17</t>
  </si>
  <si>
    <t>02.05. Nr.1.1-14/144</t>
  </si>
  <si>
    <t>16.05. SN Nr.18</t>
  </si>
  <si>
    <t>Projekts "Motorlaivas ar jūras spējas kategoriju C un tās aprīkojuma iegāde zivju resursu aizsardzībai"</t>
  </si>
  <si>
    <t>04.4.1.</t>
  </si>
  <si>
    <t>23.05. SN Nr.19</t>
  </si>
  <si>
    <t>03.06. Nr.1.1-14/174</t>
  </si>
  <si>
    <t>Ūdenstilpju iznomāšana</t>
  </si>
  <si>
    <t>Projekts "Nordplus jauniešu mobilitātes projekts"</t>
  </si>
  <si>
    <t>09.2.3.</t>
  </si>
  <si>
    <t>Projekts "Literārie vakari kopā ar autoru"</t>
  </si>
  <si>
    <t>08.3.3.</t>
  </si>
  <si>
    <t>Ieņēmumu pārsniegums pār izdevumiem uzņemto saistību segšanai</t>
  </si>
  <si>
    <t>09.1.24.</t>
  </si>
  <si>
    <t>20.06. SN Nr.22</t>
  </si>
  <si>
    <t>Jūrmalas pilsētas pamatskola</t>
  </si>
  <si>
    <t>Atgriežamie līdzekļi valsts budžetam programmas "Skolas soma" ietvaros</t>
  </si>
  <si>
    <t>09.23.5.</t>
  </si>
  <si>
    <t>Projekts "Solis tuvāk nākotnes skolai"</t>
  </si>
  <si>
    <t>Projekts "Ķemeru parka pārbūve un restaurācija"</t>
  </si>
  <si>
    <t>08.1.16.</t>
  </si>
  <si>
    <t>19.07. Nr.1.1-14/219</t>
  </si>
  <si>
    <t>Projekts "Ilgtspējīga [sa]darbība"</t>
  </si>
  <si>
    <t>09.1.25.</t>
  </si>
  <si>
    <t>25.07. SN Nr.27</t>
  </si>
  <si>
    <t>Ķemeru parka pārbūve un restaurācija</t>
  </si>
  <si>
    <t>Projekts "Jūrmalas pilsētas Ķemeru pamatskolas ēkas pārbūve un energoefektivitātes paaugstināšana"</t>
  </si>
  <si>
    <t>Jūrmalas pilsētas Ķemeru pamatskolas ēkas pārbūve un energoefektivitātes paaugstināšana</t>
  </si>
  <si>
    <t>15.08. Nr.1.1-14/239</t>
  </si>
  <si>
    <t>05.2.3.</t>
  </si>
  <si>
    <t>29.08. SN Nr.31</t>
  </si>
  <si>
    <t>2019.gada budžets kopā ar konsolidāciju, apstiprināts</t>
  </si>
  <si>
    <t>Projekts "SKOLĒNU PARLAMENTS-skolas darbības aktivizēšana, izmantojot skolēnu idejas, intereses un viņu aktīvu iesaistīšanos"</t>
  </si>
  <si>
    <t>09.23.6.</t>
  </si>
  <si>
    <t>Projekts "Dalīsimies ar rotaļām"</t>
  </si>
  <si>
    <t>09.21.3.</t>
  </si>
  <si>
    <t>09.5.5.</t>
  </si>
  <si>
    <t>Jūrmalas Valsts ģimnāzijas reģionālās attīstības metodiskā centra darbības nodrošināšana</t>
  </si>
  <si>
    <t>19.09. Nr.1.1-14/277</t>
  </si>
  <si>
    <t xml:space="preserve">Mērķdotācija Latvijas skolas soma </t>
  </si>
  <si>
    <t>26.09. SN Nr.39</t>
  </si>
  <si>
    <t>Projekts "Prevencija ir labāka nekā dziedināšana", kā teica Hipokrāts"</t>
  </si>
  <si>
    <t>09.21.4.</t>
  </si>
  <si>
    <t>18.6.4.0.</t>
  </si>
  <si>
    <t>Pašvaldību saņemtā dotācija no pašvaldību finanšu izlīdzināšanas fonda</t>
  </si>
  <si>
    <t>Projekts "Jūrmalas brīvdabas muzeja infrastruktūras attīstība un zvejas kuģa atjaunošana"</t>
  </si>
  <si>
    <t>08.6.5.</t>
  </si>
  <si>
    <t>Projekts "Motocikla un aprīkojuma iegāde zivju resursu aizsardzībai"</t>
  </si>
  <si>
    <t>04.4.2.</t>
  </si>
  <si>
    <t>08.5.7.</t>
  </si>
  <si>
    <t>31.10. SN Nr.46</t>
  </si>
  <si>
    <t>11.11. Nr.1.1-14/314</t>
  </si>
  <si>
    <t>14.11. Nr.1.1-14/323</t>
  </si>
  <si>
    <t>20.11. Nr.1.1-14/329</t>
  </si>
  <si>
    <t>20.11. R Nr.1.1-14/329</t>
  </si>
  <si>
    <t>27.11. Nr.1.1-14/333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</si>
</sst>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indexed="10"/>
      <name val="Times New Roman"/>
      <family val="1"/>
      <charset val="186"/>
    </font>
    <font>
      <b/>
      <sz val="9"/>
      <color indexed="9"/>
      <name val="Times New Roman"/>
      <family val="1"/>
      <charset val="186"/>
    </font>
    <font>
      <b/>
      <u/>
      <sz val="9"/>
      <name val="Times New Roman"/>
      <family val="1"/>
      <charset val="186"/>
    </font>
    <font>
      <sz val="6"/>
      <name val="Times New Roman"/>
      <family val="1"/>
      <charset val="186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i/>
      <sz val="14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9"/>
      <color theme="0"/>
      <name val="Times New Roman"/>
      <family val="1"/>
      <charset val="186"/>
    </font>
    <font>
      <sz val="13"/>
      <name val="Times New Roman"/>
      <family val="1"/>
      <charset val="186"/>
    </font>
    <font>
      <i/>
      <sz val="12"/>
      <name val="Times New Roman"/>
      <family val="1"/>
      <charset val="186"/>
    </font>
    <font>
      <b/>
      <i/>
      <sz val="13"/>
      <name val="Times New Roman"/>
      <family val="1"/>
      <charset val="186"/>
    </font>
    <font>
      <b/>
      <sz val="13"/>
      <name val="Times New Roman"/>
      <family val="1"/>
      <charset val="186"/>
    </font>
    <font>
      <i/>
      <sz val="13"/>
      <name val="Times New Roman"/>
      <family val="1"/>
      <charset val="186"/>
    </font>
    <font>
      <sz val="13"/>
      <color theme="0"/>
      <name val="Times New Roman"/>
      <family val="1"/>
      <charset val="186"/>
    </font>
    <font>
      <i/>
      <sz val="13"/>
      <color theme="0"/>
      <name val="Times New Roman"/>
      <family val="1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b/>
      <sz val="13"/>
      <color theme="0"/>
      <name val="Times New Roman"/>
      <family val="1"/>
      <charset val="186"/>
    </font>
    <font>
      <b/>
      <i/>
      <sz val="13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66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16">
    <xf numFmtId="0" fontId="0" fillId="0" borderId="0" xfId="0"/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19" xfId="0" applyNumberFormat="1" applyFont="1" applyFill="1" applyBorder="1" applyAlignment="1">
      <alignment horizontal="right" vertical="center" wrapText="1"/>
    </xf>
    <xf numFmtId="49" fontId="4" fillId="0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0" xfId="2" applyFont="1" applyFill="1" applyBorder="1"/>
    <xf numFmtId="3" fontId="7" fillId="2" borderId="3" xfId="2" applyNumberFormat="1" applyFont="1" applyFill="1" applyBorder="1" applyAlignment="1">
      <alignment horizontal="right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7" fillId="0" borderId="22" xfId="2" applyFont="1" applyFill="1" applyBorder="1" applyAlignment="1">
      <alignment horizontal="center" vertical="center" wrapText="1"/>
    </xf>
    <xf numFmtId="0" fontId="7" fillId="0" borderId="23" xfId="2" applyFont="1" applyFill="1" applyBorder="1" applyAlignment="1">
      <alignment horizontal="center" vertical="center" wrapText="1"/>
    </xf>
    <xf numFmtId="0" fontId="7" fillId="0" borderId="26" xfId="2" applyFont="1" applyFill="1" applyBorder="1" applyAlignment="1">
      <alignment horizontal="center" vertical="center" wrapText="1"/>
    </xf>
    <xf numFmtId="3" fontId="7" fillId="0" borderId="26" xfId="2" applyNumberFormat="1" applyFont="1" applyFill="1" applyBorder="1" applyAlignment="1">
      <alignment horizontal="right" vertical="center" wrapText="1"/>
    </xf>
    <xf numFmtId="0" fontId="8" fillId="3" borderId="26" xfId="2" applyFont="1" applyFill="1" applyBorder="1" applyAlignment="1">
      <alignment horizontal="left" vertical="center" wrapText="1"/>
    </xf>
    <xf numFmtId="3" fontId="8" fillId="3" borderId="26" xfId="2" applyNumberFormat="1" applyFont="1" applyFill="1" applyBorder="1" applyAlignment="1">
      <alignment horizontal="right" vertical="center" wrapText="1"/>
    </xf>
    <xf numFmtId="0" fontId="5" fillId="0" borderId="25" xfId="2" applyFont="1" applyFill="1" applyBorder="1" applyAlignment="1">
      <alignment vertical="center"/>
    </xf>
    <xf numFmtId="0" fontId="5" fillId="0" borderId="26" xfId="2" applyFont="1" applyFill="1" applyBorder="1" applyAlignment="1">
      <alignment vertical="center" wrapText="1"/>
    </xf>
    <xf numFmtId="0" fontId="4" fillId="0" borderId="27" xfId="2" applyFont="1" applyFill="1" applyBorder="1" applyAlignment="1">
      <alignment vertical="center"/>
    </xf>
    <xf numFmtId="0" fontId="4" fillId="0" borderId="28" xfId="2" applyFont="1" applyFill="1" applyBorder="1" applyAlignment="1">
      <alignment vertical="center" wrapText="1"/>
    </xf>
    <xf numFmtId="0" fontId="4" fillId="0" borderId="29" xfId="2" applyFont="1" applyFill="1" applyBorder="1" applyAlignment="1">
      <alignment vertical="center"/>
    </xf>
    <xf numFmtId="0" fontId="4" fillId="0" borderId="31" xfId="2" applyFont="1" applyFill="1" applyBorder="1" applyAlignment="1">
      <alignment vertical="center"/>
    </xf>
    <xf numFmtId="0" fontId="4" fillId="0" borderId="32" xfId="2" applyFont="1" applyFill="1" applyBorder="1" applyAlignment="1">
      <alignment vertical="center" wrapText="1"/>
    </xf>
    <xf numFmtId="3" fontId="8" fillId="3" borderId="26" xfId="2" applyNumberFormat="1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0" fontId="4" fillId="0" borderId="26" xfId="2" applyFont="1" applyFill="1" applyBorder="1" applyAlignment="1">
      <alignment vertical="center" wrapText="1"/>
    </xf>
    <xf numFmtId="3" fontId="4" fillId="0" borderId="26" xfId="2" applyNumberFormat="1" applyFont="1" applyFill="1" applyBorder="1" applyAlignment="1">
      <alignment vertical="center"/>
    </xf>
    <xf numFmtId="0" fontId="5" fillId="0" borderId="26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vertical="center"/>
    </xf>
    <xf numFmtId="0" fontId="4" fillId="0" borderId="3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wrapText="1"/>
    </xf>
    <xf numFmtId="0" fontId="4" fillId="0" borderId="25" xfId="2" applyFont="1" applyFill="1" applyBorder="1"/>
    <xf numFmtId="0" fontId="4" fillId="0" borderId="26" xfId="2" applyFont="1" applyFill="1" applyBorder="1" applyAlignment="1">
      <alignment wrapText="1"/>
    </xf>
    <xf numFmtId="0" fontId="8" fillId="3" borderId="26" xfId="2" applyFont="1" applyFill="1" applyBorder="1" applyAlignment="1">
      <alignment vertical="center" wrapText="1"/>
    </xf>
    <xf numFmtId="0" fontId="4" fillId="0" borderId="12" xfId="2" applyFont="1" applyFill="1" applyBorder="1" applyAlignment="1">
      <alignment vertical="center"/>
    </xf>
    <xf numFmtId="0" fontId="4" fillId="0" borderId="14" xfId="2" applyFont="1" applyFill="1" applyBorder="1" applyAlignment="1">
      <alignment vertical="center" wrapText="1"/>
    </xf>
    <xf numFmtId="3" fontId="4" fillId="0" borderId="14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vertical="center"/>
    </xf>
    <xf numFmtId="0" fontId="4" fillId="0" borderId="34" xfId="2" applyFont="1" applyFill="1" applyBorder="1" applyAlignment="1">
      <alignment vertical="center" wrapText="1"/>
    </xf>
    <xf numFmtId="0" fontId="5" fillId="0" borderId="14" xfId="2" applyFont="1" applyFill="1" applyBorder="1" applyAlignment="1">
      <alignment vertical="top" wrapText="1"/>
    </xf>
    <xf numFmtId="0" fontId="5" fillId="0" borderId="25" xfId="2" applyFont="1" applyFill="1" applyBorder="1" applyAlignment="1">
      <alignment horizontal="left" vertical="center"/>
    </xf>
    <xf numFmtId="0" fontId="5" fillId="0" borderId="25" xfId="2" applyFont="1" applyFill="1" applyBorder="1"/>
    <xf numFmtId="0" fontId="5" fillId="0" borderId="26" xfId="2" applyFont="1" applyFill="1" applyBorder="1" applyAlignment="1">
      <alignment wrapText="1"/>
    </xf>
    <xf numFmtId="0" fontId="4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0" fontId="4" fillId="0" borderId="22" xfId="2" applyFont="1" applyFill="1" applyBorder="1"/>
    <xf numFmtId="0" fontId="4" fillId="0" borderId="23" xfId="2" applyFont="1" applyFill="1" applyBorder="1"/>
    <xf numFmtId="0" fontId="5" fillId="0" borderId="22" xfId="2" applyFont="1" applyFill="1" applyBorder="1"/>
    <xf numFmtId="0" fontId="4" fillId="0" borderId="12" xfId="2" applyFont="1" applyFill="1" applyBorder="1"/>
    <xf numFmtId="0" fontId="4" fillId="0" borderId="13" xfId="2" applyFont="1" applyFill="1" applyBorder="1"/>
    <xf numFmtId="0" fontId="4" fillId="0" borderId="36" xfId="2" applyFont="1" applyFill="1" applyBorder="1"/>
    <xf numFmtId="3" fontId="5" fillId="0" borderId="37" xfId="2" applyNumberFormat="1" applyFont="1" applyFill="1" applyBorder="1" applyAlignment="1">
      <alignment vertical="center"/>
    </xf>
    <xf numFmtId="0" fontId="4" fillId="0" borderId="0" xfId="2" applyFont="1" applyFill="1"/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left" vertical="center" wrapText="1"/>
    </xf>
    <xf numFmtId="3" fontId="4" fillId="0" borderId="14" xfId="2" applyNumberFormat="1" applyFont="1" applyFill="1" applyBorder="1" applyAlignment="1">
      <alignment horizontal="right" vertical="center"/>
    </xf>
    <xf numFmtId="0" fontId="9" fillId="0" borderId="39" xfId="2" applyFont="1" applyFill="1" applyBorder="1" applyAlignment="1">
      <alignment horizontal="center" vertical="center"/>
    </xf>
    <xf numFmtId="0" fontId="9" fillId="0" borderId="39" xfId="2" applyFont="1" applyFill="1" applyBorder="1" applyAlignment="1">
      <alignment horizontal="center" vertical="center" wrapText="1"/>
    </xf>
    <xf numFmtId="0" fontId="8" fillId="4" borderId="26" xfId="2" applyFont="1" applyFill="1" applyBorder="1" applyAlignment="1">
      <alignment wrapText="1"/>
    </xf>
    <xf numFmtId="3" fontId="8" fillId="4" borderId="14" xfId="2" applyNumberFormat="1" applyFont="1" applyFill="1" applyBorder="1" applyAlignment="1">
      <alignment horizontal="right" vertical="center"/>
    </xf>
    <xf numFmtId="49" fontId="4" fillId="0" borderId="41" xfId="0" applyNumberFormat="1" applyFont="1" applyFill="1" applyBorder="1" applyAlignment="1">
      <alignment horizontal="left" vertical="center" wrapText="1"/>
    </xf>
    <xf numFmtId="3" fontId="4" fillId="0" borderId="43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49" fontId="4" fillId="0" borderId="44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49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5" fillId="0" borderId="28" xfId="2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3" fontId="4" fillId="0" borderId="61" xfId="0" applyNumberFormat="1" applyFont="1" applyFill="1" applyBorder="1" applyAlignment="1">
      <alignment horizontal="right" vertical="center" wrapText="1"/>
    </xf>
    <xf numFmtId="3" fontId="4" fillId="0" borderId="59" xfId="0" applyNumberFormat="1" applyFont="1" applyFill="1" applyBorder="1" applyAlignment="1">
      <alignment horizontal="right" vertical="center" wrapText="1"/>
    </xf>
    <xf numFmtId="3" fontId="4" fillId="0" borderId="62" xfId="0" applyNumberFormat="1" applyFont="1" applyFill="1" applyBorder="1" applyAlignment="1">
      <alignment horizontal="right" vertical="center" wrapText="1"/>
    </xf>
    <xf numFmtId="0" fontId="4" fillId="0" borderId="28" xfId="2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86" xfId="2" applyFont="1" applyFill="1" applyBorder="1" applyAlignment="1">
      <alignment horizontal="center" vertical="center"/>
    </xf>
    <xf numFmtId="0" fontId="5" fillId="0" borderId="0" xfId="2" applyFont="1" applyFill="1" applyBorder="1"/>
    <xf numFmtId="0" fontId="8" fillId="0" borderId="0" xfId="2" applyFont="1" applyFill="1" applyBorder="1"/>
    <xf numFmtId="0" fontId="4" fillId="0" borderId="101" xfId="2" applyFont="1" applyFill="1" applyBorder="1" applyAlignment="1">
      <alignment vertical="center"/>
    </xf>
    <xf numFmtId="0" fontId="4" fillId="0" borderId="102" xfId="2" applyFont="1" applyFill="1" applyBorder="1" applyAlignment="1">
      <alignment vertical="center"/>
    </xf>
    <xf numFmtId="0" fontId="4" fillId="0" borderId="101" xfId="2" applyFont="1" applyFill="1" applyBorder="1" applyAlignment="1">
      <alignment horizontal="left" vertical="center"/>
    </xf>
    <xf numFmtId="0" fontId="11" fillId="0" borderId="0" xfId="2" applyFont="1" applyFill="1" applyBorder="1"/>
    <xf numFmtId="0" fontId="9" fillId="0" borderId="83" xfId="2" applyFont="1" applyFill="1" applyBorder="1" applyAlignment="1">
      <alignment horizontal="center" vertical="center" wrapText="1"/>
    </xf>
    <xf numFmtId="0" fontId="4" fillId="0" borderId="82" xfId="2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" fontId="10" fillId="0" borderId="47" xfId="0" applyNumberFormat="1" applyFont="1" applyFill="1" applyBorder="1" applyAlignment="1">
      <alignment horizontal="center" vertical="center" wrapText="1"/>
    </xf>
    <xf numFmtId="1" fontId="10" fillId="0" borderId="52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5" fillId="0" borderId="27" xfId="2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55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84" xfId="0" applyFont="1" applyFill="1" applyBorder="1"/>
    <xf numFmtId="0" fontId="4" fillId="0" borderId="105" xfId="2" applyFont="1" applyFill="1" applyBorder="1" applyAlignment="1">
      <alignment horizontal="center" vertical="center" wrapText="1"/>
    </xf>
    <xf numFmtId="3" fontId="5" fillId="0" borderId="107" xfId="2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3" fontId="17" fillId="5" borderId="14" xfId="2" applyNumberFormat="1" applyFont="1" applyFill="1" applyBorder="1" applyAlignment="1">
      <alignment horizontal="right" vertic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wrapText="1"/>
    </xf>
    <xf numFmtId="0" fontId="21" fillId="0" borderId="0" xfId="0" applyFont="1" applyBorder="1"/>
    <xf numFmtId="3" fontId="21" fillId="0" borderId="0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left"/>
    </xf>
    <xf numFmtId="3" fontId="18" fillId="0" borderId="0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left"/>
    </xf>
    <xf numFmtId="0" fontId="21" fillId="0" borderId="0" xfId="0" applyFont="1" applyBorder="1" applyAlignment="1">
      <alignment wrapText="1"/>
    </xf>
    <xf numFmtId="3" fontId="21" fillId="0" borderId="0" xfId="0" applyNumberFormat="1" applyFont="1" applyFill="1" applyBorder="1" applyAlignment="1">
      <alignment horizontal="right"/>
    </xf>
    <xf numFmtId="3" fontId="16" fillId="0" borderId="34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3" fontId="4" fillId="0" borderId="46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7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32" xfId="0" applyNumberFormat="1" applyFont="1" applyFill="1" applyBorder="1" applyAlignment="1">
      <alignment horizontal="right" vertical="center" wrapText="1"/>
    </xf>
    <xf numFmtId="3" fontId="4" fillId="0" borderId="0" xfId="2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right"/>
    </xf>
    <xf numFmtId="3" fontId="23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left"/>
    </xf>
    <xf numFmtId="0" fontId="5" fillId="0" borderId="22" xfId="2" applyFont="1" applyFill="1" applyBorder="1" applyAlignment="1">
      <alignment horizontal="left" vertical="center"/>
    </xf>
    <xf numFmtId="0" fontId="5" fillId="0" borderId="12" xfId="2" applyFont="1" applyFill="1" applyBorder="1"/>
    <xf numFmtId="0" fontId="4" fillId="0" borderId="13" xfId="2" applyFont="1" applyFill="1" applyBorder="1" applyAlignment="1">
      <alignment horizontal="center"/>
    </xf>
    <xf numFmtId="0" fontId="4" fillId="0" borderId="36" xfId="2" applyFont="1" applyFill="1" applyBorder="1" applyAlignment="1">
      <alignment horizontal="center"/>
    </xf>
    <xf numFmtId="3" fontId="5" fillId="0" borderId="26" xfId="2" applyNumberFormat="1" applyFont="1" applyFill="1" applyBorder="1" applyAlignment="1">
      <alignment horizontal="right" vertical="center" wrapText="1"/>
    </xf>
    <xf numFmtId="3" fontId="4" fillId="0" borderId="28" xfId="2" applyNumberFormat="1" applyFont="1" applyFill="1" applyBorder="1" applyAlignment="1">
      <alignment vertical="center"/>
    </xf>
    <xf numFmtId="3" fontId="4" fillId="0" borderId="30" xfId="2" applyNumberFormat="1" applyFont="1" applyFill="1" applyBorder="1" applyAlignment="1">
      <alignment vertical="center"/>
    </xf>
    <xf numFmtId="3" fontId="4" fillId="0" borderId="32" xfId="2" applyNumberFormat="1" applyFont="1" applyFill="1" applyBorder="1" applyAlignment="1">
      <alignment vertical="center"/>
    </xf>
    <xf numFmtId="3" fontId="4" fillId="0" borderId="3" xfId="2" applyNumberFormat="1" applyFont="1" applyFill="1" applyBorder="1" applyAlignment="1">
      <alignment vertical="center"/>
    </xf>
    <xf numFmtId="3" fontId="5" fillId="0" borderId="26" xfId="2" applyNumberFormat="1" applyFont="1" applyFill="1" applyBorder="1" applyAlignment="1">
      <alignment vertical="center"/>
    </xf>
    <xf numFmtId="3" fontId="4" fillId="0" borderId="34" xfId="2" applyNumberFormat="1" applyFont="1" applyFill="1" applyBorder="1" applyAlignment="1">
      <alignment vertical="center"/>
    </xf>
    <xf numFmtId="3" fontId="4" fillId="0" borderId="26" xfId="2" applyNumberFormat="1" applyFont="1" applyFill="1" applyBorder="1" applyAlignment="1">
      <alignment horizontal="right" vertical="center"/>
    </xf>
    <xf numFmtId="3" fontId="8" fillId="4" borderId="28" xfId="2" applyNumberFormat="1" applyFont="1" applyFill="1" applyBorder="1" applyAlignment="1">
      <alignment vertical="center"/>
    </xf>
    <xf numFmtId="3" fontId="5" fillId="0" borderId="28" xfId="2" applyNumberFormat="1" applyFont="1" applyFill="1" applyBorder="1" applyAlignment="1">
      <alignment vertical="center"/>
    </xf>
    <xf numFmtId="3" fontId="11" fillId="0" borderId="26" xfId="2" applyNumberFormat="1" applyFont="1" applyFill="1" applyBorder="1" applyAlignment="1">
      <alignment vertical="center"/>
    </xf>
    <xf numFmtId="3" fontId="5" fillId="0" borderId="14" xfId="2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4" fillId="0" borderId="75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64" xfId="0" applyNumberFormat="1" applyFont="1" applyFill="1" applyBorder="1" applyAlignment="1">
      <alignment horizontal="right" vertical="center" wrapText="1"/>
    </xf>
    <xf numFmtId="0" fontId="4" fillId="0" borderId="51" xfId="0" applyFont="1" applyFill="1" applyBorder="1" applyAlignment="1">
      <alignment horizontal="left" vertical="center" wrapText="1"/>
    </xf>
    <xf numFmtId="0" fontId="12" fillId="0" borderId="42" xfId="0" applyFont="1" applyFill="1" applyBorder="1" applyAlignment="1">
      <alignment horizontal="left" vertical="center" wrapText="1"/>
    </xf>
    <xf numFmtId="0" fontId="4" fillId="0" borderId="109" xfId="0" applyFont="1" applyFill="1" applyBorder="1" applyAlignment="1">
      <alignment horizontal="left" vertical="center" wrapText="1"/>
    </xf>
    <xf numFmtId="3" fontId="4" fillId="0" borderId="104" xfId="0" applyNumberFormat="1" applyFont="1" applyFill="1" applyBorder="1" applyAlignment="1">
      <alignment horizontal="right" vertical="center" wrapText="1"/>
    </xf>
    <xf numFmtId="49" fontId="4" fillId="0" borderId="49" xfId="0" applyNumberFormat="1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left" vertical="center" wrapText="1"/>
    </xf>
    <xf numFmtId="0" fontId="4" fillId="0" borderId="48" xfId="0" applyFont="1" applyFill="1" applyBorder="1" applyAlignment="1">
      <alignment horizontal="left" vertical="center" wrapText="1"/>
    </xf>
    <xf numFmtId="3" fontId="5" fillId="0" borderId="47" xfId="0" applyNumberFormat="1" applyFont="1" applyFill="1" applyBorder="1" applyAlignment="1">
      <alignment horizontal="right" vertical="center" wrapText="1"/>
    </xf>
    <xf numFmtId="3" fontId="5" fillId="0" borderId="46" xfId="0" applyNumberFormat="1" applyFont="1" applyFill="1" applyBorder="1" applyAlignment="1">
      <alignment horizontal="right" vertical="center" wrapText="1"/>
    </xf>
    <xf numFmtId="3" fontId="5" fillId="0" borderId="63" xfId="0" applyNumberFormat="1" applyFont="1" applyFill="1" applyBorder="1" applyAlignment="1">
      <alignment horizontal="right" vertical="center" wrapText="1"/>
    </xf>
    <xf numFmtId="3" fontId="5" fillId="0" borderId="20" xfId="0" applyNumberFormat="1" applyFont="1" applyFill="1" applyBorder="1" applyAlignment="1">
      <alignment horizontal="right" vertical="center" wrapText="1"/>
    </xf>
    <xf numFmtId="3" fontId="5" fillId="0" borderId="45" xfId="0" applyNumberFormat="1" applyFont="1" applyFill="1" applyBorder="1" applyAlignment="1">
      <alignment horizontal="right" vertical="center" wrapText="1"/>
    </xf>
    <xf numFmtId="0" fontId="5" fillId="0" borderId="66" xfId="0" applyFont="1" applyFill="1" applyBorder="1" applyAlignment="1">
      <alignment horizontal="left" vertical="center"/>
    </xf>
    <xf numFmtId="0" fontId="5" fillId="0" borderId="17" xfId="0" quotePrefix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quotePrefix="1" applyFont="1" applyFill="1" applyBorder="1" applyAlignment="1">
      <alignment horizontal="center" vertical="center" wrapText="1"/>
    </xf>
    <xf numFmtId="49" fontId="4" fillId="0" borderId="112" xfId="0" applyNumberFormat="1" applyFont="1" applyFill="1" applyBorder="1" applyAlignment="1">
      <alignment horizontal="left" vertical="center" wrapText="1"/>
    </xf>
    <xf numFmtId="49" fontId="12" fillId="0" borderId="112" xfId="0" applyNumberFormat="1" applyFont="1" applyFill="1" applyBorder="1" applyAlignment="1">
      <alignment horizontal="left" vertical="center" wrapText="1"/>
    </xf>
    <xf numFmtId="49" fontId="4" fillId="0" borderId="111" xfId="0" applyNumberFormat="1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49" fontId="4" fillId="0" borderId="51" xfId="0" applyNumberFormat="1" applyFont="1" applyFill="1" applyBorder="1" applyAlignment="1">
      <alignment horizontal="left" vertical="center" wrapText="1"/>
    </xf>
    <xf numFmtId="0" fontId="5" fillId="0" borderId="66" xfId="0" applyFont="1" applyFill="1" applyBorder="1" applyAlignment="1">
      <alignment horizontal="left" vertical="center" wrapText="1"/>
    </xf>
    <xf numFmtId="0" fontId="5" fillId="0" borderId="114" xfId="0" applyFont="1" applyFill="1" applyBorder="1" applyAlignment="1">
      <alignment horizontal="left" vertical="center" wrapText="1"/>
    </xf>
    <xf numFmtId="49" fontId="4" fillId="0" borderId="48" xfId="0" applyNumberFormat="1" applyFont="1" applyFill="1" applyBorder="1" applyAlignment="1">
      <alignment horizontal="right" vertical="center" wrapText="1"/>
    </xf>
    <xf numFmtId="0" fontId="4" fillId="0" borderId="115" xfId="0" applyFont="1" applyFill="1" applyBorder="1" applyAlignment="1">
      <alignment horizontal="center" vertical="center" wrapText="1"/>
    </xf>
    <xf numFmtId="0" fontId="5" fillId="0" borderId="116" xfId="0" applyFont="1" applyFill="1" applyBorder="1" applyAlignment="1">
      <alignment horizontal="left" vertical="center"/>
    </xf>
    <xf numFmtId="3" fontId="5" fillId="0" borderId="115" xfId="0" applyNumberFormat="1" applyFont="1" applyFill="1" applyBorder="1" applyAlignment="1">
      <alignment horizontal="right" vertical="center" wrapText="1"/>
    </xf>
    <xf numFmtId="3" fontId="5" fillId="0" borderId="117" xfId="0" applyNumberFormat="1" applyFont="1" applyFill="1" applyBorder="1" applyAlignment="1">
      <alignment horizontal="right" vertical="center" wrapText="1"/>
    </xf>
    <xf numFmtId="3" fontId="5" fillId="0" borderId="118" xfId="0" applyNumberFormat="1" applyFont="1" applyFill="1" applyBorder="1" applyAlignment="1">
      <alignment horizontal="right" vertical="center" wrapText="1"/>
    </xf>
    <xf numFmtId="49" fontId="4" fillId="0" borderId="50" xfId="0" applyNumberFormat="1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/>
    </xf>
    <xf numFmtId="3" fontId="5" fillId="0" borderId="119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108" xfId="0" applyNumberFormat="1" applyFont="1" applyFill="1" applyBorder="1" applyAlignment="1">
      <alignment horizontal="right" vertical="center" wrapText="1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left" vertical="center" wrapText="1"/>
    </xf>
    <xf numFmtId="0" fontId="5" fillId="0" borderId="119" xfId="0" applyFont="1" applyFill="1" applyBorder="1" applyAlignment="1">
      <alignment horizontal="center" vertical="center" wrapText="1"/>
    </xf>
    <xf numFmtId="0" fontId="5" fillId="0" borderId="81" xfId="0" applyFont="1" applyFill="1" applyBorder="1" applyAlignment="1">
      <alignment horizontal="left" vertical="center"/>
    </xf>
    <xf numFmtId="3" fontId="4" fillId="0" borderId="20" xfId="0" applyNumberFormat="1" applyFont="1" applyFill="1" applyBorder="1" applyAlignment="1">
      <alignment horizontal="right" vertical="center" wrapText="1"/>
    </xf>
    <xf numFmtId="3" fontId="4" fillId="0" borderId="45" xfId="0" applyNumberFormat="1" applyFont="1" applyFill="1" applyBorder="1" applyAlignment="1">
      <alignment horizontal="right" vertical="center" wrapText="1"/>
    </xf>
    <xf numFmtId="0" fontId="4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13" fillId="0" borderId="57" xfId="0" applyFont="1" applyFill="1" applyBorder="1" applyAlignment="1">
      <alignment horizontal="left" vertical="center" wrapText="1"/>
    </xf>
    <xf numFmtId="0" fontId="12" fillId="0" borderId="58" xfId="0" applyFont="1" applyFill="1" applyBorder="1" applyAlignment="1">
      <alignment horizontal="left" vertical="center" wrapText="1"/>
    </xf>
    <xf numFmtId="0" fontId="4" fillId="0" borderId="71" xfId="0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16" fillId="0" borderId="57" xfId="0" applyFont="1" applyFill="1" applyBorder="1" applyAlignment="1">
      <alignment vertical="center" wrapText="1"/>
    </xf>
    <xf numFmtId="0" fontId="4" fillId="0" borderId="57" xfId="0" applyFont="1" applyFill="1" applyBorder="1" applyAlignment="1">
      <alignment horizontal="center" vertical="center" wrapText="1"/>
    </xf>
    <xf numFmtId="49" fontId="12" fillId="0" borderId="120" xfId="0" applyNumberFormat="1" applyFont="1" applyFill="1" applyBorder="1" applyAlignment="1">
      <alignment horizontal="left" vertical="center" wrapText="1"/>
    </xf>
    <xf numFmtId="0" fontId="4" fillId="0" borderId="26" xfId="2" applyFont="1" applyFill="1" applyBorder="1" applyAlignment="1">
      <alignment horizontal="right" wrapText="1"/>
    </xf>
    <xf numFmtId="0" fontId="4" fillId="0" borderId="26" xfId="2" applyFont="1" applyFill="1" applyBorder="1" applyAlignment="1">
      <alignment horizontal="left" wrapText="1"/>
    </xf>
    <xf numFmtId="0" fontId="4" fillId="0" borderId="104" xfId="2" applyFont="1" applyFill="1" applyBorder="1" applyAlignment="1">
      <alignment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42" xfId="0" applyFont="1" applyFill="1" applyBorder="1" applyAlignment="1">
      <alignment horizontal="left" vertical="center"/>
    </xf>
    <xf numFmtId="3" fontId="5" fillId="0" borderId="43" xfId="0" applyNumberFormat="1" applyFont="1" applyFill="1" applyBorder="1" applyAlignment="1">
      <alignment horizontal="right" vertical="center" wrapText="1"/>
    </xf>
    <xf numFmtId="3" fontId="5" fillId="0" borderId="34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Fill="1" applyBorder="1" applyAlignment="1">
      <alignment horizontal="right" vertical="center" wrapText="1"/>
    </xf>
    <xf numFmtId="49" fontId="16" fillId="0" borderId="44" xfId="0" applyNumberFormat="1" applyFont="1" applyFill="1" applyBorder="1" applyAlignment="1">
      <alignment horizontal="left" vertical="center" wrapText="1"/>
    </xf>
    <xf numFmtId="0" fontId="16" fillId="0" borderId="44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2" applyFont="1" applyFill="1" applyBorder="1" applyAlignment="1">
      <alignment horizontal="left" vertical="center"/>
    </xf>
    <xf numFmtId="49" fontId="4" fillId="0" borderId="120" xfId="0" applyNumberFormat="1" applyFont="1" applyFill="1" applyBorder="1" applyAlignment="1">
      <alignment horizontal="center" vertical="center" wrapText="1"/>
    </xf>
    <xf numFmtId="0" fontId="4" fillId="0" borderId="30" xfId="2" applyFont="1" applyFill="1" applyBorder="1" applyAlignment="1">
      <alignment vertical="center" wrapText="1"/>
    </xf>
    <xf numFmtId="3" fontId="4" fillId="0" borderId="53" xfId="2" applyNumberFormat="1" applyFont="1" applyFill="1" applyBorder="1" applyAlignment="1">
      <alignment vertical="center"/>
    </xf>
    <xf numFmtId="3" fontId="4" fillId="0" borderId="40" xfId="2" applyNumberFormat="1" applyFont="1" applyFill="1" applyBorder="1" applyAlignment="1">
      <alignment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40" xfId="2" applyFont="1" applyFill="1" applyBorder="1" applyAlignment="1">
      <alignment vertical="center" wrapText="1"/>
    </xf>
    <xf numFmtId="0" fontId="4" fillId="0" borderId="26" xfId="2" applyFont="1" applyFill="1" applyBorder="1" applyAlignment="1">
      <alignment vertical="top" wrapText="1"/>
    </xf>
    <xf numFmtId="0" fontId="4" fillId="0" borderId="53" xfId="2" applyFont="1" applyFill="1" applyBorder="1" applyAlignment="1">
      <alignment vertical="center" wrapText="1"/>
    </xf>
    <xf numFmtId="3" fontId="5" fillId="0" borderId="14" xfId="2" applyNumberFormat="1" applyFont="1" applyFill="1" applyBorder="1" applyAlignment="1">
      <alignment vertical="center"/>
    </xf>
    <xf numFmtId="3" fontId="5" fillId="0" borderId="3" xfId="2" applyNumberFormat="1" applyFont="1" applyFill="1" applyBorder="1" applyAlignment="1">
      <alignment vertical="center"/>
    </xf>
    <xf numFmtId="3" fontId="14" fillId="0" borderId="28" xfId="2" applyNumberFormat="1" applyFont="1" applyFill="1" applyBorder="1" applyAlignment="1">
      <alignment vertical="center"/>
    </xf>
    <xf numFmtId="0" fontId="5" fillId="0" borderId="108" xfId="2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/>
    </xf>
    <xf numFmtId="0" fontId="5" fillId="0" borderId="26" xfId="0" applyFont="1" applyBorder="1" applyAlignment="1">
      <alignment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86" xfId="2" applyFont="1" applyFill="1" applyBorder="1" applyAlignment="1">
      <alignment horizontal="center" vertical="center" wrapText="1"/>
    </xf>
    <xf numFmtId="3" fontId="4" fillId="0" borderId="0" xfId="2" applyNumberFormat="1" applyFont="1" applyFill="1" applyBorder="1"/>
    <xf numFmtId="0" fontId="9" fillId="0" borderId="67" xfId="0" applyFont="1" applyFill="1" applyBorder="1" applyAlignment="1">
      <alignment horizontal="center" vertical="center" wrapText="1"/>
    </xf>
    <xf numFmtId="0" fontId="5" fillId="0" borderId="75" xfId="0" applyFont="1" applyFill="1" applyBorder="1" applyAlignment="1">
      <alignment horizontal="center" vertical="center" wrapText="1"/>
    </xf>
    <xf numFmtId="3" fontId="5" fillId="0" borderId="88" xfId="0" applyNumberFormat="1" applyFont="1" applyFill="1" applyBorder="1" applyAlignment="1">
      <alignment horizontal="right" vertical="center" wrapText="1"/>
    </xf>
    <xf numFmtId="3" fontId="4" fillId="0" borderId="57" xfId="0" applyNumberFormat="1" applyFont="1" applyFill="1" applyBorder="1" applyAlignment="1">
      <alignment horizontal="right" vertical="center" wrapText="1"/>
    </xf>
    <xf numFmtId="3" fontId="4" fillId="0" borderId="67" xfId="0" applyNumberFormat="1" applyFont="1" applyFill="1" applyBorder="1" applyAlignment="1">
      <alignment horizontal="right" vertical="center" wrapText="1"/>
    </xf>
    <xf numFmtId="3" fontId="5" fillId="0" borderId="38" xfId="0" applyNumberFormat="1" applyFont="1" applyFill="1" applyBorder="1" applyAlignment="1">
      <alignment horizontal="right" vertical="center" wrapText="1"/>
    </xf>
    <xf numFmtId="3" fontId="5" fillId="0" borderId="15" xfId="0" applyNumberFormat="1" applyFont="1" applyFill="1" applyBorder="1" applyAlignment="1">
      <alignment horizontal="right" vertical="center" wrapText="1"/>
    </xf>
    <xf numFmtId="3" fontId="4" fillId="0" borderId="91" xfId="0" applyNumberFormat="1" applyFont="1" applyFill="1" applyBorder="1" applyAlignment="1">
      <alignment horizontal="right" vertical="center" wrapText="1"/>
    </xf>
    <xf numFmtId="3" fontId="5" fillId="0" borderId="81" xfId="0" applyNumberFormat="1" applyFont="1" applyFill="1" applyBorder="1" applyAlignment="1">
      <alignment horizontal="right" vertical="center" wrapText="1"/>
    </xf>
    <xf numFmtId="3" fontId="5" fillId="0" borderId="71" xfId="0" applyNumberFormat="1" applyFont="1" applyFill="1" applyBorder="1" applyAlignment="1">
      <alignment horizontal="right" vertical="center" wrapText="1"/>
    </xf>
    <xf numFmtId="3" fontId="5" fillId="0" borderId="122" xfId="0" applyNumberFormat="1" applyFont="1" applyFill="1" applyBorder="1" applyAlignment="1">
      <alignment horizontal="right" vertical="center" wrapText="1"/>
    </xf>
    <xf numFmtId="3" fontId="5" fillId="0" borderId="23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4" fillId="0" borderId="63" xfId="0" applyNumberFormat="1" applyFont="1" applyFill="1" applyBorder="1" applyAlignment="1">
      <alignment horizontal="right" vertical="center" wrapText="1"/>
    </xf>
    <xf numFmtId="3" fontId="16" fillId="0" borderId="62" xfId="0" applyNumberFormat="1" applyFont="1" applyFill="1" applyBorder="1" applyAlignment="1">
      <alignment horizontal="right" vertical="center" wrapText="1"/>
    </xf>
    <xf numFmtId="0" fontId="9" fillId="0" borderId="77" xfId="0" applyFont="1" applyFill="1" applyBorder="1" applyAlignment="1">
      <alignment horizontal="center" vertical="center" wrapText="1"/>
    </xf>
    <xf numFmtId="0" fontId="4" fillId="0" borderId="124" xfId="0" applyFont="1" applyFill="1" applyBorder="1" applyAlignment="1">
      <alignment horizontal="center" vertical="center" wrapText="1"/>
    </xf>
    <xf numFmtId="3" fontId="4" fillId="0" borderId="42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56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66" xfId="0" applyNumberFormat="1" applyFont="1" applyFill="1" applyBorder="1" applyAlignment="1">
      <alignment horizontal="right" vertical="center" wrapText="1"/>
    </xf>
    <xf numFmtId="3" fontId="5" fillId="0" borderId="116" xfId="0" applyNumberFormat="1" applyFont="1" applyFill="1" applyBorder="1" applyAlignment="1">
      <alignment horizontal="right" vertical="center" wrapText="1"/>
    </xf>
    <xf numFmtId="3" fontId="5" fillId="0" borderId="22" xfId="0" applyNumberFormat="1" applyFont="1" applyFill="1" applyBorder="1" applyAlignment="1">
      <alignment horizontal="right" vertical="center" wrapText="1"/>
    </xf>
    <xf numFmtId="3" fontId="5" fillId="0" borderId="42" xfId="0" applyNumberFormat="1" applyFont="1" applyFill="1" applyBorder="1" applyAlignment="1">
      <alignment horizontal="right" vertical="center" wrapText="1"/>
    </xf>
    <xf numFmtId="3" fontId="4" fillId="0" borderId="18" xfId="0" applyNumberFormat="1" applyFont="1" applyFill="1" applyBorder="1" applyAlignment="1">
      <alignment horizontal="right" vertical="center" wrapText="1"/>
    </xf>
    <xf numFmtId="0" fontId="5" fillId="0" borderId="78" xfId="0" applyFont="1" applyFill="1" applyBorder="1" applyAlignment="1">
      <alignment horizontal="left" vertical="center" wrapText="1"/>
    </xf>
    <xf numFmtId="0" fontId="4" fillId="0" borderId="113" xfId="0" applyFont="1" applyFill="1" applyBorder="1" applyAlignment="1">
      <alignment horizontal="left" vertical="center" wrapText="1"/>
    </xf>
    <xf numFmtId="49" fontId="4" fillId="0" borderId="77" xfId="0" applyNumberFormat="1" applyFont="1" applyFill="1" applyBorder="1" applyAlignment="1">
      <alignment horizontal="center" vertical="center" wrapText="1"/>
    </xf>
    <xf numFmtId="0" fontId="5" fillId="0" borderId="128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vertical="center" wrapText="1"/>
    </xf>
    <xf numFmtId="49" fontId="4" fillId="0" borderId="77" xfId="0" applyNumberFormat="1" applyFont="1" applyFill="1" applyBorder="1" applyAlignment="1">
      <alignment horizontal="left" vertical="center" wrapText="1"/>
    </xf>
    <xf numFmtId="0" fontId="4" fillId="0" borderId="114" xfId="0" applyFont="1" applyFill="1" applyBorder="1" applyAlignment="1">
      <alignment horizontal="left" vertical="center" wrapText="1"/>
    </xf>
    <xf numFmtId="0" fontId="16" fillId="0" borderId="103" xfId="0" applyFont="1" applyFill="1" applyBorder="1" applyAlignment="1">
      <alignment horizontal="left" vertical="center" wrapText="1"/>
    </xf>
    <xf numFmtId="0" fontId="4" fillId="0" borderId="77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horizontal="left" vertical="center" wrapText="1"/>
    </xf>
    <xf numFmtId="0" fontId="4" fillId="0" borderId="125" xfId="0" applyFont="1" applyFill="1" applyBorder="1" applyAlignment="1">
      <alignment horizontal="left" vertical="center" wrapText="1"/>
    </xf>
    <xf numFmtId="0" fontId="4" fillId="0" borderId="127" xfId="0" applyFont="1" applyFill="1" applyBorder="1" applyAlignment="1">
      <alignment horizontal="left" vertical="center" wrapText="1"/>
    </xf>
    <xf numFmtId="0" fontId="12" fillId="0" borderId="12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horizontal="left" vertical="center" wrapText="1"/>
    </xf>
    <xf numFmtId="0" fontId="4" fillId="6" borderId="39" xfId="0" applyFont="1" applyFill="1" applyBorder="1" applyAlignment="1">
      <alignment horizontal="center" vertical="center" textRotation="90" wrapText="1"/>
    </xf>
    <xf numFmtId="0" fontId="4" fillId="6" borderId="105" xfId="2" applyFont="1" applyFill="1" applyBorder="1" applyAlignment="1">
      <alignment horizontal="center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3" xfId="2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3" fontId="27" fillId="0" borderId="0" xfId="0" applyNumberFormat="1" applyFont="1" applyBorder="1" applyAlignment="1">
      <alignment horizontal="right"/>
    </xf>
    <xf numFmtId="3" fontId="28" fillId="0" borderId="0" xfId="0" applyNumberFormat="1" applyFont="1" applyBorder="1" applyAlignment="1">
      <alignment horizontal="left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32" xfId="0" applyFont="1" applyFill="1" applyBorder="1" applyAlignment="1">
      <alignment horizontal="left" vertical="center" wrapText="1"/>
    </xf>
    <xf numFmtId="3" fontId="4" fillId="0" borderId="52" xfId="0" applyNumberFormat="1" applyFont="1" applyFill="1" applyBorder="1" applyAlignment="1">
      <alignment horizontal="right" vertical="center" wrapText="1"/>
    </xf>
    <xf numFmtId="3" fontId="4" fillId="0" borderId="58" xfId="0" applyNumberFormat="1" applyFont="1" applyFill="1" applyBorder="1" applyAlignment="1">
      <alignment horizontal="right" vertical="center" wrapText="1"/>
    </xf>
    <xf numFmtId="0" fontId="4" fillId="0" borderId="131" xfId="0" applyFont="1" applyFill="1" applyBorder="1" applyAlignment="1">
      <alignment horizontal="left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5" fillId="0" borderId="22" xfId="0" applyFont="1" applyBorder="1" applyAlignment="1">
      <alignment horizontal="center"/>
    </xf>
    <xf numFmtId="0" fontId="5" fillId="0" borderId="3" xfId="2" applyFont="1" applyFill="1" applyBorder="1" applyAlignment="1">
      <alignment vertical="center" wrapText="1"/>
    </xf>
    <xf numFmtId="0" fontId="5" fillId="0" borderId="1" xfId="2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4" fillId="0" borderId="0" xfId="2" applyFont="1" applyFill="1" applyBorder="1" applyAlignment="1">
      <alignment horizontal="right" vertical="center"/>
    </xf>
    <xf numFmtId="0" fontId="4" fillId="0" borderId="59" xfId="2" applyFont="1" applyFill="1" applyBorder="1" applyAlignment="1">
      <alignment vertical="center" wrapText="1"/>
    </xf>
    <xf numFmtId="0" fontId="4" fillId="0" borderId="134" xfId="0" applyFont="1" applyFill="1" applyBorder="1" applyAlignment="1">
      <alignment horizontal="center" vertical="center" wrapText="1"/>
    </xf>
    <xf numFmtId="49" fontId="4" fillId="0" borderId="135" xfId="0" applyNumberFormat="1" applyFont="1" applyFill="1" applyBorder="1" applyAlignment="1">
      <alignment horizontal="left" vertical="center" wrapText="1"/>
    </xf>
    <xf numFmtId="3" fontId="4" fillId="0" borderId="134" xfId="0" applyNumberFormat="1" applyFont="1" applyFill="1" applyBorder="1" applyAlignment="1">
      <alignment horizontal="right" vertical="center" wrapText="1"/>
    </xf>
    <xf numFmtId="3" fontId="4" fillId="0" borderId="112" xfId="0" applyNumberFormat="1" applyFont="1" applyFill="1" applyBorder="1" applyAlignment="1">
      <alignment horizontal="right" vertical="center" wrapText="1"/>
    </xf>
    <xf numFmtId="3" fontId="4" fillId="0" borderId="136" xfId="0" applyNumberFormat="1" applyFont="1" applyFill="1" applyBorder="1" applyAlignment="1">
      <alignment horizontal="right" vertical="center" wrapText="1"/>
    </xf>
    <xf numFmtId="3" fontId="4" fillId="0" borderId="137" xfId="0" applyNumberFormat="1" applyFont="1" applyFill="1" applyBorder="1" applyAlignment="1">
      <alignment horizontal="right" vertical="center" wrapText="1"/>
    </xf>
    <xf numFmtId="3" fontId="4" fillId="0" borderId="138" xfId="0" applyNumberFormat="1" applyFont="1" applyFill="1" applyBorder="1" applyAlignment="1">
      <alignment horizontal="right" vertical="center" wrapText="1"/>
    </xf>
    <xf numFmtId="49" fontId="4" fillId="0" borderId="133" xfId="0" applyNumberFormat="1" applyFont="1" applyFill="1" applyBorder="1" applyAlignment="1">
      <alignment horizontal="left" vertical="center" wrapText="1"/>
    </xf>
    <xf numFmtId="0" fontId="4" fillId="0" borderId="13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67" xfId="2" applyFont="1" applyFill="1" applyBorder="1" applyAlignment="1">
      <alignment horizontal="right" vertical="center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62" xfId="2" applyFont="1" applyFill="1" applyBorder="1" applyAlignment="1">
      <alignment vertical="center" wrapText="1"/>
    </xf>
    <xf numFmtId="3" fontId="5" fillId="0" borderId="139" xfId="0" applyNumberFormat="1" applyFont="1" applyFill="1" applyBorder="1" applyAlignment="1">
      <alignment horizontal="righ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4" fillId="0" borderId="126" xfId="0" applyFont="1" applyFill="1" applyBorder="1" applyAlignment="1">
      <alignment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4" borderId="105" xfId="2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123" xfId="0" applyFont="1" applyFill="1" applyBorder="1" applyAlignment="1">
      <alignment horizontal="center" vertical="center" wrapText="1"/>
    </xf>
    <xf numFmtId="0" fontId="4" fillId="0" borderId="121" xfId="0" applyFont="1" applyFill="1" applyBorder="1" applyAlignment="1">
      <alignment horizontal="center" vertical="center" wrapText="1"/>
    </xf>
    <xf numFmtId="0" fontId="12" fillId="0" borderId="129" xfId="0" applyFont="1" applyFill="1" applyBorder="1" applyAlignment="1">
      <alignment horizontal="left" vertical="center" wrapText="1"/>
    </xf>
    <xf numFmtId="0" fontId="12" fillId="0" borderId="130" xfId="0" applyFont="1" applyFill="1" applyBorder="1" applyAlignment="1">
      <alignment horizontal="left" vertical="center" wrapText="1"/>
    </xf>
    <xf numFmtId="0" fontId="4" fillId="0" borderId="86" xfId="0" applyFont="1" applyFill="1" applyBorder="1" applyAlignment="1">
      <alignment horizontal="center" vertical="center" textRotation="90" wrapText="1"/>
    </xf>
    <xf numFmtId="0" fontId="4" fillId="0" borderId="87" xfId="0" applyFont="1" applyFill="1" applyBorder="1" applyAlignment="1">
      <alignment horizontal="center" vertical="center" textRotation="90" wrapText="1"/>
    </xf>
    <xf numFmtId="0" fontId="4" fillId="0" borderId="105" xfId="0" applyFont="1" applyFill="1" applyBorder="1" applyAlignment="1">
      <alignment horizontal="center" vertical="center" textRotation="90" wrapText="1"/>
    </xf>
    <xf numFmtId="0" fontId="4" fillId="0" borderId="106" xfId="0" applyFont="1" applyFill="1" applyBorder="1" applyAlignment="1">
      <alignment horizontal="center" vertical="center" textRotation="90" wrapText="1"/>
    </xf>
    <xf numFmtId="0" fontId="4" fillId="0" borderId="62" xfId="2" applyFont="1" applyFill="1" applyBorder="1" applyAlignment="1">
      <alignment horizontal="left" wrapText="1"/>
    </xf>
    <xf numFmtId="0" fontId="4" fillId="0" borderId="103" xfId="2" applyFont="1" applyFill="1" applyBorder="1" applyAlignment="1">
      <alignment horizontal="left" wrapText="1"/>
    </xf>
    <xf numFmtId="0" fontId="4" fillId="0" borderId="42" xfId="2" applyFont="1" applyFill="1" applyBorder="1" applyAlignment="1">
      <alignment horizontal="left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85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left" vertical="center" wrapText="1"/>
    </xf>
    <xf numFmtId="0" fontId="4" fillId="0" borderId="10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 textRotation="90" wrapText="1"/>
    </xf>
    <xf numFmtId="0" fontId="4" fillId="0" borderId="39" xfId="0" applyFont="1" applyFill="1" applyBorder="1" applyAlignment="1">
      <alignment horizontal="center" vertical="center" textRotation="90" wrapText="1"/>
    </xf>
    <xf numFmtId="0" fontId="4" fillId="0" borderId="42" xfId="2" applyFont="1" applyFill="1" applyBorder="1" applyAlignment="1">
      <alignment horizontal="left" vertical="top" wrapText="1"/>
    </xf>
    <xf numFmtId="0" fontId="4" fillId="0" borderId="103" xfId="2" applyFont="1" applyFill="1" applyBorder="1" applyAlignment="1">
      <alignment horizontal="left" vertical="top" wrapText="1"/>
    </xf>
    <xf numFmtId="0" fontId="5" fillId="0" borderId="121" xfId="0" applyFont="1" applyFill="1" applyBorder="1" applyAlignment="1">
      <alignment horizontal="center" vertical="center" textRotation="90" wrapText="1"/>
    </xf>
    <xf numFmtId="0" fontId="5" fillId="0" borderId="96" xfId="0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10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68" xfId="0" applyNumberFormat="1" applyFont="1" applyFill="1" applyBorder="1" applyAlignment="1">
      <alignment horizontal="center" vertical="center" textRotation="90" wrapText="1"/>
    </xf>
    <xf numFmtId="49" fontId="4" fillId="0" borderId="69" xfId="0" applyNumberFormat="1" applyFont="1" applyFill="1" applyBorder="1" applyAlignment="1">
      <alignment horizontal="center" vertical="center" textRotation="90" wrapText="1"/>
    </xf>
    <xf numFmtId="49" fontId="4" fillId="0" borderId="70" xfId="0" applyNumberFormat="1" applyFont="1" applyFill="1" applyBorder="1" applyAlignment="1">
      <alignment horizontal="center" vertical="center" textRotation="90" wrapText="1"/>
    </xf>
    <xf numFmtId="0" fontId="4" fillId="0" borderId="79" xfId="0" applyFont="1" applyFill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left" vertical="center" wrapText="1"/>
    </xf>
    <xf numFmtId="0" fontId="12" fillId="0" borderId="103" xfId="0" applyFont="1" applyFill="1" applyBorder="1" applyAlignment="1">
      <alignment horizontal="left" vertical="center" wrapText="1"/>
    </xf>
    <xf numFmtId="0" fontId="12" fillId="0" borderId="56" xfId="0" applyFont="1" applyFill="1" applyBorder="1" applyAlignment="1">
      <alignment horizontal="left" vertical="center" wrapText="1"/>
    </xf>
    <xf numFmtId="0" fontId="4" fillId="0" borderId="54" xfId="2" applyFont="1" applyFill="1" applyBorder="1" applyAlignment="1">
      <alignment horizontal="left" wrapText="1"/>
    </xf>
    <xf numFmtId="0" fontId="4" fillId="0" borderId="113" xfId="2" applyFont="1" applyFill="1" applyBorder="1" applyAlignment="1">
      <alignment horizontal="left" wrapText="1"/>
    </xf>
    <xf numFmtId="0" fontId="4" fillId="0" borderId="7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horizontal="left" vertical="center"/>
    </xf>
    <xf numFmtId="0" fontId="4" fillId="0" borderId="42" xfId="2" applyFont="1" applyFill="1" applyBorder="1" applyAlignment="1">
      <alignment horizontal="right" vertical="center"/>
    </xf>
    <xf numFmtId="0" fontId="4" fillId="0" borderId="92" xfId="2" applyFont="1" applyFill="1" applyBorder="1" applyAlignment="1">
      <alignment horizontal="right" vertical="center"/>
    </xf>
    <xf numFmtId="0" fontId="4" fillId="0" borderId="93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center" vertical="center"/>
    </xf>
    <xf numFmtId="0" fontId="8" fillId="3" borderId="25" xfId="2" applyFont="1" applyFill="1" applyBorder="1" applyAlignment="1">
      <alignment horizontal="left" vertical="center"/>
    </xf>
    <xf numFmtId="0" fontId="8" fillId="3" borderId="22" xfId="2" applyFont="1" applyFill="1" applyBorder="1" applyAlignment="1">
      <alignment horizontal="left" vertical="center"/>
    </xf>
    <xf numFmtId="0" fontId="4" fillId="0" borderId="2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center" vertical="center"/>
    </xf>
    <xf numFmtId="0" fontId="4" fillId="0" borderId="35" xfId="2" applyFont="1" applyFill="1" applyBorder="1" applyAlignment="1">
      <alignment horizontal="center" vertical="center"/>
    </xf>
    <xf numFmtId="0" fontId="4" fillId="0" borderId="56" xfId="2" applyFont="1" applyFill="1" applyBorder="1" applyAlignment="1">
      <alignment horizontal="right" vertical="center"/>
    </xf>
    <xf numFmtId="0" fontId="4" fillId="0" borderId="54" xfId="2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left"/>
    </xf>
    <xf numFmtId="0" fontId="5" fillId="0" borderId="36" xfId="2" applyFont="1" applyFill="1" applyBorder="1" applyAlignment="1">
      <alignment horizontal="left"/>
    </xf>
    <xf numFmtId="0" fontId="4" fillId="0" borderId="22" xfId="2" applyFont="1" applyFill="1" applyBorder="1" applyAlignment="1">
      <alignment horizontal="center"/>
    </xf>
    <xf numFmtId="0" fontId="4" fillId="0" borderId="23" xfId="2" applyFont="1" applyFill="1" applyBorder="1" applyAlignment="1">
      <alignment horizontal="center"/>
    </xf>
    <xf numFmtId="0" fontId="4" fillId="0" borderId="72" xfId="2" applyFont="1" applyFill="1" applyBorder="1" applyAlignment="1">
      <alignment horizontal="center" vertical="center" wrapText="1"/>
    </xf>
    <xf numFmtId="0" fontId="4" fillId="0" borderId="86" xfId="2" applyFont="1" applyFill="1" applyBorder="1" applyAlignment="1">
      <alignment horizontal="center" vertical="center" wrapText="1"/>
    </xf>
    <xf numFmtId="0" fontId="9" fillId="0" borderId="94" xfId="2" applyFont="1" applyFill="1" applyBorder="1" applyAlignment="1">
      <alignment horizontal="center" vertical="center" wrapText="1"/>
    </xf>
    <xf numFmtId="0" fontId="9" fillId="0" borderId="95" xfId="2" applyFont="1" applyFill="1" applyBorder="1" applyAlignment="1">
      <alignment horizontal="center" vertical="center" wrapText="1"/>
    </xf>
    <xf numFmtId="0" fontId="9" fillId="0" borderId="9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0" xfId="2" applyFont="1" applyFill="1" applyBorder="1" applyAlignment="1">
      <alignment horizontal="center" vertical="center" wrapText="1"/>
    </xf>
    <xf numFmtId="0" fontId="7" fillId="2" borderId="67" xfId="2" applyFont="1" applyFill="1" applyBorder="1" applyAlignment="1">
      <alignment horizontal="center" vertical="center" wrapText="1"/>
    </xf>
    <xf numFmtId="0" fontId="4" fillId="0" borderId="54" xfId="2" applyFont="1" applyFill="1" applyBorder="1" applyAlignment="1">
      <alignment horizontal="right" vertical="center"/>
    </xf>
    <xf numFmtId="0" fontId="4" fillId="0" borderId="56" xfId="2" applyFont="1" applyFill="1" applyBorder="1" applyAlignment="1">
      <alignment horizontal="right" vertical="center" wrapText="1"/>
    </xf>
    <xf numFmtId="0" fontId="5" fillId="0" borderId="23" xfId="2" applyFont="1" applyFill="1" applyBorder="1" applyAlignment="1">
      <alignment horizontal="left" vertical="center"/>
    </xf>
    <xf numFmtId="0" fontId="8" fillId="3" borderId="23" xfId="2" applyFont="1" applyFill="1" applyBorder="1" applyAlignment="1">
      <alignment horizontal="left" vertical="center"/>
    </xf>
    <xf numFmtId="0" fontId="3" fillId="0" borderId="0" xfId="2" applyFont="1" applyFill="1" applyAlignment="1">
      <alignment horizontal="center"/>
    </xf>
    <xf numFmtId="0" fontId="5" fillId="0" borderId="13" xfId="2" applyFont="1" applyFill="1" applyBorder="1" applyAlignment="1">
      <alignment horizontal="left" vertical="top"/>
    </xf>
    <xf numFmtId="0" fontId="5" fillId="0" borderId="36" xfId="2" applyFont="1" applyFill="1" applyBorder="1" applyAlignment="1">
      <alignment horizontal="left" vertical="top"/>
    </xf>
    <xf numFmtId="0" fontId="4" fillId="0" borderId="22" xfId="2" applyFont="1" applyFill="1" applyBorder="1" applyAlignment="1">
      <alignment horizontal="center" vertical="top"/>
    </xf>
    <xf numFmtId="0" fontId="4" fillId="0" borderId="23" xfId="2" applyFont="1" applyFill="1" applyBorder="1" applyAlignment="1">
      <alignment horizontal="center" vertical="top"/>
    </xf>
    <xf numFmtId="0" fontId="4" fillId="0" borderId="13" xfId="2" applyFont="1" applyFill="1" applyBorder="1" applyAlignment="1">
      <alignment horizontal="center" vertical="center"/>
    </xf>
    <xf numFmtId="0" fontId="4" fillId="0" borderId="89" xfId="2" applyFont="1" applyFill="1" applyBorder="1" applyAlignment="1">
      <alignment horizontal="right" vertical="center"/>
    </xf>
    <xf numFmtId="0" fontId="4" fillId="0" borderId="90" xfId="2" applyFont="1" applyFill="1" applyBorder="1" applyAlignment="1">
      <alignment horizontal="right" vertical="center"/>
    </xf>
    <xf numFmtId="0" fontId="4" fillId="0" borderId="57" xfId="2" applyFont="1" applyFill="1" applyBorder="1" applyAlignment="1">
      <alignment horizontal="right" vertical="center"/>
    </xf>
    <xf numFmtId="0" fontId="4" fillId="0" borderId="22" xfId="2" applyFont="1" applyFill="1" applyBorder="1" applyAlignment="1">
      <alignment horizontal="right" vertical="center"/>
    </xf>
    <xf numFmtId="0" fontId="4" fillId="0" borderId="23" xfId="2" applyFont="1" applyFill="1" applyBorder="1" applyAlignment="1">
      <alignment horizontal="right" vertical="center"/>
    </xf>
    <xf numFmtId="49" fontId="4" fillId="0" borderId="0" xfId="2" applyNumberFormat="1" applyFont="1" applyFill="1" applyAlignment="1">
      <alignment horizontal="left"/>
    </xf>
    <xf numFmtId="0" fontId="8" fillId="4" borderId="25" xfId="2" applyFont="1" applyFill="1" applyBorder="1" applyAlignment="1">
      <alignment horizontal="center"/>
    </xf>
    <xf numFmtId="0" fontId="8" fillId="4" borderId="22" xfId="2" applyFont="1" applyFill="1" applyBorder="1" applyAlignment="1">
      <alignment horizontal="center"/>
    </xf>
    <xf numFmtId="0" fontId="8" fillId="4" borderId="23" xfId="2" applyFont="1" applyFill="1" applyBorder="1" applyAlignment="1">
      <alignment horizontal="center"/>
    </xf>
    <xf numFmtId="0" fontId="5" fillId="0" borderId="98" xfId="2" applyFont="1" applyFill="1" applyBorder="1" applyAlignment="1">
      <alignment horizontal="center" vertical="center" wrapText="1"/>
    </xf>
    <xf numFmtId="0" fontId="5" fillId="0" borderId="99" xfId="2" applyFont="1" applyFill="1" applyBorder="1" applyAlignment="1">
      <alignment horizontal="center" vertical="center" wrapText="1"/>
    </xf>
    <xf numFmtId="0" fontId="5" fillId="0" borderId="100" xfId="2" applyFont="1" applyFill="1" applyBorder="1" applyAlignment="1">
      <alignment horizontal="center" vertical="center" wrapText="1"/>
    </xf>
    <xf numFmtId="0" fontId="5" fillId="0" borderId="79" xfId="2" applyFont="1" applyFill="1" applyBorder="1" applyAlignment="1">
      <alignment horizontal="center"/>
    </xf>
    <xf numFmtId="0" fontId="5" fillId="0" borderId="80" xfId="2" applyFont="1" applyFill="1" applyBorder="1" applyAlignment="1">
      <alignment horizontal="center"/>
    </xf>
    <xf numFmtId="0" fontId="5" fillId="0" borderId="97" xfId="2" applyFont="1" applyFill="1" applyBorder="1" applyAlignment="1">
      <alignment horizontal="center"/>
    </xf>
    <xf numFmtId="0" fontId="17" fillId="5" borderId="25" xfId="2" applyFont="1" applyFill="1" applyBorder="1" applyAlignment="1">
      <alignment horizontal="center"/>
    </xf>
    <xf numFmtId="0" fontId="17" fillId="5" borderId="22" xfId="2" applyFont="1" applyFill="1" applyBorder="1" applyAlignment="1">
      <alignment horizontal="center"/>
    </xf>
    <xf numFmtId="0" fontId="17" fillId="5" borderId="23" xfId="2" applyFont="1" applyFill="1" applyBorder="1" applyAlignment="1">
      <alignment horizontal="center"/>
    </xf>
    <xf numFmtId="0" fontId="11" fillId="0" borderId="25" xfId="2" applyFont="1" applyFill="1" applyBorder="1" applyAlignment="1">
      <alignment horizontal="center" vertical="center" wrapText="1"/>
    </xf>
    <xf numFmtId="0" fontId="11" fillId="0" borderId="22" xfId="2" applyFont="1" applyFill="1" applyBorder="1" applyAlignment="1">
      <alignment horizontal="center" vertical="center" wrapText="1"/>
    </xf>
    <xf numFmtId="0" fontId="11" fillId="0" borderId="23" xfId="2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91" xfId="2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wrapText="1"/>
    </xf>
  </cellXfs>
  <cellStyles count="4">
    <cellStyle name="Normal" xfId="0" builtinId="0"/>
    <cellStyle name="Normal 2" xfId="1"/>
    <cellStyle name="Normal 2 3" xfId="3"/>
    <cellStyle name="Normal_2007_budz ienem" xfId="2"/>
  </cellStyles>
  <dxfs count="0"/>
  <tableStyles count="0" defaultTableStyle="TableStyleMedium9" defaultPivotStyle="PivotStyleLight16"/>
  <colors>
    <mruColors>
      <color rgb="FFCCFF66"/>
      <color rgb="FFFFFF99"/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35"/>
  </sheetPr>
  <dimension ref="A1:CH1451"/>
  <sheetViews>
    <sheetView view="pageLayout" zoomScaleNormal="100" workbookViewId="0">
      <selection activeCell="CE1" sqref="CE1"/>
    </sheetView>
  </sheetViews>
  <sheetFormatPr defaultColWidth="8.42578125" defaultRowHeight="12" outlineLevelRow="1" outlineLevelCol="1" x14ac:dyDescent="0.2"/>
  <cols>
    <col min="1" max="1" width="11.28515625" style="100" customWidth="1"/>
    <col min="2" max="2" width="23" style="1" customWidth="1"/>
    <col min="3" max="3" width="34.85546875" style="1" customWidth="1"/>
    <col min="4" max="4" width="10.42578125" style="3" hidden="1" customWidth="1" outlineLevel="1"/>
    <col min="5" max="5" width="9.5703125" style="3" customWidth="1" collapsed="1"/>
    <col min="6" max="6" width="10" style="1" hidden="1" customWidth="1" outlineLevel="1"/>
    <col min="7" max="7" width="9.42578125" style="198" customWidth="1" collapsed="1"/>
    <col min="8" max="8" width="9" style="198" hidden="1" customWidth="1" outlineLevel="1"/>
    <col min="9" max="10" width="6.42578125" style="198" hidden="1" customWidth="1" outlineLevel="1"/>
    <col min="11" max="11" width="8" style="198" hidden="1" customWidth="1" outlineLevel="1"/>
    <col min="12" max="12" width="7.5703125" style="198" hidden="1" customWidth="1" outlineLevel="1"/>
    <col min="13" max="14" width="8.140625" style="198" hidden="1" customWidth="1" outlineLevel="1"/>
    <col min="15" max="15" width="7.7109375" style="198" hidden="1" customWidth="1" outlineLevel="1"/>
    <col min="16" max="18" width="8.140625" style="198" hidden="1" customWidth="1" outlineLevel="1"/>
    <col min="19" max="20" width="9.28515625" style="198" hidden="1" customWidth="1" outlineLevel="1"/>
    <col min="21" max="32" width="8.140625" style="198" hidden="1" customWidth="1" outlineLevel="1"/>
    <col min="33" max="33" width="9.42578125" style="172" hidden="1" customWidth="1" outlineLevel="1"/>
    <col min="34" max="34" width="9" style="198" customWidth="1" collapsed="1"/>
    <col min="35" max="35" width="7.5703125" style="198" hidden="1" customWidth="1" outlineLevel="1"/>
    <col min="36" max="36" width="5.85546875" style="198" hidden="1" customWidth="1" outlineLevel="1"/>
    <col min="37" max="37" width="6.7109375" style="198" hidden="1" customWidth="1" outlineLevel="1"/>
    <col min="38" max="38" width="7.7109375" style="198" hidden="1" customWidth="1" outlineLevel="1"/>
    <col min="39" max="45" width="7.5703125" style="198" hidden="1" customWidth="1" outlineLevel="1"/>
    <col min="46" max="46" width="8.42578125" style="1" hidden="1" customWidth="1" outlineLevel="1"/>
    <col min="47" max="47" width="8.5703125" style="198" customWidth="1" collapsed="1"/>
    <col min="48" max="48" width="8.42578125" style="198" hidden="1" customWidth="1" outlineLevel="1"/>
    <col min="49" max="49" width="7.5703125" style="198" hidden="1" customWidth="1" outlineLevel="1"/>
    <col min="50" max="50" width="7" style="198" hidden="1" customWidth="1" outlineLevel="1"/>
    <col min="51" max="59" width="7.5703125" style="198" hidden="1" customWidth="1" outlineLevel="1"/>
    <col min="60" max="60" width="6.7109375" style="1" hidden="1" customWidth="1" outlineLevel="1"/>
    <col min="61" max="61" width="5.28515625" style="198" customWidth="1" collapsed="1"/>
    <col min="62" max="63" width="6.7109375" style="198" hidden="1" customWidth="1" outlineLevel="1"/>
    <col min="64" max="64" width="6.42578125" style="198" hidden="1" customWidth="1" outlineLevel="1"/>
    <col min="65" max="67" width="6.7109375" style="198" hidden="1" customWidth="1" outlineLevel="1"/>
    <col min="68" max="68" width="8.28515625" style="140" hidden="1" customWidth="1" outlineLevel="1"/>
    <col min="69" max="69" width="8.7109375" style="198" customWidth="1" collapsed="1"/>
    <col min="70" max="70" width="8.5703125" style="198" hidden="1" customWidth="1" outlineLevel="1"/>
    <col min="71" max="71" width="6.42578125" style="198" hidden="1" customWidth="1" outlineLevel="1"/>
    <col min="72" max="72" width="8" style="198" hidden="1" customWidth="1" outlineLevel="1"/>
    <col min="73" max="73" width="6.5703125" style="198" hidden="1" customWidth="1" outlineLevel="1"/>
    <col min="74" max="82" width="6.7109375" style="198" hidden="1" customWidth="1" outlineLevel="1"/>
    <col min="83" max="83" width="7" style="2" customWidth="1" collapsed="1"/>
    <col min="84" max="84" width="12.7109375" style="1" customWidth="1"/>
    <col min="85" max="87" width="8.42578125" style="1" customWidth="1"/>
    <col min="88" max="88" width="11" style="1" customWidth="1"/>
    <col min="89" max="16384" width="8.42578125" style="1"/>
  </cols>
  <sheetData>
    <row r="1" spans="1:85" s="198" customFormat="1" x14ac:dyDescent="0.2">
      <c r="D1" s="3"/>
      <c r="E1" s="3"/>
      <c r="CE1" s="2"/>
      <c r="CF1" s="336" t="s">
        <v>738</v>
      </c>
    </row>
    <row r="2" spans="1:85" s="198" customFormat="1" x14ac:dyDescent="0.2">
      <c r="D2" s="3"/>
      <c r="E2" s="3"/>
      <c r="CE2" s="2"/>
      <c r="CF2" s="336" t="s">
        <v>739</v>
      </c>
    </row>
    <row r="3" spans="1:85" s="198" customFormat="1" x14ac:dyDescent="0.2">
      <c r="D3" s="3"/>
      <c r="E3" s="3"/>
      <c r="CE3" s="2"/>
      <c r="CF3" s="336" t="s">
        <v>740</v>
      </c>
    </row>
    <row r="4" spans="1:85" ht="18.75" customHeight="1" x14ac:dyDescent="0.2">
      <c r="A4" s="437" t="s">
        <v>611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437"/>
      <c r="W4" s="437"/>
      <c r="X4" s="437"/>
      <c r="Y4" s="437"/>
      <c r="Z4" s="437"/>
      <c r="AA4" s="437"/>
      <c r="AB4" s="437"/>
      <c r="AC4" s="437"/>
      <c r="AD4" s="437"/>
      <c r="AE4" s="437"/>
      <c r="AF4" s="437"/>
      <c r="AG4" s="437"/>
      <c r="AH4" s="437"/>
      <c r="AI4" s="437"/>
      <c r="AJ4" s="437"/>
      <c r="AK4" s="437"/>
      <c r="AL4" s="437"/>
      <c r="AM4" s="437"/>
      <c r="AN4" s="437"/>
      <c r="AO4" s="437"/>
      <c r="AP4" s="437"/>
      <c r="AQ4" s="437"/>
      <c r="AR4" s="437"/>
      <c r="AS4" s="437"/>
      <c r="AT4" s="437"/>
      <c r="AU4" s="437"/>
      <c r="AV4" s="437"/>
      <c r="AW4" s="437"/>
      <c r="AX4" s="437"/>
      <c r="AY4" s="437"/>
      <c r="AZ4" s="437"/>
      <c r="BA4" s="437"/>
      <c r="BB4" s="437"/>
      <c r="BC4" s="437"/>
      <c r="BD4" s="437"/>
      <c r="BE4" s="437"/>
      <c r="BF4" s="437"/>
      <c r="BG4" s="437"/>
      <c r="BH4" s="437"/>
      <c r="BI4" s="437"/>
      <c r="BJ4" s="437"/>
      <c r="BK4" s="437"/>
      <c r="BL4" s="437"/>
      <c r="BM4" s="437"/>
      <c r="BN4" s="437"/>
      <c r="BO4" s="437"/>
      <c r="BP4" s="437"/>
      <c r="BQ4" s="437"/>
      <c r="BR4" s="437"/>
      <c r="BS4" s="437"/>
      <c r="BT4" s="437"/>
      <c r="BU4" s="437"/>
      <c r="BV4" s="437"/>
      <c r="BW4" s="437"/>
      <c r="BX4" s="437"/>
      <c r="BY4" s="437"/>
      <c r="BZ4" s="437"/>
      <c r="CA4" s="437"/>
      <c r="CB4" s="437"/>
      <c r="CC4" s="437"/>
      <c r="CD4" s="437"/>
      <c r="CE4" s="437"/>
      <c r="CF4" s="437"/>
    </row>
    <row r="5" spans="1:85" ht="12.75" thickBot="1" x14ac:dyDescent="0.25"/>
    <row r="6" spans="1:85" ht="13.5" customHeight="1" thickBot="1" x14ac:dyDescent="0.25">
      <c r="A6" s="438" t="s">
        <v>603</v>
      </c>
      <c r="B6" s="424" t="s">
        <v>610</v>
      </c>
      <c r="C6" s="450" t="s">
        <v>156</v>
      </c>
      <c r="D6" s="443" t="s">
        <v>574</v>
      </c>
      <c r="E6" s="444"/>
      <c r="F6" s="444"/>
      <c r="G6" s="444"/>
      <c r="H6" s="444"/>
      <c r="I6" s="444"/>
      <c r="J6" s="444"/>
      <c r="K6" s="444"/>
      <c r="L6" s="444"/>
      <c r="M6" s="444"/>
      <c r="N6" s="444"/>
      <c r="O6" s="444"/>
      <c r="P6" s="444"/>
      <c r="Q6" s="444"/>
      <c r="R6" s="444"/>
      <c r="S6" s="444"/>
      <c r="T6" s="444"/>
      <c r="U6" s="444"/>
      <c r="V6" s="444"/>
      <c r="W6" s="444"/>
      <c r="X6" s="444"/>
      <c r="Y6" s="444"/>
      <c r="Z6" s="444"/>
      <c r="AA6" s="444"/>
      <c r="AB6" s="444"/>
      <c r="AC6" s="444"/>
      <c r="AD6" s="444"/>
      <c r="AE6" s="444"/>
      <c r="AF6" s="444"/>
      <c r="AG6" s="444"/>
      <c r="AH6" s="444"/>
      <c r="AI6" s="444"/>
      <c r="AJ6" s="444"/>
      <c r="AK6" s="444"/>
      <c r="AL6" s="444"/>
      <c r="AM6" s="444"/>
      <c r="AN6" s="444"/>
      <c r="AO6" s="444"/>
      <c r="AP6" s="444"/>
      <c r="AQ6" s="444"/>
      <c r="AR6" s="444"/>
      <c r="AS6" s="444"/>
      <c r="AT6" s="444"/>
      <c r="AU6" s="444"/>
      <c r="AV6" s="444"/>
      <c r="AW6" s="444"/>
      <c r="AX6" s="444"/>
      <c r="AY6" s="444"/>
      <c r="AZ6" s="444"/>
      <c r="BA6" s="444"/>
      <c r="BB6" s="444"/>
      <c r="BC6" s="444"/>
      <c r="BD6" s="444"/>
      <c r="BE6" s="444"/>
      <c r="BF6" s="444"/>
      <c r="BG6" s="444"/>
      <c r="BH6" s="444"/>
      <c r="BI6" s="444"/>
      <c r="BJ6" s="444"/>
      <c r="BK6" s="444"/>
      <c r="BL6" s="444"/>
      <c r="BM6" s="444"/>
      <c r="BN6" s="444"/>
      <c r="BO6" s="444"/>
      <c r="BP6" s="444"/>
      <c r="BQ6" s="444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  <c r="CC6" s="141"/>
      <c r="CD6" s="141"/>
      <c r="CE6" s="440" t="s">
        <v>604</v>
      </c>
      <c r="CF6" s="440" t="s">
        <v>192</v>
      </c>
    </row>
    <row r="7" spans="1:85" ht="13.5" customHeight="1" x14ac:dyDescent="0.2">
      <c r="A7" s="439"/>
      <c r="B7" s="425"/>
      <c r="C7" s="451"/>
      <c r="D7" s="422" t="s">
        <v>716</v>
      </c>
      <c r="E7" s="432" t="s">
        <v>0</v>
      </c>
      <c r="F7" s="428" t="s">
        <v>717</v>
      </c>
      <c r="G7" s="428" t="s">
        <v>1</v>
      </c>
      <c r="H7" s="428" t="s">
        <v>719</v>
      </c>
      <c r="I7" s="410" t="s">
        <v>718</v>
      </c>
      <c r="J7" s="411"/>
      <c r="K7" s="411"/>
      <c r="L7" s="411"/>
      <c r="M7" s="411"/>
      <c r="N7" s="411"/>
      <c r="O7" s="411"/>
      <c r="P7" s="411"/>
      <c r="Q7" s="411"/>
      <c r="R7" s="411"/>
      <c r="S7" s="411"/>
      <c r="T7" s="411"/>
      <c r="U7" s="411"/>
      <c r="V7" s="411"/>
      <c r="W7" s="411"/>
      <c r="X7" s="411"/>
      <c r="Y7" s="411"/>
      <c r="Z7" s="411"/>
      <c r="AA7" s="411"/>
      <c r="AB7" s="411"/>
      <c r="AC7" s="411"/>
      <c r="AD7" s="411"/>
      <c r="AE7" s="411"/>
      <c r="AF7" s="412"/>
      <c r="AG7" s="428" t="s">
        <v>721</v>
      </c>
      <c r="AH7" s="428" t="s">
        <v>128</v>
      </c>
      <c r="AI7" s="428" t="s">
        <v>720</v>
      </c>
      <c r="AJ7" s="410" t="s">
        <v>718</v>
      </c>
      <c r="AK7" s="411"/>
      <c r="AL7" s="411"/>
      <c r="AM7" s="411"/>
      <c r="AN7" s="411"/>
      <c r="AO7" s="411"/>
      <c r="AP7" s="411"/>
      <c r="AQ7" s="411"/>
      <c r="AR7" s="411"/>
      <c r="AS7" s="412"/>
      <c r="AT7" s="415" t="s">
        <v>722</v>
      </c>
      <c r="AU7" s="415" t="s">
        <v>2</v>
      </c>
      <c r="AV7" s="415" t="s">
        <v>723</v>
      </c>
      <c r="AW7" s="410" t="s">
        <v>718</v>
      </c>
      <c r="AX7" s="411"/>
      <c r="AY7" s="411"/>
      <c r="AZ7" s="411"/>
      <c r="BA7" s="411"/>
      <c r="BB7" s="411"/>
      <c r="BC7" s="411"/>
      <c r="BD7" s="411"/>
      <c r="BE7" s="411"/>
      <c r="BF7" s="411"/>
      <c r="BG7" s="412"/>
      <c r="BH7" s="417" t="s">
        <v>724</v>
      </c>
      <c r="BI7" s="415" t="s">
        <v>3</v>
      </c>
      <c r="BJ7" s="417" t="s">
        <v>725</v>
      </c>
      <c r="BK7" s="410" t="s">
        <v>718</v>
      </c>
      <c r="BL7" s="411"/>
      <c r="BM7" s="411"/>
      <c r="BN7" s="411"/>
      <c r="BO7" s="412"/>
      <c r="BP7" s="415" t="s">
        <v>726</v>
      </c>
      <c r="BQ7" s="415" t="s">
        <v>438</v>
      </c>
      <c r="BR7" s="415" t="s">
        <v>727</v>
      </c>
      <c r="BS7" s="410" t="s">
        <v>718</v>
      </c>
      <c r="BT7" s="411"/>
      <c r="BU7" s="411"/>
      <c r="BV7" s="411"/>
      <c r="BW7" s="411"/>
      <c r="BX7" s="411"/>
      <c r="BY7" s="411"/>
      <c r="BZ7" s="411"/>
      <c r="CA7" s="411"/>
      <c r="CB7" s="411"/>
      <c r="CC7" s="411"/>
      <c r="CD7" s="412"/>
      <c r="CE7" s="441"/>
      <c r="CF7" s="441"/>
    </row>
    <row r="8" spans="1:85" ht="87" customHeight="1" thickBot="1" x14ac:dyDescent="0.25">
      <c r="A8" s="439"/>
      <c r="B8" s="425"/>
      <c r="C8" s="452"/>
      <c r="D8" s="423"/>
      <c r="E8" s="433"/>
      <c r="F8" s="429"/>
      <c r="G8" s="429"/>
      <c r="H8" s="429"/>
      <c r="I8" s="338" t="s">
        <v>747</v>
      </c>
      <c r="J8" s="339" t="s">
        <v>750</v>
      </c>
      <c r="K8" s="352" t="s">
        <v>782</v>
      </c>
      <c r="L8" s="377" t="s">
        <v>797</v>
      </c>
      <c r="M8" s="383" t="s">
        <v>808</v>
      </c>
      <c r="N8" s="384" t="s">
        <v>809</v>
      </c>
      <c r="O8" s="385" t="s">
        <v>811</v>
      </c>
      <c r="P8" s="339" t="s">
        <v>810</v>
      </c>
      <c r="Q8" s="386" t="s">
        <v>814</v>
      </c>
      <c r="R8" s="339" t="s">
        <v>815</v>
      </c>
      <c r="S8" s="390" t="s">
        <v>823</v>
      </c>
      <c r="T8" s="339" t="s">
        <v>830</v>
      </c>
      <c r="U8" s="395" t="s">
        <v>833</v>
      </c>
      <c r="V8" s="339" t="s">
        <v>837</v>
      </c>
      <c r="W8" s="400" t="s">
        <v>839</v>
      </c>
      <c r="X8" s="339" t="s">
        <v>847</v>
      </c>
      <c r="Y8" s="402" t="s">
        <v>849</v>
      </c>
      <c r="Z8" s="408" t="s">
        <v>859</v>
      </c>
      <c r="AA8" s="339" t="s">
        <v>860</v>
      </c>
      <c r="AB8" s="339" t="s">
        <v>861</v>
      </c>
      <c r="AC8" s="339" t="s">
        <v>862</v>
      </c>
      <c r="AD8" s="339" t="s">
        <v>864</v>
      </c>
      <c r="AE8" s="332" t="s">
        <v>731</v>
      </c>
      <c r="AF8" s="288"/>
      <c r="AG8" s="429"/>
      <c r="AH8" s="429"/>
      <c r="AI8" s="429"/>
      <c r="AJ8" s="338" t="s">
        <v>747</v>
      </c>
      <c r="AK8" s="352" t="s">
        <v>782</v>
      </c>
      <c r="AL8" s="383" t="s">
        <v>808</v>
      </c>
      <c r="AM8" s="390" t="s">
        <v>823</v>
      </c>
      <c r="AN8" s="395" t="s">
        <v>833</v>
      </c>
      <c r="AO8" s="400" t="s">
        <v>839</v>
      </c>
      <c r="AP8" s="402" t="s">
        <v>849</v>
      </c>
      <c r="AQ8" s="408" t="s">
        <v>859</v>
      </c>
      <c r="AR8" s="332" t="s">
        <v>731</v>
      </c>
      <c r="AS8" s="286"/>
      <c r="AT8" s="416"/>
      <c r="AU8" s="416"/>
      <c r="AV8" s="416"/>
      <c r="AW8" s="352" t="s">
        <v>782</v>
      </c>
      <c r="AX8" s="377" t="s">
        <v>797</v>
      </c>
      <c r="AY8" s="383" t="s">
        <v>808</v>
      </c>
      <c r="AZ8" s="384" t="s">
        <v>809</v>
      </c>
      <c r="BA8" s="386" t="s">
        <v>814</v>
      </c>
      <c r="BB8" s="390" t="s">
        <v>823</v>
      </c>
      <c r="BC8" s="400" t="s">
        <v>839</v>
      </c>
      <c r="BD8" s="402" t="s">
        <v>849</v>
      </c>
      <c r="BE8" s="408" t="s">
        <v>859</v>
      </c>
      <c r="BF8" s="332" t="s">
        <v>731</v>
      </c>
      <c r="BG8" s="289"/>
      <c r="BH8" s="418"/>
      <c r="BI8" s="416"/>
      <c r="BJ8" s="418"/>
      <c r="BK8" s="352" t="s">
        <v>782</v>
      </c>
      <c r="BL8" s="332" t="s">
        <v>731</v>
      </c>
      <c r="BM8" s="289"/>
      <c r="BN8" s="289"/>
      <c r="BO8" s="289"/>
      <c r="BP8" s="416"/>
      <c r="BQ8" s="416"/>
      <c r="BR8" s="416"/>
      <c r="BS8" s="338" t="s">
        <v>747</v>
      </c>
      <c r="BT8" s="352" t="s">
        <v>782</v>
      </c>
      <c r="BU8" s="377" t="s">
        <v>797</v>
      </c>
      <c r="BV8" s="383" t="s">
        <v>808</v>
      </c>
      <c r="BW8" s="387" t="s">
        <v>814</v>
      </c>
      <c r="BX8" s="390" t="s">
        <v>823</v>
      </c>
      <c r="BY8" s="395" t="s">
        <v>833</v>
      </c>
      <c r="BZ8" s="400" t="s">
        <v>839</v>
      </c>
      <c r="CA8" s="402" t="s">
        <v>849</v>
      </c>
      <c r="CB8" s="408" t="s">
        <v>859</v>
      </c>
      <c r="CC8" s="332" t="s">
        <v>731</v>
      </c>
      <c r="CD8" s="289"/>
      <c r="CE8" s="442"/>
      <c r="CF8" s="442"/>
    </row>
    <row r="9" spans="1:85" s="101" customFormat="1" ht="12.75" thickTop="1" thickBot="1" x14ac:dyDescent="0.25">
      <c r="A9" s="131">
        <v>1</v>
      </c>
      <c r="B9" s="197">
        <v>2</v>
      </c>
      <c r="C9" s="307">
        <v>3</v>
      </c>
      <c r="D9" s="133">
        <v>9</v>
      </c>
      <c r="E9" s="292">
        <v>4</v>
      </c>
      <c r="F9" s="134">
        <v>10</v>
      </c>
      <c r="G9" s="134">
        <v>5</v>
      </c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4"/>
      <c r="AF9" s="134"/>
      <c r="AG9" s="134">
        <v>11</v>
      </c>
      <c r="AH9" s="134">
        <v>6</v>
      </c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>
        <v>12</v>
      </c>
      <c r="AU9" s="135">
        <v>7</v>
      </c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>
        <v>14</v>
      </c>
      <c r="BI9" s="134">
        <v>8</v>
      </c>
      <c r="BJ9" s="135"/>
      <c r="BK9" s="135"/>
      <c r="BL9" s="135"/>
      <c r="BM9" s="135"/>
      <c r="BN9" s="135"/>
      <c r="BO9" s="135"/>
      <c r="BP9" s="134">
        <v>15</v>
      </c>
      <c r="BQ9" s="132">
        <v>9</v>
      </c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6" t="s">
        <v>728</v>
      </c>
      <c r="CF9" s="131">
        <v>11</v>
      </c>
    </row>
    <row r="10" spans="1:85" ht="13.5" thickTop="1" thickBot="1" x14ac:dyDescent="0.25">
      <c r="A10" s="92"/>
      <c r="B10" s="196"/>
      <c r="C10" s="308"/>
      <c r="D10" s="5"/>
      <c r="E10" s="293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6"/>
      <c r="BJ10" s="95"/>
      <c r="BK10" s="95"/>
      <c r="BL10" s="95"/>
      <c r="BM10" s="95"/>
      <c r="BN10" s="95"/>
      <c r="BO10" s="95"/>
      <c r="BP10" s="6"/>
      <c r="BQ10" s="4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7"/>
      <c r="CF10" s="83"/>
    </row>
    <row r="11" spans="1:85" ht="15" customHeight="1" thickBot="1" x14ac:dyDescent="0.25">
      <c r="A11" s="213" t="s">
        <v>4</v>
      </c>
      <c r="B11" s="125" t="s">
        <v>164</v>
      </c>
      <c r="C11" s="318"/>
      <c r="D11" s="8">
        <f t="shared" ref="D11:AV11" si="0">SUM(D12:D27)</f>
        <v>16605017</v>
      </c>
      <c r="E11" s="294">
        <f t="shared" si="0"/>
        <v>14897331</v>
      </c>
      <c r="F11" s="9">
        <f t="shared" si="0"/>
        <v>16595864</v>
      </c>
      <c r="G11" s="9">
        <f t="shared" si="0"/>
        <v>14880504</v>
      </c>
      <c r="H11" s="9">
        <f t="shared" si="0"/>
        <v>-1715360</v>
      </c>
      <c r="I11" s="9">
        <f t="shared" si="0"/>
        <v>23788</v>
      </c>
      <c r="J11" s="9">
        <f t="shared" si="0"/>
        <v>-12634</v>
      </c>
      <c r="K11" s="9">
        <f t="shared" si="0"/>
        <v>271328</v>
      </c>
      <c r="L11" s="9">
        <f t="shared" si="0"/>
        <v>0</v>
      </c>
      <c r="M11" s="9">
        <f t="shared" si="0"/>
        <v>1998</v>
      </c>
      <c r="N11" s="9">
        <f t="shared" si="0"/>
        <v>-5000</v>
      </c>
      <c r="O11" s="9">
        <f t="shared" si="0"/>
        <v>0</v>
      </c>
      <c r="P11" s="9">
        <f t="shared" si="0"/>
        <v>0</v>
      </c>
      <c r="Q11" s="9">
        <f t="shared" si="0"/>
        <v>0</v>
      </c>
      <c r="R11" s="9">
        <f t="shared" si="0"/>
        <v>0</v>
      </c>
      <c r="S11" s="9">
        <f t="shared" si="0"/>
        <v>-2007910</v>
      </c>
      <c r="T11" s="9"/>
      <c r="U11" s="9">
        <f t="shared" si="0"/>
        <v>0</v>
      </c>
      <c r="V11" s="9"/>
      <c r="W11" s="9">
        <f t="shared" si="0"/>
        <v>5370</v>
      </c>
      <c r="X11" s="9">
        <f t="shared" ref="X11" si="1">SUM(X12:X27)</f>
        <v>-5100</v>
      </c>
      <c r="Y11" s="9">
        <f t="shared" si="0"/>
        <v>0</v>
      </c>
      <c r="Z11" s="9">
        <f t="shared" ref="Z11:AE11" si="2">SUM(Z12:Z27)</f>
        <v>15069</v>
      </c>
      <c r="AA11" s="9">
        <f t="shared" ref="AA11:AD11" si="3">SUM(AA12:AA27)</f>
        <v>-3199</v>
      </c>
      <c r="AB11" s="9">
        <f t="shared" si="3"/>
        <v>46</v>
      </c>
      <c r="AC11" s="9">
        <f t="shared" si="3"/>
        <v>0</v>
      </c>
      <c r="AD11" s="9">
        <f t="shared" si="3"/>
        <v>-2573</v>
      </c>
      <c r="AE11" s="9">
        <f t="shared" si="2"/>
        <v>7042</v>
      </c>
      <c r="AF11" s="9">
        <f t="shared" si="0"/>
        <v>0</v>
      </c>
      <c r="AG11" s="9">
        <f t="shared" si="0"/>
        <v>53</v>
      </c>
      <c r="AH11" s="9">
        <f t="shared" si="0"/>
        <v>45776</v>
      </c>
      <c r="AI11" s="9">
        <f t="shared" si="0"/>
        <v>45723</v>
      </c>
      <c r="AJ11" s="9">
        <f t="shared" si="0"/>
        <v>0</v>
      </c>
      <c r="AK11" s="9">
        <f t="shared" si="0"/>
        <v>2113</v>
      </c>
      <c r="AL11" s="9">
        <f t="shared" si="0"/>
        <v>41239</v>
      </c>
      <c r="AM11" s="9">
        <f t="shared" si="0"/>
        <v>2390</v>
      </c>
      <c r="AN11" s="9">
        <f t="shared" si="0"/>
        <v>-8</v>
      </c>
      <c r="AO11" s="9">
        <f t="shared" si="0"/>
        <v>-11</v>
      </c>
      <c r="AP11" s="9">
        <f t="shared" si="0"/>
        <v>0</v>
      </c>
      <c r="AQ11" s="9">
        <f t="shared" si="0"/>
        <v>0</v>
      </c>
      <c r="AR11" s="9">
        <f t="shared" si="0"/>
        <v>0</v>
      </c>
      <c r="AS11" s="9">
        <f t="shared" si="0"/>
        <v>0</v>
      </c>
      <c r="AT11" s="9">
        <f t="shared" si="0"/>
        <v>9100</v>
      </c>
      <c r="AU11" s="96">
        <f t="shared" si="0"/>
        <v>32301</v>
      </c>
      <c r="AV11" s="96">
        <f t="shared" si="0"/>
        <v>23201</v>
      </c>
      <c r="AW11" s="96">
        <f t="shared" ref="AW11:CD11" si="4">SUM(AW12:AW27)</f>
        <v>23201</v>
      </c>
      <c r="AX11" s="96">
        <f t="shared" si="4"/>
        <v>0</v>
      </c>
      <c r="AY11" s="96">
        <f t="shared" si="4"/>
        <v>0</v>
      </c>
      <c r="AZ11" s="96">
        <f t="shared" si="4"/>
        <v>0</v>
      </c>
      <c r="BA11" s="96">
        <f t="shared" si="4"/>
        <v>0</v>
      </c>
      <c r="BB11" s="96">
        <f t="shared" si="4"/>
        <v>0</v>
      </c>
      <c r="BC11" s="96">
        <f t="shared" si="4"/>
        <v>0</v>
      </c>
      <c r="BD11" s="96">
        <f t="shared" si="4"/>
        <v>0</v>
      </c>
      <c r="BE11" s="96">
        <f t="shared" si="4"/>
        <v>0</v>
      </c>
      <c r="BF11" s="96">
        <f t="shared" ref="BF11" si="5">SUM(BF12:BF27)</f>
        <v>0</v>
      </c>
      <c r="BG11" s="96">
        <f t="shared" si="4"/>
        <v>0</v>
      </c>
      <c r="BH11" s="96">
        <f t="shared" si="4"/>
        <v>0</v>
      </c>
      <c r="BI11" s="9">
        <f t="shared" si="4"/>
        <v>0</v>
      </c>
      <c r="BJ11" s="96">
        <f t="shared" si="4"/>
        <v>0</v>
      </c>
      <c r="BK11" s="96">
        <f t="shared" si="4"/>
        <v>0</v>
      </c>
      <c r="BL11" s="96">
        <f t="shared" si="4"/>
        <v>0</v>
      </c>
      <c r="BM11" s="96">
        <f t="shared" si="4"/>
        <v>0</v>
      </c>
      <c r="BN11" s="96">
        <f t="shared" si="4"/>
        <v>0</v>
      </c>
      <c r="BO11" s="96">
        <f t="shared" si="4"/>
        <v>0</v>
      </c>
      <c r="BP11" s="9">
        <f t="shared" si="4"/>
        <v>0</v>
      </c>
      <c r="BQ11" s="310">
        <f t="shared" si="4"/>
        <v>-61250</v>
      </c>
      <c r="BR11" s="96">
        <f t="shared" si="4"/>
        <v>-61250</v>
      </c>
      <c r="BS11" s="96">
        <f t="shared" si="4"/>
        <v>0</v>
      </c>
      <c r="BT11" s="96">
        <f t="shared" si="4"/>
        <v>-61250</v>
      </c>
      <c r="BU11" s="96">
        <f t="shared" si="4"/>
        <v>0</v>
      </c>
      <c r="BV11" s="96">
        <f t="shared" si="4"/>
        <v>0</v>
      </c>
      <c r="BW11" s="96">
        <f t="shared" si="4"/>
        <v>0</v>
      </c>
      <c r="BX11" s="96">
        <f t="shared" si="4"/>
        <v>0</v>
      </c>
      <c r="BY11" s="96">
        <f t="shared" si="4"/>
        <v>0</v>
      </c>
      <c r="BZ11" s="96">
        <f t="shared" si="4"/>
        <v>0</v>
      </c>
      <c r="CA11" s="96">
        <f t="shared" si="4"/>
        <v>0</v>
      </c>
      <c r="CB11" s="96">
        <f t="shared" ref="CB11:CC11" si="6">SUM(CB12:CB27)</f>
        <v>0</v>
      </c>
      <c r="CC11" s="96">
        <f t="shared" si="6"/>
        <v>0</v>
      </c>
      <c r="CD11" s="96">
        <f t="shared" si="4"/>
        <v>0</v>
      </c>
      <c r="CE11" s="10"/>
      <c r="CF11" s="84"/>
    </row>
    <row r="12" spans="1:85" ht="16.5" customHeight="1" thickTop="1" x14ac:dyDescent="0.2">
      <c r="A12" s="123">
        <v>90000056357</v>
      </c>
      <c r="B12" s="247" t="s">
        <v>5</v>
      </c>
      <c r="C12" s="285" t="s">
        <v>182</v>
      </c>
      <c r="D12" s="80">
        <f>F12+AG12+AT12+BH12+BP12</f>
        <v>901013</v>
      </c>
      <c r="E12" s="295">
        <f>G12+AH12+AU12+BI12+BQ12</f>
        <v>911015</v>
      </c>
      <c r="F12" s="81">
        <v>891913</v>
      </c>
      <c r="G12" s="81">
        <f>F12+H12</f>
        <v>901913</v>
      </c>
      <c r="H12" s="81">
        <f>SUM(I12:AF12)</f>
        <v>10000</v>
      </c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>
        <v>10000</v>
      </c>
      <c r="X12" s="81"/>
      <c r="Y12" s="81"/>
      <c r="Z12" s="81"/>
      <c r="AA12" s="81"/>
      <c r="AB12" s="81"/>
      <c r="AC12" s="81"/>
      <c r="AD12" s="81"/>
      <c r="AE12" s="81"/>
      <c r="AF12" s="81"/>
      <c r="AG12" s="81">
        <v>0</v>
      </c>
      <c r="AH12" s="81">
        <f>AG12+AI12</f>
        <v>0</v>
      </c>
      <c r="AI12" s="81">
        <f>SUM(AJ12:AS12)</f>
        <v>0</v>
      </c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>
        <v>9100</v>
      </c>
      <c r="AU12" s="81">
        <f>AT12+AV12</f>
        <v>9102</v>
      </c>
      <c r="AV12" s="81">
        <f>SUM(AW12:BG12)</f>
        <v>2</v>
      </c>
      <c r="AW12" s="81">
        <v>2</v>
      </c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>
        <v>0</v>
      </c>
      <c r="BI12" s="81">
        <f>BH12+BJ12</f>
        <v>0</v>
      </c>
      <c r="BJ12" s="98">
        <f>SUM(BK12:BO12)</f>
        <v>0</v>
      </c>
      <c r="BK12" s="98"/>
      <c r="BL12" s="98"/>
      <c r="BM12" s="98"/>
      <c r="BN12" s="98"/>
      <c r="BO12" s="98"/>
      <c r="BP12" s="81"/>
      <c r="BQ12" s="81">
        <f>BP12+BR12</f>
        <v>0</v>
      </c>
      <c r="BR12" s="81">
        <f>SUM(BS12:CD12)</f>
        <v>0</v>
      </c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82" t="s">
        <v>308</v>
      </c>
      <c r="CF12" s="85"/>
      <c r="CG12" s="24"/>
    </row>
    <row r="13" spans="1:85" s="122" customFormat="1" ht="24" x14ac:dyDescent="0.2">
      <c r="A13" s="124"/>
      <c r="B13" s="248"/>
      <c r="C13" s="285" t="s">
        <v>252</v>
      </c>
      <c r="D13" s="80">
        <f t="shared" ref="D13:D25" si="7">F13+AG13+AT13+BH13+BP13</f>
        <v>166267</v>
      </c>
      <c r="E13" s="295">
        <f t="shared" ref="E13:E25" si="8">G13+AH13+AU13+BI13+BQ13</f>
        <v>161313</v>
      </c>
      <c r="F13" s="81">
        <v>166267</v>
      </c>
      <c r="G13" s="81">
        <f t="shared" ref="G13:G25" si="9">F13+H13</f>
        <v>161313</v>
      </c>
      <c r="H13" s="81">
        <f t="shared" ref="H13:H25" si="10">SUM(I13:AF13)</f>
        <v>-4954</v>
      </c>
      <c r="I13" s="81"/>
      <c r="J13" s="81"/>
      <c r="K13" s="81"/>
      <c r="L13" s="81"/>
      <c r="M13" s="81"/>
      <c r="N13" s="81">
        <v>-5000</v>
      </c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>
        <v>46</v>
      </c>
      <c r="AC13" s="81"/>
      <c r="AD13" s="81"/>
      <c r="AE13" s="81"/>
      <c r="AF13" s="81"/>
      <c r="AG13" s="81">
        <v>0</v>
      </c>
      <c r="AH13" s="81">
        <f t="shared" ref="AH13:AH25" si="11">AG13+AI13</f>
        <v>0</v>
      </c>
      <c r="AI13" s="81">
        <f t="shared" ref="AI13:AI25" si="12">SUM(AJ13:AS13)</f>
        <v>0</v>
      </c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>
        <v>0</v>
      </c>
      <c r="AU13" s="81">
        <f t="shared" ref="AU13:AU25" si="13">AT13+AV13</f>
        <v>0</v>
      </c>
      <c r="AV13" s="81">
        <f t="shared" ref="AV13:AV25" si="14">SUM(AW13:BG13)</f>
        <v>0</v>
      </c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>
        <v>0</v>
      </c>
      <c r="BI13" s="81">
        <f t="shared" ref="BI13:BI25" si="15">BH13+BJ13</f>
        <v>0</v>
      </c>
      <c r="BJ13" s="98">
        <f t="shared" ref="BJ13:BJ25" si="16">SUM(BK13:BO13)</f>
        <v>0</v>
      </c>
      <c r="BK13" s="98"/>
      <c r="BL13" s="98"/>
      <c r="BM13" s="98"/>
      <c r="BN13" s="98"/>
      <c r="BO13" s="98"/>
      <c r="BP13" s="81"/>
      <c r="BQ13" s="81">
        <f t="shared" ref="BQ13:BQ25" si="17">BP13+BR13</f>
        <v>0</v>
      </c>
      <c r="BR13" s="81">
        <f t="shared" ref="BR13:BR25" si="18">SUM(BS13:CD13)</f>
        <v>0</v>
      </c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82" t="s">
        <v>309</v>
      </c>
      <c r="CF13" s="85"/>
      <c r="CG13" s="24"/>
    </row>
    <row r="14" spans="1:85" ht="24" x14ac:dyDescent="0.2">
      <c r="A14" s="108"/>
      <c r="B14" s="242"/>
      <c r="C14" s="285" t="s">
        <v>224</v>
      </c>
      <c r="D14" s="80">
        <f t="shared" si="7"/>
        <v>680168</v>
      </c>
      <c r="E14" s="295">
        <f t="shared" si="8"/>
        <v>704478</v>
      </c>
      <c r="F14" s="81">
        <v>680168</v>
      </c>
      <c r="G14" s="81">
        <f t="shared" si="9"/>
        <v>704478</v>
      </c>
      <c r="H14" s="81">
        <f t="shared" si="10"/>
        <v>24310</v>
      </c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>
        <v>15069</v>
      </c>
      <c r="AA14" s="81"/>
      <c r="AB14" s="81"/>
      <c r="AC14" s="81"/>
      <c r="AD14" s="81"/>
      <c r="AE14" s="81">
        <v>9241</v>
      </c>
      <c r="AF14" s="81"/>
      <c r="AG14" s="81">
        <v>0</v>
      </c>
      <c r="AH14" s="81">
        <f t="shared" si="11"/>
        <v>0</v>
      </c>
      <c r="AI14" s="81">
        <f t="shared" si="12"/>
        <v>0</v>
      </c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>
        <v>0</v>
      </c>
      <c r="AU14" s="81">
        <f t="shared" si="13"/>
        <v>0</v>
      </c>
      <c r="AV14" s="81">
        <f t="shared" si="14"/>
        <v>0</v>
      </c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>
        <v>0</v>
      </c>
      <c r="BI14" s="81">
        <f t="shared" si="15"/>
        <v>0</v>
      </c>
      <c r="BJ14" s="98">
        <f t="shared" si="16"/>
        <v>0</v>
      </c>
      <c r="BK14" s="98"/>
      <c r="BL14" s="98"/>
      <c r="BM14" s="98"/>
      <c r="BN14" s="98"/>
      <c r="BO14" s="98"/>
      <c r="BP14" s="81"/>
      <c r="BQ14" s="81">
        <f t="shared" si="17"/>
        <v>0</v>
      </c>
      <c r="BR14" s="81">
        <f>SUM(BS14:CD14)</f>
        <v>0</v>
      </c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82" t="s">
        <v>310</v>
      </c>
      <c r="CF14" s="85"/>
      <c r="CG14" s="24"/>
    </row>
    <row r="15" spans="1:85" s="122" customFormat="1" x14ac:dyDescent="0.2">
      <c r="A15" s="108"/>
      <c r="B15" s="242"/>
      <c r="C15" s="285" t="s">
        <v>264</v>
      </c>
      <c r="D15" s="80">
        <f t="shared" si="7"/>
        <v>2375898</v>
      </c>
      <c r="E15" s="295">
        <f t="shared" si="8"/>
        <v>375898</v>
      </c>
      <c r="F15" s="81">
        <v>2375898</v>
      </c>
      <c r="G15" s="81">
        <f t="shared" si="9"/>
        <v>375898</v>
      </c>
      <c r="H15" s="81">
        <f t="shared" si="10"/>
        <v>-2000000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>
        <v>-2000000</v>
      </c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>
        <v>0</v>
      </c>
      <c r="AH15" s="81">
        <f t="shared" si="11"/>
        <v>0</v>
      </c>
      <c r="AI15" s="81">
        <f t="shared" si="12"/>
        <v>0</v>
      </c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>
        <v>0</v>
      </c>
      <c r="AU15" s="81">
        <f t="shared" si="13"/>
        <v>0</v>
      </c>
      <c r="AV15" s="81">
        <f t="shared" si="14"/>
        <v>0</v>
      </c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>
        <v>0</v>
      </c>
      <c r="BI15" s="81">
        <f t="shared" si="15"/>
        <v>0</v>
      </c>
      <c r="BJ15" s="98">
        <f t="shared" si="16"/>
        <v>0</v>
      </c>
      <c r="BK15" s="98"/>
      <c r="BL15" s="98"/>
      <c r="BM15" s="98"/>
      <c r="BN15" s="98"/>
      <c r="BO15" s="98"/>
      <c r="BP15" s="81"/>
      <c r="BQ15" s="81">
        <f t="shared" si="17"/>
        <v>0</v>
      </c>
      <c r="BR15" s="81">
        <f t="shared" si="18"/>
        <v>0</v>
      </c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82" t="s">
        <v>311</v>
      </c>
      <c r="CF15" s="85" t="s">
        <v>440</v>
      </c>
      <c r="CG15" s="24"/>
    </row>
    <row r="16" spans="1:85" s="122" customFormat="1" ht="24" x14ac:dyDescent="0.2">
      <c r="A16" s="108"/>
      <c r="B16" s="242"/>
      <c r="C16" s="285" t="s">
        <v>265</v>
      </c>
      <c r="D16" s="80">
        <f t="shared" si="7"/>
        <v>6000</v>
      </c>
      <c r="E16" s="295">
        <f t="shared" si="8"/>
        <v>6000</v>
      </c>
      <c r="F16" s="81">
        <v>6000</v>
      </c>
      <c r="G16" s="81">
        <f t="shared" si="9"/>
        <v>6000</v>
      </c>
      <c r="H16" s="81">
        <f t="shared" si="10"/>
        <v>0</v>
      </c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>
        <v>0</v>
      </c>
      <c r="AH16" s="81">
        <f t="shared" si="11"/>
        <v>0</v>
      </c>
      <c r="AI16" s="81">
        <f t="shared" si="12"/>
        <v>0</v>
      </c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>
        <v>0</v>
      </c>
      <c r="AU16" s="81">
        <f t="shared" si="13"/>
        <v>0</v>
      </c>
      <c r="AV16" s="81">
        <f t="shared" si="14"/>
        <v>0</v>
      </c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>
        <v>0</v>
      </c>
      <c r="BI16" s="81">
        <f t="shared" si="15"/>
        <v>0</v>
      </c>
      <c r="BJ16" s="98">
        <f t="shared" si="16"/>
        <v>0</v>
      </c>
      <c r="BK16" s="98"/>
      <c r="BL16" s="98"/>
      <c r="BM16" s="98"/>
      <c r="BN16" s="98"/>
      <c r="BO16" s="98"/>
      <c r="BP16" s="81"/>
      <c r="BQ16" s="81">
        <f t="shared" si="17"/>
        <v>0</v>
      </c>
      <c r="BR16" s="81">
        <f t="shared" si="18"/>
        <v>0</v>
      </c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82" t="s">
        <v>312</v>
      </c>
      <c r="CF16" s="86" t="s">
        <v>482</v>
      </c>
      <c r="CG16" s="24"/>
    </row>
    <row r="17" spans="1:85" s="162" customFormat="1" ht="24" x14ac:dyDescent="0.2">
      <c r="A17" s="108"/>
      <c r="B17" s="242"/>
      <c r="C17" s="285" t="s">
        <v>253</v>
      </c>
      <c r="D17" s="80">
        <f t="shared" si="7"/>
        <v>214303</v>
      </c>
      <c r="E17" s="295">
        <f t="shared" si="8"/>
        <v>297379</v>
      </c>
      <c r="F17" s="81">
        <v>214303</v>
      </c>
      <c r="G17" s="81">
        <f t="shared" si="9"/>
        <v>297379</v>
      </c>
      <c r="H17" s="81">
        <f t="shared" si="10"/>
        <v>83076</v>
      </c>
      <c r="I17" s="81"/>
      <c r="J17" s="81"/>
      <c r="K17" s="81">
        <v>83277</v>
      </c>
      <c r="L17" s="81"/>
      <c r="M17" s="81">
        <f>1714+284</f>
        <v>1998</v>
      </c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>
        <v>-2199</v>
      </c>
      <c r="AF17" s="81"/>
      <c r="AG17" s="81">
        <v>0</v>
      </c>
      <c r="AH17" s="81">
        <f t="shared" si="11"/>
        <v>0</v>
      </c>
      <c r="AI17" s="81">
        <f t="shared" si="12"/>
        <v>0</v>
      </c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>
        <v>0</v>
      </c>
      <c r="AU17" s="81">
        <f t="shared" si="13"/>
        <v>0</v>
      </c>
      <c r="AV17" s="81">
        <f t="shared" si="14"/>
        <v>0</v>
      </c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>
        <v>0</v>
      </c>
      <c r="BI17" s="81">
        <f t="shared" si="15"/>
        <v>0</v>
      </c>
      <c r="BJ17" s="98">
        <f t="shared" si="16"/>
        <v>0</v>
      </c>
      <c r="BK17" s="81"/>
      <c r="BL17" s="81"/>
      <c r="BM17" s="81"/>
      <c r="BN17" s="81"/>
      <c r="BO17" s="81"/>
      <c r="BP17" s="81"/>
      <c r="BQ17" s="81">
        <f t="shared" si="17"/>
        <v>0</v>
      </c>
      <c r="BR17" s="81">
        <f t="shared" si="18"/>
        <v>0</v>
      </c>
      <c r="BS17" s="81"/>
      <c r="BT17" s="81"/>
      <c r="BU17" s="81"/>
      <c r="BV17" s="81"/>
      <c r="BW17" s="81"/>
      <c r="BX17" s="81"/>
      <c r="BY17" s="81"/>
      <c r="BZ17" s="81"/>
      <c r="CA17" s="81"/>
      <c r="CB17" s="81"/>
      <c r="CC17" s="81"/>
      <c r="CD17" s="81"/>
      <c r="CE17" s="82" t="s">
        <v>498</v>
      </c>
      <c r="CF17" s="85" t="s">
        <v>442</v>
      </c>
      <c r="CG17" s="24"/>
    </row>
    <row r="18" spans="1:85" s="144" customFormat="1" ht="25.5" customHeight="1" x14ac:dyDescent="0.2">
      <c r="A18" s="108"/>
      <c r="B18" s="242"/>
      <c r="C18" s="319" t="s">
        <v>536</v>
      </c>
      <c r="D18" s="80">
        <f t="shared" si="7"/>
        <v>0</v>
      </c>
      <c r="E18" s="295">
        <f t="shared" si="8"/>
        <v>0</v>
      </c>
      <c r="F18" s="81">
        <v>0</v>
      </c>
      <c r="G18" s="81">
        <f t="shared" si="9"/>
        <v>0</v>
      </c>
      <c r="H18" s="81">
        <f t="shared" si="10"/>
        <v>0</v>
      </c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>
        <v>0</v>
      </c>
      <c r="AH18" s="81">
        <f t="shared" si="11"/>
        <v>0</v>
      </c>
      <c r="AI18" s="81">
        <f t="shared" si="12"/>
        <v>0</v>
      </c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>
        <v>0</v>
      </c>
      <c r="AU18" s="81">
        <f t="shared" si="13"/>
        <v>0</v>
      </c>
      <c r="AV18" s="81">
        <f t="shared" si="14"/>
        <v>0</v>
      </c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>
        <v>0</v>
      </c>
      <c r="BI18" s="81">
        <f t="shared" si="15"/>
        <v>0</v>
      </c>
      <c r="BJ18" s="98">
        <f t="shared" si="16"/>
        <v>0</v>
      </c>
      <c r="BK18" s="98"/>
      <c r="BL18" s="98"/>
      <c r="BM18" s="98"/>
      <c r="BN18" s="98"/>
      <c r="BO18" s="98"/>
      <c r="BP18" s="81"/>
      <c r="BQ18" s="81">
        <f t="shared" si="17"/>
        <v>0</v>
      </c>
      <c r="BR18" s="81">
        <f t="shared" si="18"/>
        <v>0</v>
      </c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82" t="s">
        <v>455</v>
      </c>
      <c r="CF18" s="85"/>
      <c r="CG18" s="24"/>
    </row>
    <row r="19" spans="1:85" s="198" customFormat="1" ht="27.75" customHeight="1" x14ac:dyDescent="0.2">
      <c r="A19" s="108"/>
      <c r="B19" s="242"/>
      <c r="C19" s="319" t="s">
        <v>729</v>
      </c>
      <c r="D19" s="80">
        <f t="shared" ref="D19" si="19">F19+AG19+AT19+BH19+BP19</f>
        <v>0</v>
      </c>
      <c r="E19" s="295">
        <f t="shared" ref="E19" si="20">G19+AH19+AU19+BI19+BQ19</f>
        <v>19565</v>
      </c>
      <c r="F19" s="81"/>
      <c r="G19" s="81">
        <f t="shared" ref="G19" si="21">F19+H19</f>
        <v>19565</v>
      </c>
      <c r="H19" s="81">
        <f t="shared" ref="H19" si="22">SUM(I19:AF19)</f>
        <v>19565</v>
      </c>
      <c r="I19" s="81">
        <v>24195</v>
      </c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>
        <v>-4630</v>
      </c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>
        <f t="shared" ref="AH19" si="23">AG19+AI19</f>
        <v>0</v>
      </c>
      <c r="AI19" s="81">
        <f t="shared" ref="AI19" si="24">SUM(AJ19:AS19)</f>
        <v>0</v>
      </c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>
        <f t="shared" ref="AU19" si="25">AT19+AV19</f>
        <v>0</v>
      </c>
      <c r="AV19" s="81">
        <f t="shared" ref="AV19" si="26">SUM(AW19:BG19)</f>
        <v>0</v>
      </c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81">
        <f t="shared" ref="BI19" si="27">BH19+BJ19</f>
        <v>0</v>
      </c>
      <c r="BJ19" s="98">
        <f t="shared" ref="BJ19" si="28">SUM(BK19:BO19)</f>
        <v>0</v>
      </c>
      <c r="BK19" s="98"/>
      <c r="BL19" s="98"/>
      <c r="BM19" s="98"/>
      <c r="BN19" s="98"/>
      <c r="BO19" s="98"/>
      <c r="BP19" s="81"/>
      <c r="BQ19" s="81">
        <f t="shared" ref="BQ19" si="29">BP19+BR19</f>
        <v>0</v>
      </c>
      <c r="BR19" s="81">
        <f t="shared" ref="BR19" si="30">SUM(BS19:CD19)</f>
        <v>0</v>
      </c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82" t="s">
        <v>730</v>
      </c>
      <c r="CF19" s="85"/>
      <c r="CG19" s="24"/>
    </row>
    <row r="20" spans="1:85" s="198" customFormat="1" ht="48" x14ac:dyDescent="0.2">
      <c r="A20" s="108"/>
      <c r="B20" s="242"/>
      <c r="C20" s="319" t="s">
        <v>751</v>
      </c>
      <c r="D20" s="80">
        <f t="shared" ref="D20" si="31">F20+AG20+AT20+BH20+BP20</f>
        <v>0</v>
      </c>
      <c r="E20" s="295">
        <f t="shared" ref="E20" si="32">G20+AH20+AU20+BI20+BQ20</f>
        <v>0</v>
      </c>
      <c r="F20" s="81"/>
      <c r="G20" s="81">
        <f t="shared" ref="G20" si="33">F20+H20</f>
        <v>38051</v>
      </c>
      <c r="H20" s="81">
        <f t="shared" ref="H20" si="34">SUM(I20:AF20)</f>
        <v>38051</v>
      </c>
      <c r="I20" s="81"/>
      <c r="J20" s="81"/>
      <c r="K20" s="81">
        <f>37949+1+101</f>
        <v>38051</v>
      </c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/>
      <c r="AD20" s="81"/>
      <c r="AE20" s="81"/>
      <c r="AF20" s="81"/>
      <c r="AG20" s="81"/>
      <c r="AH20" s="81">
        <f t="shared" ref="AH20" si="35">AG20+AI20</f>
        <v>0</v>
      </c>
      <c r="AI20" s="81">
        <f t="shared" ref="AI20" si="36">SUM(AJ20:AS20)</f>
        <v>0</v>
      </c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>
        <f t="shared" ref="AU20" si="37">AT20+AV20</f>
        <v>23199</v>
      </c>
      <c r="AV20" s="81">
        <f t="shared" ref="AV20" si="38">SUM(AW20:BG20)</f>
        <v>23199</v>
      </c>
      <c r="AW20" s="98">
        <v>23199</v>
      </c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81">
        <f t="shared" ref="BI20" si="39">BH20+BJ20</f>
        <v>0</v>
      </c>
      <c r="BJ20" s="98">
        <f t="shared" ref="BJ20" si="40">SUM(BK20:BO20)</f>
        <v>0</v>
      </c>
      <c r="BK20" s="98"/>
      <c r="BL20" s="98"/>
      <c r="BM20" s="98"/>
      <c r="BN20" s="98"/>
      <c r="BO20" s="98"/>
      <c r="BP20" s="81"/>
      <c r="BQ20" s="81">
        <f t="shared" ref="BQ20" si="41">BP20+BR20</f>
        <v>-61250</v>
      </c>
      <c r="BR20" s="81">
        <f t="shared" ref="BR20" si="42">SUM(BS20:CD20)</f>
        <v>-61250</v>
      </c>
      <c r="BS20" s="98"/>
      <c r="BT20" s="98">
        <f>-37949-1-101-23199</f>
        <v>-61250</v>
      </c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82" t="s">
        <v>778</v>
      </c>
      <c r="CF20" s="85"/>
      <c r="CG20" s="24"/>
    </row>
    <row r="21" spans="1:85" ht="12" customHeight="1" x14ac:dyDescent="0.2">
      <c r="A21" s="108"/>
      <c r="B21" s="241" t="s">
        <v>167</v>
      </c>
      <c r="C21" s="285" t="s">
        <v>124</v>
      </c>
      <c r="D21" s="80">
        <f t="shared" si="7"/>
        <v>241000</v>
      </c>
      <c r="E21" s="295">
        <f t="shared" si="8"/>
        <v>241000</v>
      </c>
      <c r="F21" s="81">
        <v>241000</v>
      </c>
      <c r="G21" s="81">
        <f t="shared" si="9"/>
        <v>241000</v>
      </c>
      <c r="H21" s="81">
        <f t="shared" si="10"/>
        <v>0</v>
      </c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f t="shared" si="11"/>
        <v>0</v>
      </c>
      <c r="AI21" s="81">
        <f t="shared" si="12"/>
        <v>0</v>
      </c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98">
        <f t="shared" si="13"/>
        <v>0</v>
      </c>
      <c r="AV21" s="98">
        <f t="shared" si="14"/>
        <v>0</v>
      </c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81">
        <f t="shared" si="15"/>
        <v>0</v>
      </c>
      <c r="BJ21" s="98">
        <f t="shared" si="16"/>
        <v>0</v>
      </c>
      <c r="BK21" s="98"/>
      <c r="BL21" s="98"/>
      <c r="BM21" s="98"/>
      <c r="BN21" s="98"/>
      <c r="BO21" s="98"/>
      <c r="BP21" s="81"/>
      <c r="BQ21" s="81">
        <f t="shared" si="17"/>
        <v>0</v>
      </c>
      <c r="BR21" s="81">
        <f t="shared" si="18"/>
        <v>0</v>
      </c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82" t="s">
        <v>545</v>
      </c>
      <c r="CF21" s="85"/>
      <c r="CG21" s="24"/>
    </row>
    <row r="22" spans="1:85" ht="14.25" customHeight="1" x14ac:dyDescent="0.2">
      <c r="A22" s="108"/>
      <c r="B22" s="242"/>
      <c r="C22" s="285" t="s">
        <v>183</v>
      </c>
      <c r="D22" s="80">
        <f t="shared" si="7"/>
        <v>11531214</v>
      </c>
      <c r="E22" s="295">
        <f t="shared" si="8"/>
        <v>11531214</v>
      </c>
      <c r="F22" s="81">
        <v>11531214</v>
      </c>
      <c r="G22" s="81">
        <f t="shared" si="9"/>
        <v>11531214</v>
      </c>
      <c r="H22" s="81">
        <f t="shared" si="10"/>
        <v>0</v>
      </c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>
        <f t="shared" si="11"/>
        <v>0</v>
      </c>
      <c r="AI22" s="81">
        <f t="shared" si="12"/>
        <v>0</v>
      </c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98">
        <f t="shared" si="13"/>
        <v>0</v>
      </c>
      <c r="AV22" s="98">
        <f t="shared" si="14"/>
        <v>0</v>
      </c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81">
        <f t="shared" si="15"/>
        <v>0</v>
      </c>
      <c r="BJ22" s="98">
        <f t="shared" si="16"/>
        <v>0</v>
      </c>
      <c r="BK22" s="98"/>
      <c r="BL22" s="98"/>
      <c r="BM22" s="98"/>
      <c r="BN22" s="98"/>
      <c r="BO22" s="98"/>
      <c r="BP22" s="81"/>
      <c r="BQ22" s="81">
        <f t="shared" si="17"/>
        <v>0</v>
      </c>
      <c r="BR22" s="81">
        <f t="shared" si="18"/>
        <v>0</v>
      </c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82" t="s">
        <v>546</v>
      </c>
      <c r="CF22" s="85"/>
      <c r="CG22" s="24"/>
    </row>
    <row r="23" spans="1:85" x14ac:dyDescent="0.2">
      <c r="A23" s="108"/>
      <c r="B23" s="250"/>
      <c r="C23" s="285" t="s">
        <v>184</v>
      </c>
      <c r="D23" s="80">
        <f t="shared" si="7"/>
        <v>102588</v>
      </c>
      <c r="E23" s="295">
        <f t="shared" si="8"/>
        <v>217180</v>
      </c>
      <c r="F23" s="81">
        <f>100000+2588</f>
        <v>102588</v>
      </c>
      <c r="G23" s="81">
        <f t="shared" si="9"/>
        <v>217180</v>
      </c>
      <c r="H23" s="81">
        <f t="shared" si="10"/>
        <v>114592</v>
      </c>
      <c r="I23" s="81">
        <v>-407</v>
      </c>
      <c r="J23" s="81">
        <f>-5399-7235</f>
        <v>-12634</v>
      </c>
      <c r="K23" s="81">
        <v>150000</v>
      </c>
      <c r="L23" s="81"/>
      <c r="M23" s="81"/>
      <c r="N23" s="81"/>
      <c r="O23" s="81"/>
      <c r="P23" s="81"/>
      <c r="Q23" s="81"/>
      <c r="R23" s="81"/>
      <c r="S23" s="81">
        <v>-7910</v>
      </c>
      <c r="T23" s="81">
        <v>-400</v>
      </c>
      <c r="U23" s="81"/>
      <c r="V23" s="81">
        <v>-3185</v>
      </c>
      <c r="W23" s="81"/>
      <c r="X23" s="81">
        <f>-5100</f>
        <v>-5100</v>
      </c>
      <c r="Y23" s="81"/>
      <c r="Z23" s="81"/>
      <c r="AA23" s="81">
        <v>-3199</v>
      </c>
      <c r="AB23" s="81"/>
      <c r="AC23" s="81"/>
      <c r="AD23" s="81">
        <v>-2573</v>
      </c>
      <c r="AE23" s="81"/>
      <c r="AF23" s="81"/>
      <c r="AG23" s="81"/>
      <c r="AH23" s="81">
        <f t="shared" si="11"/>
        <v>0</v>
      </c>
      <c r="AI23" s="81">
        <f t="shared" si="12"/>
        <v>0</v>
      </c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98">
        <f t="shared" si="13"/>
        <v>0</v>
      </c>
      <c r="AV23" s="98">
        <f t="shared" si="14"/>
        <v>0</v>
      </c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81">
        <f t="shared" si="15"/>
        <v>0</v>
      </c>
      <c r="BJ23" s="98">
        <f t="shared" si="16"/>
        <v>0</v>
      </c>
      <c r="BK23" s="98"/>
      <c r="BL23" s="98"/>
      <c r="BM23" s="98"/>
      <c r="BN23" s="98"/>
      <c r="BO23" s="98"/>
      <c r="BP23" s="81"/>
      <c r="BQ23" s="81">
        <f t="shared" si="17"/>
        <v>0</v>
      </c>
      <c r="BR23" s="81">
        <f t="shared" si="18"/>
        <v>0</v>
      </c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82" t="s">
        <v>547</v>
      </c>
      <c r="CF23" s="85"/>
      <c r="CG23" s="24"/>
    </row>
    <row r="24" spans="1:85" s="130" customFormat="1" x14ac:dyDescent="0.2">
      <c r="A24" s="108"/>
      <c r="B24" s="250"/>
      <c r="C24" s="285" t="s">
        <v>456</v>
      </c>
      <c r="D24" s="80">
        <f t="shared" si="7"/>
        <v>386513</v>
      </c>
      <c r="E24" s="295">
        <f t="shared" si="8"/>
        <v>386513</v>
      </c>
      <c r="F24" s="81">
        <v>386513</v>
      </c>
      <c r="G24" s="81">
        <f t="shared" si="9"/>
        <v>386513</v>
      </c>
      <c r="H24" s="81">
        <f t="shared" si="10"/>
        <v>0</v>
      </c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>
        <f t="shared" si="11"/>
        <v>0</v>
      </c>
      <c r="AI24" s="81">
        <f t="shared" si="12"/>
        <v>0</v>
      </c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98">
        <f t="shared" si="13"/>
        <v>0</v>
      </c>
      <c r="AV24" s="98">
        <f t="shared" si="14"/>
        <v>0</v>
      </c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81">
        <f t="shared" si="15"/>
        <v>0</v>
      </c>
      <c r="BJ24" s="98">
        <f t="shared" si="16"/>
        <v>0</v>
      </c>
      <c r="BK24" s="98"/>
      <c r="BL24" s="98"/>
      <c r="BM24" s="98"/>
      <c r="BN24" s="98"/>
      <c r="BO24" s="98"/>
      <c r="BP24" s="81"/>
      <c r="BQ24" s="81">
        <f t="shared" si="17"/>
        <v>0</v>
      </c>
      <c r="BR24" s="81">
        <f t="shared" si="18"/>
        <v>0</v>
      </c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82" t="s">
        <v>548</v>
      </c>
      <c r="CF24" s="85"/>
      <c r="CG24" s="24"/>
    </row>
    <row r="25" spans="1:85" s="198" customFormat="1" x14ac:dyDescent="0.2">
      <c r="A25" s="108"/>
      <c r="B25" s="250"/>
      <c r="C25" s="285" t="s">
        <v>705</v>
      </c>
      <c r="D25" s="80">
        <f t="shared" si="7"/>
        <v>53</v>
      </c>
      <c r="E25" s="295">
        <f t="shared" si="8"/>
        <v>2166</v>
      </c>
      <c r="F25" s="81">
        <v>0</v>
      </c>
      <c r="G25" s="81">
        <f t="shared" si="9"/>
        <v>0</v>
      </c>
      <c r="H25" s="81">
        <f t="shared" si="10"/>
        <v>0</v>
      </c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>
        <v>53</v>
      </c>
      <c r="AH25" s="81">
        <f t="shared" si="11"/>
        <v>2166</v>
      </c>
      <c r="AI25" s="81">
        <f t="shared" si="12"/>
        <v>2113</v>
      </c>
      <c r="AJ25" s="81"/>
      <c r="AK25" s="81">
        <f>36+2077</f>
        <v>2113</v>
      </c>
      <c r="AL25" s="81"/>
      <c r="AM25" s="81"/>
      <c r="AN25" s="81"/>
      <c r="AO25" s="81"/>
      <c r="AP25" s="81"/>
      <c r="AQ25" s="81"/>
      <c r="AR25" s="81"/>
      <c r="AS25" s="81"/>
      <c r="AT25" s="81">
        <v>0</v>
      </c>
      <c r="AU25" s="81">
        <f t="shared" si="13"/>
        <v>0</v>
      </c>
      <c r="AV25" s="81">
        <f t="shared" si="14"/>
        <v>0</v>
      </c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>
        <v>0</v>
      </c>
      <c r="BI25" s="81">
        <f t="shared" si="15"/>
        <v>0</v>
      </c>
      <c r="BJ25" s="98">
        <f t="shared" si="16"/>
        <v>0</v>
      </c>
      <c r="BK25" s="98"/>
      <c r="BL25" s="98"/>
      <c r="BM25" s="98"/>
      <c r="BN25" s="98"/>
      <c r="BO25" s="98"/>
      <c r="BP25" s="81"/>
      <c r="BQ25" s="81">
        <f t="shared" si="17"/>
        <v>0</v>
      </c>
      <c r="BR25" s="81">
        <f t="shared" si="18"/>
        <v>0</v>
      </c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82" t="s">
        <v>706</v>
      </c>
      <c r="CF25" s="85"/>
      <c r="CG25" s="24"/>
    </row>
    <row r="26" spans="1:85" s="198" customFormat="1" ht="24" x14ac:dyDescent="0.2">
      <c r="A26" s="108">
        <v>90000543728</v>
      </c>
      <c r="B26" s="242" t="s">
        <v>804</v>
      </c>
      <c r="C26" s="379" t="s">
        <v>182</v>
      </c>
      <c r="D26" s="80">
        <f t="shared" ref="D26" si="43">F26+AG26+AT26+BH26+BP26</f>
        <v>0</v>
      </c>
      <c r="E26" s="295">
        <f t="shared" ref="E26" si="44">G26+AH26+AU26+BI26+BQ26</f>
        <v>43610</v>
      </c>
      <c r="F26" s="81"/>
      <c r="G26" s="81">
        <f t="shared" ref="G26" si="45">F26+H26</f>
        <v>0</v>
      </c>
      <c r="H26" s="81">
        <f t="shared" ref="H26" si="46">SUM(I26:AF26)</f>
        <v>0</v>
      </c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>
        <f t="shared" ref="AH26" si="47">AG26+AI26</f>
        <v>43610</v>
      </c>
      <c r="AI26" s="81">
        <f t="shared" ref="AI26" si="48">SUM(AJ26:AS26)</f>
        <v>43610</v>
      </c>
      <c r="AJ26" s="81"/>
      <c r="AK26" s="81"/>
      <c r="AL26" s="81">
        <v>41239</v>
      </c>
      <c r="AM26" s="81">
        <v>2390</v>
      </c>
      <c r="AN26" s="81">
        <v>-8</v>
      </c>
      <c r="AO26" s="81">
        <v>-11</v>
      </c>
      <c r="AP26" s="81"/>
      <c r="AQ26" s="81"/>
      <c r="AR26" s="81"/>
      <c r="AS26" s="81"/>
      <c r="AT26" s="81"/>
      <c r="AU26" s="81">
        <f t="shared" ref="AU26" si="49">AT26+AV26</f>
        <v>0</v>
      </c>
      <c r="AV26" s="81">
        <f t="shared" ref="AV26" si="50">SUM(AW26:BG26)</f>
        <v>0</v>
      </c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81">
        <f t="shared" ref="BI26" si="51">BH26+BJ26</f>
        <v>0</v>
      </c>
      <c r="BJ26" s="98">
        <f t="shared" ref="BJ26" si="52">SUM(BK26:BO26)</f>
        <v>0</v>
      </c>
      <c r="BK26" s="98"/>
      <c r="BL26" s="98"/>
      <c r="BM26" s="98"/>
      <c r="BN26" s="98"/>
      <c r="BO26" s="98"/>
      <c r="BP26" s="81"/>
      <c r="BQ26" s="81">
        <f t="shared" ref="BQ26" si="53">BP26+BR26</f>
        <v>0</v>
      </c>
      <c r="BR26" s="81">
        <f t="shared" ref="BR26" si="54">SUM(BS26:CD26)</f>
        <v>0</v>
      </c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82" t="s">
        <v>805</v>
      </c>
      <c r="CF26" s="85"/>
      <c r="CG26" s="24"/>
    </row>
    <row r="27" spans="1:85" ht="9.75" customHeight="1" thickBot="1" x14ac:dyDescent="0.25">
      <c r="A27" s="137"/>
      <c r="B27" s="271"/>
      <c r="C27" s="320"/>
      <c r="D27" s="71"/>
      <c r="E27" s="296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72"/>
      <c r="BJ27" s="97"/>
      <c r="BK27" s="97"/>
      <c r="BL27" s="97"/>
      <c r="BM27" s="97"/>
      <c r="BN27" s="97"/>
      <c r="BO27" s="97"/>
      <c r="BP27" s="72"/>
      <c r="BQ27" s="264"/>
      <c r="BR27" s="97"/>
      <c r="BS27" s="97"/>
      <c r="BT27" s="97"/>
      <c r="BU27" s="97"/>
      <c r="BV27" s="97"/>
      <c r="BW27" s="97"/>
      <c r="BX27" s="97"/>
      <c r="BY27" s="97"/>
      <c r="BZ27" s="97"/>
      <c r="CA27" s="97"/>
      <c r="CB27" s="97"/>
      <c r="CC27" s="97"/>
      <c r="CD27" s="97"/>
      <c r="CE27" s="79"/>
      <c r="CF27" s="86"/>
      <c r="CG27" s="24"/>
    </row>
    <row r="28" spans="1:85" ht="24.75" thickBot="1" x14ac:dyDescent="0.25">
      <c r="A28" s="215" t="s">
        <v>6</v>
      </c>
      <c r="B28" s="125" t="s">
        <v>165</v>
      </c>
      <c r="C28" s="321"/>
      <c r="D28" s="11">
        <f>SUM(D29:D35)</f>
        <v>2919234</v>
      </c>
      <c r="E28" s="297">
        <f>SUM(E29:E35)</f>
        <v>3000748</v>
      </c>
      <c r="F28" s="9">
        <f>SUM(F29:F35)</f>
        <v>2876527</v>
      </c>
      <c r="G28" s="9">
        <f t="shared" ref="G28:AF28" si="55">SUM(G29:G35)</f>
        <v>2958600</v>
      </c>
      <c r="H28" s="9">
        <f t="shared" si="55"/>
        <v>82073</v>
      </c>
      <c r="I28" s="9">
        <f t="shared" si="55"/>
        <v>0</v>
      </c>
      <c r="J28" s="9">
        <f t="shared" ref="J28" si="56">SUM(J29:J35)</f>
        <v>0</v>
      </c>
      <c r="K28" s="9">
        <f t="shared" si="55"/>
        <v>62106</v>
      </c>
      <c r="L28" s="9">
        <f t="shared" si="55"/>
        <v>0</v>
      </c>
      <c r="M28" s="9">
        <f t="shared" si="55"/>
        <v>0</v>
      </c>
      <c r="N28" s="9">
        <f t="shared" si="55"/>
        <v>2756</v>
      </c>
      <c r="O28" s="9">
        <f t="shared" si="55"/>
        <v>0</v>
      </c>
      <c r="P28" s="9">
        <f t="shared" si="55"/>
        <v>0</v>
      </c>
      <c r="Q28" s="9">
        <f t="shared" si="55"/>
        <v>0</v>
      </c>
      <c r="R28" s="9">
        <f t="shared" si="55"/>
        <v>0</v>
      </c>
      <c r="S28" s="9">
        <f t="shared" si="55"/>
        <v>0</v>
      </c>
      <c r="T28" s="9"/>
      <c r="U28" s="9">
        <f t="shared" si="55"/>
        <v>0</v>
      </c>
      <c r="V28" s="9"/>
      <c r="W28" s="9">
        <f t="shared" si="55"/>
        <v>17257</v>
      </c>
      <c r="X28" s="9">
        <f t="shared" ref="X28" si="57">SUM(X29:X35)</f>
        <v>0</v>
      </c>
      <c r="Y28" s="9">
        <f t="shared" si="55"/>
        <v>0</v>
      </c>
      <c r="Z28" s="9">
        <f t="shared" ref="Z28:AE28" si="58">SUM(Z29:Z35)</f>
        <v>0</v>
      </c>
      <c r="AA28" s="9">
        <f t="shared" ref="AA28:AD28" si="59">SUM(AA29:AA35)</f>
        <v>0</v>
      </c>
      <c r="AB28" s="9">
        <f t="shared" si="59"/>
        <v>-46</v>
      </c>
      <c r="AC28" s="9">
        <f t="shared" si="59"/>
        <v>0</v>
      </c>
      <c r="AD28" s="9">
        <f t="shared" si="59"/>
        <v>0</v>
      </c>
      <c r="AE28" s="9">
        <f t="shared" si="58"/>
        <v>0</v>
      </c>
      <c r="AF28" s="9">
        <f t="shared" si="55"/>
        <v>0</v>
      </c>
      <c r="AG28" s="9">
        <f>SUM(AG29:AG35)</f>
        <v>0</v>
      </c>
      <c r="AH28" s="9">
        <f t="shared" ref="AH28" si="60">SUM(AH29:AH35)</f>
        <v>0</v>
      </c>
      <c r="AI28" s="9">
        <f t="shared" ref="AI28" si="61">SUM(AI29:AI35)</f>
        <v>0</v>
      </c>
      <c r="AJ28" s="9">
        <f t="shared" ref="AJ28" si="62">SUM(AJ29:AJ35)</f>
        <v>0</v>
      </c>
      <c r="AK28" s="9">
        <f t="shared" ref="AK28" si="63">SUM(AK29:AK35)</f>
        <v>0</v>
      </c>
      <c r="AL28" s="9">
        <f t="shared" ref="AL28" si="64">SUM(AL29:AL35)</f>
        <v>0</v>
      </c>
      <c r="AM28" s="9">
        <f t="shared" ref="AM28" si="65">SUM(AM29:AM35)</f>
        <v>0</v>
      </c>
      <c r="AN28" s="9">
        <f t="shared" ref="AN28" si="66">SUM(AN29:AN35)</f>
        <v>0</v>
      </c>
      <c r="AO28" s="9">
        <f t="shared" ref="AO28" si="67">SUM(AO29:AO35)</f>
        <v>0</v>
      </c>
      <c r="AP28" s="9">
        <f t="shared" ref="AP28" si="68">SUM(AP29:AP35)</f>
        <v>0</v>
      </c>
      <c r="AQ28" s="9">
        <f t="shared" ref="AQ28" si="69">SUM(AQ29:AQ35)</f>
        <v>0</v>
      </c>
      <c r="AR28" s="9">
        <f t="shared" ref="AR28" si="70">SUM(AR29:AR35)</f>
        <v>0</v>
      </c>
      <c r="AS28" s="9">
        <f t="shared" ref="AS28" si="71">SUM(AS29:AS35)</f>
        <v>0</v>
      </c>
      <c r="AT28" s="9">
        <f>SUM(AT29:AT35)</f>
        <v>46907</v>
      </c>
      <c r="AU28" s="96">
        <f t="shared" ref="AU28" si="72">SUM(AU29:AU35)</f>
        <v>46348</v>
      </c>
      <c r="AV28" s="96">
        <f t="shared" ref="AV28" si="73">SUM(AV29:AV35)</f>
        <v>-559</v>
      </c>
      <c r="AW28" s="96">
        <f t="shared" ref="AW28" si="74">SUM(AW29:AW35)</f>
        <v>4102</v>
      </c>
      <c r="AX28" s="96">
        <f t="shared" ref="AX28" si="75">SUM(AX29:AX35)</f>
        <v>0</v>
      </c>
      <c r="AY28" s="96">
        <f t="shared" ref="AY28" si="76">SUM(AY29:AY35)</f>
        <v>0</v>
      </c>
      <c r="AZ28" s="96">
        <f t="shared" ref="AZ28" si="77">SUM(AZ29:AZ35)</f>
        <v>0</v>
      </c>
      <c r="BA28" s="96">
        <f t="shared" ref="BA28" si="78">SUM(BA29:BA35)</f>
        <v>0</v>
      </c>
      <c r="BB28" s="96">
        <f t="shared" ref="BB28" si="79">SUM(BB29:BB35)</f>
        <v>0</v>
      </c>
      <c r="BC28" s="96">
        <f t="shared" ref="BC28" si="80">SUM(BC29:BC35)</f>
        <v>60</v>
      </c>
      <c r="BD28" s="96">
        <f t="shared" ref="BD28" si="81">SUM(BD29:BD35)</f>
        <v>0</v>
      </c>
      <c r="BE28" s="96">
        <f t="shared" ref="BE28" si="82">SUM(BE29:BE35)</f>
        <v>-4721</v>
      </c>
      <c r="BF28" s="96">
        <f t="shared" ref="BF28:BG28" si="83">SUM(BF29:BF35)</f>
        <v>0</v>
      </c>
      <c r="BG28" s="96">
        <f t="shared" si="83"/>
        <v>0</v>
      </c>
      <c r="BH28" s="96">
        <f>SUM(BH29:BH35)</f>
        <v>0</v>
      </c>
      <c r="BI28" s="9">
        <f t="shared" ref="BI28" si="84">SUM(BI29:BI35)</f>
        <v>0</v>
      </c>
      <c r="BJ28" s="96">
        <f t="shared" ref="BJ28" si="85">SUM(BJ29:BJ35)</f>
        <v>0</v>
      </c>
      <c r="BK28" s="96">
        <f t="shared" ref="BK28" si="86">SUM(BK29:BK35)</f>
        <v>0</v>
      </c>
      <c r="BL28" s="96">
        <f t="shared" ref="BL28" si="87">SUM(BL29:BL35)</f>
        <v>0</v>
      </c>
      <c r="BM28" s="96">
        <f t="shared" ref="BM28" si="88">SUM(BM29:BM35)</f>
        <v>0</v>
      </c>
      <c r="BN28" s="96">
        <f t="shared" ref="BN28" si="89">SUM(BN29:BN35)</f>
        <v>0</v>
      </c>
      <c r="BO28" s="96">
        <f t="shared" ref="BO28" si="90">SUM(BO29:BO35)</f>
        <v>0</v>
      </c>
      <c r="BP28" s="9">
        <f>SUM(BP29:BP35)</f>
        <v>-4200</v>
      </c>
      <c r="BQ28" s="310">
        <f t="shared" ref="BQ28" si="91">SUM(BQ29:BQ35)</f>
        <v>-4200</v>
      </c>
      <c r="BR28" s="96">
        <f t="shared" ref="BR28" si="92">SUM(BR29:BR35)</f>
        <v>0</v>
      </c>
      <c r="BS28" s="96">
        <f t="shared" ref="BS28" si="93">SUM(BS29:BS35)</f>
        <v>0</v>
      </c>
      <c r="BT28" s="96">
        <f t="shared" ref="BT28" si="94">SUM(BT29:BT35)</f>
        <v>0</v>
      </c>
      <c r="BU28" s="96">
        <f t="shared" ref="BU28" si="95">SUM(BU29:BU35)</f>
        <v>0</v>
      </c>
      <c r="BV28" s="96">
        <f t="shared" ref="BV28" si="96">SUM(BV29:BV35)</f>
        <v>0</v>
      </c>
      <c r="BW28" s="96">
        <f t="shared" ref="BW28" si="97">SUM(BW29:BW35)</f>
        <v>0</v>
      </c>
      <c r="BX28" s="96">
        <f t="shared" ref="BX28" si="98">SUM(BX29:BX35)</f>
        <v>0</v>
      </c>
      <c r="BY28" s="96">
        <f t="shared" ref="BY28" si="99">SUM(BY29:BY35)</f>
        <v>0</v>
      </c>
      <c r="BZ28" s="96">
        <f t="shared" ref="BZ28" si="100">SUM(BZ29:BZ35)</f>
        <v>0</v>
      </c>
      <c r="CA28" s="96">
        <f t="shared" ref="CA28" si="101">SUM(CA29:CA35)</f>
        <v>0</v>
      </c>
      <c r="CB28" s="96">
        <f t="shared" ref="CB28:CD28" si="102">SUM(CB29:CB35)</f>
        <v>0</v>
      </c>
      <c r="CC28" s="96">
        <f t="shared" ref="CC28" si="103">SUM(CC29:CC35)</f>
        <v>0</v>
      </c>
      <c r="CD28" s="96">
        <f t="shared" si="102"/>
        <v>0</v>
      </c>
      <c r="CE28" s="12"/>
      <c r="CF28" s="87"/>
      <c r="CG28" s="24"/>
    </row>
    <row r="29" spans="1:85" ht="15.75" customHeight="1" thickTop="1" x14ac:dyDescent="0.2">
      <c r="A29" s="129">
        <v>90000056357</v>
      </c>
      <c r="B29" s="247" t="s">
        <v>5</v>
      </c>
      <c r="C29" s="285" t="s">
        <v>182</v>
      </c>
      <c r="D29" s="80">
        <f t="shared" ref="D29:D34" si="104">F29+AG29+AT29+BH29+BP29</f>
        <v>206605</v>
      </c>
      <c r="E29" s="295">
        <f t="shared" ref="E29:E34" si="105">G29+AH29+AU29+BI29+BQ29</f>
        <v>206605</v>
      </c>
      <c r="F29" s="81">
        <v>206605</v>
      </c>
      <c r="G29" s="81">
        <f t="shared" ref="G29:G34" si="106">F29+H29</f>
        <v>206605</v>
      </c>
      <c r="H29" s="81">
        <f t="shared" ref="H29:H34" si="107">SUM(I29:AF29)</f>
        <v>0</v>
      </c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>
        <v>0</v>
      </c>
      <c r="AH29" s="81">
        <f t="shared" ref="AH29:AH34" si="108">AG29+AI29</f>
        <v>0</v>
      </c>
      <c r="AI29" s="81">
        <f t="shared" ref="AI29:AI34" si="109">SUM(AJ29:AS29)</f>
        <v>0</v>
      </c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>
        <v>0</v>
      </c>
      <c r="AU29" s="81">
        <f t="shared" ref="AU29:AU34" si="110">AT29+AV29</f>
        <v>0</v>
      </c>
      <c r="AV29" s="81">
        <f t="shared" ref="AV29:AV34" si="111">SUM(AW29:BG29)</f>
        <v>0</v>
      </c>
      <c r="AW29" s="81"/>
      <c r="AX29" s="81"/>
      <c r="AY29" s="81"/>
      <c r="AZ29" s="81"/>
      <c r="BA29" s="81"/>
      <c r="BB29" s="81"/>
      <c r="BC29" s="81"/>
      <c r="BD29" s="81"/>
      <c r="BE29" s="81"/>
      <c r="BF29" s="81"/>
      <c r="BG29" s="81"/>
      <c r="BH29" s="81">
        <v>0</v>
      </c>
      <c r="BI29" s="81">
        <f t="shared" ref="BI29:BI34" si="112">BH29+BJ29</f>
        <v>0</v>
      </c>
      <c r="BJ29" s="98">
        <f t="shared" ref="BJ29:BJ34" si="113">SUM(BK29:BO29)</f>
        <v>0</v>
      </c>
      <c r="BK29" s="98"/>
      <c r="BL29" s="98"/>
      <c r="BM29" s="98"/>
      <c r="BN29" s="98"/>
      <c r="BO29" s="98"/>
      <c r="BP29" s="81"/>
      <c r="BQ29" s="81">
        <f t="shared" ref="BQ29:BQ34" si="114">BP29+BR29</f>
        <v>0</v>
      </c>
      <c r="BR29" s="81">
        <f t="shared" ref="BR29:BR34" si="115">SUM(BS29:CD29)</f>
        <v>0</v>
      </c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82" t="s">
        <v>313</v>
      </c>
      <c r="CF29" s="85"/>
      <c r="CG29" s="24"/>
    </row>
    <row r="30" spans="1:85" s="122" customFormat="1" ht="24" x14ac:dyDescent="0.2">
      <c r="A30" s="126"/>
      <c r="B30" s="248"/>
      <c r="C30" s="285" t="s">
        <v>185</v>
      </c>
      <c r="D30" s="80">
        <f t="shared" si="104"/>
        <v>195274</v>
      </c>
      <c r="E30" s="295">
        <f t="shared" si="105"/>
        <v>197726</v>
      </c>
      <c r="F30" s="81">
        <v>177754</v>
      </c>
      <c r="G30" s="81">
        <f t="shared" si="106"/>
        <v>177708</v>
      </c>
      <c r="H30" s="81">
        <f t="shared" si="107"/>
        <v>-46</v>
      </c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>
        <v>-46</v>
      </c>
      <c r="AC30" s="81"/>
      <c r="AD30" s="81"/>
      <c r="AE30" s="81"/>
      <c r="AF30" s="81"/>
      <c r="AG30" s="81">
        <v>0</v>
      </c>
      <c r="AH30" s="81">
        <f t="shared" si="108"/>
        <v>0</v>
      </c>
      <c r="AI30" s="81">
        <f t="shared" si="109"/>
        <v>0</v>
      </c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>
        <v>17520</v>
      </c>
      <c r="AU30" s="81">
        <f t="shared" si="110"/>
        <v>20018</v>
      </c>
      <c r="AV30" s="81">
        <f t="shared" si="111"/>
        <v>2498</v>
      </c>
      <c r="AW30" s="81">
        <v>2498</v>
      </c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>
        <v>0</v>
      </c>
      <c r="BI30" s="81">
        <f t="shared" si="112"/>
        <v>0</v>
      </c>
      <c r="BJ30" s="98">
        <f t="shared" si="113"/>
        <v>0</v>
      </c>
      <c r="BK30" s="98"/>
      <c r="BL30" s="98"/>
      <c r="BM30" s="98"/>
      <c r="BN30" s="98"/>
      <c r="BO30" s="98"/>
      <c r="BP30" s="81"/>
      <c r="BQ30" s="81">
        <f t="shared" si="114"/>
        <v>0</v>
      </c>
      <c r="BR30" s="81">
        <f t="shared" si="115"/>
        <v>0</v>
      </c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82" t="s">
        <v>314</v>
      </c>
      <c r="CF30" s="85" t="s">
        <v>441</v>
      </c>
      <c r="CG30" s="24"/>
    </row>
    <row r="31" spans="1:85" s="198" customFormat="1" ht="24" x14ac:dyDescent="0.2">
      <c r="A31" s="108"/>
      <c r="B31" s="242"/>
      <c r="C31" s="319" t="s">
        <v>647</v>
      </c>
      <c r="D31" s="80">
        <f t="shared" si="104"/>
        <v>66505</v>
      </c>
      <c r="E31" s="295">
        <f t="shared" si="105"/>
        <v>66505</v>
      </c>
      <c r="F31" s="72">
        <v>66505</v>
      </c>
      <c r="G31" s="72">
        <f t="shared" si="106"/>
        <v>66505</v>
      </c>
      <c r="H31" s="72">
        <f t="shared" si="107"/>
        <v>0</v>
      </c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>
        <v>0</v>
      </c>
      <c r="AH31" s="72">
        <f t="shared" si="108"/>
        <v>0</v>
      </c>
      <c r="AI31" s="72">
        <f t="shared" si="109"/>
        <v>0</v>
      </c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>
        <v>0</v>
      </c>
      <c r="AU31" s="72">
        <f t="shared" si="110"/>
        <v>0</v>
      </c>
      <c r="AV31" s="72">
        <f t="shared" si="111"/>
        <v>0</v>
      </c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>
        <v>0</v>
      </c>
      <c r="BI31" s="81">
        <f t="shared" si="112"/>
        <v>0</v>
      </c>
      <c r="BJ31" s="98">
        <f t="shared" si="113"/>
        <v>0</v>
      </c>
      <c r="BK31" s="97"/>
      <c r="BL31" s="97"/>
      <c r="BM31" s="97"/>
      <c r="BN31" s="97"/>
      <c r="BO31" s="97"/>
      <c r="BP31" s="72"/>
      <c r="BQ31" s="81">
        <f t="shared" si="114"/>
        <v>0</v>
      </c>
      <c r="BR31" s="81">
        <f t="shared" si="115"/>
        <v>0</v>
      </c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82" t="s">
        <v>315</v>
      </c>
      <c r="CF31" s="85" t="s">
        <v>442</v>
      </c>
      <c r="CG31" s="24"/>
    </row>
    <row r="32" spans="1:85" s="198" customFormat="1" ht="24" x14ac:dyDescent="0.2">
      <c r="A32" s="108"/>
      <c r="B32" s="242"/>
      <c r="C32" s="319" t="s">
        <v>757</v>
      </c>
      <c r="D32" s="80">
        <f t="shared" ref="D32" si="116">F32+AG32+AT32+BH32+BP32</f>
        <v>0</v>
      </c>
      <c r="E32" s="295">
        <f t="shared" ref="E32" si="117">G32+AH32+AU32+BI32+BQ32</f>
        <v>710</v>
      </c>
      <c r="F32" s="72"/>
      <c r="G32" s="72">
        <f t="shared" si="106"/>
        <v>710</v>
      </c>
      <c r="H32" s="72">
        <f t="shared" si="107"/>
        <v>710</v>
      </c>
      <c r="I32" s="72"/>
      <c r="J32" s="72"/>
      <c r="K32" s="72">
        <v>710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>
        <f t="shared" ref="AH32" si="118">AG32+AI32</f>
        <v>0</v>
      </c>
      <c r="AI32" s="72">
        <f t="shared" ref="AI32" si="119">SUM(AJ32:AS32)</f>
        <v>0</v>
      </c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81">
        <f t="shared" ref="BI32" si="120">BH32+BJ32</f>
        <v>0</v>
      </c>
      <c r="BJ32" s="98">
        <f t="shared" ref="BJ32" si="121">SUM(BK32:BO32)</f>
        <v>0</v>
      </c>
      <c r="BK32" s="97"/>
      <c r="BL32" s="97"/>
      <c r="BM32" s="97"/>
      <c r="BN32" s="97"/>
      <c r="BO32" s="97"/>
      <c r="BP32" s="72"/>
      <c r="BQ32" s="81">
        <f t="shared" ref="BQ32" si="122">BP32+BR32</f>
        <v>0</v>
      </c>
      <c r="BR32" s="81">
        <f t="shared" ref="BR32" si="123">SUM(BS32:CD32)</f>
        <v>0</v>
      </c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97"/>
      <c r="CE32" s="82" t="s">
        <v>758</v>
      </c>
      <c r="CF32" s="85" t="s">
        <v>442</v>
      </c>
      <c r="CG32" s="24"/>
    </row>
    <row r="33" spans="1:85" ht="24" customHeight="1" x14ac:dyDescent="0.2">
      <c r="A33" s="108">
        <v>90000056554</v>
      </c>
      <c r="B33" s="241" t="s">
        <v>449</v>
      </c>
      <c r="C33" s="285" t="s">
        <v>243</v>
      </c>
      <c r="D33" s="80">
        <f t="shared" si="104"/>
        <v>2415850</v>
      </c>
      <c r="E33" s="295">
        <f t="shared" si="105"/>
        <v>2494202</v>
      </c>
      <c r="F33" s="81">
        <v>2390663</v>
      </c>
      <c r="G33" s="81">
        <f t="shared" si="106"/>
        <v>2472072</v>
      </c>
      <c r="H33" s="81">
        <f t="shared" si="107"/>
        <v>81409</v>
      </c>
      <c r="I33" s="81"/>
      <c r="J33" s="81"/>
      <c r="K33" s="81">
        <v>61396</v>
      </c>
      <c r="L33" s="81"/>
      <c r="M33" s="81"/>
      <c r="N33" s="81">
        <v>2756</v>
      </c>
      <c r="O33" s="81"/>
      <c r="P33" s="81"/>
      <c r="Q33" s="81"/>
      <c r="R33" s="81"/>
      <c r="S33" s="81"/>
      <c r="T33" s="81"/>
      <c r="U33" s="81"/>
      <c r="V33" s="81"/>
      <c r="W33" s="81">
        <f>17257</f>
        <v>17257</v>
      </c>
      <c r="X33" s="81"/>
      <c r="Y33" s="81"/>
      <c r="Z33" s="81"/>
      <c r="AA33" s="81"/>
      <c r="AB33" s="81"/>
      <c r="AC33" s="81"/>
      <c r="AD33" s="81"/>
      <c r="AE33" s="81"/>
      <c r="AF33" s="81"/>
      <c r="AG33" s="81">
        <v>0</v>
      </c>
      <c r="AH33" s="81">
        <f t="shared" si="108"/>
        <v>0</v>
      </c>
      <c r="AI33" s="81">
        <f t="shared" si="109"/>
        <v>0</v>
      </c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>
        <v>29387</v>
      </c>
      <c r="AU33" s="81">
        <f t="shared" si="110"/>
        <v>26330</v>
      </c>
      <c r="AV33" s="81">
        <f t="shared" si="111"/>
        <v>-3057</v>
      </c>
      <c r="AW33" s="81">
        <v>1604</v>
      </c>
      <c r="AX33" s="81"/>
      <c r="AY33" s="81"/>
      <c r="AZ33" s="81"/>
      <c r="BA33" s="81"/>
      <c r="BB33" s="81"/>
      <c r="BC33" s="81">
        <v>60</v>
      </c>
      <c r="BD33" s="81"/>
      <c r="BE33" s="81">
        <v>-4721</v>
      </c>
      <c r="BF33" s="81"/>
      <c r="BG33" s="81"/>
      <c r="BH33" s="81">
        <v>0</v>
      </c>
      <c r="BI33" s="81">
        <f t="shared" si="112"/>
        <v>0</v>
      </c>
      <c r="BJ33" s="98">
        <f t="shared" si="113"/>
        <v>0</v>
      </c>
      <c r="BK33" s="98"/>
      <c r="BL33" s="98"/>
      <c r="BM33" s="98"/>
      <c r="BN33" s="98"/>
      <c r="BO33" s="98"/>
      <c r="BP33" s="81">
        <v>-4200</v>
      </c>
      <c r="BQ33" s="81">
        <f t="shared" si="114"/>
        <v>-4200</v>
      </c>
      <c r="BR33" s="81">
        <f t="shared" si="115"/>
        <v>0</v>
      </c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82" t="s">
        <v>654</v>
      </c>
      <c r="CF33" s="85"/>
      <c r="CG33" s="24"/>
    </row>
    <row r="34" spans="1:85" ht="26.25" customHeight="1" x14ac:dyDescent="0.2">
      <c r="A34" s="108"/>
      <c r="B34" s="241" t="s">
        <v>167</v>
      </c>
      <c r="C34" s="322" t="s">
        <v>225</v>
      </c>
      <c r="D34" s="80">
        <f t="shared" si="104"/>
        <v>35000</v>
      </c>
      <c r="E34" s="295">
        <f t="shared" si="105"/>
        <v>35000</v>
      </c>
      <c r="F34" s="81">
        <v>35000</v>
      </c>
      <c r="G34" s="81">
        <f t="shared" si="106"/>
        <v>35000</v>
      </c>
      <c r="H34" s="81">
        <f t="shared" si="107"/>
        <v>0</v>
      </c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  <c r="AG34" s="81"/>
      <c r="AH34" s="81">
        <f t="shared" si="108"/>
        <v>0</v>
      </c>
      <c r="AI34" s="81">
        <f t="shared" si="109"/>
        <v>0</v>
      </c>
      <c r="AJ34" s="81"/>
      <c r="AK34" s="81"/>
      <c r="AL34" s="81"/>
      <c r="AM34" s="81"/>
      <c r="AN34" s="81"/>
      <c r="AO34" s="81"/>
      <c r="AP34" s="81"/>
      <c r="AQ34" s="81"/>
      <c r="AR34" s="81"/>
      <c r="AS34" s="81"/>
      <c r="AT34" s="81"/>
      <c r="AU34" s="98">
        <f t="shared" si="110"/>
        <v>0</v>
      </c>
      <c r="AV34" s="98">
        <f t="shared" si="111"/>
        <v>0</v>
      </c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81">
        <f t="shared" si="112"/>
        <v>0</v>
      </c>
      <c r="BJ34" s="98">
        <f t="shared" si="113"/>
        <v>0</v>
      </c>
      <c r="BK34" s="98"/>
      <c r="BL34" s="98"/>
      <c r="BM34" s="98"/>
      <c r="BN34" s="98"/>
      <c r="BO34" s="98"/>
      <c r="BP34" s="81"/>
      <c r="BQ34" s="81">
        <f t="shared" si="114"/>
        <v>0</v>
      </c>
      <c r="BR34" s="81">
        <f t="shared" si="115"/>
        <v>0</v>
      </c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82" t="s">
        <v>344</v>
      </c>
      <c r="CF34" s="85"/>
      <c r="CG34" s="24"/>
    </row>
    <row r="35" spans="1:85" ht="8.25" customHeight="1" thickBot="1" x14ac:dyDescent="0.25">
      <c r="A35" s="108"/>
      <c r="B35" s="216"/>
      <c r="C35" s="323"/>
      <c r="D35" s="71"/>
      <c r="E35" s="296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72"/>
      <c r="BJ35" s="97"/>
      <c r="BK35" s="97"/>
      <c r="BL35" s="97"/>
      <c r="BM35" s="97"/>
      <c r="BN35" s="97"/>
      <c r="BO35" s="97"/>
      <c r="BP35" s="72"/>
      <c r="BQ35" s="264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73"/>
      <c r="CF35" s="86"/>
      <c r="CG35" s="24"/>
    </row>
    <row r="36" spans="1:85" ht="12.75" thickBot="1" x14ac:dyDescent="0.25">
      <c r="A36" s="215" t="s">
        <v>7</v>
      </c>
      <c r="B36" s="125" t="s">
        <v>8</v>
      </c>
      <c r="C36" s="321"/>
      <c r="D36" s="11">
        <f>SUM(D37:D64)</f>
        <v>22014945</v>
      </c>
      <c r="E36" s="297">
        <f>SUM(E37:E64)</f>
        <v>21780193</v>
      </c>
      <c r="F36" s="9">
        <f>SUM(F37:F64)</f>
        <v>20834324</v>
      </c>
      <c r="G36" s="9">
        <f t="shared" ref="G36:AF36" si="124">SUM(G37:G64)</f>
        <v>20548992</v>
      </c>
      <c r="H36" s="9">
        <f t="shared" si="124"/>
        <v>-285332</v>
      </c>
      <c r="I36" s="9">
        <f t="shared" si="124"/>
        <v>-59883</v>
      </c>
      <c r="J36" s="9">
        <f t="shared" ref="J36" si="125">SUM(J37:J64)</f>
        <v>0</v>
      </c>
      <c r="K36" s="9">
        <f t="shared" si="124"/>
        <v>1136346</v>
      </c>
      <c r="L36" s="9">
        <f t="shared" si="124"/>
        <v>609649</v>
      </c>
      <c r="M36" s="9">
        <f t="shared" si="124"/>
        <v>332752</v>
      </c>
      <c r="N36" s="9">
        <f t="shared" si="124"/>
        <v>5000</v>
      </c>
      <c r="O36" s="9">
        <f t="shared" si="124"/>
        <v>121283</v>
      </c>
      <c r="P36" s="9">
        <f t="shared" si="124"/>
        <v>0</v>
      </c>
      <c r="Q36" s="9">
        <f t="shared" si="124"/>
        <v>-239129</v>
      </c>
      <c r="R36" s="9">
        <f t="shared" si="124"/>
        <v>0</v>
      </c>
      <c r="S36" s="9">
        <f t="shared" si="124"/>
        <v>-1797866</v>
      </c>
      <c r="T36" s="9"/>
      <c r="U36" s="9">
        <f t="shared" si="124"/>
        <v>5645</v>
      </c>
      <c r="V36" s="9"/>
      <c r="W36" s="9">
        <f t="shared" si="124"/>
        <v>-586107</v>
      </c>
      <c r="X36" s="9">
        <f t="shared" ref="X36" si="126">SUM(X37:X64)</f>
        <v>0</v>
      </c>
      <c r="Y36" s="9">
        <f t="shared" si="124"/>
        <v>6471</v>
      </c>
      <c r="Z36" s="9">
        <f t="shared" ref="Z36:AE36" si="127">SUM(Z37:Z64)</f>
        <v>1991</v>
      </c>
      <c r="AA36" s="9">
        <f t="shared" ref="AA36:AD36" si="128">SUM(AA37:AA64)</f>
        <v>3199</v>
      </c>
      <c r="AB36" s="9">
        <f t="shared" si="128"/>
        <v>0</v>
      </c>
      <c r="AC36" s="9">
        <f t="shared" si="128"/>
        <v>31132</v>
      </c>
      <c r="AD36" s="9">
        <f t="shared" si="128"/>
        <v>0</v>
      </c>
      <c r="AE36" s="9">
        <f t="shared" si="127"/>
        <v>141000</v>
      </c>
      <c r="AF36" s="9">
        <f t="shared" si="124"/>
        <v>0</v>
      </c>
      <c r="AG36" s="9">
        <f>SUM(AG37:AG64)</f>
        <v>1169460</v>
      </c>
      <c r="AH36" s="9">
        <f t="shared" ref="AH36" si="129">SUM(AH37:AH64)</f>
        <v>1225936</v>
      </c>
      <c r="AI36" s="9">
        <f t="shared" ref="AI36" si="130">SUM(AI37:AI64)</f>
        <v>56476</v>
      </c>
      <c r="AJ36" s="9">
        <f t="shared" ref="AJ36" si="131">SUM(AJ37:AJ64)</f>
        <v>0</v>
      </c>
      <c r="AK36" s="9">
        <f t="shared" ref="AK36" si="132">SUM(AK37:AK64)</f>
        <v>33077</v>
      </c>
      <c r="AL36" s="9">
        <f t="shared" ref="AL36" si="133">SUM(AL37:AL64)</f>
        <v>0</v>
      </c>
      <c r="AM36" s="9">
        <f t="shared" ref="AM36" si="134">SUM(AM37:AM64)</f>
        <v>23399</v>
      </c>
      <c r="AN36" s="9">
        <f t="shared" ref="AN36" si="135">SUM(AN37:AN64)</f>
        <v>0</v>
      </c>
      <c r="AO36" s="9">
        <f t="shared" ref="AO36" si="136">SUM(AO37:AO64)</f>
        <v>0</v>
      </c>
      <c r="AP36" s="9">
        <f t="shared" ref="AP36" si="137">SUM(AP37:AP64)</f>
        <v>0</v>
      </c>
      <c r="AQ36" s="9">
        <f t="shared" ref="AQ36" si="138">SUM(AQ37:AQ64)</f>
        <v>0</v>
      </c>
      <c r="AR36" s="9">
        <f t="shared" ref="AR36" si="139">SUM(AR37:AR64)</f>
        <v>0</v>
      </c>
      <c r="AS36" s="9">
        <f t="shared" ref="AS36" si="140">SUM(AS37:AS64)</f>
        <v>0</v>
      </c>
      <c r="AT36" s="9">
        <f>SUM(AT37:AT64)</f>
        <v>11161</v>
      </c>
      <c r="AU36" s="96">
        <f t="shared" ref="AU36" si="141">SUM(AU37:AU64)</f>
        <v>5265</v>
      </c>
      <c r="AV36" s="96">
        <f t="shared" ref="AV36" si="142">SUM(AV37:AV64)</f>
        <v>-5896</v>
      </c>
      <c r="AW36" s="96">
        <f t="shared" ref="AW36" si="143">SUM(AW37:AW64)</f>
        <v>0</v>
      </c>
      <c r="AX36" s="96">
        <f t="shared" ref="AX36" si="144">SUM(AX37:AX64)</f>
        <v>0</v>
      </c>
      <c r="AY36" s="96">
        <f t="shared" ref="AY36" si="145">SUM(AY37:AY64)</f>
        <v>0</v>
      </c>
      <c r="AZ36" s="96">
        <f t="shared" ref="AZ36" si="146">SUM(AZ37:AZ64)</f>
        <v>0</v>
      </c>
      <c r="BA36" s="96">
        <f t="shared" ref="BA36" si="147">SUM(BA37:BA64)</f>
        <v>0</v>
      </c>
      <c r="BB36" s="96">
        <f t="shared" ref="BB36" si="148">SUM(BB37:BB64)</f>
        <v>0</v>
      </c>
      <c r="BC36" s="96">
        <f t="shared" ref="BC36" si="149">SUM(BC37:BC64)</f>
        <v>-5896</v>
      </c>
      <c r="BD36" s="96">
        <f t="shared" ref="BD36" si="150">SUM(BD37:BD64)</f>
        <v>0</v>
      </c>
      <c r="BE36" s="96">
        <f t="shared" ref="BE36" si="151">SUM(BE37:BE64)</f>
        <v>0</v>
      </c>
      <c r="BF36" s="96">
        <f t="shared" ref="BF36:BG36" si="152">SUM(BF37:BF64)</f>
        <v>0</v>
      </c>
      <c r="BG36" s="96">
        <f t="shared" si="152"/>
        <v>0</v>
      </c>
      <c r="BH36" s="96">
        <f>SUM(BH37:BH64)</f>
        <v>0</v>
      </c>
      <c r="BI36" s="9">
        <f t="shared" ref="BI36" si="153">SUM(BI37:BI64)</f>
        <v>0</v>
      </c>
      <c r="BJ36" s="96">
        <f t="shared" ref="BJ36" si="154">SUM(BJ37:BJ64)</f>
        <v>0</v>
      </c>
      <c r="BK36" s="96">
        <f t="shared" ref="BK36" si="155">SUM(BK37:BK64)</f>
        <v>0</v>
      </c>
      <c r="BL36" s="96">
        <f t="shared" ref="BL36" si="156">SUM(BL37:BL64)</f>
        <v>0</v>
      </c>
      <c r="BM36" s="96">
        <f t="shared" ref="BM36" si="157">SUM(BM37:BM64)</f>
        <v>0</v>
      </c>
      <c r="BN36" s="96">
        <f t="shared" ref="BN36" si="158">SUM(BN37:BN64)</f>
        <v>0</v>
      </c>
      <c r="BO36" s="96">
        <f t="shared" ref="BO36" si="159">SUM(BO37:BO64)</f>
        <v>0</v>
      </c>
      <c r="BP36" s="9">
        <f>SUM(BP37:BP64)</f>
        <v>0</v>
      </c>
      <c r="BQ36" s="310">
        <f t="shared" ref="BQ36" si="160">SUM(BQ37:BQ64)</f>
        <v>0</v>
      </c>
      <c r="BR36" s="96">
        <f t="shared" ref="BR36" si="161">SUM(BR37:BR64)</f>
        <v>0</v>
      </c>
      <c r="BS36" s="96">
        <f t="shared" ref="BS36" si="162">SUM(BS37:BS64)</f>
        <v>0</v>
      </c>
      <c r="BT36" s="96">
        <f t="shared" ref="BT36" si="163">SUM(BT37:BT64)</f>
        <v>0</v>
      </c>
      <c r="BU36" s="96">
        <f t="shared" ref="BU36" si="164">SUM(BU37:BU64)</f>
        <v>0</v>
      </c>
      <c r="BV36" s="96">
        <f t="shared" ref="BV36" si="165">SUM(BV37:BV64)</f>
        <v>0</v>
      </c>
      <c r="BW36" s="96">
        <f t="shared" ref="BW36" si="166">SUM(BW37:BW64)</f>
        <v>0</v>
      </c>
      <c r="BX36" s="96">
        <f t="shared" ref="BX36" si="167">SUM(BX37:BX64)</f>
        <v>0</v>
      </c>
      <c r="BY36" s="96">
        <f t="shared" ref="BY36" si="168">SUM(BY37:BY64)</f>
        <v>0</v>
      </c>
      <c r="BZ36" s="96">
        <f t="shared" ref="BZ36" si="169">SUM(BZ37:BZ64)</f>
        <v>0</v>
      </c>
      <c r="CA36" s="96">
        <f t="shared" ref="CA36" si="170">SUM(CA37:CA64)</f>
        <v>0</v>
      </c>
      <c r="CB36" s="96">
        <f t="shared" ref="CB36:CD36" si="171">SUM(CB37:CB64)</f>
        <v>0</v>
      </c>
      <c r="CC36" s="96">
        <f t="shared" ref="CC36" si="172">SUM(CC37:CC64)</f>
        <v>0</v>
      </c>
      <c r="CD36" s="96">
        <f t="shared" si="171"/>
        <v>0</v>
      </c>
      <c r="CE36" s="12"/>
      <c r="CF36" s="87"/>
      <c r="CG36" s="24"/>
    </row>
    <row r="37" spans="1:85" ht="12.75" thickTop="1" x14ac:dyDescent="0.2">
      <c r="A37" s="108">
        <v>90000056357</v>
      </c>
      <c r="B37" s="247" t="s">
        <v>5</v>
      </c>
      <c r="C37" s="285" t="s">
        <v>182</v>
      </c>
      <c r="D37" s="80">
        <f t="shared" ref="D37:D61" si="173">F37+AG37+AT37+BH37+BP37</f>
        <v>3353884</v>
      </c>
      <c r="E37" s="295">
        <f t="shared" ref="E37:E61" si="174">G37+AH37+AU37+BI37+BQ37</f>
        <v>3340884</v>
      </c>
      <c r="F37" s="81">
        <v>3353884</v>
      </c>
      <c r="G37" s="81">
        <f t="shared" ref="G37:G61" si="175">F37+H37</f>
        <v>3340884</v>
      </c>
      <c r="H37" s="81">
        <f t="shared" ref="H37:H61" si="176">SUM(I37:AF37)</f>
        <v>-13000</v>
      </c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>
        <v>7000</v>
      </c>
      <c r="V37" s="81"/>
      <c r="W37" s="81">
        <v>-20000</v>
      </c>
      <c r="X37" s="81"/>
      <c r="Y37" s="81"/>
      <c r="Z37" s="81"/>
      <c r="AA37" s="81"/>
      <c r="AB37" s="81"/>
      <c r="AC37" s="81"/>
      <c r="AD37" s="81"/>
      <c r="AE37" s="81"/>
      <c r="AF37" s="81"/>
      <c r="AG37" s="81">
        <v>0</v>
      </c>
      <c r="AH37" s="81">
        <f t="shared" ref="AH37:AH61" si="177">AG37+AI37</f>
        <v>0</v>
      </c>
      <c r="AI37" s="81">
        <f t="shared" ref="AI37:AI61" si="178">SUM(AJ37:AS37)</f>
        <v>0</v>
      </c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>
        <v>0</v>
      </c>
      <c r="AU37" s="81">
        <f t="shared" ref="AU37:AU61" si="179">AT37+AV37</f>
        <v>0</v>
      </c>
      <c r="AV37" s="81">
        <f t="shared" ref="AV37:AV61" si="180">SUM(AW37:BG37)</f>
        <v>0</v>
      </c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>
        <v>0</v>
      </c>
      <c r="BI37" s="81">
        <f t="shared" ref="BI37:BI61" si="181">BH37+BJ37</f>
        <v>0</v>
      </c>
      <c r="BJ37" s="98">
        <f t="shared" ref="BJ37:BJ61" si="182">SUM(BK37:BO37)</f>
        <v>0</v>
      </c>
      <c r="BK37" s="98"/>
      <c r="BL37" s="98"/>
      <c r="BM37" s="98"/>
      <c r="BN37" s="98"/>
      <c r="BO37" s="98"/>
      <c r="BP37" s="81"/>
      <c r="BQ37" s="81">
        <f t="shared" ref="BQ37:BQ61" si="183">BP37+BR37</f>
        <v>0</v>
      </c>
      <c r="BR37" s="81">
        <f t="shared" ref="BR37:BR61" si="184">SUM(BS37:CD37)</f>
        <v>0</v>
      </c>
      <c r="BS37" s="98"/>
      <c r="BT37" s="98"/>
      <c r="BU37" s="98"/>
      <c r="BV37" s="98"/>
      <c r="BW37" s="98"/>
      <c r="BX37" s="98"/>
      <c r="BY37" s="98"/>
      <c r="BZ37" s="98"/>
      <c r="CA37" s="98"/>
      <c r="CB37" s="98"/>
      <c r="CC37" s="98"/>
      <c r="CD37" s="98"/>
      <c r="CE37" s="82" t="s">
        <v>651</v>
      </c>
      <c r="CF37" s="85"/>
      <c r="CG37" s="24"/>
    </row>
    <row r="38" spans="1:85" s="122" customFormat="1" ht="12.75" x14ac:dyDescent="0.2">
      <c r="A38" s="108"/>
      <c r="B38" s="246"/>
      <c r="C38" s="285" t="s">
        <v>252</v>
      </c>
      <c r="D38" s="80">
        <f t="shared" si="173"/>
        <v>5388</v>
      </c>
      <c r="E38" s="295">
        <f t="shared" si="174"/>
        <v>5388</v>
      </c>
      <c r="F38" s="81">
        <v>5388</v>
      </c>
      <c r="G38" s="81">
        <f t="shared" si="175"/>
        <v>5388</v>
      </c>
      <c r="H38" s="81">
        <f t="shared" si="176"/>
        <v>0</v>
      </c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>
        <v>0</v>
      </c>
      <c r="AH38" s="81">
        <f t="shared" si="177"/>
        <v>0</v>
      </c>
      <c r="AI38" s="81">
        <f t="shared" si="178"/>
        <v>0</v>
      </c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>
        <v>0</v>
      </c>
      <c r="AU38" s="81">
        <f t="shared" si="179"/>
        <v>0</v>
      </c>
      <c r="AV38" s="81">
        <f t="shared" si="180"/>
        <v>0</v>
      </c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>
        <v>0</v>
      </c>
      <c r="BI38" s="81">
        <f t="shared" si="181"/>
        <v>0</v>
      </c>
      <c r="BJ38" s="98">
        <f t="shared" si="182"/>
        <v>0</v>
      </c>
      <c r="BK38" s="199"/>
      <c r="BL38" s="199"/>
      <c r="BM38" s="199"/>
      <c r="BN38" s="199"/>
      <c r="BO38" s="199"/>
      <c r="BP38" s="163"/>
      <c r="BQ38" s="81">
        <f t="shared" si="183"/>
        <v>0</v>
      </c>
      <c r="BR38" s="81">
        <f t="shared" si="184"/>
        <v>0</v>
      </c>
      <c r="BS38" s="199"/>
      <c r="BT38" s="199"/>
      <c r="BU38" s="199"/>
      <c r="BV38" s="199"/>
      <c r="BW38" s="199"/>
      <c r="BX38" s="199"/>
      <c r="BY38" s="199"/>
      <c r="BZ38" s="199"/>
      <c r="CA38" s="199"/>
      <c r="CB38" s="199"/>
      <c r="CC38" s="199"/>
      <c r="CD38" s="199"/>
      <c r="CE38" s="220" t="s">
        <v>655</v>
      </c>
      <c r="CF38" s="85"/>
      <c r="CG38" s="24"/>
    </row>
    <row r="39" spans="1:85" ht="12.75" x14ac:dyDescent="0.2">
      <c r="A39" s="108"/>
      <c r="B39" s="243"/>
      <c r="C39" s="285" t="s">
        <v>215</v>
      </c>
      <c r="D39" s="80">
        <f t="shared" si="173"/>
        <v>2305016</v>
      </c>
      <c r="E39" s="295">
        <f t="shared" si="174"/>
        <v>2412871</v>
      </c>
      <c r="F39" s="81">
        <v>2112120</v>
      </c>
      <c r="G39" s="81">
        <f t="shared" si="175"/>
        <v>2225871</v>
      </c>
      <c r="H39" s="81">
        <f t="shared" si="176"/>
        <v>113751</v>
      </c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>
        <v>-19000</v>
      </c>
      <c r="T39" s="81"/>
      <c r="U39" s="81">
        <v>-965</v>
      </c>
      <c r="V39" s="81">
        <v>3185</v>
      </c>
      <c r="W39" s="81">
        <f>-4879-233-4130-1227</f>
        <v>-10469</v>
      </c>
      <c r="X39" s="81"/>
      <c r="Y39" s="81"/>
      <c r="Z39" s="81"/>
      <c r="AA39" s="81"/>
      <c r="AB39" s="81"/>
      <c r="AC39" s="81"/>
      <c r="AD39" s="81"/>
      <c r="AE39" s="81">
        <v>141000</v>
      </c>
      <c r="AF39" s="81"/>
      <c r="AG39" s="81">
        <v>187000</v>
      </c>
      <c r="AH39" s="81">
        <f t="shared" si="177"/>
        <v>187000</v>
      </c>
      <c r="AI39" s="81">
        <f t="shared" si="178"/>
        <v>0</v>
      </c>
      <c r="AJ39" s="81"/>
      <c r="AK39" s="81"/>
      <c r="AL39" s="81"/>
      <c r="AM39" s="81"/>
      <c r="AN39" s="81"/>
      <c r="AO39" s="81"/>
      <c r="AP39" s="81"/>
      <c r="AQ39" s="81"/>
      <c r="AR39" s="81"/>
      <c r="AS39" s="81"/>
      <c r="AT39" s="81">
        <v>5896</v>
      </c>
      <c r="AU39" s="81">
        <f t="shared" si="179"/>
        <v>0</v>
      </c>
      <c r="AV39" s="81">
        <f t="shared" si="180"/>
        <v>-5896</v>
      </c>
      <c r="AW39" s="81"/>
      <c r="AX39" s="81"/>
      <c r="AY39" s="81"/>
      <c r="AZ39" s="81"/>
      <c r="BA39" s="81"/>
      <c r="BB39" s="81"/>
      <c r="BC39" s="81">
        <f>4225-4225+965-965-5896</f>
        <v>-5896</v>
      </c>
      <c r="BD39" s="81"/>
      <c r="BE39" s="81"/>
      <c r="BF39" s="81"/>
      <c r="BG39" s="81"/>
      <c r="BH39" s="81">
        <v>0</v>
      </c>
      <c r="BI39" s="81">
        <f t="shared" si="181"/>
        <v>0</v>
      </c>
      <c r="BJ39" s="98">
        <f t="shared" si="182"/>
        <v>0</v>
      </c>
      <c r="BK39" s="81"/>
      <c r="BL39" s="81"/>
      <c r="BM39" s="81"/>
      <c r="BN39" s="81"/>
      <c r="BO39" s="81"/>
      <c r="BP39" s="81"/>
      <c r="BQ39" s="81">
        <f t="shared" si="183"/>
        <v>0</v>
      </c>
      <c r="BR39" s="81">
        <f t="shared" si="184"/>
        <v>0</v>
      </c>
      <c r="BS39" s="81"/>
      <c r="BT39" s="81"/>
      <c r="BU39" s="81"/>
      <c r="BV39" s="81"/>
      <c r="BW39" s="81"/>
      <c r="BX39" s="81"/>
      <c r="BY39" s="81"/>
      <c r="BZ39" s="81"/>
      <c r="CA39" s="81"/>
      <c r="CB39" s="81"/>
      <c r="CC39" s="81"/>
      <c r="CD39" s="81"/>
      <c r="CE39" s="220" t="s">
        <v>316</v>
      </c>
      <c r="CF39" s="85" t="s">
        <v>661</v>
      </c>
      <c r="CG39" s="24"/>
    </row>
    <row r="40" spans="1:85" s="106" customFormat="1" ht="24" x14ac:dyDescent="0.2">
      <c r="A40" s="108"/>
      <c r="B40" s="246"/>
      <c r="C40" s="285" t="s">
        <v>244</v>
      </c>
      <c r="D40" s="80">
        <f t="shared" si="173"/>
        <v>54303</v>
      </c>
      <c r="E40" s="295">
        <f t="shared" si="174"/>
        <v>42844</v>
      </c>
      <c r="F40" s="163">
        <v>54303</v>
      </c>
      <c r="G40" s="163">
        <f t="shared" si="175"/>
        <v>42844</v>
      </c>
      <c r="H40" s="163">
        <f t="shared" si="176"/>
        <v>-11459</v>
      </c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>
        <f>-11459</f>
        <v>-11459</v>
      </c>
      <c r="Z40" s="163"/>
      <c r="AA40" s="163"/>
      <c r="AB40" s="163"/>
      <c r="AC40" s="163"/>
      <c r="AD40" s="163"/>
      <c r="AE40" s="163"/>
      <c r="AF40" s="163"/>
      <c r="AG40" s="163">
        <v>0</v>
      </c>
      <c r="AH40" s="163">
        <f t="shared" si="177"/>
        <v>0</v>
      </c>
      <c r="AI40" s="163">
        <f t="shared" si="178"/>
        <v>0</v>
      </c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>
        <v>0</v>
      </c>
      <c r="AU40" s="163">
        <f t="shared" si="179"/>
        <v>0</v>
      </c>
      <c r="AV40" s="163">
        <f t="shared" si="180"/>
        <v>0</v>
      </c>
      <c r="AW40" s="163"/>
      <c r="AX40" s="163"/>
      <c r="AY40" s="163"/>
      <c r="AZ40" s="163"/>
      <c r="BA40" s="163"/>
      <c r="BB40" s="163"/>
      <c r="BC40" s="163"/>
      <c r="BD40" s="163"/>
      <c r="BE40" s="163"/>
      <c r="BF40" s="163"/>
      <c r="BG40" s="163"/>
      <c r="BH40" s="163">
        <v>0</v>
      </c>
      <c r="BI40" s="81">
        <f t="shared" si="181"/>
        <v>0</v>
      </c>
      <c r="BJ40" s="98">
        <f t="shared" si="182"/>
        <v>0</v>
      </c>
      <c r="BK40" s="163"/>
      <c r="BL40" s="163"/>
      <c r="BM40" s="163"/>
      <c r="BN40" s="163"/>
      <c r="BO40" s="163"/>
      <c r="BP40" s="163"/>
      <c r="BQ40" s="81">
        <f t="shared" si="183"/>
        <v>0</v>
      </c>
      <c r="BR40" s="81">
        <f t="shared" si="184"/>
        <v>0</v>
      </c>
      <c r="BS40" s="163"/>
      <c r="BT40" s="163"/>
      <c r="BU40" s="163"/>
      <c r="BV40" s="163"/>
      <c r="BW40" s="163"/>
      <c r="BX40" s="163"/>
      <c r="BY40" s="163"/>
      <c r="BZ40" s="163"/>
      <c r="CA40" s="163"/>
      <c r="CB40" s="163"/>
      <c r="CC40" s="163"/>
      <c r="CD40" s="163"/>
      <c r="CE40" s="220" t="s">
        <v>549</v>
      </c>
      <c r="CF40" s="85" t="s">
        <v>568</v>
      </c>
      <c r="CG40" s="24"/>
    </row>
    <row r="41" spans="1:85" s="162" customFormat="1" ht="12.75" x14ac:dyDescent="0.2">
      <c r="A41" s="108"/>
      <c r="B41" s="246"/>
      <c r="C41" s="285" t="s">
        <v>220</v>
      </c>
      <c r="D41" s="80">
        <f t="shared" si="173"/>
        <v>461728</v>
      </c>
      <c r="E41" s="295">
        <f t="shared" si="174"/>
        <v>464927</v>
      </c>
      <c r="F41" s="81">
        <v>456463</v>
      </c>
      <c r="G41" s="81">
        <f t="shared" si="175"/>
        <v>459662</v>
      </c>
      <c r="H41" s="81">
        <f t="shared" si="176"/>
        <v>3199</v>
      </c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>
        <v>3199</v>
      </c>
      <c r="AB41" s="81"/>
      <c r="AC41" s="81"/>
      <c r="AD41" s="81"/>
      <c r="AE41" s="81"/>
      <c r="AF41" s="81"/>
      <c r="AG41" s="81">
        <v>0</v>
      </c>
      <c r="AH41" s="81">
        <f t="shared" si="177"/>
        <v>0</v>
      </c>
      <c r="AI41" s="81">
        <f t="shared" si="178"/>
        <v>0</v>
      </c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>
        <v>5265</v>
      </c>
      <c r="AU41" s="81">
        <f t="shared" si="179"/>
        <v>5265</v>
      </c>
      <c r="AV41" s="81">
        <f t="shared" si="180"/>
        <v>0</v>
      </c>
      <c r="AW41" s="81">
        <v>0</v>
      </c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>
        <v>0</v>
      </c>
      <c r="BI41" s="81">
        <f t="shared" si="181"/>
        <v>0</v>
      </c>
      <c r="BJ41" s="98">
        <f t="shared" si="182"/>
        <v>0</v>
      </c>
      <c r="BK41" s="81"/>
      <c r="BL41" s="81"/>
      <c r="BM41" s="81"/>
      <c r="BN41" s="81"/>
      <c r="BO41" s="81"/>
      <c r="BP41" s="81"/>
      <c r="BQ41" s="81">
        <f t="shared" si="183"/>
        <v>0</v>
      </c>
      <c r="BR41" s="81">
        <f t="shared" si="184"/>
        <v>0</v>
      </c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220" t="s">
        <v>317</v>
      </c>
      <c r="CF41" s="85" t="s">
        <v>789</v>
      </c>
      <c r="CG41" s="24"/>
    </row>
    <row r="42" spans="1:85" s="121" customFormat="1" ht="24" x14ac:dyDescent="0.2">
      <c r="A42" s="108"/>
      <c r="B42" s="243"/>
      <c r="C42" s="285" t="s">
        <v>251</v>
      </c>
      <c r="D42" s="80">
        <f t="shared" si="173"/>
        <v>807594</v>
      </c>
      <c r="E42" s="295">
        <f t="shared" si="174"/>
        <v>726800</v>
      </c>
      <c r="F42" s="81">
        <v>807594</v>
      </c>
      <c r="G42" s="81">
        <f t="shared" si="175"/>
        <v>726800</v>
      </c>
      <c r="H42" s="81">
        <f t="shared" si="176"/>
        <v>-80794</v>
      </c>
      <c r="I42" s="81"/>
      <c r="J42" s="81"/>
      <c r="K42" s="81">
        <v>8457</v>
      </c>
      <c r="L42" s="81"/>
      <c r="M42" s="81"/>
      <c r="N42" s="81"/>
      <c r="O42" s="81"/>
      <c r="P42" s="81"/>
      <c r="Q42" s="81"/>
      <c r="R42" s="81"/>
      <c r="S42" s="81">
        <v>-13400</v>
      </c>
      <c r="T42" s="81"/>
      <c r="U42" s="81">
        <f>5500+965</f>
        <v>6465</v>
      </c>
      <c r="V42" s="81"/>
      <c r="W42" s="81">
        <f>-15121-30000</f>
        <v>-45121</v>
      </c>
      <c r="X42" s="81"/>
      <c r="Y42" s="81">
        <v>-37195</v>
      </c>
      <c r="Z42" s="81"/>
      <c r="AA42" s="81"/>
      <c r="AB42" s="81"/>
      <c r="AC42" s="81"/>
      <c r="AD42" s="81"/>
      <c r="AE42" s="81"/>
      <c r="AF42" s="81"/>
      <c r="AG42" s="81">
        <v>0</v>
      </c>
      <c r="AH42" s="81">
        <f t="shared" si="177"/>
        <v>0</v>
      </c>
      <c r="AI42" s="81">
        <f t="shared" si="178"/>
        <v>0</v>
      </c>
      <c r="AJ42" s="81"/>
      <c r="AK42" s="81"/>
      <c r="AL42" s="81"/>
      <c r="AM42" s="81"/>
      <c r="AN42" s="81"/>
      <c r="AO42" s="81"/>
      <c r="AP42" s="81"/>
      <c r="AQ42" s="81"/>
      <c r="AR42" s="81"/>
      <c r="AS42" s="81"/>
      <c r="AT42" s="81">
        <v>0</v>
      </c>
      <c r="AU42" s="81">
        <f t="shared" si="179"/>
        <v>0</v>
      </c>
      <c r="AV42" s="81">
        <f t="shared" si="180"/>
        <v>0</v>
      </c>
      <c r="AW42" s="81"/>
      <c r="AX42" s="81"/>
      <c r="AY42" s="81"/>
      <c r="AZ42" s="81"/>
      <c r="BA42" s="81"/>
      <c r="BB42" s="81"/>
      <c r="BC42" s="81"/>
      <c r="BD42" s="81"/>
      <c r="BE42" s="81"/>
      <c r="BF42" s="81"/>
      <c r="BG42" s="81"/>
      <c r="BH42" s="81">
        <v>0</v>
      </c>
      <c r="BI42" s="81">
        <f t="shared" si="181"/>
        <v>0</v>
      </c>
      <c r="BJ42" s="98">
        <f t="shared" si="182"/>
        <v>0</v>
      </c>
      <c r="BK42" s="81"/>
      <c r="BL42" s="81"/>
      <c r="BM42" s="81"/>
      <c r="BN42" s="81"/>
      <c r="BO42" s="81"/>
      <c r="BP42" s="81"/>
      <c r="BQ42" s="81">
        <f t="shared" si="183"/>
        <v>0</v>
      </c>
      <c r="BR42" s="81">
        <f t="shared" si="184"/>
        <v>0</v>
      </c>
      <c r="BS42" s="81"/>
      <c r="BT42" s="81"/>
      <c r="BU42" s="81"/>
      <c r="BV42" s="81"/>
      <c r="BW42" s="81"/>
      <c r="BX42" s="81"/>
      <c r="BY42" s="81"/>
      <c r="BZ42" s="81"/>
      <c r="CA42" s="81"/>
      <c r="CB42" s="81"/>
      <c r="CC42" s="81"/>
      <c r="CD42" s="81"/>
      <c r="CE42" s="220" t="s">
        <v>318</v>
      </c>
      <c r="CF42" s="85" t="s">
        <v>662</v>
      </c>
      <c r="CG42" s="24"/>
    </row>
    <row r="43" spans="1:85" s="162" customFormat="1" ht="24" x14ac:dyDescent="0.2">
      <c r="A43" s="108"/>
      <c r="B43" s="243"/>
      <c r="C43" s="285" t="s">
        <v>260</v>
      </c>
      <c r="D43" s="80">
        <f t="shared" si="173"/>
        <v>114100</v>
      </c>
      <c r="E43" s="295">
        <f t="shared" si="174"/>
        <v>114100</v>
      </c>
      <c r="F43" s="163">
        <v>114100</v>
      </c>
      <c r="G43" s="163">
        <f t="shared" si="175"/>
        <v>114100</v>
      </c>
      <c r="H43" s="163">
        <f t="shared" si="176"/>
        <v>0</v>
      </c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>
        <v>0</v>
      </c>
      <c r="AH43" s="163">
        <f t="shared" si="177"/>
        <v>0</v>
      </c>
      <c r="AI43" s="163">
        <f t="shared" si="178"/>
        <v>0</v>
      </c>
      <c r="AJ43" s="163"/>
      <c r="AK43" s="163"/>
      <c r="AL43" s="163"/>
      <c r="AM43" s="163"/>
      <c r="AN43" s="163"/>
      <c r="AO43" s="163"/>
      <c r="AP43" s="163"/>
      <c r="AQ43" s="163"/>
      <c r="AR43" s="163"/>
      <c r="AS43" s="163"/>
      <c r="AT43" s="163">
        <v>0</v>
      </c>
      <c r="AU43" s="163">
        <f t="shared" si="179"/>
        <v>0</v>
      </c>
      <c r="AV43" s="163">
        <f t="shared" si="180"/>
        <v>0</v>
      </c>
      <c r="AW43" s="163"/>
      <c r="AX43" s="163"/>
      <c r="AY43" s="163"/>
      <c r="AZ43" s="163"/>
      <c r="BA43" s="163"/>
      <c r="BB43" s="163"/>
      <c r="BC43" s="163"/>
      <c r="BD43" s="163"/>
      <c r="BE43" s="163"/>
      <c r="BF43" s="163"/>
      <c r="BG43" s="163"/>
      <c r="BH43" s="163">
        <v>0</v>
      </c>
      <c r="BI43" s="81">
        <f t="shared" si="181"/>
        <v>0</v>
      </c>
      <c r="BJ43" s="98">
        <f t="shared" si="182"/>
        <v>0</v>
      </c>
      <c r="BK43" s="163"/>
      <c r="BL43" s="163"/>
      <c r="BM43" s="163"/>
      <c r="BN43" s="163"/>
      <c r="BO43" s="163"/>
      <c r="BP43" s="163"/>
      <c r="BQ43" s="81">
        <f t="shared" si="183"/>
        <v>0</v>
      </c>
      <c r="BR43" s="81">
        <f t="shared" si="184"/>
        <v>0</v>
      </c>
      <c r="BS43" s="163"/>
      <c r="BT43" s="163"/>
      <c r="BU43" s="163"/>
      <c r="BV43" s="163"/>
      <c r="BW43" s="163"/>
      <c r="BX43" s="163"/>
      <c r="BY43" s="163"/>
      <c r="BZ43" s="163"/>
      <c r="CA43" s="163"/>
      <c r="CB43" s="163"/>
      <c r="CC43" s="163"/>
      <c r="CD43" s="163"/>
      <c r="CE43" s="220" t="s">
        <v>319</v>
      </c>
      <c r="CF43" s="86" t="s">
        <v>481</v>
      </c>
      <c r="CG43" s="24"/>
    </row>
    <row r="44" spans="1:85" s="162" customFormat="1" ht="24" x14ac:dyDescent="0.2">
      <c r="A44" s="108"/>
      <c r="B44" s="243"/>
      <c r="C44" s="285" t="s">
        <v>707</v>
      </c>
      <c r="D44" s="80">
        <f t="shared" si="173"/>
        <v>8257247</v>
      </c>
      <c r="E44" s="295">
        <f t="shared" si="174"/>
        <v>8752103</v>
      </c>
      <c r="F44" s="81">
        <v>7367846</v>
      </c>
      <c r="G44" s="81">
        <f t="shared" si="175"/>
        <v>7713167</v>
      </c>
      <c r="H44" s="81">
        <f t="shared" si="176"/>
        <v>345321</v>
      </c>
      <c r="I44" s="81"/>
      <c r="J44" s="81"/>
      <c r="K44" s="81">
        <v>557</v>
      </c>
      <c r="L44" s="81"/>
      <c r="M44" s="81">
        <v>33254</v>
      </c>
      <c r="N44" s="81"/>
      <c r="O44" s="81">
        <v>121283</v>
      </c>
      <c r="P44" s="81"/>
      <c r="Q44" s="81"/>
      <c r="R44" s="81"/>
      <c r="S44" s="81">
        <f>-1148816+1263198</f>
        <v>114382</v>
      </c>
      <c r="T44" s="81"/>
      <c r="U44" s="81"/>
      <c r="V44" s="81"/>
      <c r="W44" s="81">
        <v>20000</v>
      </c>
      <c r="X44" s="81"/>
      <c r="Y44" s="81">
        <v>55845</v>
      </c>
      <c r="Z44" s="81"/>
      <c r="AA44" s="81"/>
      <c r="AB44" s="81"/>
      <c r="AC44" s="81"/>
      <c r="AD44" s="81"/>
      <c r="AE44" s="81"/>
      <c r="AF44" s="81"/>
      <c r="AG44" s="81">
        <v>889401</v>
      </c>
      <c r="AH44" s="81">
        <f t="shared" si="177"/>
        <v>1038936</v>
      </c>
      <c r="AI44" s="81">
        <f t="shared" si="178"/>
        <v>149535</v>
      </c>
      <c r="AJ44" s="81"/>
      <c r="AK44" s="81">
        <v>33077</v>
      </c>
      <c r="AL44" s="81"/>
      <c r="AM44" s="81">
        <f>23399+93059</f>
        <v>116458</v>
      </c>
      <c r="AN44" s="81"/>
      <c r="AO44" s="81"/>
      <c r="AP44" s="81"/>
      <c r="AQ44" s="81"/>
      <c r="AR44" s="81"/>
      <c r="AS44" s="81"/>
      <c r="AT44" s="81">
        <v>0</v>
      </c>
      <c r="AU44" s="81">
        <f t="shared" si="179"/>
        <v>0</v>
      </c>
      <c r="AV44" s="81">
        <f t="shared" si="180"/>
        <v>0</v>
      </c>
      <c r="AW44" s="81"/>
      <c r="AX44" s="81"/>
      <c r="AY44" s="81"/>
      <c r="AZ44" s="81"/>
      <c r="BA44" s="81"/>
      <c r="BB44" s="81"/>
      <c r="BC44" s="81"/>
      <c r="BD44" s="81"/>
      <c r="BE44" s="81"/>
      <c r="BF44" s="81"/>
      <c r="BG44" s="81"/>
      <c r="BH44" s="81">
        <v>0</v>
      </c>
      <c r="BI44" s="81">
        <f t="shared" si="181"/>
        <v>0</v>
      </c>
      <c r="BJ44" s="98">
        <f t="shared" si="182"/>
        <v>0</v>
      </c>
      <c r="BK44" s="81"/>
      <c r="BL44" s="81"/>
      <c r="BM44" s="81"/>
      <c r="BN44" s="81"/>
      <c r="BO44" s="81"/>
      <c r="BP44" s="81"/>
      <c r="BQ44" s="81">
        <f t="shared" si="183"/>
        <v>0</v>
      </c>
      <c r="BR44" s="81">
        <f t="shared" si="184"/>
        <v>0</v>
      </c>
      <c r="BS44" s="81"/>
      <c r="BT44" s="81"/>
      <c r="BU44" s="81"/>
      <c r="BV44" s="81"/>
      <c r="BW44" s="81"/>
      <c r="BX44" s="81"/>
      <c r="BY44" s="81"/>
      <c r="BZ44" s="81"/>
      <c r="CA44" s="81"/>
      <c r="CB44" s="81"/>
      <c r="CC44" s="81"/>
      <c r="CD44" s="81"/>
      <c r="CE44" s="220" t="s">
        <v>656</v>
      </c>
      <c r="CF44" s="85" t="s">
        <v>439</v>
      </c>
      <c r="CG44" s="24"/>
    </row>
    <row r="45" spans="1:85" s="198" customFormat="1" ht="24" x14ac:dyDescent="0.2">
      <c r="A45" s="108"/>
      <c r="B45" s="243"/>
      <c r="C45" s="285" t="s">
        <v>642</v>
      </c>
      <c r="D45" s="80">
        <f t="shared" si="173"/>
        <v>584436</v>
      </c>
      <c r="E45" s="295">
        <f t="shared" si="174"/>
        <v>605936</v>
      </c>
      <c r="F45" s="81">
        <v>584436</v>
      </c>
      <c r="G45" s="81">
        <f t="shared" si="175"/>
        <v>605936</v>
      </c>
      <c r="H45" s="81">
        <f t="shared" si="176"/>
        <v>21500</v>
      </c>
      <c r="I45" s="81"/>
      <c r="J45" s="81"/>
      <c r="K45" s="81"/>
      <c r="L45" s="81"/>
      <c r="M45" s="81"/>
      <c r="N45" s="81">
        <v>5000</v>
      </c>
      <c r="O45" s="81"/>
      <c r="P45" s="81"/>
      <c r="Q45" s="81"/>
      <c r="R45" s="81"/>
      <c r="S45" s="81">
        <v>16500</v>
      </c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>
        <v>0</v>
      </c>
      <c r="AH45" s="81">
        <f t="shared" si="177"/>
        <v>0</v>
      </c>
      <c r="AI45" s="81">
        <f t="shared" si="178"/>
        <v>0</v>
      </c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>
        <v>0</v>
      </c>
      <c r="AU45" s="81">
        <f t="shared" si="179"/>
        <v>0</v>
      </c>
      <c r="AV45" s="81">
        <f t="shared" si="180"/>
        <v>0</v>
      </c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>
        <v>0</v>
      </c>
      <c r="BI45" s="81">
        <f t="shared" si="181"/>
        <v>0</v>
      </c>
      <c r="BJ45" s="98">
        <f t="shared" si="182"/>
        <v>0</v>
      </c>
      <c r="BK45" s="199"/>
      <c r="BL45" s="199"/>
      <c r="BM45" s="199"/>
      <c r="BN45" s="199"/>
      <c r="BO45" s="199"/>
      <c r="BP45" s="163"/>
      <c r="BQ45" s="81">
        <f t="shared" si="183"/>
        <v>0</v>
      </c>
      <c r="BR45" s="81">
        <f t="shared" si="184"/>
        <v>0</v>
      </c>
      <c r="BS45" s="199"/>
      <c r="BT45" s="199"/>
      <c r="BU45" s="199"/>
      <c r="BV45" s="199"/>
      <c r="BW45" s="199"/>
      <c r="BX45" s="199"/>
      <c r="BY45" s="199"/>
      <c r="BZ45" s="199"/>
      <c r="CA45" s="199"/>
      <c r="CB45" s="199"/>
      <c r="CC45" s="199"/>
      <c r="CD45" s="199"/>
      <c r="CE45" s="220" t="s">
        <v>657</v>
      </c>
      <c r="CF45" s="85" t="s">
        <v>441</v>
      </c>
      <c r="CG45" s="24"/>
    </row>
    <row r="46" spans="1:85" s="159" customFormat="1" ht="36" x14ac:dyDescent="0.2">
      <c r="A46" s="108"/>
      <c r="B46" s="243"/>
      <c r="C46" s="285" t="s">
        <v>702</v>
      </c>
      <c r="D46" s="80">
        <f t="shared" si="173"/>
        <v>24315</v>
      </c>
      <c r="E46" s="295">
        <f t="shared" si="174"/>
        <v>23235</v>
      </c>
      <c r="F46" s="81">
        <v>24315</v>
      </c>
      <c r="G46" s="81">
        <f t="shared" si="175"/>
        <v>23235</v>
      </c>
      <c r="H46" s="81">
        <f t="shared" si="176"/>
        <v>-1080</v>
      </c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>
        <v>-1080</v>
      </c>
      <c r="AA46" s="81"/>
      <c r="AB46" s="81"/>
      <c r="AC46" s="81"/>
      <c r="AD46" s="81"/>
      <c r="AE46" s="81"/>
      <c r="AF46" s="81"/>
      <c r="AG46" s="81">
        <v>0</v>
      </c>
      <c r="AH46" s="81">
        <f t="shared" si="177"/>
        <v>0</v>
      </c>
      <c r="AI46" s="81">
        <f t="shared" si="178"/>
        <v>0</v>
      </c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>
        <v>0</v>
      </c>
      <c r="AU46" s="81">
        <f t="shared" si="179"/>
        <v>0</v>
      </c>
      <c r="AV46" s="81">
        <f t="shared" si="180"/>
        <v>0</v>
      </c>
      <c r="AW46" s="81"/>
      <c r="AX46" s="81"/>
      <c r="AY46" s="81"/>
      <c r="AZ46" s="81"/>
      <c r="BA46" s="81"/>
      <c r="BB46" s="81"/>
      <c r="BC46" s="81"/>
      <c r="BD46" s="81"/>
      <c r="BE46" s="81"/>
      <c r="BF46" s="81"/>
      <c r="BG46" s="81"/>
      <c r="BH46" s="81">
        <v>0</v>
      </c>
      <c r="BI46" s="81">
        <f t="shared" si="181"/>
        <v>0</v>
      </c>
      <c r="BJ46" s="98">
        <f t="shared" si="182"/>
        <v>0</v>
      </c>
      <c r="BK46" s="199"/>
      <c r="BL46" s="199"/>
      <c r="BM46" s="199"/>
      <c r="BN46" s="199"/>
      <c r="BO46" s="199"/>
      <c r="BP46" s="163"/>
      <c r="BQ46" s="81">
        <f t="shared" si="183"/>
        <v>0</v>
      </c>
      <c r="BR46" s="81">
        <f t="shared" si="184"/>
        <v>0</v>
      </c>
      <c r="BS46" s="199"/>
      <c r="BT46" s="199"/>
      <c r="BU46" s="199"/>
      <c r="BV46" s="199"/>
      <c r="BW46" s="199"/>
      <c r="BX46" s="199"/>
      <c r="BY46" s="199"/>
      <c r="BZ46" s="199"/>
      <c r="CA46" s="199"/>
      <c r="CB46" s="199"/>
      <c r="CC46" s="199"/>
      <c r="CD46" s="199"/>
      <c r="CE46" s="220" t="s">
        <v>658</v>
      </c>
      <c r="CF46" s="85"/>
      <c r="CG46" s="24"/>
    </row>
    <row r="47" spans="1:85" s="130" customFormat="1" ht="15" customHeight="1" x14ac:dyDescent="0.2">
      <c r="A47" s="108"/>
      <c r="B47" s="243"/>
      <c r="C47" s="285" t="s">
        <v>622</v>
      </c>
      <c r="D47" s="80">
        <f t="shared" si="173"/>
        <v>2600</v>
      </c>
      <c r="E47" s="295">
        <f t="shared" si="174"/>
        <v>2569</v>
      </c>
      <c r="F47" s="81">
        <v>2600</v>
      </c>
      <c r="G47" s="81">
        <f t="shared" si="175"/>
        <v>2569</v>
      </c>
      <c r="H47" s="81">
        <f t="shared" si="176"/>
        <v>-31</v>
      </c>
      <c r="I47" s="81">
        <v>-31</v>
      </c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>
        <v>0</v>
      </c>
      <c r="AH47" s="81">
        <f t="shared" si="177"/>
        <v>0</v>
      </c>
      <c r="AI47" s="81">
        <f t="shared" si="178"/>
        <v>0</v>
      </c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>
        <v>0</v>
      </c>
      <c r="AU47" s="81">
        <f t="shared" si="179"/>
        <v>0</v>
      </c>
      <c r="AV47" s="81">
        <f t="shared" si="180"/>
        <v>0</v>
      </c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>
        <v>0</v>
      </c>
      <c r="BI47" s="81">
        <f t="shared" si="181"/>
        <v>0</v>
      </c>
      <c r="BJ47" s="98">
        <f t="shared" si="182"/>
        <v>0</v>
      </c>
      <c r="BK47" s="199"/>
      <c r="BL47" s="199"/>
      <c r="BM47" s="199"/>
      <c r="BN47" s="199"/>
      <c r="BO47" s="199"/>
      <c r="BP47" s="163"/>
      <c r="BQ47" s="81">
        <f t="shared" si="183"/>
        <v>0</v>
      </c>
      <c r="BR47" s="81">
        <f t="shared" si="184"/>
        <v>0</v>
      </c>
      <c r="BS47" s="199"/>
      <c r="BT47" s="199"/>
      <c r="BU47" s="199"/>
      <c r="BV47" s="199"/>
      <c r="BW47" s="199"/>
      <c r="BX47" s="199"/>
      <c r="BY47" s="199"/>
      <c r="BZ47" s="199"/>
      <c r="CA47" s="199"/>
      <c r="CB47" s="199"/>
      <c r="CC47" s="199"/>
      <c r="CD47" s="199"/>
      <c r="CE47" s="220" t="s">
        <v>659</v>
      </c>
      <c r="CF47" s="85"/>
      <c r="CG47" s="24"/>
    </row>
    <row r="48" spans="1:85" s="198" customFormat="1" ht="24" x14ac:dyDescent="0.2">
      <c r="A48" s="108"/>
      <c r="B48" s="243"/>
      <c r="C48" s="285" t="s">
        <v>623</v>
      </c>
      <c r="D48" s="80">
        <f t="shared" si="173"/>
        <v>10397</v>
      </c>
      <c r="E48" s="295">
        <f t="shared" si="174"/>
        <v>10537</v>
      </c>
      <c r="F48" s="81">
        <v>10397</v>
      </c>
      <c r="G48" s="81">
        <f t="shared" si="175"/>
        <v>10537</v>
      </c>
      <c r="H48" s="81">
        <f t="shared" si="176"/>
        <v>140</v>
      </c>
      <c r="I48" s="81"/>
      <c r="J48" s="81"/>
      <c r="K48" s="81">
        <v>140</v>
      </c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>
        <v>0</v>
      </c>
      <c r="AH48" s="81">
        <f t="shared" si="177"/>
        <v>0</v>
      </c>
      <c r="AI48" s="81">
        <f t="shared" si="178"/>
        <v>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>
        <v>0</v>
      </c>
      <c r="AU48" s="81">
        <f t="shared" si="179"/>
        <v>0</v>
      </c>
      <c r="AV48" s="81">
        <f t="shared" si="180"/>
        <v>0</v>
      </c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>
        <v>0</v>
      </c>
      <c r="BI48" s="81">
        <f t="shared" si="181"/>
        <v>0</v>
      </c>
      <c r="BJ48" s="98">
        <f t="shared" si="182"/>
        <v>0</v>
      </c>
      <c r="BK48" s="199"/>
      <c r="BL48" s="199"/>
      <c r="BM48" s="199"/>
      <c r="BN48" s="199"/>
      <c r="BO48" s="199"/>
      <c r="BP48" s="163"/>
      <c r="BQ48" s="81">
        <f t="shared" si="183"/>
        <v>0</v>
      </c>
      <c r="BR48" s="81">
        <f t="shared" si="184"/>
        <v>0</v>
      </c>
      <c r="BS48" s="199"/>
      <c r="BT48" s="199"/>
      <c r="BU48" s="199"/>
      <c r="BV48" s="199"/>
      <c r="BW48" s="199"/>
      <c r="BX48" s="199"/>
      <c r="BY48" s="199"/>
      <c r="BZ48" s="199"/>
      <c r="CA48" s="199"/>
      <c r="CB48" s="199"/>
      <c r="CC48" s="199"/>
      <c r="CD48" s="199"/>
      <c r="CE48" s="220" t="s">
        <v>500</v>
      </c>
      <c r="CF48" s="85"/>
      <c r="CG48" s="24"/>
    </row>
    <row r="49" spans="1:85" s="198" customFormat="1" ht="12.75" x14ac:dyDescent="0.2">
      <c r="A49" s="108"/>
      <c r="B49" s="243"/>
      <c r="C49" s="285" t="s">
        <v>624</v>
      </c>
      <c r="D49" s="80">
        <f t="shared" si="173"/>
        <v>0</v>
      </c>
      <c r="E49" s="295">
        <f t="shared" si="174"/>
        <v>48073</v>
      </c>
      <c r="F49" s="81">
        <v>0</v>
      </c>
      <c r="G49" s="81">
        <f t="shared" si="175"/>
        <v>48073</v>
      </c>
      <c r="H49" s="81">
        <f t="shared" si="176"/>
        <v>48073</v>
      </c>
      <c r="I49" s="81"/>
      <c r="J49" s="81"/>
      <c r="K49" s="81"/>
      <c r="L49" s="81"/>
      <c r="M49" s="81">
        <v>48073</v>
      </c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>
        <v>0</v>
      </c>
      <c r="AH49" s="81">
        <f t="shared" si="177"/>
        <v>0</v>
      </c>
      <c r="AI49" s="81">
        <f t="shared" si="178"/>
        <v>0</v>
      </c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>
        <v>0</v>
      </c>
      <c r="AU49" s="81">
        <f t="shared" si="179"/>
        <v>0</v>
      </c>
      <c r="AV49" s="81">
        <f t="shared" si="180"/>
        <v>0</v>
      </c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>
        <v>0</v>
      </c>
      <c r="BI49" s="81">
        <f t="shared" si="181"/>
        <v>0</v>
      </c>
      <c r="BJ49" s="98">
        <f t="shared" si="182"/>
        <v>0</v>
      </c>
      <c r="BK49" s="199"/>
      <c r="BL49" s="199"/>
      <c r="BM49" s="199"/>
      <c r="BN49" s="199"/>
      <c r="BO49" s="199"/>
      <c r="BP49" s="163"/>
      <c r="BQ49" s="81">
        <f t="shared" si="183"/>
        <v>0</v>
      </c>
      <c r="BR49" s="81">
        <f t="shared" si="184"/>
        <v>0</v>
      </c>
      <c r="BS49" s="199"/>
      <c r="BT49" s="199"/>
      <c r="BU49" s="199"/>
      <c r="BV49" s="199"/>
      <c r="BW49" s="199"/>
      <c r="BX49" s="199"/>
      <c r="BY49" s="199"/>
      <c r="BZ49" s="199"/>
      <c r="CA49" s="199"/>
      <c r="CB49" s="199"/>
      <c r="CC49" s="199"/>
      <c r="CD49" s="199"/>
      <c r="CE49" s="220" t="s">
        <v>660</v>
      </c>
      <c r="CF49" s="85"/>
      <c r="CG49" s="24"/>
    </row>
    <row r="50" spans="1:85" s="198" customFormat="1" ht="24" x14ac:dyDescent="0.2">
      <c r="A50" s="108"/>
      <c r="B50" s="243"/>
      <c r="C50" s="285" t="s">
        <v>626</v>
      </c>
      <c r="D50" s="80">
        <f t="shared" si="173"/>
        <v>3330726</v>
      </c>
      <c r="E50" s="295">
        <f t="shared" si="174"/>
        <v>3043322</v>
      </c>
      <c r="F50" s="81">
        <v>3330726</v>
      </c>
      <c r="G50" s="81">
        <f t="shared" si="175"/>
        <v>3043322</v>
      </c>
      <c r="H50" s="81">
        <f t="shared" si="176"/>
        <v>-287404</v>
      </c>
      <c r="I50" s="81"/>
      <c r="J50" s="81"/>
      <c r="K50" s="81"/>
      <c r="L50" s="81"/>
      <c r="M50" s="81">
        <v>-287404</v>
      </c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>
        <v>0</v>
      </c>
      <c r="AH50" s="81">
        <f t="shared" si="177"/>
        <v>0</v>
      </c>
      <c r="AI50" s="81">
        <f t="shared" si="178"/>
        <v>0</v>
      </c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>
        <v>0</v>
      </c>
      <c r="AU50" s="81">
        <f t="shared" si="179"/>
        <v>0</v>
      </c>
      <c r="AV50" s="81">
        <f t="shared" si="180"/>
        <v>0</v>
      </c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>
        <v>0</v>
      </c>
      <c r="BI50" s="81">
        <f t="shared" si="181"/>
        <v>0</v>
      </c>
      <c r="BJ50" s="98">
        <f t="shared" si="182"/>
        <v>0</v>
      </c>
      <c r="BK50" s="98"/>
      <c r="BL50" s="98"/>
      <c r="BM50" s="98"/>
      <c r="BN50" s="98"/>
      <c r="BO50" s="98"/>
      <c r="BP50" s="81"/>
      <c r="BQ50" s="81">
        <f t="shared" si="183"/>
        <v>0</v>
      </c>
      <c r="BR50" s="81">
        <f t="shared" si="184"/>
        <v>0</v>
      </c>
      <c r="BS50" s="98"/>
      <c r="BT50" s="98"/>
      <c r="BU50" s="98"/>
      <c r="BV50" s="98"/>
      <c r="BW50" s="98"/>
      <c r="BX50" s="98"/>
      <c r="BY50" s="98"/>
      <c r="BZ50" s="98"/>
      <c r="CA50" s="98"/>
      <c r="CB50" s="98"/>
      <c r="CC50" s="98"/>
      <c r="CD50" s="98"/>
      <c r="CE50" s="220" t="s">
        <v>559</v>
      </c>
      <c r="CF50" s="85"/>
      <c r="CG50" s="24"/>
    </row>
    <row r="51" spans="1:85" s="198" customFormat="1" ht="36" x14ac:dyDescent="0.2">
      <c r="A51" s="108"/>
      <c r="B51" s="243"/>
      <c r="C51" s="319" t="s">
        <v>625</v>
      </c>
      <c r="D51" s="80">
        <f t="shared" si="173"/>
        <v>2177258</v>
      </c>
      <c r="E51" s="295">
        <f t="shared" si="174"/>
        <v>241241</v>
      </c>
      <c r="F51" s="163">
        <v>2084199</v>
      </c>
      <c r="G51" s="163">
        <f t="shared" si="175"/>
        <v>241241</v>
      </c>
      <c r="H51" s="163">
        <f t="shared" si="176"/>
        <v>-1842958</v>
      </c>
      <c r="I51" s="163"/>
      <c r="J51" s="163"/>
      <c r="K51" s="163">
        <v>-10268</v>
      </c>
      <c r="L51" s="163"/>
      <c r="M51" s="163"/>
      <c r="N51" s="163"/>
      <c r="O51" s="163"/>
      <c r="P51" s="163"/>
      <c r="Q51" s="163"/>
      <c r="R51" s="163"/>
      <c r="S51" s="163">
        <v>-1832690</v>
      </c>
      <c r="T51" s="163"/>
      <c r="U51" s="163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3"/>
      <c r="AG51" s="163">
        <v>93059</v>
      </c>
      <c r="AH51" s="163">
        <f t="shared" si="177"/>
        <v>0</v>
      </c>
      <c r="AI51" s="163">
        <f t="shared" si="178"/>
        <v>-93059</v>
      </c>
      <c r="AJ51" s="163"/>
      <c r="AK51" s="163"/>
      <c r="AL51" s="163"/>
      <c r="AM51" s="163">
        <v>-93059</v>
      </c>
      <c r="AN51" s="163"/>
      <c r="AO51" s="163"/>
      <c r="AP51" s="163"/>
      <c r="AQ51" s="163"/>
      <c r="AR51" s="163"/>
      <c r="AS51" s="163"/>
      <c r="AT51" s="163">
        <v>0</v>
      </c>
      <c r="AU51" s="163">
        <f t="shared" si="179"/>
        <v>0</v>
      </c>
      <c r="AV51" s="163">
        <f t="shared" si="180"/>
        <v>0</v>
      </c>
      <c r="AW51" s="163"/>
      <c r="AX51" s="163"/>
      <c r="AY51" s="163"/>
      <c r="AZ51" s="163"/>
      <c r="BA51" s="163"/>
      <c r="BB51" s="163"/>
      <c r="BC51" s="163"/>
      <c r="BD51" s="163"/>
      <c r="BE51" s="163"/>
      <c r="BF51" s="163"/>
      <c r="BG51" s="163"/>
      <c r="BH51" s="163">
        <v>0</v>
      </c>
      <c r="BI51" s="81">
        <f t="shared" si="181"/>
        <v>0</v>
      </c>
      <c r="BJ51" s="98">
        <f t="shared" si="182"/>
        <v>0</v>
      </c>
      <c r="BK51" s="199"/>
      <c r="BL51" s="199"/>
      <c r="BM51" s="199"/>
      <c r="BN51" s="199"/>
      <c r="BO51" s="199"/>
      <c r="BP51" s="163"/>
      <c r="BQ51" s="81">
        <f t="shared" si="183"/>
        <v>0</v>
      </c>
      <c r="BR51" s="81">
        <f t="shared" si="184"/>
        <v>0</v>
      </c>
      <c r="BS51" s="199"/>
      <c r="BT51" s="199"/>
      <c r="BU51" s="199"/>
      <c r="BV51" s="199"/>
      <c r="BW51" s="199"/>
      <c r="BX51" s="199"/>
      <c r="BY51" s="199"/>
      <c r="BZ51" s="199"/>
      <c r="CA51" s="199"/>
      <c r="CB51" s="199"/>
      <c r="CC51" s="199"/>
      <c r="CD51" s="199"/>
      <c r="CE51" s="220" t="s">
        <v>560</v>
      </c>
      <c r="CF51" s="200"/>
      <c r="CG51" s="24"/>
    </row>
    <row r="52" spans="1:85" s="198" customFormat="1" ht="24" x14ac:dyDescent="0.2">
      <c r="A52" s="108"/>
      <c r="B52" s="243"/>
      <c r="C52" s="319" t="s">
        <v>732</v>
      </c>
      <c r="D52" s="80">
        <f t="shared" ref="D52:D53" si="185">F52+AG52+AT52+BH52+BP52</f>
        <v>0</v>
      </c>
      <c r="E52" s="295">
        <f t="shared" ref="E52:E53" si="186">G52+AH52+AU52+BI52+BQ52</f>
        <v>8228</v>
      </c>
      <c r="F52" s="163"/>
      <c r="G52" s="163">
        <f t="shared" ref="G52" si="187">F52+H52</f>
        <v>8228</v>
      </c>
      <c r="H52" s="163">
        <f t="shared" ref="H52" si="188">SUM(I52:AF52)</f>
        <v>8228</v>
      </c>
      <c r="I52" s="163">
        <v>8614</v>
      </c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>
        <v>-386</v>
      </c>
      <c r="AA52" s="163"/>
      <c r="AB52" s="163"/>
      <c r="AC52" s="163"/>
      <c r="AD52" s="163"/>
      <c r="AE52" s="163"/>
      <c r="AF52" s="163"/>
      <c r="AG52" s="163"/>
      <c r="AH52" s="163">
        <f t="shared" ref="AH52" si="189">AG52+AI52</f>
        <v>0</v>
      </c>
      <c r="AI52" s="163">
        <f t="shared" ref="AI52" si="190">SUM(AJ52:AS52)</f>
        <v>0</v>
      </c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>
        <f t="shared" ref="AU52" si="191">AT52+AV52</f>
        <v>0</v>
      </c>
      <c r="AV52" s="163">
        <f t="shared" ref="AV52" si="192">SUM(AW52:BG52)</f>
        <v>0</v>
      </c>
      <c r="AW52" s="163"/>
      <c r="AX52" s="163"/>
      <c r="AY52" s="163"/>
      <c r="AZ52" s="163"/>
      <c r="BA52" s="163"/>
      <c r="BB52" s="163"/>
      <c r="BC52" s="163"/>
      <c r="BD52" s="163"/>
      <c r="BE52" s="163"/>
      <c r="BF52" s="163"/>
      <c r="BG52" s="163"/>
      <c r="BH52" s="163"/>
      <c r="BI52" s="81">
        <f t="shared" ref="BI52" si="193">BH52+BJ52</f>
        <v>0</v>
      </c>
      <c r="BJ52" s="98">
        <f t="shared" ref="BJ52" si="194">SUM(BK52:BO52)</f>
        <v>0</v>
      </c>
      <c r="BK52" s="199"/>
      <c r="BL52" s="199"/>
      <c r="BM52" s="199"/>
      <c r="BN52" s="199"/>
      <c r="BO52" s="199"/>
      <c r="BP52" s="163"/>
      <c r="BQ52" s="81">
        <f t="shared" ref="BQ52" si="195">BP52+BR52</f>
        <v>0</v>
      </c>
      <c r="BR52" s="81">
        <f t="shared" ref="BR52" si="196">SUM(BS52:CD52)</f>
        <v>0</v>
      </c>
      <c r="BS52" s="199"/>
      <c r="BT52" s="199"/>
      <c r="BU52" s="199"/>
      <c r="BV52" s="199"/>
      <c r="BW52" s="199"/>
      <c r="BX52" s="199"/>
      <c r="BY52" s="199"/>
      <c r="BZ52" s="199"/>
      <c r="CA52" s="199"/>
      <c r="CB52" s="199"/>
      <c r="CC52" s="199"/>
      <c r="CD52" s="199"/>
      <c r="CE52" s="220" t="s">
        <v>733</v>
      </c>
      <c r="CF52" s="200"/>
      <c r="CG52" s="24"/>
    </row>
    <row r="53" spans="1:85" s="198" customFormat="1" ht="22.5" customHeight="1" x14ac:dyDescent="0.2">
      <c r="A53" s="108"/>
      <c r="B53" s="243"/>
      <c r="C53" s="319" t="s">
        <v>772</v>
      </c>
      <c r="D53" s="80">
        <f t="shared" si="185"/>
        <v>0</v>
      </c>
      <c r="E53" s="295">
        <f t="shared" si="186"/>
        <v>62027</v>
      </c>
      <c r="F53" s="163"/>
      <c r="G53" s="163">
        <f t="shared" ref="G53" si="197">F53+H53</f>
        <v>62027</v>
      </c>
      <c r="H53" s="163">
        <f t="shared" ref="H53" si="198">SUM(I53:AF53)</f>
        <v>62027</v>
      </c>
      <c r="I53" s="163"/>
      <c r="J53" s="163"/>
      <c r="K53" s="163">
        <v>62027</v>
      </c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>
        <f t="shared" ref="AH53" si="199">AG53+AI53</f>
        <v>0</v>
      </c>
      <c r="AI53" s="163">
        <f t="shared" ref="AI53" si="200">SUM(AJ53:AS53)</f>
        <v>0</v>
      </c>
      <c r="AJ53" s="163"/>
      <c r="AK53" s="163"/>
      <c r="AL53" s="163"/>
      <c r="AM53" s="163"/>
      <c r="AN53" s="163"/>
      <c r="AO53" s="163"/>
      <c r="AP53" s="163"/>
      <c r="AQ53" s="163"/>
      <c r="AR53" s="163"/>
      <c r="AS53" s="163"/>
      <c r="AT53" s="163"/>
      <c r="AU53" s="163">
        <f t="shared" ref="AU53" si="201">AT53+AV53</f>
        <v>0</v>
      </c>
      <c r="AV53" s="163">
        <f t="shared" ref="AV53" si="202">SUM(AW53:BG53)</f>
        <v>0</v>
      </c>
      <c r="AW53" s="163"/>
      <c r="AX53" s="163"/>
      <c r="AY53" s="163"/>
      <c r="AZ53" s="163"/>
      <c r="BA53" s="163"/>
      <c r="BB53" s="163"/>
      <c r="BC53" s="163"/>
      <c r="BD53" s="163"/>
      <c r="BE53" s="163"/>
      <c r="BF53" s="163"/>
      <c r="BG53" s="163"/>
      <c r="BH53" s="163"/>
      <c r="BI53" s="81">
        <f t="shared" ref="BI53" si="203">BH53+BJ53</f>
        <v>0</v>
      </c>
      <c r="BJ53" s="98">
        <f t="shared" ref="BJ53" si="204">SUM(BK53:BO53)</f>
        <v>0</v>
      </c>
      <c r="BK53" s="199"/>
      <c r="BL53" s="199"/>
      <c r="BM53" s="199"/>
      <c r="BN53" s="199"/>
      <c r="BO53" s="199"/>
      <c r="BP53" s="163"/>
      <c r="BQ53" s="81">
        <f t="shared" ref="BQ53" si="205">BP53+BR53</f>
        <v>0</v>
      </c>
      <c r="BR53" s="81">
        <f t="shared" ref="BR53" si="206">SUM(BS53:CD53)</f>
        <v>0</v>
      </c>
      <c r="BS53" s="199"/>
      <c r="BT53" s="199"/>
      <c r="BU53" s="199"/>
      <c r="BV53" s="199"/>
      <c r="BW53" s="199"/>
      <c r="BX53" s="199"/>
      <c r="BY53" s="199"/>
      <c r="BZ53" s="199"/>
      <c r="CA53" s="199"/>
      <c r="CB53" s="199"/>
      <c r="CC53" s="199"/>
      <c r="CD53" s="199"/>
      <c r="CE53" s="220" t="s">
        <v>748</v>
      </c>
      <c r="CF53" s="200"/>
      <c r="CG53" s="24"/>
    </row>
    <row r="54" spans="1:85" s="198" customFormat="1" ht="36" x14ac:dyDescent="0.2">
      <c r="A54" s="108"/>
      <c r="B54" s="243"/>
      <c r="C54" s="319" t="s">
        <v>764</v>
      </c>
      <c r="D54" s="80">
        <f t="shared" ref="D54" si="207">F54+AG54+AT54+BH54+BP54</f>
        <v>0</v>
      </c>
      <c r="E54" s="295">
        <f t="shared" ref="E54" si="208">G54+AH54+AU54+BI54+BQ54</f>
        <v>362699</v>
      </c>
      <c r="F54" s="163"/>
      <c r="G54" s="163">
        <f t="shared" ref="G54" si="209">F54+H54</f>
        <v>362699</v>
      </c>
      <c r="H54" s="163">
        <f t="shared" ref="H54" si="210">SUM(I54:AF54)</f>
        <v>362699</v>
      </c>
      <c r="I54" s="163"/>
      <c r="J54" s="163"/>
      <c r="K54" s="163">
        <v>1112901</v>
      </c>
      <c r="L54" s="163"/>
      <c r="M54" s="163"/>
      <c r="N54" s="163"/>
      <c r="O54" s="163"/>
      <c r="P54" s="163"/>
      <c r="Q54" s="163">
        <v>-251474</v>
      </c>
      <c r="R54" s="163"/>
      <c r="S54" s="163"/>
      <c r="T54" s="163"/>
      <c r="U54" s="163"/>
      <c r="V54" s="163"/>
      <c r="W54" s="163">
        <v>-529860</v>
      </c>
      <c r="X54" s="163"/>
      <c r="Y54" s="163"/>
      <c r="Z54" s="163"/>
      <c r="AA54" s="163"/>
      <c r="AB54" s="163"/>
      <c r="AC54" s="163">
        <v>31132</v>
      </c>
      <c r="AD54" s="163"/>
      <c r="AE54" s="163"/>
      <c r="AF54" s="163"/>
      <c r="AG54" s="163"/>
      <c r="AH54" s="163">
        <f t="shared" ref="AH54" si="211">AG54+AI54</f>
        <v>0</v>
      </c>
      <c r="AI54" s="163">
        <f t="shared" ref="AI54" si="212">SUM(AJ54:AS54)</f>
        <v>0</v>
      </c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>
        <f t="shared" ref="AU54" si="213">AT54+AV54</f>
        <v>0</v>
      </c>
      <c r="AV54" s="163">
        <f t="shared" ref="AV54" si="214">SUM(AW54:BG54)</f>
        <v>0</v>
      </c>
      <c r="AW54" s="163"/>
      <c r="AX54" s="163"/>
      <c r="AY54" s="163"/>
      <c r="AZ54" s="163"/>
      <c r="BA54" s="163"/>
      <c r="BB54" s="163"/>
      <c r="BC54" s="163"/>
      <c r="BD54" s="163"/>
      <c r="BE54" s="163"/>
      <c r="BF54" s="163"/>
      <c r="BG54" s="163"/>
      <c r="BH54" s="163"/>
      <c r="BI54" s="81">
        <f t="shared" ref="BI54" si="215">BH54+BJ54</f>
        <v>0</v>
      </c>
      <c r="BJ54" s="98">
        <f t="shared" ref="BJ54" si="216">SUM(BK54:BO54)</f>
        <v>0</v>
      </c>
      <c r="BK54" s="199"/>
      <c r="BL54" s="199"/>
      <c r="BM54" s="199"/>
      <c r="BN54" s="199"/>
      <c r="BO54" s="199"/>
      <c r="BP54" s="163"/>
      <c r="BQ54" s="81">
        <f t="shared" ref="BQ54" si="217">BP54+BR54</f>
        <v>0</v>
      </c>
      <c r="BR54" s="81">
        <f t="shared" ref="BR54" si="218">SUM(BS54:CD54)</f>
        <v>0</v>
      </c>
      <c r="BS54" s="199"/>
      <c r="BT54" s="199"/>
      <c r="BU54" s="199"/>
      <c r="BV54" s="199"/>
      <c r="BW54" s="199"/>
      <c r="BX54" s="199"/>
      <c r="BY54" s="199"/>
      <c r="BZ54" s="199"/>
      <c r="CA54" s="199"/>
      <c r="CB54" s="199"/>
      <c r="CC54" s="199"/>
      <c r="CD54" s="199"/>
      <c r="CE54" s="220" t="s">
        <v>763</v>
      </c>
      <c r="CF54" s="200"/>
      <c r="CG54" s="24"/>
    </row>
    <row r="55" spans="1:85" s="198" customFormat="1" ht="24" x14ac:dyDescent="0.2">
      <c r="A55" s="108"/>
      <c r="B55" s="243"/>
      <c r="C55" s="319" t="s">
        <v>793</v>
      </c>
      <c r="D55" s="80">
        <f t="shared" ref="D55" si="219">F55+AG55+AT55+BH55+BP55</f>
        <v>0</v>
      </c>
      <c r="E55" s="295">
        <f t="shared" ref="E55" si="220">G55+AH55+AU55+BI55+BQ55</f>
        <v>1205889</v>
      </c>
      <c r="F55" s="163"/>
      <c r="G55" s="163">
        <f t="shared" ref="G55" si="221">F55+H55</f>
        <v>1205889</v>
      </c>
      <c r="H55" s="163">
        <f t="shared" ref="H55" si="222">SUM(I55:AF55)</f>
        <v>1205889</v>
      </c>
      <c r="I55" s="163"/>
      <c r="J55" s="163"/>
      <c r="K55" s="163"/>
      <c r="L55" s="163">
        <v>619340</v>
      </c>
      <c r="M55" s="163">
        <v>581884</v>
      </c>
      <c r="N55" s="163"/>
      <c r="O55" s="163"/>
      <c r="P55" s="163"/>
      <c r="Q55" s="163">
        <v>4665</v>
      </c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>
        <f t="shared" ref="AH55" si="223">AG55+AI55</f>
        <v>0</v>
      </c>
      <c r="AI55" s="163">
        <f t="shared" ref="AI55" si="224">SUM(AJ55:AS55)</f>
        <v>0</v>
      </c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>
        <f t="shared" ref="AU55" si="225">AT55+AV55</f>
        <v>0</v>
      </c>
      <c r="AV55" s="163">
        <f t="shared" ref="AV55" si="226">SUM(AW55:BG55)</f>
        <v>0</v>
      </c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81">
        <f t="shared" ref="BI55" si="227">BH55+BJ55</f>
        <v>0</v>
      </c>
      <c r="BJ55" s="98">
        <f t="shared" ref="BJ55" si="228">SUM(BK55:BO55)</f>
        <v>0</v>
      </c>
      <c r="BK55" s="199"/>
      <c r="BL55" s="199"/>
      <c r="BM55" s="199"/>
      <c r="BN55" s="199"/>
      <c r="BO55" s="199"/>
      <c r="BP55" s="163"/>
      <c r="BQ55" s="81">
        <f t="shared" ref="BQ55" si="229">BP55+BR55</f>
        <v>0</v>
      </c>
      <c r="BR55" s="81">
        <f t="shared" ref="BR55" si="230">SUM(BS55:CD55)</f>
        <v>0</v>
      </c>
      <c r="BS55" s="199"/>
      <c r="BT55" s="199"/>
      <c r="BU55" s="199"/>
      <c r="BV55" s="199"/>
      <c r="BW55" s="199"/>
      <c r="BX55" s="199"/>
      <c r="BY55" s="199"/>
      <c r="BZ55" s="199"/>
      <c r="CA55" s="199"/>
      <c r="CB55" s="199"/>
      <c r="CC55" s="199"/>
      <c r="CD55" s="199"/>
      <c r="CE55" s="220" t="s">
        <v>792</v>
      </c>
      <c r="CF55" s="200"/>
      <c r="CG55" s="24"/>
    </row>
    <row r="56" spans="1:85" ht="24" customHeight="1" x14ac:dyDescent="0.2">
      <c r="A56" s="108">
        <v>90000518538</v>
      </c>
      <c r="B56" s="241" t="s">
        <v>298</v>
      </c>
      <c r="C56" s="285" t="s">
        <v>186</v>
      </c>
      <c r="D56" s="80">
        <f t="shared" si="173"/>
        <v>91353</v>
      </c>
      <c r="E56" s="295">
        <f t="shared" si="174"/>
        <v>91353</v>
      </c>
      <c r="F56" s="81">
        <v>91353</v>
      </c>
      <c r="G56" s="81">
        <f t="shared" si="175"/>
        <v>91353</v>
      </c>
      <c r="H56" s="81">
        <f t="shared" si="176"/>
        <v>0</v>
      </c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>
        <v>0</v>
      </c>
      <c r="AH56" s="81">
        <f t="shared" si="177"/>
        <v>0</v>
      </c>
      <c r="AI56" s="81">
        <f t="shared" si="178"/>
        <v>0</v>
      </c>
      <c r="AJ56" s="81"/>
      <c r="AK56" s="81"/>
      <c r="AL56" s="81"/>
      <c r="AM56" s="81"/>
      <c r="AN56" s="81"/>
      <c r="AO56" s="81"/>
      <c r="AP56" s="81"/>
      <c r="AQ56" s="81"/>
      <c r="AR56" s="81"/>
      <c r="AS56" s="81"/>
      <c r="AT56" s="81">
        <v>0</v>
      </c>
      <c r="AU56" s="81">
        <f t="shared" si="179"/>
        <v>0</v>
      </c>
      <c r="AV56" s="81">
        <f t="shared" si="180"/>
        <v>0</v>
      </c>
      <c r="AW56" s="81"/>
      <c r="AX56" s="81"/>
      <c r="AY56" s="81"/>
      <c r="AZ56" s="81"/>
      <c r="BA56" s="81"/>
      <c r="BB56" s="81"/>
      <c r="BC56" s="81"/>
      <c r="BD56" s="81"/>
      <c r="BE56" s="81"/>
      <c r="BF56" s="81"/>
      <c r="BG56" s="81"/>
      <c r="BH56" s="81">
        <v>0</v>
      </c>
      <c r="BI56" s="81">
        <f t="shared" si="181"/>
        <v>0</v>
      </c>
      <c r="BJ56" s="98">
        <f t="shared" si="182"/>
        <v>0</v>
      </c>
      <c r="BK56" s="98"/>
      <c r="BL56" s="98"/>
      <c r="BM56" s="98"/>
      <c r="BN56" s="98"/>
      <c r="BO56" s="98"/>
      <c r="BP56" s="81"/>
      <c r="BQ56" s="81">
        <f t="shared" si="183"/>
        <v>0</v>
      </c>
      <c r="BR56" s="81">
        <f t="shared" si="184"/>
        <v>0</v>
      </c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82" t="s">
        <v>443</v>
      </c>
      <c r="CF56" s="85"/>
      <c r="CG56" s="24"/>
    </row>
    <row r="57" spans="1:85" ht="39" customHeight="1" x14ac:dyDescent="0.2">
      <c r="A57" s="108"/>
      <c r="B57" s="241" t="s">
        <v>167</v>
      </c>
      <c r="C57" s="322" t="s">
        <v>168</v>
      </c>
      <c r="D57" s="80">
        <f t="shared" si="173"/>
        <v>231300</v>
      </c>
      <c r="E57" s="295">
        <f t="shared" si="174"/>
        <v>19905</v>
      </c>
      <c r="F57" s="81">
        <v>231300</v>
      </c>
      <c r="G57" s="81">
        <f t="shared" si="175"/>
        <v>19905</v>
      </c>
      <c r="H57" s="81">
        <f t="shared" si="176"/>
        <v>-211395</v>
      </c>
      <c r="I57" s="81">
        <f>-4364-2719-7576-19807</f>
        <v>-34466</v>
      </c>
      <c r="J57" s="81"/>
      <c r="K57" s="81">
        <f>-13876-2215-6466-9365-5060-486</f>
        <v>-37468</v>
      </c>
      <c r="L57" s="81">
        <f>-241-9450</f>
        <v>-9691</v>
      </c>
      <c r="M57" s="81">
        <f>-40396-2659</f>
        <v>-43055</v>
      </c>
      <c r="N57" s="81"/>
      <c r="O57" s="81"/>
      <c r="P57" s="81"/>
      <c r="Q57" s="81">
        <v>-9775</v>
      </c>
      <c r="R57" s="81"/>
      <c r="S57" s="81">
        <f>-3462-60196</f>
        <v>-63658</v>
      </c>
      <c r="T57" s="81"/>
      <c r="U57" s="81">
        <f>-5500-1355</f>
        <v>-6855</v>
      </c>
      <c r="V57" s="81"/>
      <c r="W57" s="81">
        <v>-657</v>
      </c>
      <c r="X57" s="81"/>
      <c r="Y57" s="81">
        <v>-720</v>
      </c>
      <c r="Z57" s="81">
        <v>-5050</v>
      </c>
      <c r="AA57" s="81"/>
      <c r="AB57" s="81"/>
      <c r="AC57" s="81"/>
      <c r="AD57" s="81"/>
      <c r="AE57" s="81"/>
      <c r="AF57" s="81"/>
      <c r="AG57" s="81"/>
      <c r="AH57" s="81">
        <f t="shared" si="177"/>
        <v>0</v>
      </c>
      <c r="AI57" s="81">
        <f t="shared" si="178"/>
        <v>0</v>
      </c>
      <c r="AJ57" s="81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U57" s="98">
        <f t="shared" si="179"/>
        <v>0</v>
      </c>
      <c r="AV57" s="98">
        <f t="shared" si="180"/>
        <v>0</v>
      </c>
      <c r="AW57" s="98"/>
      <c r="AX57" s="98"/>
      <c r="AY57" s="98"/>
      <c r="AZ57" s="98"/>
      <c r="BA57" s="98"/>
      <c r="BB57" s="98"/>
      <c r="BC57" s="98"/>
      <c r="BD57" s="98"/>
      <c r="BE57" s="98"/>
      <c r="BF57" s="98"/>
      <c r="BG57" s="98"/>
      <c r="BH57" s="98"/>
      <c r="BI57" s="81">
        <f t="shared" si="181"/>
        <v>0</v>
      </c>
      <c r="BJ57" s="98">
        <f t="shared" si="182"/>
        <v>0</v>
      </c>
      <c r="BK57" s="98"/>
      <c r="BL57" s="98"/>
      <c r="BM57" s="98"/>
      <c r="BN57" s="98"/>
      <c r="BO57" s="98"/>
      <c r="BP57" s="81"/>
      <c r="BQ57" s="81">
        <f t="shared" si="183"/>
        <v>0</v>
      </c>
      <c r="BR57" s="81">
        <f t="shared" si="184"/>
        <v>0</v>
      </c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82" t="s">
        <v>326</v>
      </c>
      <c r="CF57" s="85"/>
      <c r="CG57" s="24"/>
    </row>
    <row r="58" spans="1:85" ht="12.75" x14ac:dyDescent="0.2">
      <c r="A58" s="108"/>
      <c r="B58" s="243"/>
      <c r="C58" s="322" t="s">
        <v>195</v>
      </c>
      <c r="D58" s="80">
        <f t="shared" si="173"/>
        <v>16800</v>
      </c>
      <c r="E58" s="295">
        <f t="shared" si="174"/>
        <v>16800</v>
      </c>
      <c r="F58" s="81">
        <v>16800</v>
      </c>
      <c r="G58" s="81">
        <f t="shared" si="175"/>
        <v>16800</v>
      </c>
      <c r="H58" s="81">
        <f t="shared" si="176"/>
        <v>0</v>
      </c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>
        <v>0</v>
      </c>
      <c r="AH58" s="81">
        <f t="shared" si="177"/>
        <v>0</v>
      </c>
      <c r="AI58" s="81">
        <f t="shared" si="178"/>
        <v>0</v>
      </c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>
        <v>0</v>
      </c>
      <c r="AU58" s="81">
        <f t="shared" si="179"/>
        <v>0</v>
      </c>
      <c r="AV58" s="81">
        <f t="shared" si="180"/>
        <v>0</v>
      </c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>
        <v>0</v>
      </c>
      <c r="BI58" s="81">
        <f t="shared" si="181"/>
        <v>0</v>
      </c>
      <c r="BJ58" s="98">
        <f t="shared" si="182"/>
        <v>0</v>
      </c>
      <c r="BK58" s="98"/>
      <c r="BL58" s="98"/>
      <c r="BM58" s="98"/>
      <c r="BN58" s="98"/>
      <c r="BO58" s="98"/>
      <c r="BP58" s="81"/>
      <c r="BQ58" s="81">
        <f t="shared" si="183"/>
        <v>0</v>
      </c>
      <c r="BR58" s="81">
        <f t="shared" si="184"/>
        <v>0</v>
      </c>
      <c r="BS58" s="98"/>
      <c r="BT58" s="98"/>
      <c r="BU58" s="98"/>
      <c r="BV58" s="98"/>
      <c r="BW58" s="98"/>
      <c r="BX58" s="98"/>
      <c r="BY58" s="98"/>
      <c r="BZ58" s="98"/>
      <c r="CA58" s="98"/>
      <c r="CB58" s="98"/>
      <c r="CC58" s="98"/>
      <c r="CD58" s="98"/>
      <c r="CE58" s="82" t="s">
        <v>327</v>
      </c>
      <c r="CF58" s="85"/>
      <c r="CG58" s="24"/>
    </row>
    <row r="59" spans="1:85" ht="12.75" x14ac:dyDescent="0.2">
      <c r="A59" s="108"/>
      <c r="B59" s="243"/>
      <c r="C59" s="322" t="s">
        <v>181</v>
      </c>
      <c r="D59" s="80">
        <f t="shared" si="173"/>
        <v>150000</v>
      </c>
      <c r="E59" s="295">
        <f t="shared" si="174"/>
        <v>116000</v>
      </c>
      <c r="F59" s="81">
        <v>150000</v>
      </c>
      <c r="G59" s="81">
        <f t="shared" si="175"/>
        <v>116000</v>
      </c>
      <c r="H59" s="81">
        <f t="shared" si="176"/>
        <v>-34000</v>
      </c>
      <c r="I59" s="81">
        <v>-34000</v>
      </c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>
        <f t="shared" si="177"/>
        <v>0</v>
      </c>
      <c r="AI59" s="81">
        <f t="shared" si="178"/>
        <v>0</v>
      </c>
      <c r="AJ59" s="81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U59" s="98">
        <f t="shared" si="179"/>
        <v>0</v>
      </c>
      <c r="AV59" s="98">
        <f t="shared" si="180"/>
        <v>0</v>
      </c>
      <c r="AW59" s="98"/>
      <c r="AX59" s="98"/>
      <c r="AY59" s="98"/>
      <c r="AZ59" s="98"/>
      <c r="BA59" s="98"/>
      <c r="BB59" s="98"/>
      <c r="BC59" s="98"/>
      <c r="BD59" s="98"/>
      <c r="BE59" s="98"/>
      <c r="BF59" s="98"/>
      <c r="BG59" s="98"/>
      <c r="BH59" s="98"/>
      <c r="BI59" s="81">
        <f t="shared" si="181"/>
        <v>0</v>
      </c>
      <c r="BJ59" s="98">
        <f t="shared" si="182"/>
        <v>0</v>
      </c>
      <c r="BK59" s="98"/>
      <c r="BL59" s="98"/>
      <c r="BM59" s="98"/>
      <c r="BN59" s="98"/>
      <c r="BO59" s="98"/>
      <c r="BP59" s="81"/>
      <c r="BQ59" s="81">
        <f t="shared" si="183"/>
        <v>0</v>
      </c>
      <c r="BR59" s="81">
        <f t="shared" si="184"/>
        <v>0</v>
      </c>
      <c r="BS59" s="98"/>
      <c r="BT59" s="98"/>
      <c r="BU59" s="98"/>
      <c r="BV59" s="98"/>
      <c r="BW59" s="98"/>
      <c r="BX59" s="98"/>
      <c r="BY59" s="98"/>
      <c r="BZ59" s="98"/>
      <c r="CA59" s="98"/>
      <c r="CB59" s="98"/>
      <c r="CC59" s="98"/>
      <c r="CD59" s="98"/>
      <c r="CE59" s="82" t="s">
        <v>328</v>
      </c>
      <c r="CF59" s="85"/>
      <c r="CG59" s="24"/>
    </row>
    <row r="60" spans="1:85" s="168" customFormat="1" ht="24" x14ac:dyDescent="0.2">
      <c r="A60" s="108"/>
      <c r="B60" s="243"/>
      <c r="C60" s="322" t="s">
        <v>493</v>
      </c>
      <c r="D60" s="80">
        <f t="shared" si="173"/>
        <v>30000</v>
      </c>
      <c r="E60" s="295">
        <f t="shared" si="174"/>
        <v>30000</v>
      </c>
      <c r="F60" s="81">
        <v>30000</v>
      </c>
      <c r="G60" s="81">
        <f t="shared" si="175"/>
        <v>30000</v>
      </c>
      <c r="H60" s="81">
        <f t="shared" si="176"/>
        <v>0</v>
      </c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>
        <f t="shared" si="177"/>
        <v>0</v>
      </c>
      <c r="AI60" s="81">
        <f t="shared" si="178"/>
        <v>0</v>
      </c>
      <c r="AJ60" s="81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U60" s="98">
        <f t="shared" si="179"/>
        <v>0</v>
      </c>
      <c r="AV60" s="98">
        <f t="shared" si="180"/>
        <v>0</v>
      </c>
      <c r="AW60" s="98"/>
      <c r="AX60" s="98"/>
      <c r="AY60" s="98"/>
      <c r="AZ60" s="98"/>
      <c r="BA60" s="98"/>
      <c r="BB60" s="98"/>
      <c r="BC60" s="98"/>
      <c r="BD60" s="98"/>
      <c r="BE60" s="98"/>
      <c r="BF60" s="98"/>
      <c r="BG60" s="98"/>
      <c r="BH60" s="98"/>
      <c r="BI60" s="81">
        <f t="shared" si="181"/>
        <v>0</v>
      </c>
      <c r="BJ60" s="98">
        <f t="shared" si="182"/>
        <v>0</v>
      </c>
      <c r="BK60" s="98"/>
      <c r="BL60" s="98"/>
      <c r="BM60" s="98"/>
      <c r="BN60" s="98"/>
      <c r="BO60" s="98"/>
      <c r="BP60" s="81"/>
      <c r="BQ60" s="81">
        <f t="shared" si="183"/>
        <v>0</v>
      </c>
      <c r="BR60" s="81">
        <f t="shared" si="184"/>
        <v>0</v>
      </c>
      <c r="BS60" s="98"/>
      <c r="BT60" s="98"/>
      <c r="BU60" s="98"/>
      <c r="BV60" s="98"/>
      <c r="BW60" s="98"/>
      <c r="BX60" s="98"/>
      <c r="BY60" s="98"/>
      <c r="BZ60" s="98"/>
      <c r="CA60" s="98"/>
      <c r="CB60" s="98"/>
      <c r="CC60" s="98"/>
      <c r="CD60" s="98"/>
      <c r="CE60" s="82" t="s">
        <v>494</v>
      </c>
      <c r="CF60" s="85"/>
      <c r="CG60" s="24"/>
    </row>
    <row r="61" spans="1:85" s="198" customFormat="1" ht="36" x14ac:dyDescent="0.2">
      <c r="A61" s="108"/>
      <c r="B61" s="243"/>
      <c r="C61" s="322" t="s">
        <v>646</v>
      </c>
      <c r="D61" s="80">
        <f t="shared" si="173"/>
        <v>6500</v>
      </c>
      <c r="E61" s="295">
        <f t="shared" si="174"/>
        <v>6500</v>
      </c>
      <c r="F61" s="81">
        <v>6500</v>
      </c>
      <c r="G61" s="81">
        <f t="shared" si="175"/>
        <v>6500</v>
      </c>
      <c r="H61" s="81">
        <f t="shared" si="176"/>
        <v>0</v>
      </c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>
        <v>0</v>
      </c>
      <c r="AH61" s="81">
        <f t="shared" si="177"/>
        <v>0</v>
      </c>
      <c r="AI61" s="81">
        <f t="shared" si="178"/>
        <v>0</v>
      </c>
      <c r="AJ61" s="81"/>
      <c r="AK61" s="81"/>
      <c r="AL61" s="81"/>
      <c r="AM61" s="81"/>
      <c r="AN61" s="81"/>
      <c r="AO61" s="81"/>
      <c r="AP61" s="81"/>
      <c r="AQ61" s="81"/>
      <c r="AR61" s="81"/>
      <c r="AS61" s="81"/>
      <c r="AT61" s="81">
        <v>0</v>
      </c>
      <c r="AU61" s="81">
        <f t="shared" si="179"/>
        <v>0</v>
      </c>
      <c r="AV61" s="81">
        <f t="shared" si="180"/>
        <v>0</v>
      </c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>
        <v>0</v>
      </c>
      <c r="BI61" s="81">
        <f t="shared" si="181"/>
        <v>0</v>
      </c>
      <c r="BJ61" s="98">
        <f t="shared" si="182"/>
        <v>0</v>
      </c>
      <c r="BK61" s="98"/>
      <c r="BL61" s="98"/>
      <c r="BM61" s="98"/>
      <c r="BN61" s="98"/>
      <c r="BO61" s="98"/>
      <c r="BP61" s="81"/>
      <c r="BQ61" s="81">
        <f t="shared" si="183"/>
        <v>0</v>
      </c>
      <c r="BR61" s="81">
        <f t="shared" si="184"/>
        <v>0</v>
      </c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82" t="s">
        <v>663</v>
      </c>
      <c r="CF61" s="85"/>
      <c r="CG61" s="24"/>
    </row>
    <row r="62" spans="1:85" s="198" customFormat="1" ht="36" x14ac:dyDescent="0.2">
      <c r="A62" s="137">
        <v>90000056554</v>
      </c>
      <c r="B62" s="405" t="s">
        <v>449</v>
      </c>
      <c r="C62" s="406" t="s">
        <v>812</v>
      </c>
      <c r="D62" s="139">
        <f t="shared" ref="D62" si="231">F62+AG62+AT62+BH62+BP62</f>
        <v>0</v>
      </c>
      <c r="E62" s="299">
        <f t="shared" ref="E62" si="232">G62+AH62+AU62+BI62+BQ62</f>
        <v>17455</v>
      </c>
      <c r="F62" s="72"/>
      <c r="G62" s="170">
        <f t="shared" ref="G62" si="233">F62+H62</f>
        <v>17455</v>
      </c>
      <c r="H62" s="170">
        <f t="shared" ref="H62" si="234">SUM(I62:AF62)</f>
        <v>17455</v>
      </c>
      <c r="I62" s="72"/>
      <c r="J62" s="72"/>
      <c r="K62" s="72"/>
      <c r="L62" s="72"/>
      <c r="M62" s="72"/>
      <c r="N62" s="72"/>
      <c r="O62" s="72"/>
      <c r="P62" s="72"/>
      <c r="Q62" s="72">
        <v>17455</v>
      </c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170">
        <f t="shared" ref="AH62" si="235">AG62+AI62</f>
        <v>0</v>
      </c>
      <c r="AI62" s="170">
        <f t="shared" ref="AI62" si="236">SUM(AJ62:AS62)</f>
        <v>0</v>
      </c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170">
        <f t="shared" ref="AU62" si="237">AT62+AV62</f>
        <v>0</v>
      </c>
      <c r="AV62" s="170">
        <f t="shared" ref="AV62" si="238">SUM(AW62:BG62)</f>
        <v>0</v>
      </c>
      <c r="AW62" s="97"/>
      <c r="AX62" s="97"/>
      <c r="AY62" s="97"/>
      <c r="AZ62" s="97"/>
      <c r="BA62" s="97"/>
      <c r="BB62" s="97"/>
      <c r="BC62" s="97"/>
      <c r="BD62" s="97"/>
      <c r="BE62" s="97"/>
      <c r="BF62" s="97"/>
      <c r="BG62" s="97"/>
      <c r="BH62" s="97"/>
      <c r="BI62" s="170">
        <f t="shared" ref="BI62" si="239">BH62+BJ62</f>
        <v>0</v>
      </c>
      <c r="BJ62" s="203">
        <f t="shared" ref="BJ62" si="240">SUM(BK62:BO62)</f>
        <v>0</v>
      </c>
      <c r="BK62" s="97"/>
      <c r="BL62" s="97"/>
      <c r="BM62" s="97"/>
      <c r="BN62" s="97"/>
      <c r="BO62" s="97"/>
      <c r="BP62" s="72"/>
      <c r="BQ62" s="170">
        <f t="shared" ref="BQ62" si="241">BP62+BR62</f>
        <v>0</v>
      </c>
      <c r="BR62" s="170">
        <f t="shared" ref="BR62" si="242">SUM(BS62:CD62)</f>
        <v>0</v>
      </c>
      <c r="BS62" s="97"/>
      <c r="BT62" s="97"/>
      <c r="BU62" s="97"/>
      <c r="BV62" s="97"/>
      <c r="BW62" s="97"/>
      <c r="BX62" s="97"/>
      <c r="BY62" s="97"/>
      <c r="BZ62" s="97"/>
      <c r="CA62" s="97"/>
      <c r="CB62" s="97"/>
      <c r="CC62" s="97"/>
      <c r="CD62" s="97"/>
      <c r="CE62" s="73" t="s">
        <v>813</v>
      </c>
      <c r="CF62" s="86"/>
      <c r="CG62" s="24"/>
    </row>
    <row r="63" spans="1:85" s="198" customFormat="1" ht="24" x14ac:dyDescent="0.2">
      <c r="A63" s="108"/>
      <c r="B63" s="243"/>
      <c r="C63" s="322" t="s">
        <v>856</v>
      </c>
      <c r="D63" s="80">
        <f t="shared" ref="D63" si="243">F63+AG63+AT63+BH63+BP63</f>
        <v>0</v>
      </c>
      <c r="E63" s="295">
        <f t="shared" ref="E63" si="244">G63+AH63+AU63+BI63+BQ63</f>
        <v>8507</v>
      </c>
      <c r="F63" s="81"/>
      <c r="G63" s="81">
        <f t="shared" ref="G63" si="245">F63+H63</f>
        <v>8507</v>
      </c>
      <c r="H63" s="81">
        <f t="shared" ref="H63" si="246">SUM(I63:AF63)</f>
        <v>8507</v>
      </c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>
        <v>8507</v>
      </c>
      <c r="AA63" s="81"/>
      <c r="AB63" s="81"/>
      <c r="AC63" s="81"/>
      <c r="AD63" s="81"/>
      <c r="AE63" s="81"/>
      <c r="AF63" s="81"/>
      <c r="AG63" s="81"/>
      <c r="AH63" s="81">
        <f t="shared" ref="AH63" si="247">AG63+AI63</f>
        <v>0</v>
      </c>
      <c r="AI63" s="81">
        <f t="shared" ref="AI63" si="248">SUM(AJ63:AS63)</f>
        <v>0</v>
      </c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>
        <f t="shared" ref="AU63" si="249">AT63+AV63</f>
        <v>0</v>
      </c>
      <c r="AV63" s="81">
        <f t="shared" ref="AV63" si="250">SUM(AW63:BG63)</f>
        <v>0</v>
      </c>
      <c r="AW63" s="98"/>
      <c r="AX63" s="98"/>
      <c r="AY63" s="98"/>
      <c r="AZ63" s="98"/>
      <c r="BA63" s="98"/>
      <c r="BB63" s="98"/>
      <c r="BC63" s="98"/>
      <c r="BD63" s="98"/>
      <c r="BE63" s="98"/>
      <c r="BF63" s="98"/>
      <c r="BG63" s="98"/>
      <c r="BH63" s="98"/>
      <c r="BI63" s="81">
        <f t="shared" ref="BI63" si="251">BH63+BJ63</f>
        <v>0</v>
      </c>
      <c r="BJ63" s="98">
        <f t="shared" ref="BJ63" si="252">SUM(BK63:BO63)</f>
        <v>0</v>
      </c>
      <c r="BK63" s="98"/>
      <c r="BL63" s="98"/>
      <c r="BM63" s="98"/>
      <c r="BN63" s="98"/>
      <c r="BO63" s="98"/>
      <c r="BP63" s="81"/>
      <c r="BQ63" s="81">
        <f t="shared" ref="BQ63" si="253">BP63+BR63</f>
        <v>0</v>
      </c>
      <c r="BR63" s="81">
        <f t="shared" ref="BR63" si="254">SUM(BS63:CD63)</f>
        <v>0</v>
      </c>
      <c r="BS63" s="98"/>
      <c r="BT63" s="98"/>
      <c r="BU63" s="98"/>
      <c r="BV63" s="98"/>
      <c r="BW63" s="98"/>
      <c r="BX63" s="98"/>
      <c r="BY63" s="98"/>
      <c r="BZ63" s="98"/>
      <c r="CA63" s="98"/>
      <c r="CB63" s="98"/>
      <c r="CC63" s="98"/>
      <c r="CD63" s="98"/>
      <c r="CE63" s="82" t="s">
        <v>857</v>
      </c>
      <c r="CF63" s="85"/>
      <c r="CG63" s="24"/>
    </row>
    <row r="64" spans="1:85" ht="10.5" customHeight="1" thickBot="1" x14ac:dyDescent="0.25">
      <c r="A64" s="126"/>
      <c r="B64" s="251"/>
      <c r="C64" s="323"/>
      <c r="D64" s="71"/>
      <c r="E64" s="296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72"/>
      <c r="BJ64" s="97"/>
      <c r="BK64" s="97"/>
      <c r="BL64" s="97"/>
      <c r="BM64" s="97"/>
      <c r="BN64" s="97"/>
      <c r="BO64" s="97"/>
      <c r="BP64" s="72"/>
      <c r="BQ64" s="264"/>
      <c r="BR64" s="97"/>
      <c r="BS64" s="97"/>
      <c r="BT64" s="97"/>
      <c r="BU64" s="97"/>
      <c r="BV64" s="97"/>
      <c r="BW64" s="97"/>
      <c r="BX64" s="97"/>
      <c r="BY64" s="97"/>
      <c r="BZ64" s="97"/>
      <c r="CA64" s="97"/>
      <c r="CB64" s="97"/>
      <c r="CC64" s="97"/>
      <c r="CD64" s="97"/>
      <c r="CE64" s="73"/>
      <c r="CF64" s="86"/>
      <c r="CG64" s="24"/>
    </row>
    <row r="65" spans="1:85" ht="12.75" thickBot="1" x14ac:dyDescent="0.25">
      <c r="A65" s="215" t="s">
        <v>9</v>
      </c>
      <c r="B65" s="125" t="s">
        <v>10</v>
      </c>
      <c r="C65" s="321"/>
      <c r="D65" s="11">
        <f t="shared" ref="D65:E65" si="255">SUM(D66:D74)</f>
        <v>5323770</v>
      </c>
      <c r="E65" s="297">
        <f t="shared" si="255"/>
        <v>4943095</v>
      </c>
      <c r="F65" s="9">
        <f t="shared" ref="F65:CD65" si="256">SUM(F66:F74)</f>
        <v>4698388</v>
      </c>
      <c r="G65" s="9">
        <f t="shared" si="256"/>
        <v>4317713</v>
      </c>
      <c r="H65" s="9">
        <f t="shared" ref="H65" si="257">SUM(H66:H74)</f>
        <v>-380675</v>
      </c>
      <c r="I65" s="9">
        <f t="shared" si="256"/>
        <v>0</v>
      </c>
      <c r="J65" s="9">
        <f t="shared" ref="J65" si="258">SUM(J66:J74)</f>
        <v>0</v>
      </c>
      <c r="K65" s="9">
        <f t="shared" si="256"/>
        <v>25000</v>
      </c>
      <c r="L65" s="9">
        <f t="shared" si="256"/>
        <v>0</v>
      </c>
      <c r="M65" s="9">
        <f t="shared" si="256"/>
        <v>50000</v>
      </c>
      <c r="N65" s="9">
        <f t="shared" si="256"/>
        <v>0</v>
      </c>
      <c r="O65" s="9">
        <f t="shared" si="256"/>
        <v>0</v>
      </c>
      <c r="P65" s="9">
        <f t="shared" si="256"/>
        <v>0</v>
      </c>
      <c r="Q65" s="9">
        <f t="shared" si="256"/>
        <v>0</v>
      </c>
      <c r="R65" s="9">
        <f t="shared" si="256"/>
        <v>0</v>
      </c>
      <c r="S65" s="9">
        <f t="shared" si="256"/>
        <v>0</v>
      </c>
      <c r="T65" s="9"/>
      <c r="U65" s="9">
        <f t="shared" si="256"/>
        <v>0</v>
      </c>
      <c r="V65" s="9"/>
      <c r="W65" s="9">
        <f t="shared" si="256"/>
        <v>-455675</v>
      </c>
      <c r="X65" s="9">
        <f t="shared" ref="X65" si="259">SUM(X66:X74)</f>
        <v>0</v>
      </c>
      <c r="Y65" s="9">
        <f t="shared" si="256"/>
        <v>0</v>
      </c>
      <c r="Z65" s="9">
        <f t="shared" ref="Z65:AE65" si="260">SUM(Z66:Z74)</f>
        <v>0</v>
      </c>
      <c r="AA65" s="9">
        <f t="shared" ref="AA65:AD65" si="261">SUM(AA66:AA74)</f>
        <v>0</v>
      </c>
      <c r="AB65" s="9">
        <f t="shared" si="261"/>
        <v>0</v>
      </c>
      <c r="AC65" s="9">
        <f t="shared" si="261"/>
        <v>0</v>
      </c>
      <c r="AD65" s="9">
        <f t="shared" si="261"/>
        <v>0</v>
      </c>
      <c r="AE65" s="9">
        <f t="shared" si="260"/>
        <v>0</v>
      </c>
      <c r="AF65" s="9">
        <f t="shared" si="256"/>
        <v>0</v>
      </c>
      <c r="AG65" s="9">
        <f t="shared" si="256"/>
        <v>625382</v>
      </c>
      <c r="AH65" s="9">
        <f t="shared" ref="AH65:AS65" si="262">SUM(AH66:AH74)</f>
        <v>625382</v>
      </c>
      <c r="AI65" s="9">
        <f t="shared" si="262"/>
        <v>0</v>
      </c>
      <c r="AJ65" s="9">
        <f t="shared" si="262"/>
        <v>0</v>
      </c>
      <c r="AK65" s="9">
        <f t="shared" si="262"/>
        <v>0</v>
      </c>
      <c r="AL65" s="9">
        <f t="shared" si="262"/>
        <v>0</v>
      </c>
      <c r="AM65" s="9">
        <f t="shared" si="262"/>
        <v>0</v>
      </c>
      <c r="AN65" s="9">
        <f t="shared" si="262"/>
        <v>0</v>
      </c>
      <c r="AO65" s="9">
        <f t="shared" si="262"/>
        <v>0</v>
      </c>
      <c r="AP65" s="9">
        <f t="shared" si="262"/>
        <v>0</v>
      </c>
      <c r="AQ65" s="9">
        <f t="shared" si="262"/>
        <v>0</v>
      </c>
      <c r="AR65" s="9">
        <f t="shared" si="262"/>
        <v>0</v>
      </c>
      <c r="AS65" s="9">
        <f t="shared" si="262"/>
        <v>0</v>
      </c>
      <c r="AT65" s="9">
        <f t="shared" si="256"/>
        <v>0</v>
      </c>
      <c r="AU65" s="96">
        <f t="shared" si="256"/>
        <v>0</v>
      </c>
      <c r="AV65" s="96">
        <f t="shared" si="256"/>
        <v>0</v>
      </c>
      <c r="AW65" s="96">
        <f t="shared" si="256"/>
        <v>0</v>
      </c>
      <c r="AX65" s="96">
        <f t="shared" si="256"/>
        <v>0</v>
      </c>
      <c r="AY65" s="96">
        <f t="shared" si="256"/>
        <v>0</v>
      </c>
      <c r="AZ65" s="96">
        <f t="shared" si="256"/>
        <v>0</v>
      </c>
      <c r="BA65" s="96">
        <f t="shared" si="256"/>
        <v>0</v>
      </c>
      <c r="BB65" s="96">
        <f t="shared" si="256"/>
        <v>0</v>
      </c>
      <c r="BC65" s="96">
        <f t="shared" si="256"/>
        <v>0</v>
      </c>
      <c r="BD65" s="96">
        <f t="shared" si="256"/>
        <v>0</v>
      </c>
      <c r="BE65" s="96">
        <f t="shared" si="256"/>
        <v>0</v>
      </c>
      <c r="BF65" s="96">
        <f t="shared" ref="BF65" si="263">SUM(BF66:BF74)</f>
        <v>0</v>
      </c>
      <c r="BG65" s="96">
        <f t="shared" si="256"/>
        <v>0</v>
      </c>
      <c r="BH65" s="96">
        <f t="shared" si="256"/>
        <v>0</v>
      </c>
      <c r="BI65" s="9">
        <f t="shared" ref="BI65:BO65" si="264">SUM(BI66:BI74)</f>
        <v>0</v>
      </c>
      <c r="BJ65" s="96">
        <f t="shared" si="264"/>
        <v>0</v>
      </c>
      <c r="BK65" s="96">
        <f t="shared" si="264"/>
        <v>0</v>
      </c>
      <c r="BL65" s="96">
        <f t="shared" si="264"/>
        <v>0</v>
      </c>
      <c r="BM65" s="96">
        <f t="shared" si="264"/>
        <v>0</v>
      </c>
      <c r="BN65" s="96">
        <f t="shared" si="264"/>
        <v>0</v>
      </c>
      <c r="BO65" s="96">
        <f t="shared" si="264"/>
        <v>0</v>
      </c>
      <c r="BP65" s="9">
        <f t="shared" si="256"/>
        <v>0</v>
      </c>
      <c r="BQ65" s="310">
        <f t="shared" si="256"/>
        <v>0</v>
      </c>
      <c r="BR65" s="96">
        <f t="shared" si="256"/>
        <v>0</v>
      </c>
      <c r="BS65" s="96">
        <f t="shared" si="256"/>
        <v>0</v>
      </c>
      <c r="BT65" s="96">
        <f t="shared" si="256"/>
        <v>0</v>
      </c>
      <c r="BU65" s="96">
        <f t="shared" si="256"/>
        <v>0</v>
      </c>
      <c r="BV65" s="96">
        <f t="shared" si="256"/>
        <v>0</v>
      </c>
      <c r="BW65" s="96">
        <f t="shared" si="256"/>
        <v>0</v>
      </c>
      <c r="BX65" s="96">
        <f t="shared" si="256"/>
        <v>0</v>
      </c>
      <c r="BY65" s="96">
        <f t="shared" si="256"/>
        <v>0</v>
      </c>
      <c r="BZ65" s="96">
        <f t="shared" si="256"/>
        <v>0</v>
      </c>
      <c r="CA65" s="96">
        <f t="shared" si="256"/>
        <v>0</v>
      </c>
      <c r="CB65" s="96">
        <f t="shared" ref="CB65:CC65" si="265">SUM(CB66:CB74)</f>
        <v>0</v>
      </c>
      <c r="CC65" s="96">
        <f t="shared" si="265"/>
        <v>0</v>
      </c>
      <c r="CD65" s="96">
        <f t="shared" si="256"/>
        <v>0</v>
      </c>
      <c r="CE65" s="12"/>
      <c r="CF65" s="87"/>
      <c r="CG65" s="24"/>
    </row>
    <row r="66" spans="1:85" ht="12.75" customHeight="1" thickTop="1" x14ac:dyDescent="0.2">
      <c r="A66" s="108">
        <v>90000056357</v>
      </c>
      <c r="B66" s="247" t="s">
        <v>5</v>
      </c>
      <c r="C66" s="324" t="s">
        <v>262</v>
      </c>
      <c r="D66" s="80">
        <f t="shared" ref="D66:D73" si="266">F66+AG66+AT66+BH66+BP66</f>
        <v>35534</v>
      </c>
      <c r="E66" s="295">
        <f t="shared" ref="E66:E73" si="267">G66+AH66+AU66+BI66+BQ66</f>
        <v>37734</v>
      </c>
      <c r="F66" s="164">
        <v>35534</v>
      </c>
      <c r="G66" s="164">
        <f t="shared" ref="G66:G73" si="268">F66+H66</f>
        <v>37734</v>
      </c>
      <c r="H66" s="164">
        <f t="shared" ref="H66:H73" si="269">SUM(I66:AF66)</f>
        <v>2200</v>
      </c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>
        <v>2200</v>
      </c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>
        <v>0</v>
      </c>
      <c r="AH66" s="164">
        <f t="shared" ref="AH66:AH73" si="270">AG66+AI66</f>
        <v>0</v>
      </c>
      <c r="AI66" s="164">
        <f t="shared" ref="AI66:AI73" si="271">SUM(AJ66:AS66)</f>
        <v>0</v>
      </c>
      <c r="AJ66" s="164"/>
      <c r="AK66" s="164"/>
      <c r="AL66" s="164"/>
      <c r="AM66" s="164"/>
      <c r="AN66" s="164"/>
      <c r="AO66" s="164"/>
      <c r="AP66" s="164"/>
      <c r="AQ66" s="164"/>
      <c r="AR66" s="164"/>
      <c r="AS66" s="164"/>
      <c r="AT66" s="164">
        <v>0</v>
      </c>
      <c r="AU66" s="164">
        <f t="shared" ref="AU66:AU73" si="272">AT66+AV66</f>
        <v>0</v>
      </c>
      <c r="AV66" s="164">
        <f t="shared" ref="AV66:AV73" si="273">SUM(AW66:BG66)</f>
        <v>0</v>
      </c>
      <c r="AW66" s="164"/>
      <c r="AX66" s="164"/>
      <c r="AY66" s="164"/>
      <c r="AZ66" s="164"/>
      <c r="BA66" s="164"/>
      <c r="BB66" s="164"/>
      <c r="BC66" s="164"/>
      <c r="BD66" s="164"/>
      <c r="BE66" s="164"/>
      <c r="BF66" s="164"/>
      <c r="BG66" s="164"/>
      <c r="BH66" s="164">
        <v>0</v>
      </c>
      <c r="BI66" s="81">
        <f t="shared" ref="BI66:BI73" si="274">BH66+BJ66</f>
        <v>0</v>
      </c>
      <c r="BJ66" s="98">
        <f t="shared" ref="BJ66:BJ73" si="275">SUM(BK66:BO66)</f>
        <v>0</v>
      </c>
      <c r="BK66" s="164"/>
      <c r="BL66" s="164"/>
      <c r="BM66" s="164"/>
      <c r="BN66" s="164"/>
      <c r="BO66" s="164"/>
      <c r="BP66" s="164"/>
      <c r="BQ66" s="81">
        <f t="shared" ref="BQ66:BQ73" si="276">BP66+BR66</f>
        <v>0</v>
      </c>
      <c r="BR66" s="81">
        <f t="shared" ref="BR66:BR73" si="277">SUM(BS66:CD66)</f>
        <v>0</v>
      </c>
      <c r="BS66" s="164"/>
      <c r="BT66" s="164"/>
      <c r="BU66" s="164"/>
      <c r="BV66" s="164"/>
      <c r="BW66" s="164"/>
      <c r="BX66" s="164"/>
      <c r="BY66" s="164"/>
      <c r="BZ66" s="164"/>
      <c r="CA66" s="164"/>
      <c r="CB66" s="164"/>
      <c r="CC66" s="164"/>
      <c r="CD66" s="164"/>
      <c r="CE66" s="205" t="s">
        <v>320</v>
      </c>
      <c r="CF66" s="206" t="s">
        <v>569</v>
      </c>
      <c r="CG66" s="24"/>
    </row>
    <row r="67" spans="1:85" s="122" customFormat="1" ht="24" x14ac:dyDescent="0.2">
      <c r="A67" s="108"/>
      <c r="B67" s="242"/>
      <c r="C67" s="285" t="s">
        <v>263</v>
      </c>
      <c r="D67" s="80">
        <f t="shared" si="266"/>
        <v>38900</v>
      </c>
      <c r="E67" s="295">
        <f t="shared" si="267"/>
        <v>38900</v>
      </c>
      <c r="F67" s="81">
        <v>38900</v>
      </c>
      <c r="G67" s="81">
        <f t="shared" si="268"/>
        <v>38900</v>
      </c>
      <c r="H67" s="81">
        <f t="shared" si="269"/>
        <v>0</v>
      </c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>
        <v>0</v>
      </c>
      <c r="AH67" s="81">
        <f t="shared" si="270"/>
        <v>0</v>
      </c>
      <c r="AI67" s="81">
        <f t="shared" si="271"/>
        <v>0</v>
      </c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>
        <v>0</v>
      </c>
      <c r="AU67" s="81">
        <f t="shared" si="272"/>
        <v>0</v>
      </c>
      <c r="AV67" s="81">
        <f t="shared" si="273"/>
        <v>0</v>
      </c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>
        <v>0</v>
      </c>
      <c r="BI67" s="81">
        <f t="shared" si="274"/>
        <v>0</v>
      </c>
      <c r="BJ67" s="98">
        <f t="shared" si="275"/>
        <v>0</v>
      </c>
      <c r="BK67" s="81"/>
      <c r="BL67" s="81"/>
      <c r="BM67" s="81"/>
      <c r="BN67" s="81"/>
      <c r="BO67" s="81"/>
      <c r="BP67" s="81"/>
      <c r="BQ67" s="81">
        <f t="shared" si="276"/>
        <v>0</v>
      </c>
      <c r="BR67" s="81">
        <f t="shared" si="277"/>
        <v>0</v>
      </c>
      <c r="BS67" s="81"/>
      <c r="BT67" s="81"/>
      <c r="BU67" s="81"/>
      <c r="BV67" s="81"/>
      <c r="BW67" s="81"/>
      <c r="BX67" s="81"/>
      <c r="BY67" s="81"/>
      <c r="BZ67" s="81"/>
      <c r="CA67" s="81"/>
      <c r="CB67" s="81"/>
      <c r="CC67" s="81"/>
      <c r="CD67" s="81"/>
      <c r="CE67" s="82" t="s">
        <v>321</v>
      </c>
      <c r="CF67" s="85" t="s">
        <v>569</v>
      </c>
      <c r="CG67" s="24"/>
    </row>
    <row r="68" spans="1:85" s="122" customFormat="1" ht="24" x14ac:dyDescent="0.2">
      <c r="A68" s="108"/>
      <c r="B68" s="248"/>
      <c r="C68" s="319" t="s">
        <v>216</v>
      </c>
      <c r="D68" s="80">
        <f t="shared" si="266"/>
        <v>22712</v>
      </c>
      <c r="E68" s="295">
        <f t="shared" si="267"/>
        <v>20512</v>
      </c>
      <c r="F68" s="72">
        <v>22712</v>
      </c>
      <c r="G68" s="72">
        <f t="shared" si="268"/>
        <v>20512</v>
      </c>
      <c r="H68" s="72">
        <f t="shared" si="269"/>
        <v>-2200</v>
      </c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>
        <v>-2200</v>
      </c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>
        <v>0</v>
      </c>
      <c r="AH68" s="72">
        <f t="shared" si="270"/>
        <v>0</v>
      </c>
      <c r="AI68" s="72">
        <f t="shared" si="271"/>
        <v>0</v>
      </c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>
        <v>0</v>
      </c>
      <c r="AU68" s="72">
        <f t="shared" si="272"/>
        <v>0</v>
      </c>
      <c r="AV68" s="72">
        <f t="shared" si="273"/>
        <v>0</v>
      </c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>
        <v>0</v>
      </c>
      <c r="BI68" s="81">
        <f t="shared" si="274"/>
        <v>0</v>
      </c>
      <c r="BJ68" s="98">
        <f t="shared" si="275"/>
        <v>0</v>
      </c>
      <c r="BK68" s="72"/>
      <c r="BL68" s="72"/>
      <c r="BM68" s="72"/>
      <c r="BN68" s="72"/>
      <c r="BO68" s="72"/>
      <c r="BP68" s="72"/>
      <c r="BQ68" s="81">
        <f t="shared" si="276"/>
        <v>0</v>
      </c>
      <c r="BR68" s="81">
        <f t="shared" si="277"/>
        <v>0</v>
      </c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82" t="s">
        <v>322</v>
      </c>
      <c r="CF68" s="85" t="s">
        <v>569</v>
      </c>
      <c r="CG68" s="24"/>
    </row>
    <row r="69" spans="1:85" ht="24" x14ac:dyDescent="0.2">
      <c r="A69" s="108"/>
      <c r="B69" s="242"/>
      <c r="C69" s="285" t="s">
        <v>226</v>
      </c>
      <c r="D69" s="80">
        <f t="shared" si="266"/>
        <v>2642168</v>
      </c>
      <c r="E69" s="295">
        <f t="shared" si="267"/>
        <v>2731748</v>
      </c>
      <c r="F69" s="81">
        <v>2642168</v>
      </c>
      <c r="G69" s="81">
        <f t="shared" si="268"/>
        <v>2731748</v>
      </c>
      <c r="H69" s="81">
        <f t="shared" si="269"/>
        <v>89580</v>
      </c>
      <c r="I69" s="81"/>
      <c r="J69" s="81"/>
      <c r="K69" s="81">
        <f>25000-19033</f>
        <v>5967</v>
      </c>
      <c r="L69" s="81"/>
      <c r="M69" s="81">
        <v>50000</v>
      </c>
      <c r="N69" s="81"/>
      <c r="O69" s="81"/>
      <c r="P69" s="81"/>
      <c r="Q69" s="81"/>
      <c r="R69" s="81"/>
      <c r="S69" s="81"/>
      <c r="T69" s="81"/>
      <c r="U69" s="81"/>
      <c r="V69" s="81"/>
      <c r="W69" s="81">
        <f>34920-1307</f>
        <v>33613</v>
      </c>
      <c r="X69" s="81"/>
      <c r="Y69" s="81"/>
      <c r="Z69" s="81"/>
      <c r="AA69" s="81"/>
      <c r="AB69" s="81"/>
      <c r="AC69" s="81"/>
      <c r="AD69" s="81"/>
      <c r="AE69" s="81"/>
      <c r="AF69" s="81"/>
      <c r="AG69" s="81">
        <v>0</v>
      </c>
      <c r="AH69" s="81">
        <f t="shared" si="270"/>
        <v>0</v>
      </c>
      <c r="AI69" s="81">
        <f t="shared" si="271"/>
        <v>0</v>
      </c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>
        <v>0</v>
      </c>
      <c r="AU69" s="81">
        <f t="shared" si="272"/>
        <v>0</v>
      </c>
      <c r="AV69" s="81">
        <f t="shared" si="273"/>
        <v>0</v>
      </c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>
        <v>0</v>
      </c>
      <c r="BI69" s="81">
        <f t="shared" si="274"/>
        <v>0</v>
      </c>
      <c r="BJ69" s="98">
        <f t="shared" si="275"/>
        <v>0</v>
      </c>
      <c r="BK69" s="81"/>
      <c r="BL69" s="81"/>
      <c r="BM69" s="81"/>
      <c r="BN69" s="81"/>
      <c r="BO69" s="81"/>
      <c r="BP69" s="81"/>
      <c r="BQ69" s="81">
        <f t="shared" si="276"/>
        <v>0</v>
      </c>
      <c r="BR69" s="81">
        <f t="shared" si="277"/>
        <v>0</v>
      </c>
      <c r="BS69" s="81"/>
      <c r="BT69" s="81"/>
      <c r="BU69" s="81"/>
      <c r="BV69" s="81"/>
      <c r="BW69" s="81"/>
      <c r="BX69" s="81"/>
      <c r="BY69" s="81"/>
      <c r="BZ69" s="81"/>
      <c r="CA69" s="81"/>
      <c r="CB69" s="81"/>
      <c r="CC69" s="81"/>
      <c r="CD69" s="81"/>
      <c r="CE69" s="82" t="s">
        <v>323</v>
      </c>
      <c r="CF69" s="85" t="s">
        <v>567</v>
      </c>
      <c r="CG69" s="24"/>
    </row>
    <row r="70" spans="1:85" ht="24" x14ac:dyDescent="0.2">
      <c r="A70" s="108"/>
      <c r="B70" s="242"/>
      <c r="C70" s="285" t="s">
        <v>707</v>
      </c>
      <c r="D70" s="80">
        <f t="shared" si="266"/>
        <v>1421347</v>
      </c>
      <c r="E70" s="295">
        <f t="shared" si="267"/>
        <v>1421347</v>
      </c>
      <c r="F70" s="81">
        <v>795965</v>
      </c>
      <c r="G70" s="81">
        <f t="shared" si="268"/>
        <v>795965</v>
      </c>
      <c r="H70" s="81">
        <f t="shared" si="269"/>
        <v>0</v>
      </c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>
        <v>625382</v>
      </c>
      <c r="AH70" s="81">
        <f t="shared" si="270"/>
        <v>625382</v>
      </c>
      <c r="AI70" s="81">
        <f t="shared" si="271"/>
        <v>0</v>
      </c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>
        <v>0</v>
      </c>
      <c r="AU70" s="81">
        <f t="shared" si="272"/>
        <v>0</v>
      </c>
      <c r="AV70" s="81">
        <f t="shared" si="273"/>
        <v>0</v>
      </c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>
        <v>0</v>
      </c>
      <c r="BI70" s="81">
        <f t="shared" si="274"/>
        <v>0</v>
      </c>
      <c r="BJ70" s="98">
        <f t="shared" si="275"/>
        <v>0</v>
      </c>
      <c r="BK70" s="81"/>
      <c r="BL70" s="81"/>
      <c r="BM70" s="81"/>
      <c r="BN70" s="81"/>
      <c r="BO70" s="81"/>
      <c r="BP70" s="81"/>
      <c r="BQ70" s="81">
        <f t="shared" si="276"/>
        <v>0</v>
      </c>
      <c r="BR70" s="81">
        <f t="shared" si="277"/>
        <v>0</v>
      </c>
      <c r="BS70" s="81"/>
      <c r="BT70" s="81"/>
      <c r="BU70" s="81"/>
      <c r="BV70" s="81"/>
      <c r="BW70" s="81"/>
      <c r="BX70" s="81"/>
      <c r="BY70" s="81"/>
      <c r="BZ70" s="81"/>
      <c r="CA70" s="81"/>
      <c r="CB70" s="81"/>
      <c r="CC70" s="81"/>
      <c r="CD70" s="81"/>
      <c r="CE70" s="82" t="s">
        <v>324</v>
      </c>
      <c r="CF70" s="85" t="s">
        <v>439</v>
      </c>
      <c r="CG70" s="24"/>
    </row>
    <row r="71" spans="1:85" s="198" customFormat="1" ht="48" x14ac:dyDescent="0.2">
      <c r="A71" s="108"/>
      <c r="B71" s="242"/>
      <c r="C71" s="347" t="s">
        <v>774</v>
      </c>
      <c r="D71" s="80">
        <f t="shared" ref="D71" si="278">F71+AG71+AT71+BH71+BP71</f>
        <v>0</v>
      </c>
      <c r="E71" s="295">
        <f t="shared" ref="E71" si="279">G71+AH71+AU71+BI71+BQ71</f>
        <v>19033</v>
      </c>
      <c r="F71" s="81"/>
      <c r="G71" s="81">
        <f t="shared" ref="G71" si="280">F71+H71</f>
        <v>19033</v>
      </c>
      <c r="H71" s="81">
        <f t="shared" ref="H71" si="281">SUM(I71:AF71)</f>
        <v>19033</v>
      </c>
      <c r="I71" s="81"/>
      <c r="J71" s="81"/>
      <c r="K71" s="81">
        <v>19033</v>
      </c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>
        <f t="shared" ref="AH71" si="282">AG71+AI71</f>
        <v>0</v>
      </c>
      <c r="AI71" s="81">
        <f t="shared" ref="AI71" si="283">SUM(AJ71:AS71)</f>
        <v>0</v>
      </c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>
        <f t="shared" ref="AU71" si="284">AT71+AV71</f>
        <v>0</v>
      </c>
      <c r="AV71" s="81">
        <f t="shared" ref="AV71" si="285">SUM(AW71:BG71)</f>
        <v>0</v>
      </c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>
        <f t="shared" ref="BI71" si="286">BH71+BJ71</f>
        <v>0</v>
      </c>
      <c r="BJ71" s="98">
        <f t="shared" ref="BJ71" si="287">SUM(BK71:BO71)</f>
        <v>0</v>
      </c>
      <c r="BK71" s="98"/>
      <c r="BL71" s="98"/>
      <c r="BM71" s="98"/>
      <c r="BN71" s="98"/>
      <c r="BO71" s="98"/>
      <c r="BP71" s="81"/>
      <c r="BQ71" s="81">
        <f t="shared" ref="BQ71" si="288">BP71+BR71</f>
        <v>0</v>
      </c>
      <c r="BR71" s="81">
        <f t="shared" ref="BR71" si="289">SUM(BS71:CD71)</f>
        <v>0</v>
      </c>
      <c r="BS71" s="98"/>
      <c r="BT71" s="98"/>
      <c r="BU71" s="98"/>
      <c r="BV71" s="98"/>
      <c r="BW71" s="98"/>
      <c r="BX71" s="98"/>
      <c r="BY71" s="98"/>
      <c r="BZ71" s="98"/>
      <c r="CA71" s="98"/>
      <c r="CB71" s="98"/>
      <c r="CC71" s="98"/>
      <c r="CD71" s="98"/>
      <c r="CE71" s="82" t="s">
        <v>773</v>
      </c>
      <c r="CF71" s="85"/>
      <c r="CG71" s="24"/>
    </row>
    <row r="72" spans="1:85" ht="24" customHeight="1" x14ac:dyDescent="0.2">
      <c r="A72" s="108">
        <v>40003275333</v>
      </c>
      <c r="B72" s="241" t="s">
        <v>306</v>
      </c>
      <c r="C72" s="285" t="s">
        <v>246</v>
      </c>
      <c r="D72" s="80">
        <f t="shared" si="266"/>
        <v>400579</v>
      </c>
      <c r="E72" s="295">
        <f t="shared" si="267"/>
        <v>400579</v>
      </c>
      <c r="F72" s="81">
        <v>400579</v>
      </c>
      <c r="G72" s="81">
        <f t="shared" si="268"/>
        <v>400579</v>
      </c>
      <c r="H72" s="81">
        <f t="shared" si="269"/>
        <v>0</v>
      </c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>
        <v>0</v>
      </c>
      <c r="AH72" s="81">
        <f t="shared" si="270"/>
        <v>0</v>
      </c>
      <c r="AI72" s="81">
        <f t="shared" si="271"/>
        <v>0</v>
      </c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>
        <v>0</v>
      </c>
      <c r="AU72" s="81">
        <f t="shared" si="272"/>
        <v>0</v>
      </c>
      <c r="AV72" s="81">
        <f t="shared" si="273"/>
        <v>0</v>
      </c>
      <c r="AW72" s="81"/>
      <c r="AX72" s="81"/>
      <c r="AY72" s="81"/>
      <c r="AZ72" s="81"/>
      <c r="BA72" s="81"/>
      <c r="BB72" s="81"/>
      <c r="BC72" s="81"/>
      <c r="BD72" s="81"/>
      <c r="BE72" s="81"/>
      <c r="BF72" s="81"/>
      <c r="BG72" s="81"/>
      <c r="BH72" s="81">
        <v>0</v>
      </c>
      <c r="BI72" s="81">
        <f t="shared" si="274"/>
        <v>0</v>
      </c>
      <c r="BJ72" s="98">
        <f t="shared" si="275"/>
        <v>0</v>
      </c>
      <c r="BK72" s="98"/>
      <c r="BL72" s="98"/>
      <c r="BM72" s="98"/>
      <c r="BN72" s="98"/>
      <c r="BO72" s="98"/>
      <c r="BP72" s="81"/>
      <c r="BQ72" s="81">
        <f t="shared" si="276"/>
        <v>0</v>
      </c>
      <c r="BR72" s="81">
        <f t="shared" si="277"/>
        <v>0</v>
      </c>
      <c r="BS72" s="98"/>
      <c r="BT72" s="98"/>
      <c r="BU72" s="98"/>
      <c r="BV72" s="98"/>
      <c r="BW72" s="98"/>
      <c r="BX72" s="98"/>
      <c r="BY72" s="98"/>
      <c r="BZ72" s="98"/>
      <c r="CA72" s="98"/>
      <c r="CB72" s="98"/>
      <c r="CC72" s="98"/>
      <c r="CD72" s="98"/>
      <c r="CE72" s="82" t="s">
        <v>325</v>
      </c>
      <c r="CF72" s="85"/>
      <c r="CG72" s="24"/>
    </row>
    <row r="73" spans="1:85" ht="24" x14ac:dyDescent="0.2">
      <c r="A73" s="108"/>
      <c r="B73" s="243"/>
      <c r="C73" s="285" t="s">
        <v>307</v>
      </c>
      <c r="D73" s="80">
        <f t="shared" si="266"/>
        <v>762530</v>
      </c>
      <c r="E73" s="295">
        <f t="shared" si="267"/>
        <v>273242</v>
      </c>
      <c r="F73" s="81">
        <v>762530</v>
      </c>
      <c r="G73" s="81">
        <f t="shared" si="268"/>
        <v>273242</v>
      </c>
      <c r="H73" s="81">
        <f t="shared" si="269"/>
        <v>-489288</v>
      </c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>
        <v>-489288</v>
      </c>
      <c r="X73" s="81"/>
      <c r="Y73" s="81"/>
      <c r="Z73" s="81"/>
      <c r="AA73" s="81"/>
      <c r="AB73" s="81"/>
      <c r="AC73" s="81"/>
      <c r="AD73" s="81"/>
      <c r="AE73" s="81"/>
      <c r="AF73" s="81"/>
      <c r="AG73" s="81">
        <v>0</v>
      </c>
      <c r="AH73" s="81">
        <f t="shared" si="270"/>
        <v>0</v>
      </c>
      <c r="AI73" s="81">
        <f t="shared" si="271"/>
        <v>0</v>
      </c>
      <c r="AJ73" s="81"/>
      <c r="AK73" s="81"/>
      <c r="AL73" s="81"/>
      <c r="AM73" s="81"/>
      <c r="AN73" s="81"/>
      <c r="AO73" s="81"/>
      <c r="AP73" s="81"/>
      <c r="AQ73" s="81"/>
      <c r="AR73" s="81"/>
      <c r="AS73" s="81"/>
      <c r="AT73" s="81">
        <v>0</v>
      </c>
      <c r="AU73" s="81">
        <f t="shared" si="272"/>
        <v>0</v>
      </c>
      <c r="AV73" s="81">
        <f t="shared" si="273"/>
        <v>0</v>
      </c>
      <c r="AW73" s="81"/>
      <c r="AX73" s="81"/>
      <c r="AY73" s="81"/>
      <c r="AZ73" s="81"/>
      <c r="BA73" s="81"/>
      <c r="BB73" s="81"/>
      <c r="BC73" s="81"/>
      <c r="BD73" s="81"/>
      <c r="BE73" s="81"/>
      <c r="BF73" s="81"/>
      <c r="BG73" s="81"/>
      <c r="BH73" s="81">
        <v>0</v>
      </c>
      <c r="BI73" s="81">
        <f t="shared" si="274"/>
        <v>0</v>
      </c>
      <c r="BJ73" s="98">
        <f t="shared" si="275"/>
        <v>0</v>
      </c>
      <c r="BK73" s="98"/>
      <c r="BL73" s="98"/>
      <c r="BM73" s="98"/>
      <c r="BN73" s="98"/>
      <c r="BO73" s="98"/>
      <c r="BP73" s="81"/>
      <c r="BQ73" s="81">
        <f t="shared" si="276"/>
        <v>0</v>
      </c>
      <c r="BR73" s="81">
        <f t="shared" si="277"/>
        <v>0</v>
      </c>
      <c r="BS73" s="98"/>
      <c r="BT73" s="98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82" t="s">
        <v>345</v>
      </c>
      <c r="CF73" s="85"/>
      <c r="CG73" s="24"/>
    </row>
    <row r="74" spans="1:85" ht="12.75" thickBot="1" x14ac:dyDescent="0.25">
      <c r="A74" s="108"/>
      <c r="B74" s="216"/>
      <c r="C74" s="323"/>
      <c r="D74" s="71"/>
      <c r="E74" s="296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97"/>
      <c r="AV74" s="97"/>
      <c r="AW74" s="97"/>
      <c r="AX74" s="97"/>
      <c r="AY74" s="97"/>
      <c r="AZ74" s="97"/>
      <c r="BA74" s="97"/>
      <c r="BB74" s="97"/>
      <c r="BC74" s="97"/>
      <c r="BD74" s="97"/>
      <c r="BE74" s="97"/>
      <c r="BF74" s="97"/>
      <c r="BG74" s="97"/>
      <c r="BH74" s="97"/>
      <c r="BI74" s="72"/>
      <c r="BJ74" s="97"/>
      <c r="BK74" s="97"/>
      <c r="BL74" s="97"/>
      <c r="BM74" s="97"/>
      <c r="BN74" s="97"/>
      <c r="BO74" s="97"/>
      <c r="BP74" s="72"/>
      <c r="BQ74" s="264"/>
      <c r="BR74" s="97"/>
      <c r="BS74" s="97"/>
      <c r="BT74" s="97"/>
      <c r="BU74" s="97"/>
      <c r="BV74" s="97"/>
      <c r="BW74" s="97"/>
      <c r="BX74" s="97"/>
      <c r="BY74" s="97"/>
      <c r="BZ74" s="97"/>
      <c r="CA74" s="97"/>
      <c r="CB74" s="97"/>
      <c r="CC74" s="97"/>
      <c r="CD74" s="97"/>
      <c r="CE74" s="73"/>
      <c r="CF74" s="86"/>
      <c r="CG74" s="24"/>
    </row>
    <row r="75" spans="1:85" ht="27.75" customHeight="1" thickBot="1" x14ac:dyDescent="0.25">
      <c r="A75" s="215" t="s">
        <v>11</v>
      </c>
      <c r="B75" s="125" t="s">
        <v>166</v>
      </c>
      <c r="C75" s="321"/>
      <c r="D75" s="11">
        <f>SUM(D76:D86)</f>
        <v>7501042</v>
      </c>
      <c r="E75" s="297">
        <f>SUM(E76:E86)</f>
        <v>7583134</v>
      </c>
      <c r="F75" s="9">
        <f>SUM(F76:F86)</f>
        <v>7156610</v>
      </c>
      <c r="G75" s="9">
        <f t="shared" ref="G75:AF75" si="290">SUM(G76:G86)</f>
        <v>7273739</v>
      </c>
      <c r="H75" s="9">
        <f t="shared" si="290"/>
        <v>117129</v>
      </c>
      <c r="I75" s="9">
        <f t="shared" si="290"/>
        <v>19807</v>
      </c>
      <c r="J75" s="9">
        <f t="shared" ref="J75" si="291">SUM(J76:J86)</f>
        <v>1808</v>
      </c>
      <c r="K75" s="9">
        <f t="shared" si="290"/>
        <v>7073</v>
      </c>
      <c r="L75" s="9">
        <f t="shared" si="290"/>
        <v>84080</v>
      </c>
      <c r="M75" s="9">
        <f t="shared" si="290"/>
        <v>75280</v>
      </c>
      <c r="N75" s="9">
        <f t="shared" si="290"/>
        <v>0</v>
      </c>
      <c r="O75" s="9">
        <f t="shared" si="290"/>
        <v>0</v>
      </c>
      <c r="P75" s="9">
        <f t="shared" si="290"/>
        <v>0</v>
      </c>
      <c r="Q75" s="9">
        <f t="shared" si="290"/>
        <v>2018</v>
      </c>
      <c r="R75" s="9">
        <f t="shared" si="290"/>
        <v>0</v>
      </c>
      <c r="S75" s="9">
        <f t="shared" si="290"/>
        <v>45720</v>
      </c>
      <c r="T75" s="9"/>
      <c r="U75" s="9">
        <f t="shared" si="290"/>
        <v>12193</v>
      </c>
      <c r="V75" s="9"/>
      <c r="W75" s="9">
        <f t="shared" si="290"/>
        <v>-8789</v>
      </c>
      <c r="X75" s="9">
        <f t="shared" ref="X75" si="292">SUM(X76:X86)</f>
        <v>0</v>
      </c>
      <c r="Y75" s="9">
        <f t="shared" si="290"/>
        <v>-6907</v>
      </c>
      <c r="Z75" s="9">
        <f t="shared" ref="Z75:AE75" si="293">SUM(Z76:Z86)</f>
        <v>-136688</v>
      </c>
      <c r="AA75" s="9">
        <f t="shared" ref="AA75:AD75" si="294">SUM(AA76:AA86)</f>
        <v>0</v>
      </c>
      <c r="AB75" s="9">
        <f t="shared" si="294"/>
        <v>0</v>
      </c>
      <c r="AC75" s="9">
        <f t="shared" si="294"/>
        <v>0</v>
      </c>
      <c r="AD75" s="9">
        <f t="shared" si="294"/>
        <v>0</v>
      </c>
      <c r="AE75" s="9">
        <f t="shared" si="293"/>
        <v>21134</v>
      </c>
      <c r="AF75" s="9">
        <f t="shared" si="290"/>
        <v>0</v>
      </c>
      <c r="AG75" s="9">
        <f>SUM(AG76:AG86)</f>
        <v>0</v>
      </c>
      <c r="AH75" s="9">
        <f t="shared" ref="AH75" si="295">SUM(AH76:AH86)</f>
        <v>4000</v>
      </c>
      <c r="AI75" s="9">
        <f t="shared" ref="AI75" si="296">SUM(AI76:AI86)</f>
        <v>4000</v>
      </c>
      <c r="AJ75" s="9">
        <f t="shared" ref="AJ75" si="297">SUM(AJ76:AJ86)</f>
        <v>0</v>
      </c>
      <c r="AK75" s="9">
        <f t="shared" ref="AK75" si="298">SUM(AK76:AK86)</f>
        <v>4000</v>
      </c>
      <c r="AL75" s="9">
        <f t="shared" ref="AL75" si="299">SUM(AL76:AL86)</f>
        <v>0</v>
      </c>
      <c r="AM75" s="9">
        <f t="shared" ref="AM75" si="300">SUM(AM76:AM86)</f>
        <v>0</v>
      </c>
      <c r="AN75" s="9">
        <f t="shared" ref="AN75" si="301">SUM(AN76:AN86)</f>
        <v>0</v>
      </c>
      <c r="AO75" s="9">
        <f t="shared" ref="AO75" si="302">SUM(AO76:AO86)</f>
        <v>0</v>
      </c>
      <c r="AP75" s="9">
        <f t="shared" ref="AP75" si="303">SUM(AP76:AP86)</f>
        <v>0</v>
      </c>
      <c r="AQ75" s="9">
        <f t="shared" ref="AQ75" si="304">SUM(AQ76:AQ86)</f>
        <v>0</v>
      </c>
      <c r="AR75" s="9">
        <f t="shared" ref="AR75" si="305">SUM(AR76:AR86)</f>
        <v>0</v>
      </c>
      <c r="AS75" s="9">
        <f t="shared" ref="AS75" si="306">SUM(AS76:AS86)</f>
        <v>0</v>
      </c>
      <c r="AT75" s="9">
        <f>SUM(AT76:AT86)</f>
        <v>345542</v>
      </c>
      <c r="AU75" s="96">
        <f t="shared" ref="AU75" si="307">SUM(AU76:AU86)</f>
        <v>307656</v>
      </c>
      <c r="AV75" s="96">
        <f t="shared" ref="AV75" si="308">SUM(AV76:AV86)</f>
        <v>-37886</v>
      </c>
      <c r="AW75" s="96">
        <f t="shared" ref="AW75" si="309">SUM(AW76:AW86)</f>
        <v>48159</v>
      </c>
      <c r="AX75" s="96">
        <f t="shared" ref="AX75" si="310">SUM(AX76:AX86)</f>
        <v>-99908</v>
      </c>
      <c r="AY75" s="96">
        <f t="shared" ref="AY75" si="311">SUM(AY76:AY86)</f>
        <v>0</v>
      </c>
      <c r="AZ75" s="96">
        <f t="shared" ref="AZ75" si="312">SUM(AZ76:AZ86)</f>
        <v>2875</v>
      </c>
      <c r="BA75" s="96">
        <f t="shared" ref="BA75" si="313">SUM(BA76:BA86)</f>
        <v>0</v>
      </c>
      <c r="BB75" s="96">
        <f t="shared" ref="BB75" si="314">SUM(BB76:BB86)</f>
        <v>1300</v>
      </c>
      <c r="BC75" s="96">
        <f t="shared" ref="BC75" si="315">SUM(BC76:BC86)</f>
        <v>0</v>
      </c>
      <c r="BD75" s="96">
        <f t="shared" ref="BD75" si="316">SUM(BD76:BD86)</f>
        <v>0</v>
      </c>
      <c r="BE75" s="96">
        <f t="shared" ref="BE75" si="317">SUM(BE76:BE86)</f>
        <v>9688</v>
      </c>
      <c r="BF75" s="96">
        <f t="shared" ref="BF75:BG75" si="318">SUM(BF76:BF86)</f>
        <v>0</v>
      </c>
      <c r="BG75" s="96">
        <f t="shared" si="318"/>
        <v>0</v>
      </c>
      <c r="BH75" s="96">
        <f>SUM(BH76:BH86)</f>
        <v>0</v>
      </c>
      <c r="BI75" s="9">
        <f t="shared" ref="BI75" si="319">SUM(BI76:BI86)</f>
        <v>0</v>
      </c>
      <c r="BJ75" s="96">
        <f t="shared" ref="BJ75" si="320">SUM(BJ76:BJ86)</f>
        <v>0</v>
      </c>
      <c r="BK75" s="96">
        <f t="shared" ref="BK75" si="321">SUM(BK76:BK86)</f>
        <v>0</v>
      </c>
      <c r="BL75" s="96">
        <f t="shared" ref="BL75" si="322">SUM(BL76:BL86)</f>
        <v>0</v>
      </c>
      <c r="BM75" s="96">
        <f t="shared" ref="BM75" si="323">SUM(BM76:BM86)</f>
        <v>0</v>
      </c>
      <c r="BN75" s="96">
        <f t="shared" ref="BN75" si="324">SUM(BN76:BN86)</f>
        <v>0</v>
      </c>
      <c r="BO75" s="96">
        <f t="shared" ref="BO75" si="325">SUM(BO76:BO86)</f>
        <v>0</v>
      </c>
      <c r="BP75" s="9">
        <f>SUM(BP76:BP86)</f>
        <v>-1110</v>
      </c>
      <c r="BQ75" s="310">
        <f t="shared" ref="BQ75" si="326">SUM(BQ76:BQ86)</f>
        <v>-2261</v>
      </c>
      <c r="BR75" s="96">
        <f t="shared" ref="BR75" si="327">SUM(BR76:BR86)</f>
        <v>-1151</v>
      </c>
      <c r="BS75" s="96">
        <f t="shared" ref="BS75" si="328">SUM(BS76:BS86)</f>
        <v>0</v>
      </c>
      <c r="BT75" s="96">
        <f t="shared" ref="BT75" si="329">SUM(BT76:BT86)</f>
        <v>-113</v>
      </c>
      <c r="BU75" s="96">
        <f t="shared" ref="BU75" si="330">SUM(BU76:BU86)</f>
        <v>-1038</v>
      </c>
      <c r="BV75" s="96">
        <f t="shared" ref="BV75" si="331">SUM(BV76:BV86)</f>
        <v>0</v>
      </c>
      <c r="BW75" s="96">
        <f t="shared" ref="BW75" si="332">SUM(BW76:BW86)</f>
        <v>0</v>
      </c>
      <c r="BX75" s="96">
        <f t="shared" ref="BX75" si="333">SUM(BX76:BX86)</f>
        <v>0</v>
      </c>
      <c r="BY75" s="96">
        <f t="shared" ref="BY75" si="334">SUM(BY76:BY86)</f>
        <v>0</v>
      </c>
      <c r="BZ75" s="96">
        <f t="shared" ref="BZ75" si="335">SUM(BZ76:BZ86)</f>
        <v>0</v>
      </c>
      <c r="CA75" s="96">
        <f t="shared" ref="CA75" si="336">SUM(CA76:CA86)</f>
        <v>0</v>
      </c>
      <c r="CB75" s="96">
        <f t="shared" ref="CB75:CD75" si="337">SUM(CB76:CB86)</f>
        <v>0</v>
      </c>
      <c r="CC75" s="96">
        <f t="shared" ref="CC75" si="338">SUM(CC76:CC86)</f>
        <v>0</v>
      </c>
      <c r="CD75" s="96">
        <f t="shared" si="337"/>
        <v>0</v>
      </c>
      <c r="CE75" s="12"/>
      <c r="CF75" s="87"/>
      <c r="CG75" s="24"/>
    </row>
    <row r="76" spans="1:85" s="94" customFormat="1" ht="12.75" customHeight="1" thickTop="1" x14ac:dyDescent="0.2">
      <c r="A76" s="108">
        <v>90000056357</v>
      </c>
      <c r="B76" s="247" t="s">
        <v>5</v>
      </c>
      <c r="C76" s="324" t="s">
        <v>182</v>
      </c>
      <c r="D76" s="80">
        <f t="shared" ref="D76:D85" si="339">F76+AG76+AT76+BH76+BP76</f>
        <v>2856577</v>
      </c>
      <c r="E76" s="295">
        <f t="shared" ref="E76:E85" si="340">G76+AH76+AU76+BI76+BQ76</f>
        <v>2913045</v>
      </c>
      <c r="F76" s="164">
        <v>2669094</v>
      </c>
      <c r="G76" s="164">
        <f t="shared" ref="G76:G85" si="341">F76+H76</f>
        <v>2676694</v>
      </c>
      <c r="H76" s="164">
        <f t="shared" ref="H76:H85" si="342">SUM(I76:AF76)</f>
        <v>7600</v>
      </c>
      <c r="I76" s="164"/>
      <c r="J76" s="164"/>
      <c r="K76" s="164"/>
      <c r="L76" s="164"/>
      <c r="M76" s="164">
        <v>19100</v>
      </c>
      <c r="N76" s="164"/>
      <c r="O76" s="164"/>
      <c r="P76" s="164"/>
      <c r="Q76" s="164"/>
      <c r="R76" s="164"/>
      <c r="S76" s="164">
        <v>-5000</v>
      </c>
      <c r="T76" s="164"/>
      <c r="U76" s="164"/>
      <c r="V76" s="164"/>
      <c r="W76" s="164">
        <v>-6500</v>
      </c>
      <c r="X76" s="164"/>
      <c r="Y76" s="164"/>
      <c r="Z76" s="164"/>
      <c r="AA76" s="164"/>
      <c r="AB76" s="164"/>
      <c r="AC76" s="164"/>
      <c r="AD76" s="164"/>
      <c r="AE76" s="164"/>
      <c r="AF76" s="164"/>
      <c r="AG76" s="164">
        <v>0</v>
      </c>
      <c r="AH76" s="164">
        <f t="shared" ref="AH76:AH85" si="343">AG76+AI76</f>
        <v>0</v>
      </c>
      <c r="AI76" s="164">
        <f t="shared" ref="AI76:AI85" si="344">SUM(AJ76:AS76)</f>
        <v>0</v>
      </c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>
        <v>188593</v>
      </c>
      <c r="AU76" s="164">
        <f t="shared" ref="AU76:AU85" si="345">AT76+AV76</f>
        <v>237574</v>
      </c>
      <c r="AV76" s="164">
        <f t="shared" ref="AV76:AV85" si="346">SUM(AW76:BG76)</f>
        <v>48981</v>
      </c>
      <c r="AW76" s="164">
        <v>48981</v>
      </c>
      <c r="AX76" s="164"/>
      <c r="AY76" s="164"/>
      <c r="AZ76" s="164"/>
      <c r="BA76" s="164"/>
      <c r="BB76" s="164"/>
      <c r="BC76" s="164"/>
      <c r="BD76" s="164"/>
      <c r="BE76" s="164"/>
      <c r="BF76" s="164"/>
      <c r="BG76" s="164"/>
      <c r="BH76" s="164">
        <v>0</v>
      </c>
      <c r="BI76" s="81">
        <f t="shared" ref="BI76:BI85" si="347">BH76+BJ76</f>
        <v>0</v>
      </c>
      <c r="BJ76" s="98">
        <f t="shared" ref="BJ76:BJ85" si="348">SUM(BK76:BO76)</f>
        <v>0</v>
      </c>
      <c r="BK76" s="305"/>
      <c r="BL76" s="305"/>
      <c r="BM76" s="305"/>
      <c r="BN76" s="305"/>
      <c r="BO76" s="305"/>
      <c r="BP76" s="164">
        <v>-1110</v>
      </c>
      <c r="BQ76" s="81">
        <f t="shared" ref="BQ76:BQ85" si="349">BP76+BR76</f>
        <v>-1223</v>
      </c>
      <c r="BR76" s="81">
        <f t="shared" ref="BR76:BR85" si="350">SUM(BS76:CD76)</f>
        <v>-113</v>
      </c>
      <c r="BS76" s="305"/>
      <c r="BT76" s="305">
        <v>-113</v>
      </c>
      <c r="BU76" s="305"/>
      <c r="BV76" s="305"/>
      <c r="BW76" s="305"/>
      <c r="BX76" s="305"/>
      <c r="BY76" s="305"/>
      <c r="BZ76" s="305"/>
      <c r="CA76" s="305"/>
      <c r="CB76" s="305"/>
      <c r="CC76" s="305"/>
      <c r="CD76" s="305"/>
      <c r="CE76" s="229" t="s">
        <v>329</v>
      </c>
      <c r="CF76" s="206"/>
      <c r="CG76" s="24"/>
    </row>
    <row r="77" spans="1:85" s="94" customFormat="1" x14ac:dyDescent="0.2">
      <c r="A77" s="108"/>
      <c r="B77" s="244"/>
      <c r="C77" s="319" t="s">
        <v>252</v>
      </c>
      <c r="D77" s="80">
        <f t="shared" si="339"/>
        <v>2300</v>
      </c>
      <c r="E77" s="295">
        <f t="shared" si="340"/>
        <v>2700</v>
      </c>
      <c r="F77" s="163">
        <v>2300</v>
      </c>
      <c r="G77" s="163">
        <f t="shared" si="341"/>
        <v>2700</v>
      </c>
      <c r="H77" s="163">
        <f t="shared" si="342"/>
        <v>400</v>
      </c>
      <c r="I77" s="163"/>
      <c r="J77" s="163"/>
      <c r="K77" s="163"/>
      <c r="L77" s="163"/>
      <c r="M77" s="163"/>
      <c r="N77" s="163"/>
      <c r="O77" s="163"/>
      <c r="P77" s="163"/>
      <c r="Q77" s="163"/>
      <c r="R77" s="163"/>
      <c r="S77" s="163"/>
      <c r="T77" s="163">
        <v>400</v>
      </c>
      <c r="U77" s="163"/>
      <c r="V77" s="163"/>
      <c r="W77" s="163"/>
      <c r="X77" s="163"/>
      <c r="Y77" s="163"/>
      <c r="Z77" s="163"/>
      <c r="AA77" s="163"/>
      <c r="AB77" s="163"/>
      <c r="AC77" s="163"/>
      <c r="AD77" s="163"/>
      <c r="AE77" s="163"/>
      <c r="AF77" s="163"/>
      <c r="AG77" s="163">
        <v>0</v>
      </c>
      <c r="AH77" s="163">
        <f t="shared" si="343"/>
        <v>0</v>
      </c>
      <c r="AI77" s="163">
        <f t="shared" si="344"/>
        <v>0</v>
      </c>
      <c r="AJ77" s="163"/>
      <c r="AK77" s="163"/>
      <c r="AL77" s="163"/>
      <c r="AM77" s="163"/>
      <c r="AN77" s="163"/>
      <c r="AO77" s="163"/>
      <c r="AP77" s="163"/>
      <c r="AQ77" s="163"/>
      <c r="AR77" s="163"/>
      <c r="AS77" s="163"/>
      <c r="AT77" s="163">
        <v>0</v>
      </c>
      <c r="AU77" s="163">
        <f t="shared" si="345"/>
        <v>0</v>
      </c>
      <c r="AV77" s="163">
        <f t="shared" si="346"/>
        <v>0</v>
      </c>
      <c r="AW77" s="163"/>
      <c r="AX77" s="163"/>
      <c r="AY77" s="163"/>
      <c r="AZ77" s="163"/>
      <c r="BA77" s="163"/>
      <c r="BB77" s="163"/>
      <c r="BC77" s="163"/>
      <c r="BD77" s="163"/>
      <c r="BE77" s="163"/>
      <c r="BF77" s="163"/>
      <c r="BG77" s="163"/>
      <c r="BH77" s="163">
        <v>0</v>
      </c>
      <c r="BI77" s="81">
        <f t="shared" si="347"/>
        <v>0</v>
      </c>
      <c r="BJ77" s="98">
        <f t="shared" si="348"/>
        <v>0</v>
      </c>
      <c r="BK77" s="199"/>
      <c r="BL77" s="199"/>
      <c r="BM77" s="199"/>
      <c r="BN77" s="199"/>
      <c r="BO77" s="199"/>
      <c r="BP77" s="163"/>
      <c r="BQ77" s="81">
        <f t="shared" si="349"/>
        <v>0</v>
      </c>
      <c r="BR77" s="81">
        <f t="shared" si="350"/>
        <v>0</v>
      </c>
      <c r="BS77" s="199"/>
      <c r="BT77" s="199"/>
      <c r="BU77" s="199"/>
      <c r="BV77" s="199"/>
      <c r="BW77" s="199"/>
      <c r="BX77" s="199"/>
      <c r="BY77" s="199"/>
      <c r="BZ77" s="199"/>
      <c r="CA77" s="199"/>
      <c r="CB77" s="199"/>
      <c r="CC77" s="199"/>
      <c r="CD77" s="199"/>
      <c r="CE77" s="82" t="s">
        <v>330</v>
      </c>
      <c r="CF77" s="200"/>
      <c r="CG77" s="24"/>
    </row>
    <row r="78" spans="1:85" s="93" customFormat="1" ht="24" x14ac:dyDescent="0.2">
      <c r="A78" s="108"/>
      <c r="B78" s="242"/>
      <c r="C78" s="285" t="s">
        <v>277</v>
      </c>
      <c r="D78" s="80">
        <f t="shared" si="339"/>
        <v>755607</v>
      </c>
      <c r="E78" s="295">
        <f t="shared" si="340"/>
        <v>760928</v>
      </c>
      <c r="F78" s="81">
        <v>755607</v>
      </c>
      <c r="G78" s="81">
        <f t="shared" si="341"/>
        <v>756928</v>
      </c>
      <c r="H78" s="81">
        <f t="shared" si="342"/>
        <v>1321</v>
      </c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>
        <f>-432-1857</f>
        <v>-2289</v>
      </c>
      <c r="X78" s="81"/>
      <c r="Y78" s="81">
        <v>3610</v>
      </c>
      <c r="Z78" s="81"/>
      <c r="AA78" s="81"/>
      <c r="AB78" s="81"/>
      <c r="AC78" s="81"/>
      <c r="AD78" s="81"/>
      <c r="AE78" s="81"/>
      <c r="AF78" s="81"/>
      <c r="AG78" s="81">
        <v>0</v>
      </c>
      <c r="AH78" s="81">
        <f t="shared" si="343"/>
        <v>4000</v>
      </c>
      <c r="AI78" s="81">
        <f t="shared" si="344"/>
        <v>4000</v>
      </c>
      <c r="AJ78" s="81"/>
      <c r="AK78" s="81">
        <v>4000</v>
      </c>
      <c r="AL78" s="81"/>
      <c r="AM78" s="81"/>
      <c r="AN78" s="81"/>
      <c r="AO78" s="81"/>
      <c r="AP78" s="81"/>
      <c r="AQ78" s="81"/>
      <c r="AR78" s="81"/>
      <c r="AS78" s="81"/>
      <c r="AT78" s="81">
        <v>0</v>
      </c>
      <c r="AU78" s="81">
        <f t="shared" si="345"/>
        <v>0</v>
      </c>
      <c r="AV78" s="81">
        <f t="shared" si="346"/>
        <v>0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>
        <v>0</v>
      </c>
      <c r="BI78" s="81">
        <f t="shared" si="347"/>
        <v>0</v>
      </c>
      <c r="BJ78" s="98">
        <f t="shared" si="348"/>
        <v>0</v>
      </c>
      <c r="BK78" s="81"/>
      <c r="BL78" s="81"/>
      <c r="BM78" s="81"/>
      <c r="BN78" s="81"/>
      <c r="BO78" s="81"/>
      <c r="BP78" s="81"/>
      <c r="BQ78" s="81">
        <f t="shared" si="349"/>
        <v>0</v>
      </c>
      <c r="BR78" s="81">
        <f t="shared" si="350"/>
        <v>0</v>
      </c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2" t="s">
        <v>332</v>
      </c>
      <c r="CF78" s="85" t="s">
        <v>666</v>
      </c>
      <c r="CG78" s="24"/>
    </row>
    <row r="79" spans="1:85" s="93" customFormat="1" x14ac:dyDescent="0.2">
      <c r="A79" s="108"/>
      <c r="B79" s="242"/>
      <c r="C79" s="285" t="s">
        <v>223</v>
      </c>
      <c r="D79" s="80">
        <f t="shared" si="339"/>
        <v>186882</v>
      </c>
      <c r="E79" s="295">
        <f t="shared" si="340"/>
        <v>186882</v>
      </c>
      <c r="F79" s="81">
        <v>186882</v>
      </c>
      <c r="G79" s="81">
        <f t="shared" si="341"/>
        <v>186882</v>
      </c>
      <c r="H79" s="81">
        <f t="shared" si="342"/>
        <v>0</v>
      </c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>
        <v>0</v>
      </c>
      <c r="AH79" s="81">
        <f t="shared" si="343"/>
        <v>0</v>
      </c>
      <c r="AI79" s="81">
        <f t="shared" si="344"/>
        <v>0</v>
      </c>
      <c r="AJ79" s="81"/>
      <c r="AK79" s="81"/>
      <c r="AL79" s="81"/>
      <c r="AM79" s="81"/>
      <c r="AN79" s="81"/>
      <c r="AO79" s="81"/>
      <c r="AP79" s="81"/>
      <c r="AQ79" s="81"/>
      <c r="AR79" s="81"/>
      <c r="AS79" s="81"/>
      <c r="AT79" s="81">
        <v>0</v>
      </c>
      <c r="AU79" s="81">
        <f t="shared" si="345"/>
        <v>0</v>
      </c>
      <c r="AV79" s="81">
        <f t="shared" si="346"/>
        <v>0</v>
      </c>
      <c r="AW79" s="81"/>
      <c r="AX79" s="81"/>
      <c r="AY79" s="81"/>
      <c r="AZ79" s="81"/>
      <c r="BA79" s="81"/>
      <c r="BB79" s="81"/>
      <c r="BC79" s="81"/>
      <c r="BD79" s="81"/>
      <c r="BE79" s="81"/>
      <c r="BF79" s="81"/>
      <c r="BG79" s="81"/>
      <c r="BH79" s="81">
        <v>0</v>
      </c>
      <c r="BI79" s="81">
        <f t="shared" si="347"/>
        <v>0</v>
      </c>
      <c r="BJ79" s="98">
        <f t="shared" si="348"/>
        <v>0</v>
      </c>
      <c r="BK79" s="81"/>
      <c r="BL79" s="81"/>
      <c r="BM79" s="81"/>
      <c r="BN79" s="81"/>
      <c r="BO79" s="81"/>
      <c r="BP79" s="81"/>
      <c r="BQ79" s="81">
        <f t="shared" si="349"/>
        <v>0</v>
      </c>
      <c r="BR79" s="81">
        <f t="shared" si="350"/>
        <v>0</v>
      </c>
      <c r="BS79" s="81"/>
      <c r="BT79" s="81"/>
      <c r="BU79" s="81"/>
      <c r="BV79" s="81"/>
      <c r="BW79" s="81"/>
      <c r="BX79" s="81"/>
      <c r="BY79" s="81"/>
      <c r="BZ79" s="81"/>
      <c r="CA79" s="81"/>
      <c r="CB79" s="81"/>
      <c r="CC79" s="81"/>
      <c r="CD79" s="81"/>
      <c r="CE79" s="82" t="s">
        <v>331</v>
      </c>
      <c r="CF79" s="85" t="s">
        <v>445</v>
      </c>
      <c r="CG79" s="24"/>
    </row>
    <row r="80" spans="1:85" s="93" customFormat="1" ht="15" customHeight="1" x14ac:dyDescent="0.2">
      <c r="A80" s="108"/>
      <c r="B80" s="242"/>
      <c r="C80" s="285" t="s">
        <v>218</v>
      </c>
      <c r="D80" s="80">
        <f t="shared" si="339"/>
        <v>902294</v>
      </c>
      <c r="E80" s="295">
        <f t="shared" si="340"/>
        <v>777842</v>
      </c>
      <c r="F80" s="81">
        <v>865224</v>
      </c>
      <c r="G80" s="81">
        <f t="shared" si="341"/>
        <v>740772</v>
      </c>
      <c r="H80" s="81">
        <f t="shared" si="342"/>
        <v>-124452</v>
      </c>
      <c r="I80" s="81"/>
      <c r="J80" s="81">
        <v>1808</v>
      </c>
      <c r="K80" s="81"/>
      <c r="L80" s="81"/>
      <c r="M80" s="81"/>
      <c r="N80" s="81"/>
      <c r="O80" s="81"/>
      <c r="P80" s="81"/>
      <c r="Q80" s="81">
        <v>740</v>
      </c>
      <c r="R80" s="81"/>
      <c r="S80" s="81"/>
      <c r="T80" s="81"/>
      <c r="U80" s="81"/>
      <c r="V80" s="81"/>
      <c r="W80" s="81"/>
      <c r="X80" s="81"/>
      <c r="Y80" s="81"/>
      <c r="Z80" s="81">
        <v>-127000</v>
      </c>
      <c r="AA80" s="81"/>
      <c r="AB80" s="81"/>
      <c r="AC80" s="81"/>
      <c r="AD80" s="81"/>
      <c r="AE80" s="81"/>
      <c r="AF80" s="81"/>
      <c r="AG80" s="81">
        <v>0</v>
      </c>
      <c r="AH80" s="81">
        <f t="shared" si="343"/>
        <v>0</v>
      </c>
      <c r="AI80" s="81">
        <f t="shared" si="344"/>
        <v>0</v>
      </c>
      <c r="AJ80" s="81"/>
      <c r="AK80" s="81"/>
      <c r="AL80" s="81"/>
      <c r="AM80" s="81"/>
      <c r="AN80" s="81"/>
      <c r="AO80" s="81"/>
      <c r="AP80" s="81"/>
      <c r="AQ80" s="81"/>
      <c r="AR80" s="81"/>
      <c r="AS80" s="81"/>
      <c r="AT80" s="81">
        <v>37070</v>
      </c>
      <c r="AU80" s="81">
        <f t="shared" si="345"/>
        <v>37070</v>
      </c>
      <c r="AV80" s="81">
        <f t="shared" si="346"/>
        <v>0</v>
      </c>
      <c r="AW80" s="81"/>
      <c r="AX80" s="81"/>
      <c r="AY80" s="81"/>
      <c r="AZ80" s="81"/>
      <c r="BA80" s="81"/>
      <c r="BB80" s="81"/>
      <c r="BC80" s="81"/>
      <c r="BD80" s="81"/>
      <c r="BE80" s="81"/>
      <c r="BF80" s="81"/>
      <c r="BG80" s="81"/>
      <c r="BH80" s="81">
        <v>0</v>
      </c>
      <c r="BI80" s="81">
        <f t="shared" si="347"/>
        <v>0</v>
      </c>
      <c r="BJ80" s="98">
        <f t="shared" si="348"/>
        <v>0</v>
      </c>
      <c r="BK80" s="81"/>
      <c r="BL80" s="81"/>
      <c r="BM80" s="81"/>
      <c r="BN80" s="81"/>
      <c r="BO80" s="81"/>
      <c r="BP80" s="81"/>
      <c r="BQ80" s="81">
        <f t="shared" si="349"/>
        <v>0</v>
      </c>
      <c r="BR80" s="81">
        <f t="shared" si="350"/>
        <v>0</v>
      </c>
      <c r="BS80" s="81"/>
      <c r="BT80" s="81"/>
      <c r="BU80" s="81"/>
      <c r="BV80" s="81"/>
      <c r="BW80" s="81"/>
      <c r="BX80" s="81"/>
      <c r="BY80" s="81"/>
      <c r="BZ80" s="81"/>
      <c r="CA80" s="81"/>
      <c r="CB80" s="81"/>
      <c r="CC80" s="81"/>
      <c r="CD80" s="81"/>
      <c r="CE80" s="82" t="s">
        <v>333</v>
      </c>
      <c r="CF80" s="85" t="s">
        <v>667</v>
      </c>
      <c r="CG80" s="24"/>
    </row>
    <row r="81" spans="1:85" s="94" customFormat="1" ht="24" x14ac:dyDescent="0.2">
      <c r="A81" s="108"/>
      <c r="B81" s="244"/>
      <c r="C81" s="319" t="s">
        <v>254</v>
      </c>
      <c r="D81" s="80">
        <f t="shared" si="339"/>
        <v>629977</v>
      </c>
      <c r="E81" s="295">
        <f t="shared" si="340"/>
        <v>721465</v>
      </c>
      <c r="F81" s="163">
        <v>629977</v>
      </c>
      <c r="G81" s="163">
        <f t="shared" si="341"/>
        <v>721465</v>
      </c>
      <c r="H81" s="163">
        <f t="shared" si="342"/>
        <v>91488</v>
      </c>
      <c r="I81" s="163"/>
      <c r="J81" s="163"/>
      <c r="K81" s="163">
        <f>-557-1222+8852</f>
        <v>7073</v>
      </c>
      <c r="L81" s="163">
        <v>2671</v>
      </c>
      <c r="M81" s="163">
        <v>56180</v>
      </c>
      <c r="N81" s="163"/>
      <c r="O81" s="163"/>
      <c r="P81" s="163"/>
      <c r="Q81" s="163">
        <v>1278</v>
      </c>
      <c r="R81" s="163"/>
      <c r="S81" s="163">
        <f>-18599+20075</f>
        <v>1476</v>
      </c>
      <c r="T81" s="163"/>
      <c r="U81" s="163">
        <v>12193</v>
      </c>
      <c r="V81" s="163"/>
      <c r="W81" s="163"/>
      <c r="X81" s="163"/>
      <c r="Y81" s="163">
        <f>-18650+8133</f>
        <v>-10517</v>
      </c>
      <c r="Z81" s="163"/>
      <c r="AA81" s="163"/>
      <c r="AB81" s="163"/>
      <c r="AC81" s="163"/>
      <c r="AD81" s="163"/>
      <c r="AE81" s="163">
        <v>21134</v>
      </c>
      <c r="AF81" s="163"/>
      <c r="AG81" s="163">
        <v>0</v>
      </c>
      <c r="AH81" s="163">
        <f t="shared" si="343"/>
        <v>0</v>
      </c>
      <c r="AI81" s="163">
        <f t="shared" si="344"/>
        <v>0</v>
      </c>
      <c r="AJ81" s="163"/>
      <c r="AK81" s="163"/>
      <c r="AL81" s="163"/>
      <c r="AM81" s="163"/>
      <c r="AN81" s="163"/>
      <c r="AO81" s="163"/>
      <c r="AP81" s="163"/>
      <c r="AQ81" s="163"/>
      <c r="AR81" s="163"/>
      <c r="AS81" s="163"/>
      <c r="AT81" s="163">
        <v>0</v>
      </c>
      <c r="AU81" s="163">
        <f t="shared" si="345"/>
        <v>0</v>
      </c>
      <c r="AV81" s="163">
        <f t="shared" si="346"/>
        <v>0</v>
      </c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>
        <v>0</v>
      </c>
      <c r="BI81" s="81">
        <f t="shared" si="347"/>
        <v>0</v>
      </c>
      <c r="BJ81" s="98">
        <f t="shared" si="348"/>
        <v>0</v>
      </c>
      <c r="BK81" s="163"/>
      <c r="BL81" s="163"/>
      <c r="BM81" s="163"/>
      <c r="BN81" s="163"/>
      <c r="BO81" s="163"/>
      <c r="BP81" s="163"/>
      <c r="BQ81" s="81">
        <f t="shared" si="349"/>
        <v>0</v>
      </c>
      <c r="BR81" s="81">
        <f t="shared" si="350"/>
        <v>0</v>
      </c>
      <c r="BS81" s="163"/>
      <c r="BT81" s="163"/>
      <c r="BU81" s="163"/>
      <c r="BV81" s="163"/>
      <c r="BW81" s="163"/>
      <c r="BX81" s="163"/>
      <c r="BY81" s="163"/>
      <c r="BZ81" s="163"/>
      <c r="CA81" s="163"/>
      <c r="CB81" s="163"/>
      <c r="CC81" s="163"/>
      <c r="CD81" s="163"/>
      <c r="CE81" s="220" t="s">
        <v>664</v>
      </c>
      <c r="CF81" s="200" t="s">
        <v>672</v>
      </c>
      <c r="CG81" s="24"/>
    </row>
    <row r="82" spans="1:85" s="192" customFormat="1" ht="24" x14ac:dyDescent="0.2">
      <c r="A82" s="108"/>
      <c r="B82" s="244"/>
      <c r="C82" s="319" t="s">
        <v>641</v>
      </c>
      <c r="D82" s="80">
        <f t="shared" si="339"/>
        <v>76560</v>
      </c>
      <c r="E82" s="295">
        <f t="shared" si="340"/>
        <v>76560</v>
      </c>
      <c r="F82" s="163">
        <v>76560</v>
      </c>
      <c r="G82" s="163">
        <f t="shared" si="341"/>
        <v>76560</v>
      </c>
      <c r="H82" s="163">
        <f t="shared" si="342"/>
        <v>0</v>
      </c>
      <c r="I82" s="163"/>
      <c r="J82" s="163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163"/>
      <c r="AC82" s="163"/>
      <c r="AD82" s="163"/>
      <c r="AE82" s="163"/>
      <c r="AF82" s="163"/>
      <c r="AG82" s="163">
        <v>0</v>
      </c>
      <c r="AH82" s="163">
        <f t="shared" si="343"/>
        <v>0</v>
      </c>
      <c r="AI82" s="163">
        <f t="shared" si="344"/>
        <v>0</v>
      </c>
      <c r="AJ82" s="163"/>
      <c r="AK82" s="163"/>
      <c r="AL82" s="163"/>
      <c r="AM82" s="163"/>
      <c r="AN82" s="163"/>
      <c r="AO82" s="163"/>
      <c r="AP82" s="163"/>
      <c r="AQ82" s="163"/>
      <c r="AR82" s="163"/>
      <c r="AS82" s="163"/>
      <c r="AT82" s="163">
        <v>0</v>
      </c>
      <c r="AU82" s="163">
        <f t="shared" si="345"/>
        <v>0</v>
      </c>
      <c r="AV82" s="163">
        <f t="shared" si="346"/>
        <v>0</v>
      </c>
      <c r="AW82" s="163"/>
      <c r="AX82" s="163"/>
      <c r="AY82" s="163"/>
      <c r="AZ82" s="163"/>
      <c r="BA82" s="163"/>
      <c r="BB82" s="163"/>
      <c r="BC82" s="163"/>
      <c r="BD82" s="163"/>
      <c r="BE82" s="163"/>
      <c r="BF82" s="163"/>
      <c r="BG82" s="163"/>
      <c r="BH82" s="163">
        <v>0</v>
      </c>
      <c r="BI82" s="81">
        <f t="shared" si="347"/>
        <v>0</v>
      </c>
      <c r="BJ82" s="98">
        <f t="shared" si="348"/>
        <v>0</v>
      </c>
      <c r="BK82" s="199"/>
      <c r="BL82" s="199"/>
      <c r="BM82" s="199"/>
      <c r="BN82" s="199"/>
      <c r="BO82" s="199"/>
      <c r="BP82" s="163"/>
      <c r="BQ82" s="81">
        <f t="shared" si="349"/>
        <v>0</v>
      </c>
      <c r="BR82" s="81">
        <f t="shared" si="350"/>
        <v>0</v>
      </c>
      <c r="BS82" s="199"/>
      <c r="BT82" s="199"/>
      <c r="BU82" s="199"/>
      <c r="BV82" s="199"/>
      <c r="BW82" s="199"/>
      <c r="BX82" s="199"/>
      <c r="BY82" s="199"/>
      <c r="BZ82" s="199"/>
      <c r="CA82" s="199"/>
      <c r="CB82" s="199"/>
      <c r="CC82" s="199"/>
      <c r="CD82" s="199"/>
      <c r="CE82" s="82" t="s">
        <v>665</v>
      </c>
      <c r="CF82" s="200"/>
      <c r="CG82" s="24"/>
    </row>
    <row r="83" spans="1:85" s="198" customFormat="1" ht="36" x14ac:dyDescent="0.2">
      <c r="A83" s="108"/>
      <c r="B83" s="244"/>
      <c r="C83" s="319" t="s">
        <v>745</v>
      </c>
      <c r="D83" s="80">
        <f t="shared" ref="D83" si="351">F83+AG83+AT83+BH83+BP83</f>
        <v>0</v>
      </c>
      <c r="E83" s="295">
        <f t="shared" ref="E83" si="352">G83+AH83+AU83+BI83+BQ83</f>
        <v>19807</v>
      </c>
      <c r="F83" s="163"/>
      <c r="G83" s="163">
        <f t="shared" ref="G83" si="353">F83+H83</f>
        <v>19807</v>
      </c>
      <c r="H83" s="163">
        <f t="shared" ref="H83" si="354">SUM(I83:AF83)</f>
        <v>19807</v>
      </c>
      <c r="I83" s="163">
        <v>19807</v>
      </c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3">
        <f t="shared" ref="AH83" si="355">AG83+AI83</f>
        <v>0</v>
      </c>
      <c r="AI83" s="163">
        <f t="shared" ref="AI83" si="356">SUM(AJ83:AS83)</f>
        <v>0</v>
      </c>
      <c r="AJ83" s="163"/>
      <c r="AK83" s="163"/>
      <c r="AL83" s="163"/>
      <c r="AM83" s="163"/>
      <c r="AN83" s="163"/>
      <c r="AO83" s="163"/>
      <c r="AP83" s="163"/>
      <c r="AQ83" s="163"/>
      <c r="AR83" s="163"/>
      <c r="AS83" s="163"/>
      <c r="AT83" s="163"/>
      <c r="AU83" s="163">
        <f t="shared" ref="AU83" si="357">AT83+AV83</f>
        <v>0</v>
      </c>
      <c r="AV83" s="163">
        <f t="shared" ref="AV83" si="358">SUM(AW83:BG83)</f>
        <v>0</v>
      </c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81">
        <f t="shared" ref="BI83" si="359">BH83+BJ83</f>
        <v>0</v>
      </c>
      <c r="BJ83" s="98">
        <f t="shared" ref="BJ83" si="360">SUM(BK83:BO83)</f>
        <v>0</v>
      </c>
      <c r="BK83" s="199"/>
      <c r="BL83" s="199"/>
      <c r="BM83" s="199"/>
      <c r="BN83" s="199"/>
      <c r="BO83" s="199"/>
      <c r="BP83" s="163"/>
      <c r="BQ83" s="81">
        <f t="shared" ref="BQ83" si="361">BP83+BR83</f>
        <v>0</v>
      </c>
      <c r="BR83" s="81">
        <f t="shared" ref="BR83" si="362">SUM(BS83:CD83)</f>
        <v>0</v>
      </c>
      <c r="BS83" s="199"/>
      <c r="BT83" s="199"/>
      <c r="BU83" s="199"/>
      <c r="BV83" s="199"/>
      <c r="BW83" s="199"/>
      <c r="BX83" s="199"/>
      <c r="BY83" s="199"/>
      <c r="BZ83" s="199"/>
      <c r="CA83" s="199"/>
      <c r="CB83" s="199"/>
      <c r="CC83" s="199"/>
      <c r="CD83" s="199"/>
      <c r="CE83" s="82" t="s">
        <v>746</v>
      </c>
      <c r="CF83" s="200"/>
      <c r="CG83" s="24"/>
    </row>
    <row r="84" spans="1:85" ht="24" x14ac:dyDescent="0.2">
      <c r="A84" s="108">
        <v>42803002568</v>
      </c>
      <c r="B84" s="241" t="s">
        <v>299</v>
      </c>
      <c r="C84" s="285" t="s">
        <v>278</v>
      </c>
      <c r="D84" s="80">
        <f t="shared" si="339"/>
        <v>1704582</v>
      </c>
      <c r="E84" s="295">
        <f t="shared" si="340"/>
        <v>1704582</v>
      </c>
      <c r="F84" s="81">
        <v>1704582</v>
      </c>
      <c r="G84" s="81">
        <f t="shared" si="341"/>
        <v>1704582</v>
      </c>
      <c r="H84" s="81">
        <f t="shared" si="342"/>
        <v>0</v>
      </c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  <c r="AC84" s="81"/>
      <c r="AD84" s="81"/>
      <c r="AE84" s="81"/>
      <c r="AF84" s="81"/>
      <c r="AG84" s="81">
        <v>0</v>
      </c>
      <c r="AH84" s="81">
        <f t="shared" si="343"/>
        <v>0</v>
      </c>
      <c r="AI84" s="81">
        <f t="shared" si="344"/>
        <v>0</v>
      </c>
      <c r="AJ84" s="81"/>
      <c r="AK84" s="81"/>
      <c r="AL84" s="81"/>
      <c r="AM84" s="81"/>
      <c r="AN84" s="81"/>
      <c r="AO84" s="81"/>
      <c r="AP84" s="81"/>
      <c r="AQ84" s="81"/>
      <c r="AR84" s="81"/>
      <c r="AS84" s="81"/>
      <c r="AT84" s="81">
        <v>0</v>
      </c>
      <c r="AU84" s="81">
        <f t="shared" si="345"/>
        <v>0</v>
      </c>
      <c r="AV84" s="81">
        <f t="shared" si="346"/>
        <v>0</v>
      </c>
      <c r="AW84" s="81"/>
      <c r="AX84" s="81"/>
      <c r="AY84" s="81"/>
      <c r="AZ84" s="81"/>
      <c r="BA84" s="81"/>
      <c r="BB84" s="81"/>
      <c r="BC84" s="81"/>
      <c r="BD84" s="81"/>
      <c r="BE84" s="81"/>
      <c r="BF84" s="81"/>
      <c r="BG84" s="81"/>
      <c r="BH84" s="81">
        <v>0</v>
      </c>
      <c r="BI84" s="81">
        <f t="shared" si="347"/>
        <v>0</v>
      </c>
      <c r="BJ84" s="98">
        <f t="shared" si="348"/>
        <v>0</v>
      </c>
      <c r="BK84" s="98"/>
      <c r="BL84" s="98"/>
      <c r="BM84" s="98"/>
      <c r="BN84" s="98"/>
      <c r="BO84" s="98"/>
      <c r="BP84" s="81"/>
      <c r="BQ84" s="81">
        <f t="shared" si="349"/>
        <v>0</v>
      </c>
      <c r="BR84" s="81">
        <f t="shared" si="350"/>
        <v>0</v>
      </c>
      <c r="BS84" s="98"/>
      <c r="BT84" s="98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82" t="s">
        <v>346</v>
      </c>
      <c r="CF84" s="85"/>
      <c r="CG84" s="24"/>
    </row>
    <row r="85" spans="1:85" ht="24" x14ac:dyDescent="0.2">
      <c r="A85" s="108">
        <v>90010691331</v>
      </c>
      <c r="B85" s="249" t="s">
        <v>701</v>
      </c>
      <c r="C85" s="325" t="s">
        <v>187</v>
      </c>
      <c r="D85" s="80">
        <f t="shared" si="339"/>
        <v>386263</v>
      </c>
      <c r="E85" s="295">
        <f t="shared" si="340"/>
        <v>419323</v>
      </c>
      <c r="F85" s="158">
        <v>266384</v>
      </c>
      <c r="G85" s="158">
        <f t="shared" si="341"/>
        <v>387349</v>
      </c>
      <c r="H85" s="158">
        <f t="shared" si="342"/>
        <v>120965</v>
      </c>
      <c r="I85" s="158"/>
      <c r="J85" s="158"/>
      <c r="K85" s="158"/>
      <c r="L85" s="158">
        <v>81409</v>
      </c>
      <c r="M85" s="158"/>
      <c r="N85" s="158"/>
      <c r="O85" s="158"/>
      <c r="P85" s="158"/>
      <c r="Q85" s="158"/>
      <c r="R85" s="158"/>
      <c r="S85" s="158">
        <v>49244</v>
      </c>
      <c r="T85" s="158"/>
      <c r="U85" s="158"/>
      <c r="V85" s="158"/>
      <c r="W85" s="158"/>
      <c r="X85" s="158"/>
      <c r="Y85" s="158"/>
      <c r="Z85" s="158">
        <v>-9688</v>
      </c>
      <c r="AA85" s="158"/>
      <c r="AB85" s="158"/>
      <c r="AC85" s="158"/>
      <c r="AD85" s="158"/>
      <c r="AE85" s="158"/>
      <c r="AF85" s="158"/>
      <c r="AG85" s="158">
        <v>0</v>
      </c>
      <c r="AH85" s="158">
        <f t="shared" si="343"/>
        <v>0</v>
      </c>
      <c r="AI85" s="158">
        <f t="shared" si="344"/>
        <v>0</v>
      </c>
      <c r="AJ85" s="158"/>
      <c r="AK85" s="158"/>
      <c r="AL85" s="158"/>
      <c r="AM85" s="158"/>
      <c r="AN85" s="158"/>
      <c r="AO85" s="158"/>
      <c r="AP85" s="158"/>
      <c r="AQ85" s="158"/>
      <c r="AR85" s="158"/>
      <c r="AS85" s="158"/>
      <c r="AT85" s="158">
        <v>119879</v>
      </c>
      <c r="AU85" s="158">
        <f t="shared" si="345"/>
        <v>33012</v>
      </c>
      <c r="AV85" s="158">
        <f t="shared" si="346"/>
        <v>-86867</v>
      </c>
      <c r="AW85" s="158">
        <v>-822</v>
      </c>
      <c r="AX85" s="158">
        <v>-99908</v>
      </c>
      <c r="AY85" s="158"/>
      <c r="AZ85" s="158">
        <v>2875</v>
      </c>
      <c r="BA85" s="158"/>
      <c r="BB85" s="158">
        <v>1300</v>
      </c>
      <c r="BC85" s="158"/>
      <c r="BD85" s="158"/>
      <c r="BE85" s="158">
        <v>9688</v>
      </c>
      <c r="BF85" s="158"/>
      <c r="BG85" s="158"/>
      <c r="BH85" s="158">
        <v>0</v>
      </c>
      <c r="BI85" s="81">
        <f t="shared" si="347"/>
        <v>0</v>
      </c>
      <c r="BJ85" s="98">
        <f t="shared" si="348"/>
        <v>0</v>
      </c>
      <c r="BK85" s="306"/>
      <c r="BL85" s="306"/>
      <c r="BM85" s="306"/>
      <c r="BN85" s="306"/>
      <c r="BO85" s="306"/>
      <c r="BP85" s="158"/>
      <c r="BQ85" s="81">
        <f t="shared" si="349"/>
        <v>-1038</v>
      </c>
      <c r="BR85" s="81">
        <f t="shared" si="350"/>
        <v>-1038</v>
      </c>
      <c r="BS85" s="306"/>
      <c r="BT85" s="306"/>
      <c r="BU85" s="306">
        <v>-1038</v>
      </c>
      <c r="BV85" s="306"/>
      <c r="BW85" s="306"/>
      <c r="BX85" s="306"/>
      <c r="BY85" s="306"/>
      <c r="BZ85" s="306"/>
      <c r="CA85" s="306"/>
      <c r="CB85" s="306"/>
      <c r="CC85" s="306"/>
      <c r="CD85" s="306"/>
      <c r="CE85" s="261" t="s">
        <v>347</v>
      </c>
      <c r="CF85" s="262"/>
      <c r="CG85" s="24"/>
    </row>
    <row r="86" spans="1:85" ht="9" customHeight="1" thickBot="1" x14ac:dyDescent="0.25">
      <c r="A86" s="108"/>
      <c r="B86" s="216"/>
      <c r="C86" s="323"/>
      <c r="D86" s="71"/>
      <c r="E86" s="296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97"/>
      <c r="AV86" s="97"/>
      <c r="AW86" s="97"/>
      <c r="AX86" s="97"/>
      <c r="AY86" s="97"/>
      <c r="AZ86" s="97"/>
      <c r="BA86" s="97"/>
      <c r="BB86" s="97"/>
      <c r="BC86" s="97"/>
      <c r="BD86" s="97"/>
      <c r="BE86" s="97"/>
      <c r="BF86" s="97"/>
      <c r="BG86" s="97"/>
      <c r="BH86" s="97"/>
      <c r="BI86" s="72"/>
      <c r="BJ86" s="97"/>
      <c r="BK86" s="97"/>
      <c r="BL86" s="97"/>
      <c r="BM86" s="97"/>
      <c r="BN86" s="97"/>
      <c r="BO86" s="97"/>
      <c r="BP86" s="72"/>
      <c r="BQ86" s="264"/>
      <c r="BR86" s="97"/>
      <c r="BS86" s="97"/>
      <c r="BT86" s="97"/>
      <c r="BU86" s="97"/>
      <c r="BV86" s="97"/>
      <c r="BW86" s="97"/>
      <c r="BX86" s="97"/>
      <c r="BY86" s="97"/>
      <c r="BZ86" s="97"/>
      <c r="CA86" s="97"/>
      <c r="CB86" s="97"/>
      <c r="CC86" s="97"/>
      <c r="CD86" s="97"/>
      <c r="CE86" s="73"/>
      <c r="CF86" s="86"/>
      <c r="CG86" s="24"/>
    </row>
    <row r="87" spans="1:85" ht="12.75" thickBot="1" x14ac:dyDescent="0.25">
      <c r="A87" s="215" t="s">
        <v>12</v>
      </c>
      <c r="B87" s="125" t="s">
        <v>13</v>
      </c>
      <c r="C87" s="321"/>
      <c r="D87" s="11">
        <f t="shared" ref="D87:E87" si="363">SUM(D88:D93)</f>
        <v>488078</v>
      </c>
      <c r="E87" s="298">
        <f t="shared" si="363"/>
        <v>489515</v>
      </c>
      <c r="F87" s="96">
        <f t="shared" ref="F87:CD87" si="364">SUM(F88:F93)</f>
        <v>488078</v>
      </c>
      <c r="G87" s="96">
        <f t="shared" si="364"/>
        <v>489515</v>
      </c>
      <c r="H87" s="96">
        <f t="shared" ref="H87" si="365">SUM(H88:H93)</f>
        <v>1437</v>
      </c>
      <c r="I87" s="96">
        <f t="shared" si="364"/>
        <v>0</v>
      </c>
      <c r="J87" s="96">
        <f t="shared" ref="J87" si="366">SUM(J88:J93)</f>
        <v>0</v>
      </c>
      <c r="K87" s="96">
        <f t="shared" si="364"/>
        <v>0</v>
      </c>
      <c r="L87" s="96">
        <f t="shared" si="364"/>
        <v>0</v>
      </c>
      <c r="M87" s="96">
        <f t="shared" si="364"/>
        <v>0</v>
      </c>
      <c r="N87" s="96">
        <f t="shared" si="364"/>
        <v>0</v>
      </c>
      <c r="O87" s="96">
        <f t="shared" si="364"/>
        <v>0</v>
      </c>
      <c r="P87" s="96">
        <f t="shared" si="364"/>
        <v>0</v>
      </c>
      <c r="Q87" s="96">
        <f t="shared" si="364"/>
        <v>0</v>
      </c>
      <c r="R87" s="96">
        <f t="shared" si="364"/>
        <v>0</v>
      </c>
      <c r="S87" s="96">
        <f t="shared" si="364"/>
        <v>0</v>
      </c>
      <c r="T87" s="96"/>
      <c r="U87" s="96">
        <f t="shared" si="364"/>
        <v>0</v>
      </c>
      <c r="V87" s="96"/>
      <c r="W87" s="96">
        <f t="shared" si="364"/>
        <v>1437</v>
      </c>
      <c r="X87" s="96">
        <f t="shared" ref="X87" si="367">SUM(X88:X93)</f>
        <v>0</v>
      </c>
      <c r="Y87" s="96">
        <f t="shared" si="364"/>
        <v>0</v>
      </c>
      <c r="Z87" s="96">
        <f t="shared" ref="Z87:AE87" si="368">SUM(Z88:Z93)</f>
        <v>0</v>
      </c>
      <c r="AA87" s="96">
        <f t="shared" ref="AA87:AD87" si="369">SUM(AA88:AA93)</f>
        <v>0</v>
      </c>
      <c r="AB87" s="96">
        <f t="shared" si="369"/>
        <v>0</v>
      </c>
      <c r="AC87" s="96">
        <f t="shared" si="369"/>
        <v>0</v>
      </c>
      <c r="AD87" s="96">
        <f t="shared" si="369"/>
        <v>0</v>
      </c>
      <c r="AE87" s="96">
        <f t="shared" si="368"/>
        <v>0</v>
      </c>
      <c r="AF87" s="96">
        <f t="shared" si="364"/>
        <v>0</v>
      </c>
      <c r="AG87" s="96">
        <f t="shared" si="364"/>
        <v>0</v>
      </c>
      <c r="AH87" s="96">
        <f t="shared" ref="AH87:AS87" si="370">SUM(AH88:AH93)</f>
        <v>0</v>
      </c>
      <c r="AI87" s="96">
        <f t="shared" si="370"/>
        <v>0</v>
      </c>
      <c r="AJ87" s="96">
        <f t="shared" si="370"/>
        <v>0</v>
      </c>
      <c r="AK87" s="96">
        <f t="shared" si="370"/>
        <v>0</v>
      </c>
      <c r="AL87" s="96">
        <f t="shared" si="370"/>
        <v>0</v>
      </c>
      <c r="AM87" s="96">
        <f t="shared" si="370"/>
        <v>0</v>
      </c>
      <c r="AN87" s="96">
        <f t="shared" si="370"/>
        <v>0</v>
      </c>
      <c r="AO87" s="96">
        <f t="shared" si="370"/>
        <v>0</v>
      </c>
      <c r="AP87" s="96">
        <f t="shared" si="370"/>
        <v>0</v>
      </c>
      <c r="AQ87" s="96">
        <f t="shared" si="370"/>
        <v>0</v>
      </c>
      <c r="AR87" s="96">
        <f t="shared" si="370"/>
        <v>0</v>
      </c>
      <c r="AS87" s="96">
        <f t="shared" si="370"/>
        <v>0</v>
      </c>
      <c r="AT87" s="96">
        <f t="shared" si="364"/>
        <v>0</v>
      </c>
      <c r="AU87" s="96">
        <f t="shared" si="364"/>
        <v>0</v>
      </c>
      <c r="AV87" s="96">
        <f t="shared" si="364"/>
        <v>0</v>
      </c>
      <c r="AW87" s="96">
        <f t="shared" si="364"/>
        <v>0</v>
      </c>
      <c r="AX87" s="96">
        <f t="shared" si="364"/>
        <v>0</v>
      </c>
      <c r="AY87" s="96">
        <f t="shared" si="364"/>
        <v>0</v>
      </c>
      <c r="AZ87" s="96">
        <f t="shared" si="364"/>
        <v>0</v>
      </c>
      <c r="BA87" s="96">
        <f t="shared" si="364"/>
        <v>0</v>
      </c>
      <c r="BB87" s="96">
        <f t="shared" si="364"/>
        <v>0</v>
      </c>
      <c r="BC87" s="96">
        <f t="shared" si="364"/>
        <v>0</v>
      </c>
      <c r="BD87" s="96">
        <f t="shared" si="364"/>
        <v>0</v>
      </c>
      <c r="BE87" s="96">
        <f t="shared" si="364"/>
        <v>0</v>
      </c>
      <c r="BF87" s="96">
        <f t="shared" ref="BF87" si="371">SUM(BF88:BF93)</f>
        <v>0</v>
      </c>
      <c r="BG87" s="96">
        <f t="shared" si="364"/>
        <v>0</v>
      </c>
      <c r="BH87" s="96">
        <f t="shared" si="364"/>
        <v>0</v>
      </c>
      <c r="BI87" s="9">
        <f t="shared" ref="BI87:BO87" si="372">SUM(BI88:BI93)</f>
        <v>0</v>
      </c>
      <c r="BJ87" s="96">
        <f t="shared" si="372"/>
        <v>0</v>
      </c>
      <c r="BK87" s="96">
        <f t="shared" si="372"/>
        <v>0</v>
      </c>
      <c r="BL87" s="96">
        <f t="shared" si="372"/>
        <v>0</v>
      </c>
      <c r="BM87" s="96">
        <f t="shared" si="372"/>
        <v>0</v>
      </c>
      <c r="BN87" s="96">
        <f t="shared" si="372"/>
        <v>0</v>
      </c>
      <c r="BO87" s="96">
        <f t="shared" si="372"/>
        <v>0</v>
      </c>
      <c r="BP87" s="9">
        <f t="shared" si="364"/>
        <v>0</v>
      </c>
      <c r="BQ87" s="310">
        <f t="shared" si="364"/>
        <v>0</v>
      </c>
      <c r="BR87" s="96">
        <f t="shared" si="364"/>
        <v>0</v>
      </c>
      <c r="BS87" s="96">
        <f t="shared" si="364"/>
        <v>0</v>
      </c>
      <c r="BT87" s="96">
        <f t="shared" si="364"/>
        <v>0</v>
      </c>
      <c r="BU87" s="96">
        <f t="shared" si="364"/>
        <v>0</v>
      </c>
      <c r="BV87" s="96">
        <f t="shared" si="364"/>
        <v>0</v>
      </c>
      <c r="BW87" s="96">
        <f t="shared" si="364"/>
        <v>0</v>
      </c>
      <c r="BX87" s="96">
        <f t="shared" si="364"/>
        <v>0</v>
      </c>
      <c r="BY87" s="96">
        <f t="shared" si="364"/>
        <v>0</v>
      </c>
      <c r="BZ87" s="96">
        <f t="shared" si="364"/>
        <v>0</v>
      </c>
      <c r="CA87" s="96">
        <f t="shared" si="364"/>
        <v>0</v>
      </c>
      <c r="CB87" s="96">
        <f t="shared" ref="CB87:CC87" si="373">SUM(CB88:CB93)</f>
        <v>0</v>
      </c>
      <c r="CC87" s="96">
        <f t="shared" si="373"/>
        <v>0</v>
      </c>
      <c r="CD87" s="96">
        <f t="shared" si="364"/>
        <v>0</v>
      </c>
      <c r="CE87" s="12"/>
      <c r="CF87" s="87"/>
      <c r="CG87" s="24"/>
    </row>
    <row r="88" spans="1:85" ht="24.75" customHeight="1" thickTop="1" x14ac:dyDescent="0.2">
      <c r="A88" s="108">
        <v>90000594245</v>
      </c>
      <c r="B88" s="247" t="s">
        <v>524</v>
      </c>
      <c r="C88" s="285" t="s">
        <v>188</v>
      </c>
      <c r="D88" s="80">
        <f t="shared" ref="D88:D92" si="374">F88+AG88+AT88+BH88+BP88</f>
        <v>45712</v>
      </c>
      <c r="E88" s="295">
        <f t="shared" ref="E88:E92" si="375">G88+AH88+AU88+BI88+BQ88</f>
        <v>45712</v>
      </c>
      <c r="F88" s="81">
        <v>45712</v>
      </c>
      <c r="G88" s="81">
        <f t="shared" ref="G88:G92" si="376">F88+H88</f>
        <v>45712</v>
      </c>
      <c r="H88" s="81">
        <f t="shared" ref="H88:H92" si="377">SUM(I88:AF88)</f>
        <v>0</v>
      </c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81"/>
      <c r="V88" s="81"/>
      <c r="W88" s="81"/>
      <c r="X88" s="81"/>
      <c r="Y88" s="81"/>
      <c r="Z88" s="81"/>
      <c r="AA88" s="81"/>
      <c r="AB88" s="81"/>
      <c r="AC88" s="81"/>
      <c r="AD88" s="81"/>
      <c r="AE88" s="81"/>
      <c r="AF88" s="81"/>
      <c r="AG88" s="81">
        <v>0</v>
      </c>
      <c r="AH88" s="81">
        <f t="shared" ref="AH88:AH92" si="378">AG88+AI88</f>
        <v>0</v>
      </c>
      <c r="AI88" s="81">
        <f t="shared" ref="AI88:AI92" si="379">SUM(AJ88:AS88)</f>
        <v>0</v>
      </c>
      <c r="AJ88" s="81"/>
      <c r="AK88" s="81"/>
      <c r="AL88" s="81"/>
      <c r="AM88" s="81"/>
      <c r="AN88" s="81"/>
      <c r="AO88" s="81"/>
      <c r="AP88" s="81"/>
      <c r="AQ88" s="81"/>
      <c r="AR88" s="81"/>
      <c r="AS88" s="81"/>
      <c r="AT88" s="81">
        <v>0</v>
      </c>
      <c r="AU88" s="81">
        <f t="shared" ref="AU88:AU92" si="380">AT88+AV88</f>
        <v>0</v>
      </c>
      <c r="AV88" s="81">
        <f t="shared" ref="AV88:AV92" si="381">SUM(AW88:BG88)</f>
        <v>0</v>
      </c>
      <c r="AW88" s="81"/>
      <c r="AX88" s="81"/>
      <c r="AY88" s="81"/>
      <c r="AZ88" s="81"/>
      <c r="BA88" s="81"/>
      <c r="BB88" s="81"/>
      <c r="BC88" s="81"/>
      <c r="BD88" s="81"/>
      <c r="BE88" s="81"/>
      <c r="BF88" s="81"/>
      <c r="BG88" s="81"/>
      <c r="BH88" s="81">
        <v>0</v>
      </c>
      <c r="BI88" s="81">
        <f t="shared" ref="BI88:BI92" si="382">BH88+BJ88</f>
        <v>0</v>
      </c>
      <c r="BJ88" s="98">
        <f t="shared" ref="BJ88:BJ92" si="383">SUM(BK88:BO88)</f>
        <v>0</v>
      </c>
      <c r="BK88" s="98"/>
      <c r="BL88" s="98"/>
      <c r="BM88" s="98"/>
      <c r="BN88" s="98"/>
      <c r="BO88" s="98"/>
      <c r="BP88" s="81"/>
      <c r="BQ88" s="81">
        <f t="shared" ref="BQ88:BQ92" si="384">BP88+BR88</f>
        <v>0</v>
      </c>
      <c r="BR88" s="81">
        <f t="shared" ref="BR88:BR92" si="385">SUM(BS88:CD88)</f>
        <v>0</v>
      </c>
      <c r="BS88" s="98"/>
      <c r="BT88" s="98"/>
      <c r="BU88" s="98"/>
      <c r="BV88" s="98"/>
      <c r="BW88" s="98"/>
      <c r="BX88" s="98"/>
      <c r="BY88" s="98"/>
      <c r="BZ88" s="98"/>
      <c r="CA88" s="98"/>
      <c r="CB88" s="98"/>
      <c r="CC88" s="98"/>
      <c r="CD88" s="98"/>
      <c r="CE88" s="82" t="s">
        <v>348</v>
      </c>
      <c r="CF88" s="85" t="s">
        <v>668</v>
      </c>
      <c r="CG88" s="24"/>
    </row>
    <row r="89" spans="1:85" x14ac:dyDescent="0.2">
      <c r="A89" s="108"/>
      <c r="B89" s="242"/>
      <c r="C89" s="285" t="s">
        <v>209</v>
      </c>
      <c r="D89" s="80">
        <f t="shared" si="374"/>
        <v>28724</v>
      </c>
      <c r="E89" s="295">
        <f t="shared" si="375"/>
        <v>28909</v>
      </c>
      <c r="F89" s="81">
        <v>28724</v>
      </c>
      <c r="G89" s="81">
        <f t="shared" si="376"/>
        <v>28909</v>
      </c>
      <c r="H89" s="81">
        <f t="shared" si="377"/>
        <v>185</v>
      </c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>
        <v>185</v>
      </c>
      <c r="X89" s="81"/>
      <c r="Y89" s="81"/>
      <c r="Z89" s="81"/>
      <c r="AA89" s="81"/>
      <c r="AB89" s="81"/>
      <c r="AC89" s="81"/>
      <c r="AD89" s="81"/>
      <c r="AE89" s="81"/>
      <c r="AF89" s="81"/>
      <c r="AG89" s="81">
        <v>0</v>
      </c>
      <c r="AH89" s="81">
        <f t="shared" si="378"/>
        <v>0</v>
      </c>
      <c r="AI89" s="81">
        <f t="shared" si="379"/>
        <v>0</v>
      </c>
      <c r="AJ89" s="81"/>
      <c r="AK89" s="81"/>
      <c r="AL89" s="81"/>
      <c r="AM89" s="81"/>
      <c r="AN89" s="81"/>
      <c r="AO89" s="81"/>
      <c r="AP89" s="81"/>
      <c r="AQ89" s="81"/>
      <c r="AR89" s="81"/>
      <c r="AS89" s="81"/>
      <c r="AT89" s="81">
        <v>0</v>
      </c>
      <c r="AU89" s="81">
        <f t="shared" si="380"/>
        <v>0</v>
      </c>
      <c r="AV89" s="81">
        <f t="shared" si="381"/>
        <v>0</v>
      </c>
      <c r="AW89" s="81"/>
      <c r="AX89" s="81"/>
      <c r="AY89" s="81"/>
      <c r="AZ89" s="81"/>
      <c r="BA89" s="81"/>
      <c r="BB89" s="81"/>
      <c r="BC89" s="81"/>
      <c r="BD89" s="81"/>
      <c r="BE89" s="81"/>
      <c r="BF89" s="81"/>
      <c r="BG89" s="81"/>
      <c r="BH89" s="81">
        <v>0</v>
      </c>
      <c r="BI89" s="81">
        <f t="shared" si="382"/>
        <v>0</v>
      </c>
      <c r="BJ89" s="98">
        <f t="shared" si="383"/>
        <v>0</v>
      </c>
      <c r="BK89" s="98"/>
      <c r="BL89" s="98"/>
      <c r="BM89" s="98"/>
      <c r="BN89" s="98"/>
      <c r="BO89" s="98"/>
      <c r="BP89" s="81"/>
      <c r="BQ89" s="81">
        <f t="shared" si="384"/>
        <v>0</v>
      </c>
      <c r="BR89" s="81">
        <f t="shared" si="385"/>
        <v>0</v>
      </c>
      <c r="BS89" s="98"/>
      <c r="BT89" s="98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82" t="s">
        <v>349</v>
      </c>
      <c r="CF89" s="85" t="s">
        <v>668</v>
      </c>
      <c r="CG89" s="24"/>
    </row>
    <row r="90" spans="1:85" ht="24" x14ac:dyDescent="0.2">
      <c r="A90" s="108"/>
      <c r="B90" s="242"/>
      <c r="C90" s="285" t="s">
        <v>203</v>
      </c>
      <c r="D90" s="80">
        <f t="shared" si="374"/>
        <v>62365</v>
      </c>
      <c r="E90" s="295">
        <f t="shared" si="375"/>
        <v>64365</v>
      </c>
      <c r="F90" s="81">
        <v>62365</v>
      </c>
      <c r="G90" s="81">
        <f t="shared" si="376"/>
        <v>64365</v>
      </c>
      <c r="H90" s="81">
        <f t="shared" si="377"/>
        <v>2000</v>
      </c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>
        <v>2000</v>
      </c>
      <c r="X90" s="81"/>
      <c r="Y90" s="81"/>
      <c r="Z90" s="81"/>
      <c r="AA90" s="81"/>
      <c r="AB90" s="81"/>
      <c r="AC90" s="81"/>
      <c r="AD90" s="81"/>
      <c r="AE90" s="81"/>
      <c r="AF90" s="81"/>
      <c r="AG90" s="81">
        <v>0</v>
      </c>
      <c r="AH90" s="81">
        <f t="shared" si="378"/>
        <v>0</v>
      </c>
      <c r="AI90" s="81">
        <f t="shared" si="379"/>
        <v>0</v>
      </c>
      <c r="AJ90" s="81"/>
      <c r="AK90" s="81"/>
      <c r="AL90" s="81"/>
      <c r="AM90" s="81"/>
      <c r="AN90" s="81"/>
      <c r="AO90" s="81"/>
      <c r="AP90" s="81"/>
      <c r="AQ90" s="81"/>
      <c r="AR90" s="81"/>
      <c r="AS90" s="81"/>
      <c r="AT90" s="81">
        <v>0</v>
      </c>
      <c r="AU90" s="81">
        <f t="shared" si="380"/>
        <v>0</v>
      </c>
      <c r="AV90" s="81">
        <f t="shared" si="381"/>
        <v>0</v>
      </c>
      <c r="AW90" s="81"/>
      <c r="AX90" s="81"/>
      <c r="AY90" s="81"/>
      <c r="AZ90" s="81"/>
      <c r="BA90" s="81"/>
      <c r="BB90" s="81"/>
      <c r="BC90" s="81"/>
      <c r="BD90" s="81"/>
      <c r="BE90" s="81"/>
      <c r="BF90" s="81"/>
      <c r="BG90" s="81"/>
      <c r="BH90" s="81">
        <v>0</v>
      </c>
      <c r="BI90" s="81">
        <f t="shared" si="382"/>
        <v>0</v>
      </c>
      <c r="BJ90" s="98">
        <f t="shared" si="383"/>
        <v>0</v>
      </c>
      <c r="BK90" s="98"/>
      <c r="BL90" s="98"/>
      <c r="BM90" s="98"/>
      <c r="BN90" s="98"/>
      <c r="BO90" s="98"/>
      <c r="BP90" s="81"/>
      <c r="BQ90" s="81">
        <f t="shared" si="384"/>
        <v>0</v>
      </c>
      <c r="BR90" s="81">
        <f t="shared" si="385"/>
        <v>0</v>
      </c>
      <c r="BS90" s="98"/>
      <c r="BT90" s="98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82" t="s">
        <v>350</v>
      </c>
      <c r="CF90" s="85" t="s">
        <v>668</v>
      </c>
      <c r="CG90" s="24"/>
    </row>
    <row r="91" spans="1:85" s="192" customFormat="1" ht="27" customHeight="1" x14ac:dyDescent="0.2">
      <c r="A91" s="108"/>
      <c r="B91" s="242"/>
      <c r="C91" s="285" t="s">
        <v>537</v>
      </c>
      <c r="D91" s="80">
        <f t="shared" si="374"/>
        <v>241680</v>
      </c>
      <c r="E91" s="295">
        <f t="shared" si="375"/>
        <v>240932</v>
      </c>
      <c r="F91" s="81">
        <v>241680</v>
      </c>
      <c r="G91" s="81">
        <f t="shared" si="376"/>
        <v>240932</v>
      </c>
      <c r="H91" s="81">
        <f t="shared" si="377"/>
        <v>-748</v>
      </c>
      <c r="I91" s="81"/>
      <c r="J91" s="81"/>
      <c r="K91" s="81"/>
      <c r="L91" s="81"/>
      <c r="M91" s="81"/>
      <c r="N91" s="81"/>
      <c r="O91" s="81"/>
      <c r="P91" s="81"/>
      <c r="Q91" s="81"/>
      <c r="R91" s="81"/>
      <c r="S91" s="81"/>
      <c r="T91" s="81"/>
      <c r="U91" s="81"/>
      <c r="V91" s="81"/>
      <c r="W91" s="81">
        <f>657-1405</f>
        <v>-748</v>
      </c>
      <c r="X91" s="81"/>
      <c r="Y91" s="81"/>
      <c r="Z91" s="81"/>
      <c r="AA91" s="81"/>
      <c r="AB91" s="81"/>
      <c r="AC91" s="81"/>
      <c r="AD91" s="81"/>
      <c r="AE91" s="81"/>
      <c r="AF91" s="81"/>
      <c r="AG91" s="81">
        <v>0</v>
      </c>
      <c r="AH91" s="81">
        <f t="shared" si="378"/>
        <v>0</v>
      </c>
      <c r="AI91" s="81">
        <f t="shared" si="379"/>
        <v>0</v>
      </c>
      <c r="AJ91" s="81"/>
      <c r="AK91" s="81"/>
      <c r="AL91" s="81"/>
      <c r="AM91" s="81"/>
      <c r="AN91" s="81"/>
      <c r="AO91" s="81"/>
      <c r="AP91" s="81"/>
      <c r="AQ91" s="81"/>
      <c r="AR91" s="81"/>
      <c r="AS91" s="81"/>
      <c r="AT91" s="81">
        <v>0</v>
      </c>
      <c r="AU91" s="81">
        <f t="shared" si="380"/>
        <v>0</v>
      </c>
      <c r="AV91" s="81">
        <f t="shared" si="381"/>
        <v>0</v>
      </c>
      <c r="AW91" s="81"/>
      <c r="AX91" s="81"/>
      <c r="AY91" s="81"/>
      <c r="AZ91" s="81"/>
      <c r="BA91" s="81"/>
      <c r="BB91" s="81"/>
      <c r="BC91" s="81"/>
      <c r="BD91" s="81"/>
      <c r="BE91" s="81"/>
      <c r="BF91" s="81"/>
      <c r="BG91" s="81"/>
      <c r="BH91" s="81">
        <v>0</v>
      </c>
      <c r="BI91" s="81">
        <f t="shared" si="382"/>
        <v>0</v>
      </c>
      <c r="BJ91" s="98">
        <f t="shared" si="383"/>
        <v>0</v>
      </c>
      <c r="BK91" s="98"/>
      <c r="BL91" s="98"/>
      <c r="BM91" s="98"/>
      <c r="BN91" s="98"/>
      <c r="BO91" s="98"/>
      <c r="BP91" s="81"/>
      <c r="BQ91" s="81">
        <f t="shared" si="384"/>
        <v>0</v>
      </c>
      <c r="BR91" s="81">
        <f t="shared" si="385"/>
        <v>0</v>
      </c>
      <c r="BS91" s="98"/>
      <c r="BT91" s="98"/>
      <c r="BU91" s="98"/>
      <c r="BV91" s="98"/>
      <c r="BW91" s="98"/>
      <c r="BX91" s="98"/>
      <c r="BY91" s="98"/>
      <c r="BZ91" s="98"/>
      <c r="CA91" s="98"/>
      <c r="CB91" s="98"/>
      <c r="CC91" s="98"/>
      <c r="CD91" s="98"/>
      <c r="CE91" s="82" t="s">
        <v>550</v>
      </c>
      <c r="CF91" s="85"/>
      <c r="CG91" s="24"/>
    </row>
    <row r="92" spans="1:85" ht="48" x14ac:dyDescent="0.2">
      <c r="A92" s="108">
        <v>90010991438</v>
      </c>
      <c r="B92" s="241" t="s">
        <v>472</v>
      </c>
      <c r="C92" s="285" t="s">
        <v>495</v>
      </c>
      <c r="D92" s="80">
        <f t="shared" si="374"/>
        <v>109597</v>
      </c>
      <c r="E92" s="295">
        <f t="shared" si="375"/>
        <v>109597</v>
      </c>
      <c r="F92" s="81">
        <v>109597</v>
      </c>
      <c r="G92" s="81">
        <f t="shared" si="376"/>
        <v>109597</v>
      </c>
      <c r="H92" s="81">
        <f t="shared" si="377"/>
        <v>0</v>
      </c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>
        <v>0</v>
      </c>
      <c r="AH92" s="81">
        <f t="shared" si="378"/>
        <v>0</v>
      </c>
      <c r="AI92" s="81">
        <f t="shared" si="379"/>
        <v>0</v>
      </c>
      <c r="AJ92" s="81"/>
      <c r="AK92" s="81"/>
      <c r="AL92" s="81"/>
      <c r="AM92" s="81"/>
      <c r="AN92" s="81"/>
      <c r="AO92" s="81"/>
      <c r="AP92" s="81"/>
      <c r="AQ92" s="81"/>
      <c r="AR92" s="81"/>
      <c r="AS92" s="81"/>
      <c r="AT92" s="81">
        <v>0</v>
      </c>
      <c r="AU92" s="81">
        <f t="shared" si="380"/>
        <v>0</v>
      </c>
      <c r="AV92" s="81">
        <f t="shared" si="381"/>
        <v>0</v>
      </c>
      <c r="AW92" s="81"/>
      <c r="AX92" s="81"/>
      <c r="AY92" s="81"/>
      <c r="AZ92" s="81"/>
      <c r="BA92" s="81"/>
      <c r="BB92" s="81"/>
      <c r="BC92" s="81"/>
      <c r="BD92" s="81"/>
      <c r="BE92" s="81"/>
      <c r="BF92" s="81"/>
      <c r="BG92" s="81"/>
      <c r="BH92" s="81">
        <v>0</v>
      </c>
      <c r="BI92" s="81">
        <f t="shared" si="382"/>
        <v>0</v>
      </c>
      <c r="BJ92" s="98">
        <f t="shared" si="383"/>
        <v>0</v>
      </c>
      <c r="BK92" s="98"/>
      <c r="BL92" s="98"/>
      <c r="BM92" s="98"/>
      <c r="BN92" s="98"/>
      <c r="BO92" s="98"/>
      <c r="BP92" s="81"/>
      <c r="BQ92" s="81">
        <f t="shared" si="384"/>
        <v>0</v>
      </c>
      <c r="BR92" s="81">
        <f t="shared" si="385"/>
        <v>0</v>
      </c>
      <c r="BS92" s="98"/>
      <c r="BT92" s="98"/>
      <c r="BU92" s="98"/>
      <c r="BV92" s="98"/>
      <c r="BW92" s="98"/>
      <c r="BX92" s="98"/>
      <c r="BY92" s="98"/>
      <c r="BZ92" s="98"/>
      <c r="CA92" s="98"/>
      <c r="CB92" s="98"/>
      <c r="CC92" s="98"/>
      <c r="CD92" s="98"/>
      <c r="CE92" s="82" t="s">
        <v>351</v>
      </c>
      <c r="CF92" s="85"/>
      <c r="CG92" s="24"/>
    </row>
    <row r="93" spans="1:85" ht="9.75" customHeight="1" thickBot="1" x14ac:dyDescent="0.25">
      <c r="A93" s="108"/>
      <c r="B93" s="216"/>
      <c r="C93" s="323"/>
      <c r="D93" s="71"/>
      <c r="E93" s="296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97"/>
      <c r="BG93" s="97"/>
      <c r="BH93" s="97"/>
      <c r="BI93" s="72"/>
      <c r="BJ93" s="97"/>
      <c r="BK93" s="97"/>
      <c r="BL93" s="97"/>
      <c r="BM93" s="97"/>
      <c r="BN93" s="97"/>
      <c r="BO93" s="97"/>
      <c r="BP93" s="72"/>
      <c r="BQ93" s="264"/>
      <c r="BR93" s="97"/>
      <c r="BS93" s="97"/>
      <c r="BT93" s="97"/>
      <c r="BU93" s="97"/>
      <c r="BV93" s="97"/>
      <c r="BW93" s="97"/>
      <c r="BX93" s="97"/>
      <c r="BY93" s="97"/>
      <c r="BZ93" s="97"/>
      <c r="CA93" s="97"/>
      <c r="CB93" s="97"/>
      <c r="CC93" s="97"/>
      <c r="CD93" s="97"/>
      <c r="CE93" s="73"/>
      <c r="CF93" s="86"/>
      <c r="CG93" s="24"/>
    </row>
    <row r="94" spans="1:85" ht="12.75" thickBot="1" x14ac:dyDescent="0.25">
      <c r="A94" s="215" t="s">
        <v>14</v>
      </c>
      <c r="B94" s="125" t="s">
        <v>15</v>
      </c>
      <c r="C94" s="321"/>
      <c r="D94" s="11">
        <f>SUM(D95:D135)</f>
        <v>9478586</v>
      </c>
      <c r="E94" s="297">
        <f>SUM(E95:E135)</f>
        <v>11660265</v>
      </c>
      <c r="F94" s="9">
        <f>SUM(F95:F135)</f>
        <v>9232349</v>
      </c>
      <c r="G94" s="9">
        <f t="shared" ref="G94:AF94" si="386">SUM(G95:G135)</f>
        <v>11405602</v>
      </c>
      <c r="H94" s="9">
        <f t="shared" si="386"/>
        <v>2173253</v>
      </c>
      <c r="I94" s="9">
        <f t="shared" si="386"/>
        <v>34000</v>
      </c>
      <c r="J94" s="9">
        <f t="shared" ref="J94" si="387">SUM(J95:J135)</f>
        <v>3591</v>
      </c>
      <c r="K94" s="9">
        <f t="shared" si="386"/>
        <v>100001</v>
      </c>
      <c r="L94" s="9">
        <f t="shared" si="386"/>
        <v>28829</v>
      </c>
      <c r="M94" s="9">
        <f t="shared" si="386"/>
        <v>25058</v>
      </c>
      <c r="N94" s="9">
        <f t="shared" si="386"/>
        <v>0</v>
      </c>
      <c r="O94" s="9">
        <f t="shared" si="386"/>
        <v>0</v>
      </c>
      <c r="P94" s="9">
        <f t="shared" si="386"/>
        <v>0</v>
      </c>
      <c r="Q94" s="9">
        <f t="shared" si="386"/>
        <v>107022</v>
      </c>
      <c r="R94" s="9">
        <f t="shared" si="386"/>
        <v>0</v>
      </c>
      <c r="S94" s="9">
        <f t="shared" si="386"/>
        <v>-22539</v>
      </c>
      <c r="T94" s="9"/>
      <c r="U94" s="9">
        <f t="shared" si="386"/>
        <v>1790920</v>
      </c>
      <c r="V94" s="9"/>
      <c r="W94" s="9">
        <f t="shared" si="386"/>
        <v>1167</v>
      </c>
      <c r="X94" s="9">
        <f t="shared" ref="X94" si="388">SUM(X95:X135)</f>
        <v>0</v>
      </c>
      <c r="Y94" s="9">
        <f t="shared" si="386"/>
        <v>19017</v>
      </c>
      <c r="Z94" s="9">
        <f t="shared" ref="Z94:AE94" si="389">SUM(Z95:Z135)</f>
        <v>86002</v>
      </c>
      <c r="AA94" s="9">
        <f t="shared" ref="AA94:AD94" si="390">SUM(AA95:AA135)</f>
        <v>0</v>
      </c>
      <c r="AB94" s="9">
        <f t="shared" si="390"/>
        <v>0</v>
      </c>
      <c r="AC94" s="9">
        <f t="shared" si="390"/>
        <v>0</v>
      </c>
      <c r="AD94" s="9">
        <f t="shared" si="390"/>
        <v>2573</v>
      </c>
      <c r="AE94" s="9">
        <f t="shared" si="389"/>
        <v>-2388</v>
      </c>
      <c r="AF94" s="9">
        <f t="shared" si="386"/>
        <v>0</v>
      </c>
      <c r="AG94" s="9">
        <f>SUM(AG95:AG135)</f>
        <v>9522</v>
      </c>
      <c r="AH94" s="9">
        <f t="shared" ref="AH94" si="391">SUM(AH95:AH135)</f>
        <v>10724</v>
      </c>
      <c r="AI94" s="9">
        <f t="shared" ref="AI94" si="392">SUM(AI95:AI135)</f>
        <v>1202</v>
      </c>
      <c r="AJ94" s="9">
        <f t="shared" ref="AJ94" si="393">SUM(AJ95:AJ135)</f>
        <v>0</v>
      </c>
      <c r="AK94" s="9">
        <f t="shared" ref="AK94" si="394">SUM(AK95:AK135)</f>
        <v>0</v>
      </c>
      <c r="AL94" s="9">
        <f t="shared" ref="AL94" si="395">SUM(AL95:AL135)</f>
        <v>0</v>
      </c>
      <c r="AM94" s="9">
        <f t="shared" ref="AM94" si="396">SUM(AM95:AM135)</f>
        <v>1202</v>
      </c>
      <c r="AN94" s="9">
        <f t="shared" ref="AN94" si="397">SUM(AN95:AN135)</f>
        <v>0</v>
      </c>
      <c r="AO94" s="9">
        <f t="shared" ref="AO94" si="398">SUM(AO95:AO135)</f>
        <v>0</v>
      </c>
      <c r="AP94" s="9">
        <f t="shared" ref="AP94" si="399">SUM(AP95:AP135)</f>
        <v>0</v>
      </c>
      <c r="AQ94" s="9">
        <f t="shared" ref="AQ94" si="400">SUM(AQ95:AQ135)</f>
        <v>0</v>
      </c>
      <c r="AR94" s="9">
        <f t="shared" ref="AR94" si="401">SUM(AR95:AR135)</f>
        <v>0</v>
      </c>
      <c r="AS94" s="9">
        <f t="shared" ref="AS94" si="402">SUM(AS95:AS135)</f>
        <v>0</v>
      </c>
      <c r="AT94" s="9">
        <f>SUM(AT95:AT135)</f>
        <v>236715</v>
      </c>
      <c r="AU94" s="96">
        <f t="shared" ref="AU94" si="403">SUM(AU95:AU135)</f>
        <v>243953</v>
      </c>
      <c r="AV94" s="96">
        <f t="shared" ref="AV94" si="404">SUM(AV95:AV135)</f>
        <v>7238</v>
      </c>
      <c r="AW94" s="96">
        <f t="shared" ref="AW94" si="405">SUM(AW95:AW135)</f>
        <v>6405</v>
      </c>
      <c r="AX94" s="96">
        <f t="shared" ref="AX94" si="406">SUM(AX95:AX135)</f>
        <v>0</v>
      </c>
      <c r="AY94" s="96">
        <f t="shared" ref="AY94" si="407">SUM(AY95:AY135)</f>
        <v>0</v>
      </c>
      <c r="AZ94" s="96">
        <f t="shared" ref="AZ94" si="408">SUM(AZ95:AZ135)</f>
        <v>0</v>
      </c>
      <c r="BA94" s="96">
        <f t="shared" ref="BA94" si="409">SUM(BA95:BA135)</f>
        <v>0</v>
      </c>
      <c r="BB94" s="96">
        <f t="shared" ref="BB94" si="410">SUM(BB95:BB135)</f>
        <v>214</v>
      </c>
      <c r="BC94" s="96">
        <f t="shared" ref="BC94" si="411">SUM(BC95:BC135)</f>
        <v>14</v>
      </c>
      <c r="BD94" s="96">
        <f t="shared" ref="BD94" si="412">SUM(BD95:BD135)</f>
        <v>531</v>
      </c>
      <c r="BE94" s="96">
        <f t="shared" ref="BE94" si="413">SUM(BE95:BE135)</f>
        <v>74</v>
      </c>
      <c r="BF94" s="96">
        <f t="shared" ref="BF94:BG94" si="414">SUM(BF95:BF135)</f>
        <v>0</v>
      </c>
      <c r="BG94" s="96">
        <f t="shared" si="414"/>
        <v>0</v>
      </c>
      <c r="BH94" s="96">
        <f>SUM(BH95:BH135)</f>
        <v>0</v>
      </c>
      <c r="BI94" s="9">
        <f t="shared" ref="BI94" si="415">SUM(BI95:BI135)</f>
        <v>0</v>
      </c>
      <c r="BJ94" s="96">
        <f t="shared" ref="BJ94" si="416">SUM(BJ95:BJ135)</f>
        <v>0</v>
      </c>
      <c r="BK94" s="96">
        <f t="shared" ref="BK94" si="417">SUM(BK95:BK135)</f>
        <v>0</v>
      </c>
      <c r="BL94" s="96">
        <f t="shared" ref="BL94" si="418">SUM(BL95:BL135)</f>
        <v>0</v>
      </c>
      <c r="BM94" s="96">
        <f t="shared" ref="BM94" si="419">SUM(BM95:BM135)</f>
        <v>0</v>
      </c>
      <c r="BN94" s="96">
        <f t="shared" ref="BN94" si="420">SUM(BN95:BN135)</f>
        <v>0</v>
      </c>
      <c r="BO94" s="96">
        <f t="shared" ref="BO94" si="421">SUM(BO95:BO135)</f>
        <v>0</v>
      </c>
      <c r="BP94" s="9">
        <f>SUM(BP95:BP135)</f>
        <v>0</v>
      </c>
      <c r="BQ94" s="310">
        <f t="shared" ref="BQ94" si="422">SUM(BQ95:BQ135)</f>
        <v>-14</v>
      </c>
      <c r="BR94" s="96">
        <f t="shared" ref="BR94" si="423">SUM(BR95:BR135)</f>
        <v>-14</v>
      </c>
      <c r="BS94" s="96">
        <f t="shared" ref="BS94" si="424">SUM(BS95:BS135)</f>
        <v>0</v>
      </c>
      <c r="BT94" s="96">
        <f t="shared" ref="BT94" si="425">SUM(BT95:BT135)</f>
        <v>0</v>
      </c>
      <c r="BU94" s="96">
        <f t="shared" ref="BU94" si="426">SUM(BU95:BU135)</f>
        <v>0</v>
      </c>
      <c r="BV94" s="96">
        <f t="shared" ref="BV94" si="427">SUM(BV95:BV135)</f>
        <v>0</v>
      </c>
      <c r="BW94" s="96">
        <f t="shared" ref="BW94" si="428">SUM(BW95:BW135)</f>
        <v>0</v>
      </c>
      <c r="BX94" s="96">
        <f t="shared" ref="BX94" si="429">SUM(BX95:BX135)</f>
        <v>0</v>
      </c>
      <c r="BY94" s="96">
        <f t="shared" ref="BY94" si="430">SUM(BY95:BY135)</f>
        <v>0</v>
      </c>
      <c r="BZ94" s="96">
        <f t="shared" ref="BZ94" si="431">SUM(BZ95:BZ135)</f>
        <v>-14</v>
      </c>
      <c r="CA94" s="96">
        <f t="shared" ref="CA94" si="432">SUM(CA95:CA135)</f>
        <v>0</v>
      </c>
      <c r="CB94" s="96">
        <f t="shared" ref="CB94:CD94" si="433">SUM(CB95:CB135)</f>
        <v>0</v>
      </c>
      <c r="CC94" s="96">
        <f t="shared" ref="CC94" si="434">SUM(CC95:CC135)</f>
        <v>0</v>
      </c>
      <c r="CD94" s="96">
        <f t="shared" si="433"/>
        <v>0</v>
      </c>
      <c r="CE94" s="12"/>
      <c r="CF94" s="87"/>
      <c r="CG94" s="24"/>
    </row>
    <row r="95" spans="1:85" ht="23.25" customHeight="1" thickTop="1" x14ac:dyDescent="0.2">
      <c r="A95" s="129">
        <v>90000056357</v>
      </c>
      <c r="B95" s="247" t="s">
        <v>5</v>
      </c>
      <c r="C95" s="285" t="s">
        <v>182</v>
      </c>
      <c r="D95" s="80">
        <f t="shared" ref="D95:D134" si="435">F95+AG95+AT95+BH95+BP95</f>
        <v>708734</v>
      </c>
      <c r="E95" s="295">
        <f t="shared" ref="E95:E134" si="436">G95+AH95+AU95+BI95+BQ95</f>
        <v>710734</v>
      </c>
      <c r="F95" s="164">
        <v>708734</v>
      </c>
      <c r="G95" s="164">
        <f t="shared" ref="G95:G134" si="437">F95+H95</f>
        <v>710734</v>
      </c>
      <c r="H95" s="164">
        <f t="shared" ref="H95:H134" si="438">SUM(I95:AF95)</f>
        <v>2000</v>
      </c>
      <c r="I95" s="164"/>
      <c r="J95" s="164"/>
      <c r="K95" s="164"/>
      <c r="L95" s="164"/>
      <c r="M95" s="164"/>
      <c r="N95" s="164"/>
      <c r="O95" s="164"/>
      <c r="P95" s="164"/>
      <c r="Q95" s="164"/>
      <c r="R95" s="164"/>
      <c r="S95" s="164"/>
      <c r="T95" s="164"/>
      <c r="U95" s="164"/>
      <c r="V95" s="164"/>
      <c r="W95" s="164">
        <v>2000</v>
      </c>
      <c r="X95" s="164"/>
      <c r="Y95" s="164"/>
      <c r="Z95" s="164"/>
      <c r="AA95" s="164"/>
      <c r="AB95" s="164"/>
      <c r="AC95" s="164"/>
      <c r="AD95" s="164"/>
      <c r="AE95" s="164"/>
      <c r="AF95" s="164"/>
      <c r="AG95" s="164">
        <v>0</v>
      </c>
      <c r="AH95" s="164">
        <f t="shared" ref="AH95:AH134" si="439">AG95+AI95</f>
        <v>0</v>
      </c>
      <c r="AI95" s="164">
        <f t="shared" ref="AI95:AI134" si="440">SUM(AJ95:AS95)</f>
        <v>0</v>
      </c>
      <c r="AJ95" s="164"/>
      <c r="AK95" s="164"/>
      <c r="AL95" s="164"/>
      <c r="AM95" s="164"/>
      <c r="AN95" s="164"/>
      <c r="AO95" s="164"/>
      <c r="AP95" s="164"/>
      <c r="AQ95" s="164"/>
      <c r="AR95" s="164"/>
      <c r="AS95" s="164"/>
      <c r="AT95" s="164">
        <v>0</v>
      </c>
      <c r="AU95" s="164">
        <f t="shared" ref="AU95:AU134" si="441">AT95+AV95</f>
        <v>0</v>
      </c>
      <c r="AV95" s="164">
        <f t="shared" ref="AV95:AV134" si="442">SUM(AW95:BG95)</f>
        <v>0</v>
      </c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>
        <v>0</v>
      </c>
      <c r="BI95" s="81">
        <f t="shared" ref="BI95:BI134" si="443">BH95+BJ95</f>
        <v>0</v>
      </c>
      <c r="BJ95" s="98">
        <f t="shared" ref="BJ95:BJ134" si="444">SUM(BK95:BO95)</f>
        <v>0</v>
      </c>
      <c r="BK95" s="199"/>
      <c r="BL95" s="199"/>
      <c r="BM95" s="199"/>
      <c r="BN95" s="199"/>
      <c r="BO95" s="199"/>
      <c r="BP95" s="163"/>
      <c r="BQ95" s="81">
        <f t="shared" ref="BQ95:BQ134" si="445">BP95+BR95</f>
        <v>0</v>
      </c>
      <c r="BR95" s="81">
        <f t="shared" ref="BR95:BR134" si="446">SUM(BS95:CD95)</f>
        <v>0</v>
      </c>
      <c r="BS95" s="199"/>
      <c r="BT95" s="199"/>
      <c r="BU95" s="199"/>
      <c r="BV95" s="199"/>
      <c r="BW95" s="199"/>
      <c r="BX95" s="199"/>
      <c r="BY95" s="199"/>
      <c r="BZ95" s="199"/>
      <c r="CA95" s="199"/>
      <c r="CB95" s="199"/>
      <c r="CC95" s="199"/>
      <c r="CD95" s="199"/>
      <c r="CE95" s="82" t="s">
        <v>461</v>
      </c>
      <c r="CF95" s="85"/>
      <c r="CG95" s="24"/>
    </row>
    <row r="96" spans="1:85" ht="24" x14ac:dyDescent="0.2">
      <c r="A96" s="108"/>
      <c r="B96" s="243"/>
      <c r="C96" s="285" t="s">
        <v>511</v>
      </c>
      <c r="D96" s="80">
        <f t="shared" si="435"/>
        <v>981862</v>
      </c>
      <c r="E96" s="295">
        <f t="shared" si="436"/>
        <v>928844</v>
      </c>
      <c r="F96" s="81">
        <v>981862</v>
      </c>
      <c r="G96" s="81">
        <f t="shared" si="437"/>
        <v>928844</v>
      </c>
      <c r="H96" s="81">
        <f t="shared" si="438"/>
        <v>-53018</v>
      </c>
      <c r="I96" s="81"/>
      <c r="J96" s="81"/>
      <c r="K96" s="81">
        <v>13063</v>
      </c>
      <c r="L96" s="81"/>
      <c r="M96" s="81">
        <v>-8591</v>
      </c>
      <c r="N96" s="81"/>
      <c r="O96" s="81"/>
      <c r="P96" s="81"/>
      <c r="Q96" s="81"/>
      <c r="R96" s="81">
        <v>-2104</v>
      </c>
      <c r="S96" s="81">
        <v>-25689</v>
      </c>
      <c r="T96" s="81"/>
      <c r="U96" s="81">
        <f>-12193-5549</f>
        <v>-17742</v>
      </c>
      <c r="V96" s="81"/>
      <c r="W96" s="81">
        <f>-17677-1057+4221</f>
        <v>-14513</v>
      </c>
      <c r="X96" s="81"/>
      <c r="Y96" s="81">
        <f>7558</f>
        <v>7558</v>
      </c>
      <c r="Z96" s="81"/>
      <c r="AA96" s="81"/>
      <c r="AB96" s="81"/>
      <c r="AC96" s="81"/>
      <c r="AD96" s="81"/>
      <c r="AE96" s="81">
        <v>-5000</v>
      </c>
      <c r="AF96" s="81"/>
      <c r="AG96" s="81">
        <v>0</v>
      </c>
      <c r="AH96" s="81">
        <f t="shared" si="439"/>
        <v>0</v>
      </c>
      <c r="AI96" s="81">
        <f t="shared" si="440"/>
        <v>0</v>
      </c>
      <c r="AJ96" s="81"/>
      <c r="AK96" s="81"/>
      <c r="AL96" s="81"/>
      <c r="AM96" s="81"/>
      <c r="AN96" s="81"/>
      <c r="AO96" s="81"/>
      <c r="AP96" s="81"/>
      <c r="AQ96" s="81"/>
      <c r="AR96" s="81"/>
      <c r="AS96" s="81"/>
      <c r="AT96" s="81">
        <v>0</v>
      </c>
      <c r="AU96" s="81">
        <f t="shared" si="441"/>
        <v>0</v>
      </c>
      <c r="AV96" s="81">
        <f t="shared" si="442"/>
        <v>0</v>
      </c>
      <c r="AW96" s="81"/>
      <c r="AX96" s="81"/>
      <c r="AY96" s="81"/>
      <c r="AZ96" s="81"/>
      <c r="BA96" s="81"/>
      <c r="BB96" s="81"/>
      <c r="BC96" s="81"/>
      <c r="BD96" s="81"/>
      <c r="BE96" s="81"/>
      <c r="BF96" s="81"/>
      <c r="BG96" s="81"/>
      <c r="BH96" s="81">
        <v>0</v>
      </c>
      <c r="BI96" s="81">
        <f t="shared" si="443"/>
        <v>0</v>
      </c>
      <c r="BJ96" s="98">
        <f t="shared" si="444"/>
        <v>0</v>
      </c>
      <c r="BK96" s="81"/>
      <c r="BL96" s="81"/>
      <c r="BM96" s="81"/>
      <c r="BN96" s="81"/>
      <c r="BO96" s="81"/>
      <c r="BP96" s="81"/>
      <c r="BQ96" s="81">
        <f t="shared" si="445"/>
        <v>0</v>
      </c>
      <c r="BR96" s="81">
        <f t="shared" si="446"/>
        <v>0</v>
      </c>
      <c r="BS96" s="81"/>
      <c r="BT96" s="81"/>
      <c r="BU96" s="81"/>
      <c r="BV96" s="81"/>
      <c r="BW96" s="81"/>
      <c r="BX96" s="81"/>
      <c r="BY96" s="81"/>
      <c r="BZ96" s="81"/>
      <c r="CA96" s="81"/>
      <c r="CB96" s="81"/>
      <c r="CC96" s="81"/>
      <c r="CD96" s="81"/>
      <c r="CE96" s="82" t="s">
        <v>334</v>
      </c>
      <c r="CF96" s="85" t="s">
        <v>670</v>
      </c>
      <c r="CG96" s="24"/>
    </row>
    <row r="97" spans="1:85" ht="15" customHeight="1" x14ac:dyDescent="0.2">
      <c r="A97" s="108"/>
      <c r="B97" s="243"/>
      <c r="C97" s="285" t="s">
        <v>239</v>
      </c>
      <c r="D97" s="80">
        <f t="shared" si="435"/>
        <v>30000</v>
      </c>
      <c r="E97" s="295">
        <f t="shared" si="436"/>
        <v>64000</v>
      </c>
      <c r="F97" s="81">
        <v>30000</v>
      </c>
      <c r="G97" s="81">
        <f t="shared" si="437"/>
        <v>64000</v>
      </c>
      <c r="H97" s="81">
        <f t="shared" si="438"/>
        <v>34000</v>
      </c>
      <c r="I97" s="81">
        <v>34000</v>
      </c>
      <c r="J97" s="81"/>
      <c r="K97" s="81"/>
      <c r="L97" s="81"/>
      <c r="M97" s="81"/>
      <c r="N97" s="81"/>
      <c r="O97" s="81"/>
      <c r="P97" s="81"/>
      <c r="Q97" s="81"/>
      <c r="R97" s="81"/>
      <c r="S97" s="81"/>
      <c r="T97" s="81"/>
      <c r="U97" s="81"/>
      <c r="V97" s="81"/>
      <c r="W97" s="81"/>
      <c r="X97" s="81"/>
      <c r="Y97" s="81"/>
      <c r="Z97" s="81"/>
      <c r="AA97" s="81"/>
      <c r="AB97" s="81"/>
      <c r="AC97" s="81"/>
      <c r="AD97" s="81"/>
      <c r="AE97" s="81"/>
      <c r="AF97" s="81"/>
      <c r="AG97" s="81">
        <v>0</v>
      </c>
      <c r="AH97" s="81">
        <f t="shared" si="439"/>
        <v>0</v>
      </c>
      <c r="AI97" s="81">
        <f t="shared" si="440"/>
        <v>0</v>
      </c>
      <c r="AJ97" s="81"/>
      <c r="AK97" s="81"/>
      <c r="AL97" s="81"/>
      <c r="AM97" s="81"/>
      <c r="AN97" s="81"/>
      <c r="AO97" s="81"/>
      <c r="AP97" s="81"/>
      <c r="AQ97" s="81"/>
      <c r="AR97" s="81"/>
      <c r="AS97" s="81"/>
      <c r="AT97" s="81">
        <v>0</v>
      </c>
      <c r="AU97" s="81">
        <f t="shared" si="441"/>
        <v>0</v>
      </c>
      <c r="AV97" s="81">
        <f t="shared" si="442"/>
        <v>0</v>
      </c>
      <c r="AW97" s="81"/>
      <c r="AX97" s="81"/>
      <c r="AY97" s="81"/>
      <c r="AZ97" s="81"/>
      <c r="BA97" s="81"/>
      <c r="BB97" s="81"/>
      <c r="BC97" s="81"/>
      <c r="BD97" s="81"/>
      <c r="BE97" s="81"/>
      <c r="BF97" s="81"/>
      <c r="BG97" s="81"/>
      <c r="BH97" s="81">
        <v>0</v>
      </c>
      <c r="BI97" s="81">
        <f t="shared" si="443"/>
        <v>0</v>
      </c>
      <c r="BJ97" s="98">
        <f t="shared" si="444"/>
        <v>0</v>
      </c>
      <c r="BK97" s="81"/>
      <c r="BL97" s="81"/>
      <c r="BM97" s="81"/>
      <c r="BN97" s="81"/>
      <c r="BO97" s="81"/>
      <c r="BP97" s="81"/>
      <c r="BQ97" s="81">
        <f t="shared" si="445"/>
        <v>0</v>
      </c>
      <c r="BR97" s="81">
        <f t="shared" si="446"/>
        <v>0</v>
      </c>
      <c r="BS97" s="81"/>
      <c r="BT97" s="81"/>
      <c r="BU97" s="81"/>
      <c r="BV97" s="81"/>
      <c r="BW97" s="81"/>
      <c r="BX97" s="81"/>
      <c r="BY97" s="81"/>
      <c r="BZ97" s="81"/>
      <c r="CA97" s="81"/>
      <c r="CB97" s="81"/>
      <c r="CC97" s="81"/>
      <c r="CD97" s="81"/>
      <c r="CE97" s="82" t="s">
        <v>335</v>
      </c>
      <c r="CF97" s="85" t="s">
        <v>445</v>
      </c>
      <c r="CG97" s="24"/>
    </row>
    <row r="98" spans="1:85" ht="12.75" x14ac:dyDescent="0.2">
      <c r="A98" s="108"/>
      <c r="B98" s="243"/>
      <c r="C98" s="319" t="s">
        <v>471</v>
      </c>
      <c r="D98" s="80">
        <f t="shared" si="435"/>
        <v>986282</v>
      </c>
      <c r="E98" s="295">
        <f t="shared" si="436"/>
        <v>988825</v>
      </c>
      <c r="F98" s="81">
        <v>986282</v>
      </c>
      <c r="G98" s="81">
        <f t="shared" si="437"/>
        <v>988825</v>
      </c>
      <c r="H98" s="81">
        <f t="shared" si="438"/>
        <v>2543</v>
      </c>
      <c r="I98" s="81"/>
      <c r="J98" s="81"/>
      <c r="K98" s="81">
        <v>2400</v>
      </c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1">
        <f>11459</f>
        <v>11459</v>
      </c>
      <c r="Z98" s="81">
        <f>-858-11316+471+24+363</f>
        <v>-11316</v>
      </c>
      <c r="AA98" s="81"/>
      <c r="AB98" s="81"/>
      <c r="AC98" s="81"/>
      <c r="AD98" s="81"/>
      <c r="AE98" s="81"/>
      <c r="AF98" s="81"/>
      <c r="AG98" s="81">
        <v>0</v>
      </c>
      <c r="AH98" s="81">
        <f t="shared" si="439"/>
        <v>0</v>
      </c>
      <c r="AI98" s="81">
        <f t="shared" si="440"/>
        <v>0</v>
      </c>
      <c r="AJ98" s="81"/>
      <c r="AK98" s="81"/>
      <c r="AL98" s="81"/>
      <c r="AM98" s="81"/>
      <c r="AN98" s="81"/>
      <c r="AO98" s="81"/>
      <c r="AP98" s="81"/>
      <c r="AQ98" s="81"/>
      <c r="AR98" s="81"/>
      <c r="AS98" s="81"/>
      <c r="AT98" s="81">
        <v>0</v>
      </c>
      <c r="AU98" s="81">
        <f t="shared" si="441"/>
        <v>0</v>
      </c>
      <c r="AV98" s="81">
        <f t="shared" si="442"/>
        <v>0</v>
      </c>
      <c r="AW98" s="81"/>
      <c r="AX98" s="81"/>
      <c r="AY98" s="81"/>
      <c r="AZ98" s="81"/>
      <c r="BA98" s="81"/>
      <c r="BB98" s="81"/>
      <c r="BC98" s="81"/>
      <c r="BD98" s="81"/>
      <c r="BE98" s="81"/>
      <c r="BF98" s="81"/>
      <c r="BG98" s="81"/>
      <c r="BH98" s="81">
        <v>0</v>
      </c>
      <c r="BI98" s="81">
        <f t="shared" si="443"/>
        <v>0</v>
      </c>
      <c r="BJ98" s="98">
        <f t="shared" si="444"/>
        <v>0</v>
      </c>
      <c r="BK98" s="81"/>
      <c r="BL98" s="81"/>
      <c r="BM98" s="81"/>
      <c r="BN98" s="81"/>
      <c r="BO98" s="81"/>
      <c r="BP98" s="81"/>
      <c r="BQ98" s="81">
        <f t="shared" si="445"/>
        <v>0</v>
      </c>
      <c r="BR98" s="81">
        <f t="shared" si="446"/>
        <v>0</v>
      </c>
      <c r="BS98" s="81"/>
      <c r="BT98" s="81"/>
      <c r="BU98" s="81"/>
      <c r="BV98" s="81"/>
      <c r="BW98" s="81"/>
      <c r="BX98" s="81"/>
      <c r="BY98" s="81"/>
      <c r="BZ98" s="81"/>
      <c r="CA98" s="81"/>
      <c r="CB98" s="81"/>
      <c r="CC98" s="81"/>
      <c r="CD98" s="81"/>
      <c r="CE98" s="82" t="s">
        <v>336</v>
      </c>
      <c r="CF98" s="85" t="s">
        <v>566</v>
      </c>
      <c r="CG98" s="24"/>
    </row>
    <row r="99" spans="1:85" ht="12.75" x14ac:dyDescent="0.2">
      <c r="A99" s="108"/>
      <c r="B99" s="243"/>
      <c r="C99" s="285" t="s">
        <v>261</v>
      </c>
      <c r="D99" s="80">
        <f t="shared" si="435"/>
        <v>174568</v>
      </c>
      <c r="E99" s="295">
        <f t="shared" si="436"/>
        <v>174568</v>
      </c>
      <c r="F99" s="81">
        <v>174568</v>
      </c>
      <c r="G99" s="81">
        <f t="shared" si="437"/>
        <v>174568</v>
      </c>
      <c r="H99" s="81">
        <f t="shared" si="438"/>
        <v>0</v>
      </c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>
        <v>0</v>
      </c>
      <c r="AH99" s="81">
        <f t="shared" si="439"/>
        <v>0</v>
      </c>
      <c r="AI99" s="81">
        <f t="shared" si="440"/>
        <v>0</v>
      </c>
      <c r="AJ99" s="81"/>
      <c r="AK99" s="81"/>
      <c r="AL99" s="81"/>
      <c r="AM99" s="81"/>
      <c r="AN99" s="81"/>
      <c r="AO99" s="81"/>
      <c r="AP99" s="81"/>
      <c r="AQ99" s="81"/>
      <c r="AR99" s="81"/>
      <c r="AS99" s="81"/>
      <c r="AT99" s="81">
        <v>0</v>
      </c>
      <c r="AU99" s="81">
        <f t="shared" si="441"/>
        <v>0</v>
      </c>
      <c r="AV99" s="81">
        <f t="shared" si="442"/>
        <v>0</v>
      </c>
      <c r="AW99" s="81"/>
      <c r="AX99" s="81"/>
      <c r="AY99" s="81"/>
      <c r="AZ99" s="81"/>
      <c r="BA99" s="81"/>
      <c r="BB99" s="81"/>
      <c r="BC99" s="81"/>
      <c r="BD99" s="81"/>
      <c r="BE99" s="81"/>
      <c r="BF99" s="81"/>
      <c r="BG99" s="81"/>
      <c r="BH99" s="81">
        <v>0</v>
      </c>
      <c r="BI99" s="81">
        <f t="shared" si="443"/>
        <v>0</v>
      </c>
      <c r="BJ99" s="98">
        <f t="shared" si="444"/>
        <v>0</v>
      </c>
      <c r="BK99" s="81"/>
      <c r="BL99" s="81"/>
      <c r="BM99" s="81"/>
      <c r="BN99" s="81"/>
      <c r="BO99" s="81"/>
      <c r="BP99" s="81"/>
      <c r="BQ99" s="81">
        <f t="shared" si="445"/>
        <v>0</v>
      </c>
      <c r="BR99" s="81">
        <f t="shared" si="446"/>
        <v>0</v>
      </c>
      <c r="BS99" s="81"/>
      <c r="BT99" s="81"/>
      <c r="BU99" s="81"/>
      <c r="BV99" s="81"/>
      <c r="BW99" s="81"/>
      <c r="BX99" s="81"/>
      <c r="BY99" s="81"/>
      <c r="BZ99" s="81"/>
      <c r="CA99" s="81"/>
      <c r="CB99" s="81"/>
      <c r="CC99" s="81"/>
      <c r="CD99" s="81"/>
      <c r="CE99" s="82" t="s">
        <v>337</v>
      </c>
      <c r="CF99" s="85" t="s">
        <v>671</v>
      </c>
      <c r="CG99" s="24"/>
    </row>
    <row r="100" spans="1:85" s="162" customFormat="1" ht="12.75" x14ac:dyDescent="0.2">
      <c r="A100" s="108"/>
      <c r="B100" s="243"/>
      <c r="C100" s="285" t="s">
        <v>219</v>
      </c>
      <c r="D100" s="80">
        <f t="shared" si="435"/>
        <v>696192</v>
      </c>
      <c r="E100" s="295">
        <f t="shared" si="436"/>
        <v>681756</v>
      </c>
      <c r="F100" s="81">
        <v>696192</v>
      </c>
      <c r="G100" s="81">
        <f t="shared" si="437"/>
        <v>681756</v>
      </c>
      <c r="H100" s="81">
        <f t="shared" si="438"/>
        <v>-14436</v>
      </c>
      <c r="I100" s="81"/>
      <c r="J100" s="81">
        <v>1140</v>
      </c>
      <c r="K100" s="81"/>
      <c r="L100" s="81"/>
      <c r="M100" s="81"/>
      <c r="N100" s="81"/>
      <c r="O100" s="81"/>
      <c r="P100" s="81"/>
      <c r="Q100" s="81"/>
      <c r="R100" s="81"/>
      <c r="S100" s="81"/>
      <c r="T100" s="81"/>
      <c r="U100" s="81"/>
      <c r="V100" s="81"/>
      <c r="W100" s="81">
        <v>-350</v>
      </c>
      <c r="X100" s="81"/>
      <c r="Y100" s="81"/>
      <c r="Z100" s="81">
        <v>-3991</v>
      </c>
      <c r="AA100" s="81"/>
      <c r="AB100" s="81"/>
      <c r="AC100" s="81"/>
      <c r="AD100" s="81"/>
      <c r="AE100" s="81">
        <v>-11235</v>
      </c>
      <c r="AF100" s="81"/>
      <c r="AG100" s="81">
        <v>0</v>
      </c>
      <c r="AH100" s="81">
        <f t="shared" si="439"/>
        <v>0</v>
      </c>
      <c r="AI100" s="81">
        <f t="shared" si="440"/>
        <v>0</v>
      </c>
      <c r="AJ100" s="81"/>
      <c r="AK100" s="81"/>
      <c r="AL100" s="81"/>
      <c r="AM100" s="81"/>
      <c r="AN100" s="81"/>
      <c r="AO100" s="81"/>
      <c r="AP100" s="81"/>
      <c r="AQ100" s="81"/>
      <c r="AR100" s="81"/>
      <c r="AS100" s="81"/>
      <c r="AT100" s="81">
        <v>0</v>
      </c>
      <c r="AU100" s="81">
        <f t="shared" si="441"/>
        <v>0</v>
      </c>
      <c r="AV100" s="81">
        <f t="shared" si="442"/>
        <v>0</v>
      </c>
      <c r="AW100" s="81"/>
      <c r="AX100" s="81"/>
      <c r="AY100" s="81"/>
      <c r="AZ100" s="81"/>
      <c r="BA100" s="81"/>
      <c r="BB100" s="81"/>
      <c r="BC100" s="81"/>
      <c r="BD100" s="81"/>
      <c r="BE100" s="81"/>
      <c r="BF100" s="81"/>
      <c r="BG100" s="81"/>
      <c r="BH100" s="81">
        <v>0</v>
      </c>
      <c r="BI100" s="81">
        <f t="shared" si="443"/>
        <v>0</v>
      </c>
      <c r="BJ100" s="98">
        <f t="shared" si="444"/>
        <v>0</v>
      </c>
      <c r="BK100" s="81"/>
      <c r="BL100" s="81"/>
      <c r="BM100" s="81"/>
      <c r="BN100" s="81"/>
      <c r="BO100" s="81"/>
      <c r="BP100" s="81"/>
      <c r="BQ100" s="81">
        <f t="shared" si="445"/>
        <v>0</v>
      </c>
      <c r="BR100" s="81">
        <f t="shared" si="446"/>
        <v>0</v>
      </c>
      <c r="BS100" s="81"/>
      <c r="BT100" s="81"/>
      <c r="BU100" s="81"/>
      <c r="BV100" s="81"/>
      <c r="BW100" s="81"/>
      <c r="BX100" s="81"/>
      <c r="BY100" s="81"/>
      <c r="BZ100" s="81"/>
      <c r="CA100" s="81"/>
      <c r="CB100" s="81"/>
      <c r="CC100" s="81"/>
      <c r="CD100" s="81"/>
      <c r="CE100" s="82" t="s">
        <v>338</v>
      </c>
      <c r="CF100" s="85" t="s">
        <v>448</v>
      </c>
      <c r="CG100" s="24"/>
    </row>
    <row r="101" spans="1:85" s="162" customFormat="1" ht="12.75" x14ac:dyDescent="0.2">
      <c r="A101" s="108"/>
      <c r="B101" s="243"/>
      <c r="C101" s="285" t="s">
        <v>478</v>
      </c>
      <c r="D101" s="80">
        <f t="shared" si="435"/>
        <v>375248</v>
      </c>
      <c r="E101" s="295">
        <f t="shared" si="436"/>
        <v>399444</v>
      </c>
      <c r="F101" s="81">
        <v>375248</v>
      </c>
      <c r="G101" s="81">
        <f t="shared" si="437"/>
        <v>399444</v>
      </c>
      <c r="H101" s="81">
        <f t="shared" si="438"/>
        <v>24196</v>
      </c>
      <c r="I101" s="81"/>
      <c r="J101" s="81">
        <v>2451</v>
      </c>
      <c r="K101" s="81">
        <v>6169</v>
      </c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>
        <v>350</v>
      </c>
      <c r="X101" s="81"/>
      <c r="Y101" s="81"/>
      <c r="Z101" s="81">
        <v>3991</v>
      </c>
      <c r="AA101" s="81"/>
      <c r="AB101" s="81"/>
      <c r="AC101" s="81"/>
      <c r="AD101" s="81"/>
      <c r="AE101" s="81">
        <v>11235</v>
      </c>
      <c r="AF101" s="81"/>
      <c r="AG101" s="81">
        <v>0</v>
      </c>
      <c r="AH101" s="81">
        <f t="shared" si="439"/>
        <v>0</v>
      </c>
      <c r="AI101" s="81">
        <f t="shared" si="440"/>
        <v>0</v>
      </c>
      <c r="AJ101" s="81"/>
      <c r="AK101" s="81"/>
      <c r="AL101" s="81"/>
      <c r="AM101" s="81"/>
      <c r="AN101" s="81"/>
      <c r="AO101" s="81"/>
      <c r="AP101" s="81"/>
      <c r="AQ101" s="81"/>
      <c r="AR101" s="81"/>
      <c r="AS101" s="81"/>
      <c r="AT101" s="81">
        <v>0</v>
      </c>
      <c r="AU101" s="81">
        <f t="shared" si="441"/>
        <v>0</v>
      </c>
      <c r="AV101" s="81">
        <f t="shared" si="442"/>
        <v>0</v>
      </c>
      <c r="AW101" s="81"/>
      <c r="AX101" s="81"/>
      <c r="AY101" s="81"/>
      <c r="AZ101" s="81"/>
      <c r="BA101" s="81"/>
      <c r="BB101" s="81"/>
      <c r="BC101" s="81"/>
      <c r="BD101" s="81"/>
      <c r="BE101" s="81"/>
      <c r="BF101" s="81"/>
      <c r="BG101" s="81"/>
      <c r="BH101" s="81">
        <v>0</v>
      </c>
      <c r="BI101" s="81">
        <f t="shared" si="443"/>
        <v>0</v>
      </c>
      <c r="BJ101" s="98">
        <f t="shared" si="444"/>
        <v>0</v>
      </c>
      <c r="BK101" s="81"/>
      <c r="BL101" s="81"/>
      <c r="BM101" s="81"/>
      <c r="BN101" s="81"/>
      <c r="BO101" s="81"/>
      <c r="BP101" s="81"/>
      <c r="BQ101" s="81">
        <f t="shared" si="445"/>
        <v>0</v>
      </c>
      <c r="BR101" s="81">
        <f t="shared" si="446"/>
        <v>0</v>
      </c>
      <c r="BS101" s="81"/>
      <c r="BT101" s="81"/>
      <c r="BU101" s="81"/>
      <c r="BV101" s="81"/>
      <c r="BW101" s="81"/>
      <c r="BX101" s="81"/>
      <c r="BY101" s="81"/>
      <c r="BZ101" s="81"/>
      <c r="CA101" s="81"/>
      <c r="CB101" s="81"/>
      <c r="CC101" s="81"/>
      <c r="CD101" s="81"/>
      <c r="CE101" s="82" t="s">
        <v>483</v>
      </c>
      <c r="CF101" s="85" t="s">
        <v>448</v>
      </c>
      <c r="CG101" s="24"/>
    </row>
    <row r="102" spans="1:85" s="140" customFormat="1" ht="12.75" x14ac:dyDescent="0.2">
      <c r="A102" s="108"/>
      <c r="B102" s="243"/>
      <c r="C102" s="285" t="s">
        <v>459</v>
      </c>
      <c r="D102" s="80">
        <f t="shared" si="435"/>
        <v>7000</v>
      </c>
      <c r="E102" s="295">
        <f t="shared" si="436"/>
        <v>7000</v>
      </c>
      <c r="F102" s="81">
        <v>7000</v>
      </c>
      <c r="G102" s="81">
        <f t="shared" si="437"/>
        <v>7000</v>
      </c>
      <c r="H102" s="81">
        <f t="shared" si="438"/>
        <v>0</v>
      </c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>
        <v>0</v>
      </c>
      <c r="AH102" s="81">
        <f t="shared" si="439"/>
        <v>0</v>
      </c>
      <c r="AI102" s="81">
        <f t="shared" si="440"/>
        <v>0</v>
      </c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  <c r="AT102" s="81">
        <v>0</v>
      </c>
      <c r="AU102" s="81">
        <f t="shared" si="441"/>
        <v>0</v>
      </c>
      <c r="AV102" s="81">
        <f t="shared" si="442"/>
        <v>0</v>
      </c>
      <c r="AW102" s="81"/>
      <c r="AX102" s="81"/>
      <c r="AY102" s="81"/>
      <c r="AZ102" s="81"/>
      <c r="BA102" s="81"/>
      <c r="BB102" s="81"/>
      <c r="BC102" s="81"/>
      <c r="BD102" s="81"/>
      <c r="BE102" s="81"/>
      <c r="BF102" s="81"/>
      <c r="BG102" s="81"/>
      <c r="BH102" s="81">
        <v>0</v>
      </c>
      <c r="BI102" s="81">
        <f t="shared" si="443"/>
        <v>0</v>
      </c>
      <c r="BJ102" s="98">
        <f t="shared" si="444"/>
        <v>0</v>
      </c>
      <c r="BK102" s="81"/>
      <c r="BL102" s="81"/>
      <c r="BM102" s="81"/>
      <c r="BN102" s="81"/>
      <c r="BO102" s="81"/>
      <c r="BP102" s="81"/>
      <c r="BQ102" s="81">
        <f t="shared" si="445"/>
        <v>0</v>
      </c>
      <c r="BR102" s="81">
        <f t="shared" si="446"/>
        <v>0</v>
      </c>
      <c r="BS102" s="81"/>
      <c r="BT102" s="81"/>
      <c r="BU102" s="81"/>
      <c r="BV102" s="81"/>
      <c r="BW102" s="81"/>
      <c r="BX102" s="81"/>
      <c r="BY102" s="81"/>
      <c r="BZ102" s="81"/>
      <c r="CA102" s="81"/>
      <c r="CB102" s="81"/>
      <c r="CC102" s="81"/>
      <c r="CD102" s="81"/>
      <c r="CE102" s="82" t="s">
        <v>501</v>
      </c>
      <c r="CF102" s="85" t="s">
        <v>448</v>
      </c>
      <c r="CG102" s="24"/>
    </row>
    <row r="103" spans="1:85" s="162" customFormat="1" ht="24.75" customHeight="1" x14ac:dyDescent="0.2">
      <c r="A103" s="108"/>
      <c r="B103" s="243"/>
      <c r="C103" s="285" t="s">
        <v>259</v>
      </c>
      <c r="D103" s="80">
        <f t="shared" si="435"/>
        <v>304004</v>
      </c>
      <c r="E103" s="295">
        <f t="shared" si="436"/>
        <v>304004</v>
      </c>
      <c r="F103" s="81">
        <v>304004</v>
      </c>
      <c r="G103" s="81">
        <f t="shared" si="437"/>
        <v>304004</v>
      </c>
      <c r="H103" s="81">
        <f t="shared" si="438"/>
        <v>0</v>
      </c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>
        <v>0</v>
      </c>
      <c r="AH103" s="81">
        <f t="shared" si="439"/>
        <v>0</v>
      </c>
      <c r="AI103" s="81">
        <f t="shared" si="440"/>
        <v>0</v>
      </c>
      <c r="AJ103" s="81"/>
      <c r="AK103" s="81"/>
      <c r="AL103" s="81"/>
      <c r="AM103" s="81"/>
      <c r="AN103" s="81"/>
      <c r="AO103" s="81"/>
      <c r="AP103" s="81"/>
      <c r="AQ103" s="81"/>
      <c r="AR103" s="81"/>
      <c r="AS103" s="81"/>
      <c r="AT103" s="81">
        <v>0</v>
      </c>
      <c r="AU103" s="81">
        <f t="shared" si="441"/>
        <v>0</v>
      </c>
      <c r="AV103" s="81">
        <f t="shared" si="442"/>
        <v>0</v>
      </c>
      <c r="AW103" s="81"/>
      <c r="AX103" s="81"/>
      <c r="AY103" s="81"/>
      <c r="AZ103" s="81"/>
      <c r="BA103" s="81"/>
      <c r="BB103" s="81"/>
      <c r="BC103" s="81"/>
      <c r="BD103" s="81"/>
      <c r="BE103" s="81"/>
      <c r="BF103" s="81"/>
      <c r="BG103" s="81"/>
      <c r="BH103" s="81">
        <v>0</v>
      </c>
      <c r="BI103" s="81">
        <f t="shared" si="443"/>
        <v>0</v>
      </c>
      <c r="BJ103" s="98">
        <f t="shared" si="444"/>
        <v>0</v>
      </c>
      <c r="BK103" s="81"/>
      <c r="BL103" s="81"/>
      <c r="BM103" s="81"/>
      <c r="BN103" s="81"/>
      <c r="BO103" s="81"/>
      <c r="BP103" s="81"/>
      <c r="BQ103" s="81">
        <f t="shared" si="445"/>
        <v>0</v>
      </c>
      <c r="BR103" s="81">
        <f t="shared" si="446"/>
        <v>0</v>
      </c>
      <c r="BS103" s="81"/>
      <c r="BT103" s="81"/>
      <c r="BU103" s="81"/>
      <c r="BV103" s="81"/>
      <c r="BW103" s="81"/>
      <c r="BX103" s="81"/>
      <c r="BY103" s="81"/>
      <c r="BZ103" s="81"/>
      <c r="CA103" s="81"/>
      <c r="CB103" s="81"/>
      <c r="CC103" s="81"/>
      <c r="CD103" s="81"/>
      <c r="CE103" s="82" t="s">
        <v>496</v>
      </c>
      <c r="CF103" s="85" t="s">
        <v>442</v>
      </c>
      <c r="CG103" s="24"/>
    </row>
    <row r="104" spans="1:85" s="162" customFormat="1" ht="24" x14ac:dyDescent="0.2">
      <c r="A104" s="108"/>
      <c r="B104" s="243"/>
      <c r="C104" s="285" t="s">
        <v>255</v>
      </c>
      <c r="D104" s="80">
        <f t="shared" si="435"/>
        <v>91758</v>
      </c>
      <c r="E104" s="295">
        <f t="shared" si="436"/>
        <v>225193</v>
      </c>
      <c r="F104" s="81">
        <v>91758</v>
      </c>
      <c r="G104" s="81">
        <f t="shared" si="437"/>
        <v>225193</v>
      </c>
      <c r="H104" s="81">
        <f t="shared" si="438"/>
        <v>133435</v>
      </c>
      <c r="I104" s="81"/>
      <c r="J104" s="81"/>
      <c r="K104" s="81">
        <v>5107</v>
      </c>
      <c r="L104" s="81">
        <v>-2671</v>
      </c>
      <c r="M104" s="81">
        <v>13785</v>
      </c>
      <c r="N104" s="81"/>
      <c r="O104" s="81"/>
      <c r="P104" s="81"/>
      <c r="Q104" s="81">
        <v>107022</v>
      </c>
      <c r="R104" s="81">
        <v>2104</v>
      </c>
      <c r="S104" s="81">
        <v>2550</v>
      </c>
      <c r="T104" s="81"/>
      <c r="U104" s="81"/>
      <c r="V104" s="81"/>
      <c r="W104" s="81">
        <v>2915</v>
      </c>
      <c r="X104" s="81"/>
      <c r="Y104" s="81"/>
      <c r="Z104" s="81"/>
      <c r="AA104" s="81"/>
      <c r="AB104" s="81"/>
      <c r="AC104" s="81"/>
      <c r="AD104" s="81"/>
      <c r="AE104" s="81">
        <v>2623</v>
      </c>
      <c r="AF104" s="81"/>
      <c r="AG104" s="81">
        <v>0</v>
      </c>
      <c r="AH104" s="81">
        <f t="shared" si="439"/>
        <v>0</v>
      </c>
      <c r="AI104" s="81">
        <f t="shared" si="440"/>
        <v>0</v>
      </c>
      <c r="AJ104" s="81"/>
      <c r="AK104" s="81"/>
      <c r="AL104" s="81"/>
      <c r="AM104" s="81"/>
      <c r="AN104" s="81"/>
      <c r="AO104" s="81"/>
      <c r="AP104" s="81"/>
      <c r="AQ104" s="81"/>
      <c r="AR104" s="81"/>
      <c r="AS104" s="81"/>
      <c r="AT104" s="81">
        <v>0</v>
      </c>
      <c r="AU104" s="81">
        <f t="shared" si="441"/>
        <v>0</v>
      </c>
      <c r="AV104" s="81">
        <f t="shared" si="442"/>
        <v>0</v>
      </c>
      <c r="AW104" s="81"/>
      <c r="AX104" s="81"/>
      <c r="AY104" s="81"/>
      <c r="AZ104" s="81"/>
      <c r="BA104" s="81"/>
      <c r="BB104" s="81"/>
      <c r="BC104" s="81"/>
      <c r="BD104" s="81"/>
      <c r="BE104" s="81"/>
      <c r="BF104" s="81"/>
      <c r="BG104" s="81"/>
      <c r="BH104" s="81">
        <v>0</v>
      </c>
      <c r="BI104" s="81">
        <f t="shared" si="443"/>
        <v>0</v>
      </c>
      <c r="BJ104" s="98">
        <f t="shared" si="444"/>
        <v>0</v>
      </c>
      <c r="BK104" s="81"/>
      <c r="BL104" s="81"/>
      <c r="BM104" s="81"/>
      <c r="BN104" s="81"/>
      <c r="BO104" s="81"/>
      <c r="BP104" s="81"/>
      <c r="BQ104" s="81">
        <f t="shared" si="445"/>
        <v>0</v>
      </c>
      <c r="BR104" s="81">
        <f t="shared" si="446"/>
        <v>0</v>
      </c>
      <c r="BS104" s="81"/>
      <c r="BT104" s="81"/>
      <c r="BU104" s="81"/>
      <c r="BV104" s="81"/>
      <c r="BW104" s="81"/>
      <c r="BX104" s="81"/>
      <c r="BY104" s="81"/>
      <c r="BZ104" s="81"/>
      <c r="CA104" s="81"/>
      <c r="CB104" s="81"/>
      <c r="CC104" s="81"/>
      <c r="CD104" s="81"/>
      <c r="CE104" s="82" t="s">
        <v>499</v>
      </c>
      <c r="CF104" s="85" t="s">
        <v>672</v>
      </c>
      <c r="CG104" s="24"/>
    </row>
    <row r="105" spans="1:85" s="162" customFormat="1" ht="24" x14ac:dyDescent="0.2">
      <c r="A105" s="108"/>
      <c r="B105" s="243"/>
      <c r="C105" s="285" t="s">
        <v>523</v>
      </c>
      <c r="D105" s="80">
        <f t="shared" si="435"/>
        <v>15161</v>
      </c>
      <c r="E105" s="295">
        <f t="shared" si="436"/>
        <v>15161</v>
      </c>
      <c r="F105" s="81">
        <v>15161</v>
      </c>
      <c r="G105" s="81">
        <f t="shared" si="437"/>
        <v>15161</v>
      </c>
      <c r="H105" s="81">
        <f t="shared" si="438"/>
        <v>0</v>
      </c>
      <c r="I105" s="81"/>
      <c r="J105" s="81"/>
      <c r="K105" s="81"/>
      <c r="L105" s="81"/>
      <c r="M105" s="81"/>
      <c r="N105" s="81"/>
      <c r="O105" s="81"/>
      <c r="P105" s="81"/>
      <c r="Q105" s="81"/>
      <c r="R105" s="81"/>
      <c r="S105" s="81"/>
      <c r="T105" s="81"/>
      <c r="U105" s="81"/>
      <c r="V105" s="81"/>
      <c r="W105" s="81"/>
      <c r="X105" s="81"/>
      <c r="Y105" s="81"/>
      <c r="Z105" s="81"/>
      <c r="AA105" s="81"/>
      <c r="AB105" s="81"/>
      <c r="AC105" s="81"/>
      <c r="AD105" s="81"/>
      <c r="AE105" s="81"/>
      <c r="AF105" s="81"/>
      <c r="AG105" s="81">
        <v>0</v>
      </c>
      <c r="AH105" s="81">
        <f t="shared" si="439"/>
        <v>0</v>
      </c>
      <c r="AI105" s="81">
        <f t="shared" si="440"/>
        <v>0</v>
      </c>
      <c r="AJ105" s="81"/>
      <c r="AK105" s="81"/>
      <c r="AL105" s="81"/>
      <c r="AM105" s="81"/>
      <c r="AN105" s="81"/>
      <c r="AO105" s="81"/>
      <c r="AP105" s="81"/>
      <c r="AQ105" s="81"/>
      <c r="AR105" s="81"/>
      <c r="AS105" s="81"/>
      <c r="AT105" s="81">
        <v>0</v>
      </c>
      <c r="AU105" s="81">
        <f t="shared" si="441"/>
        <v>0</v>
      </c>
      <c r="AV105" s="81">
        <f t="shared" si="442"/>
        <v>0</v>
      </c>
      <c r="AW105" s="81"/>
      <c r="AX105" s="81"/>
      <c r="AY105" s="81"/>
      <c r="AZ105" s="81"/>
      <c r="BA105" s="81"/>
      <c r="BB105" s="81"/>
      <c r="BC105" s="81"/>
      <c r="BD105" s="81"/>
      <c r="BE105" s="81"/>
      <c r="BF105" s="81"/>
      <c r="BG105" s="81"/>
      <c r="BH105" s="81">
        <v>0</v>
      </c>
      <c r="BI105" s="81">
        <f t="shared" si="443"/>
        <v>0</v>
      </c>
      <c r="BJ105" s="98">
        <f t="shared" si="444"/>
        <v>0</v>
      </c>
      <c r="BK105" s="81"/>
      <c r="BL105" s="81"/>
      <c r="BM105" s="81"/>
      <c r="BN105" s="81"/>
      <c r="BO105" s="81"/>
      <c r="BP105" s="81"/>
      <c r="BQ105" s="81">
        <f t="shared" si="445"/>
        <v>0</v>
      </c>
      <c r="BR105" s="81">
        <f t="shared" si="446"/>
        <v>0</v>
      </c>
      <c r="BS105" s="81"/>
      <c r="BT105" s="81"/>
      <c r="BU105" s="81"/>
      <c r="BV105" s="81"/>
      <c r="BW105" s="81"/>
      <c r="BX105" s="81"/>
      <c r="BY105" s="81"/>
      <c r="BZ105" s="81"/>
      <c r="CA105" s="81"/>
      <c r="CB105" s="81"/>
      <c r="CC105" s="81"/>
      <c r="CD105" s="81"/>
      <c r="CE105" s="82" t="s">
        <v>708</v>
      </c>
      <c r="CF105" s="85" t="s">
        <v>709</v>
      </c>
      <c r="CG105" s="24"/>
    </row>
    <row r="106" spans="1:85" s="198" customFormat="1" ht="36" x14ac:dyDescent="0.2">
      <c r="A106" s="108"/>
      <c r="B106" s="243"/>
      <c r="C106" s="344" t="s">
        <v>771</v>
      </c>
      <c r="D106" s="80">
        <f t="shared" ref="D106" si="447">F106+AG106+AT106+BH106+BP106</f>
        <v>0</v>
      </c>
      <c r="E106" s="295">
        <f t="shared" ref="E106" si="448">G106+AH106+AU106+BI106+BQ106</f>
        <v>0</v>
      </c>
      <c r="F106" s="81"/>
      <c r="G106" s="81">
        <f t="shared" ref="G106" si="449">F106+H106</f>
        <v>0</v>
      </c>
      <c r="H106" s="81">
        <f t="shared" ref="H106" si="450">SUM(I106:AF106)</f>
        <v>0</v>
      </c>
      <c r="I106" s="81"/>
      <c r="J106" s="81"/>
      <c r="K106" s="81"/>
      <c r="L106" s="81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81"/>
      <c r="X106" s="81"/>
      <c r="Y106" s="81"/>
      <c r="Z106" s="81"/>
      <c r="AA106" s="81"/>
      <c r="AB106" s="81"/>
      <c r="AC106" s="81"/>
      <c r="AD106" s="81"/>
      <c r="AE106" s="81"/>
      <c r="AF106" s="81"/>
      <c r="AG106" s="81"/>
      <c r="AH106" s="81">
        <f t="shared" ref="AH106" si="451">AG106+AI106</f>
        <v>0</v>
      </c>
      <c r="AI106" s="81">
        <f t="shared" ref="AI106" si="452">SUM(AJ106:AS106)</f>
        <v>0</v>
      </c>
      <c r="AJ106" s="81"/>
      <c r="AK106" s="81"/>
      <c r="AL106" s="81"/>
      <c r="AM106" s="81"/>
      <c r="AN106" s="81"/>
      <c r="AO106" s="81"/>
      <c r="AP106" s="81"/>
      <c r="AQ106" s="81"/>
      <c r="AR106" s="81"/>
      <c r="AS106" s="81"/>
      <c r="AT106" s="81"/>
      <c r="AU106" s="81">
        <f t="shared" ref="AU106" si="453">AT106+AV106</f>
        <v>0</v>
      </c>
      <c r="AV106" s="81">
        <f t="shared" ref="AV106" si="454">SUM(AW106:BG106)</f>
        <v>0</v>
      </c>
      <c r="AW106" s="81"/>
      <c r="AX106" s="81"/>
      <c r="AY106" s="81"/>
      <c r="AZ106" s="81"/>
      <c r="BA106" s="81"/>
      <c r="BB106" s="81"/>
      <c r="BC106" s="81"/>
      <c r="BD106" s="81"/>
      <c r="BE106" s="81"/>
      <c r="BF106" s="81"/>
      <c r="BG106" s="81"/>
      <c r="BH106" s="81"/>
      <c r="BI106" s="81">
        <f t="shared" ref="BI106" si="455">BH106+BJ106</f>
        <v>0</v>
      </c>
      <c r="BJ106" s="98">
        <f t="shared" ref="BJ106" si="456">SUM(BK106:BO106)</f>
        <v>0</v>
      </c>
      <c r="BK106" s="98"/>
      <c r="BL106" s="98"/>
      <c r="BM106" s="98"/>
      <c r="BN106" s="98"/>
      <c r="BO106" s="98"/>
      <c r="BP106" s="81"/>
      <c r="BQ106" s="81">
        <f t="shared" ref="BQ106" si="457">BP106+BR106</f>
        <v>0</v>
      </c>
      <c r="BR106" s="81">
        <f t="shared" ref="BR106" si="458">SUM(BS106:CD106)</f>
        <v>0</v>
      </c>
      <c r="BS106" s="98"/>
      <c r="BT106" s="98"/>
      <c r="BU106" s="98"/>
      <c r="BV106" s="98"/>
      <c r="BW106" s="98"/>
      <c r="BX106" s="98"/>
      <c r="BY106" s="98"/>
      <c r="BZ106" s="98"/>
      <c r="CA106" s="98"/>
      <c r="CB106" s="98"/>
      <c r="CC106" s="98"/>
      <c r="CD106" s="98"/>
      <c r="CE106" s="82" t="s">
        <v>770</v>
      </c>
      <c r="CF106" s="85"/>
      <c r="CG106" s="24"/>
    </row>
    <row r="107" spans="1:85" s="198" customFormat="1" ht="36" x14ac:dyDescent="0.2">
      <c r="A107" s="108"/>
      <c r="B107" s="243"/>
      <c r="C107" s="355" t="s">
        <v>790</v>
      </c>
      <c r="D107" s="80">
        <f t="shared" ref="D107" si="459">F107+AG107+AT107+BH107+BP107</f>
        <v>0</v>
      </c>
      <c r="E107" s="295">
        <f t="shared" ref="E107" si="460">G107+AH107+AU107+BI107+BQ107</f>
        <v>31489</v>
      </c>
      <c r="F107" s="81"/>
      <c r="G107" s="81">
        <f t="shared" ref="G107" si="461">F107+H107</f>
        <v>31489</v>
      </c>
      <c r="H107" s="81">
        <f t="shared" ref="H107" si="462">SUM(I107:AF107)</f>
        <v>31489</v>
      </c>
      <c r="I107" s="81"/>
      <c r="J107" s="81"/>
      <c r="K107" s="81"/>
      <c r="L107" s="81">
        <v>31500</v>
      </c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  <c r="X107" s="81"/>
      <c r="Y107" s="81"/>
      <c r="Z107" s="81"/>
      <c r="AA107" s="81"/>
      <c r="AB107" s="81"/>
      <c r="AC107" s="81"/>
      <c r="AD107" s="81"/>
      <c r="AE107" s="81">
        <v>-11</v>
      </c>
      <c r="AF107" s="81"/>
      <c r="AG107" s="81"/>
      <c r="AH107" s="81">
        <f t="shared" ref="AH107" si="463">AG107+AI107</f>
        <v>0</v>
      </c>
      <c r="AI107" s="81">
        <f t="shared" ref="AI107" si="464">SUM(AJ107:AS107)</f>
        <v>0</v>
      </c>
      <c r="AJ107" s="81"/>
      <c r="AK107" s="81"/>
      <c r="AL107" s="81"/>
      <c r="AM107" s="81"/>
      <c r="AN107" s="81"/>
      <c r="AO107" s="81"/>
      <c r="AP107" s="81"/>
      <c r="AQ107" s="81"/>
      <c r="AR107" s="81"/>
      <c r="AS107" s="81"/>
      <c r="AT107" s="81"/>
      <c r="AU107" s="81">
        <f t="shared" ref="AU107" si="465">AT107+AV107</f>
        <v>0</v>
      </c>
      <c r="AV107" s="81">
        <f t="shared" ref="AV107" si="466">SUM(AW107:BG107)</f>
        <v>0</v>
      </c>
      <c r="AW107" s="81"/>
      <c r="AX107" s="81"/>
      <c r="AY107" s="81"/>
      <c r="AZ107" s="81"/>
      <c r="BA107" s="81"/>
      <c r="BB107" s="81"/>
      <c r="BC107" s="81"/>
      <c r="BD107" s="81"/>
      <c r="BE107" s="81"/>
      <c r="BF107" s="81"/>
      <c r="BG107" s="81"/>
      <c r="BH107" s="81"/>
      <c r="BI107" s="81">
        <f t="shared" ref="BI107" si="467">BH107+BJ107</f>
        <v>0</v>
      </c>
      <c r="BJ107" s="98">
        <f t="shared" ref="BJ107" si="468">SUM(BK107:BO107)</f>
        <v>0</v>
      </c>
      <c r="BK107" s="98"/>
      <c r="BL107" s="98"/>
      <c r="BM107" s="98"/>
      <c r="BN107" s="98"/>
      <c r="BO107" s="98"/>
      <c r="BP107" s="81"/>
      <c r="BQ107" s="81">
        <f t="shared" ref="BQ107" si="469">BP107+BR107</f>
        <v>0</v>
      </c>
      <c r="BR107" s="81">
        <f t="shared" ref="BR107" si="470">SUM(BS107:CD107)</f>
        <v>0</v>
      </c>
      <c r="BS107" s="98"/>
      <c r="BT107" s="98"/>
      <c r="BU107" s="98"/>
      <c r="BV107" s="98"/>
      <c r="BW107" s="98"/>
      <c r="BX107" s="98"/>
      <c r="BY107" s="98"/>
      <c r="BZ107" s="98"/>
      <c r="CA107" s="98"/>
      <c r="CB107" s="98"/>
      <c r="CC107" s="98"/>
      <c r="CD107" s="98"/>
      <c r="CE107" s="82" t="s">
        <v>791</v>
      </c>
      <c r="CF107" s="85"/>
      <c r="CG107" s="24"/>
    </row>
    <row r="108" spans="1:85" s="198" customFormat="1" ht="24.75" customHeight="1" x14ac:dyDescent="0.2">
      <c r="A108" s="108"/>
      <c r="B108" s="243"/>
      <c r="C108" s="378" t="s">
        <v>798</v>
      </c>
      <c r="D108" s="80">
        <f t="shared" ref="D108:D109" si="471">F108+AG108+AT108+BH108+BP108</f>
        <v>0</v>
      </c>
      <c r="E108" s="295">
        <f t="shared" ref="E108:E109" si="472">G108+AH108+AU108+BI108+BQ108</f>
        <v>6598</v>
      </c>
      <c r="F108" s="81"/>
      <c r="G108" s="81">
        <f t="shared" ref="G108:G109" si="473">F108+H108</f>
        <v>6598</v>
      </c>
      <c r="H108" s="81">
        <f t="shared" ref="H108:H109" si="474">SUM(I108:AF108)</f>
        <v>6598</v>
      </c>
      <c r="I108" s="81"/>
      <c r="J108" s="81"/>
      <c r="K108" s="81"/>
      <c r="L108" s="81"/>
      <c r="M108" s="81">
        <v>1357</v>
      </c>
      <c r="N108" s="81"/>
      <c r="O108" s="81"/>
      <c r="P108" s="81"/>
      <c r="Q108" s="81"/>
      <c r="R108" s="81"/>
      <c r="S108" s="81"/>
      <c r="T108" s="81"/>
      <c r="U108" s="81"/>
      <c r="V108" s="81"/>
      <c r="W108" s="81">
        <v>5241</v>
      </c>
      <c r="X108" s="81"/>
      <c r="Y108" s="81"/>
      <c r="Z108" s="81"/>
      <c r="AA108" s="81"/>
      <c r="AB108" s="81"/>
      <c r="AC108" s="81"/>
      <c r="AD108" s="81"/>
      <c r="AE108" s="81"/>
      <c r="AF108" s="81"/>
      <c r="AG108" s="81"/>
      <c r="AH108" s="81">
        <f t="shared" ref="AH108:AH109" si="475">AG108+AI108</f>
        <v>0</v>
      </c>
      <c r="AI108" s="81">
        <f t="shared" ref="AI108:AI109" si="476">SUM(AJ108:AS108)</f>
        <v>0</v>
      </c>
      <c r="AJ108" s="81"/>
      <c r="AK108" s="81"/>
      <c r="AL108" s="81"/>
      <c r="AM108" s="81"/>
      <c r="AN108" s="81"/>
      <c r="AO108" s="81"/>
      <c r="AP108" s="81"/>
      <c r="AQ108" s="81"/>
      <c r="AR108" s="81"/>
      <c r="AS108" s="81"/>
      <c r="AT108" s="81"/>
      <c r="AU108" s="81">
        <f t="shared" ref="AU108:AU109" si="477">AT108+AV108</f>
        <v>0</v>
      </c>
      <c r="AV108" s="81">
        <f t="shared" ref="AV108:AV109" si="478">SUM(AW108:BG108)</f>
        <v>0</v>
      </c>
      <c r="AW108" s="81"/>
      <c r="AX108" s="81"/>
      <c r="AY108" s="81"/>
      <c r="AZ108" s="81"/>
      <c r="BA108" s="81"/>
      <c r="BB108" s="81"/>
      <c r="BC108" s="81"/>
      <c r="BD108" s="81"/>
      <c r="BE108" s="81"/>
      <c r="BF108" s="81"/>
      <c r="BG108" s="81"/>
      <c r="BH108" s="81"/>
      <c r="BI108" s="81">
        <f t="shared" ref="BI108:BI109" si="479">BH108+BJ108</f>
        <v>0</v>
      </c>
      <c r="BJ108" s="98">
        <f t="shared" ref="BJ108:BJ109" si="480">SUM(BK108:BO108)</f>
        <v>0</v>
      </c>
      <c r="BK108" s="98"/>
      <c r="BL108" s="98"/>
      <c r="BM108" s="98"/>
      <c r="BN108" s="98"/>
      <c r="BO108" s="98"/>
      <c r="BP108" s="81"/>
      <c r="BQ108" s="81">
        <f t="shared" ref="BQ108:BQ109" si="481">BP108+BR108</f>
        <v>0</v>
      </c>
      <c r="BR108" s="81">
        <f t="shared" ref="BR108:BR109" si="482">SUM(BS108:CD108)</f>
        <v>0</v>
      </c>
      <c r="BS108" s="98"/>
      <c r="BT108" s="98"/>
      <c r="BU108" s="98"/>
      <c r="BV108" s="98"/>
      <c r="BW108" s="98"/>
      <c r="BX108" s="98"/>
      <c r="BY108" s="98"/>
      <c r="BZ108" s="98"/>
      <c r="CA108" s="98"/>
      <c r="CB108" s="98"/>
      <c r="CC108" s="98"/>
      <c r="CD108" s="98"/>
      <c r="CE108" s="82" t="s">
        <v>799</v>
      </c>
      <c r="CF108" s="85" t="s">
        <v>442</v>
      </c>
      <c r="CG108" s="24"/>
    </row>
    <row r="109" spans="1:85" s="198" customFormat="1" ht="15" customHeight="1" x14ac:dyDescent="0.2">
      <c r="A109" s="108"/>
      <c r="B109" s="243"/>
      <c r="C109" s="392" t="s">
        <v>828</v>
      </c>
      <c r="D109" s="80">
        <f t="shared" si="471"/>
        <v>0</v>
      </c>
      <c r="E109" s="295">
        <f t="shared" si="472"/>
        <v>1808662</v>
      </c>
      <c r="F109" s="81"/>
      <c r="G109" s="81">
        <f t="shared" si="473"/>
        <v>1808662</v>
      </c>
      <c r="H109" s="81">
        <f t="shared" si="474"/>
        <v>1808662</v>
      </c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>
        <v>1808662</v>
      </c>
      <c r="V109" s="81"/>
      <c r="W109" s="81"/>
      <c r="X109" s="81"/>
      <c r="Y109" s="81"/>
      <c r="Z109" s="81"/>
      <c r="AA109" s="81"/>
      <c r="AB109" s="81"/>
      <c r="AC109" s="81"/>
      <c r="AD109" s="81"/>
      <c r="AE109" s="81"/>
      <c r="AF109" s="81"/>
      <c r="AG109" s="81"/>
      <c r="AH109" s="81">
        <f t="shared" si="475"/>
        <v>0</v>
      </c>
      <c r="AI109" s="81">
        <f t="shared" si="476"/>
        <v>0</v>
      </c>
      <c r="AJ109" s="81"/>
      <c r="AK109" s="81"/>
      <c r="AL109" s="81"/>
      <c r="AM109" s="81"/>
      <c r="AN109" s="81"/>
      <c r="AO109" s="81"/>
      <c r="AP109" s="81"/>
      <c r="AQ109" s="81"/>
      <c r="AR109" s="81"/>
      <c r="AS109" s="81"/>
      <c r="AT109" s="81"/>
      <c r="AU109" s="81">
        <f t="shared" si="477"/>
        <v>0</v>
      </c>
      <c r="AV109" s="81">
        <f t="shared" si="478"/>
        <v>0</v>
      </c>
      <c r="AW109" s="81"/>
      <c r="AX109" s="81"/>
      <c r="AY109" s="81"/>
      <c r="AZ109" s="81"/>
      <c r="BA109" s="81"/>
      <c r="BB109" s="81"/>
      <c r="BC109" s="81"/>
      <c r="BD109" s="81"/>
      <c r="BE109" s="81"/>
      <c r="BF109" s="81"/>
      <c r="BG109" s="81"/>
      <c r="BH109" s="81"/>
      <c r="BI109" s="81">
        <f t="shared" si="479"/>
        <v>0</v>
      </c>
      <c r="BJ109" s="98">
        <f t="shared" si="480"/>
        <v>0</v>
      </c>
      <c r="BK109" s="98"/>
      <c r="BL109" s="98"/>
      <c r="BM109" s="98"/>
      <c r="BN109" s="98"/>
      <c r="BO109" s="98"/>
      <c r="BP109" s="81"/>
      <c r="BQ109" s="81">
        <f t="shared" si="481"/>
        <v>0</v>
      </c>
      <c r="BR109" s="81">
        <f t="shared" si="482"/>
        <v>0</v>
      </c>
      <c r="BS109" s="98"/>
      <c r="BT109" s="98"/>
      <c r="BU109" s="98"/>
      <c r="BV109" s="98"/>
      <c r="BW109" s="98"/>
      <c r="BX109" s="98"/>
      <c r="BY109" s="98"/>
      <c r="BZ109" s="98"/>
      <c r="CA109" s="98"/>
      <c r="CB109" s="98"/>
      <c r="CC109" s="98"/>
      <c r="CD109" s="98"/>
      <c r="CE109" s="82" t="s">
        <v>829</v>
      </c>
      <c r="CF109" s="85"/>
      <c r="CG109" s="24"/>
    </row>
    <row r="110" spans="1:85" ht="24.75" customHeight="1" x14ac:dyDescent="0.2">
      <c r="A110" s="108">
        <v>90000594245</v>
      </c>
      <c r="B110" s="241" t="s">
        <v>524</v>
      </c>
      <c r="C110" s="285" t="s">
        <v>204</v>
      </c>
      <c r="D110" s="80">
        <f t="shared" si="435"/>
        <v>33241</v>
      </c>
      <c r="E110" s="295">
        <f t="shared" si="436"/>
        <v>33241</v>
      </c>
      <c r="F110" s="81">
        <v>33241</v>
      </c>
      <c r="G110" s="81">
        <f t="shared" si="437"/>
        <v>33241</v>
      </c>
      <c r="H110" s="81">
        <f t="shared" si="438"/>
        <v>0</v>
      </c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  <c r="X110" s="81"/>
      <c r="Y110" s="81"/>
      <c r="Z110" s="81"/>
      <c r="AA110" s="81"/>
      <c r="AB110" s="81"/>
      <c r="AC110" s="81"/>
      <c r="AD110" s="81"/>
      <c r="AE110" s="81"/>
      <c r="AF110" s="81"/>
      <c r="AG110" s="81">
        <v>0</v>
      </c>
      <c r="AH110" s="81">
        <f t="shared" si="439"/>
        <v>0</v>
      </c>
      <c r="AI110" s="81">
        <f t="shared" si="440"/>
        <v>0</v>
      </c>
      <c r="AJ110" s="81"/>
      <c r="AK110" s="81"/>
      <c r="AL110" s="81"/>
      <c r="AM110" s="81"/>
      <c r="AN110" s="81"/>
      <c r="AO110" s="81"/>
      <c r="AP110" s="81"/>
      <c r="AQ110" s="81"/>
      <c r="AR110" s="81"/>
      <c r="AS110" s="81"/>
      <c r="AT110" s="81">
        <v>0</v>
      </c>
      <c r="AU110" s="81">
        <f t="shared" si="441"/>
        <v>0</v>
      </c>
      <c r="AV110" s="81">
        <f t="shared" si="442"/>
        <v>0</v>
      </c>
      <c r="AW110" s="81"/>
      <c r="AX110" s="81"/>
      <c r="AY110" s="81"/>
      <c r="AZ110" s="81"/>
      <c r="BA110" s="81"/>
      <c r="BB110" s="81"/>
      <c r="BC110" s="81"/>
      <c r="BD110" s="81"/>
      <c r="BE110" s="81"/>
      <c r="BF110" s="81"/>
      <c r="BG110" s="81"/>
      <c r="BH110" s="81">
        <v>0</v>
      </c>
      <c r="BI110" s="81">
        <f t="shared" si="443"/>
        <v>0</v>
      </c>
      <c r="BJ110" s="98">
        <f t="shared" si="444"/>
        <v>0</v>
      </c>
      <c r="BK110" s="98"/>
      <c r="BL110" s="98"/>
      <c r="BM110" s="98"/>
      <c r="BN110" s="98"/>
      <c r="BO110" s="98"/>
      <c r="BP110" s="81"/>
      <c r="BQ110" s="81">
        <f t="shared" si="445"/>
        <v>0</v>
      </c>
      <c r="BR110" s="81">
        <f t="shared" si="446"/>
        <v>0</v>
      </c>
      <c r="BS110" s="98"/>
      <c r="BT110" s="98"/>
      <c r="BU110" s="98"/>
      <c r="BV110" s="98"/>
      <c r="BW110" s="98"/>
      <c r="BX110" s="98"/>
      <c r="BY110" s="98"/>
      <c r="BZ110" s="98"/>
      <c r="CA110" s="98"/>
      <c r="CB110" s="98"/>
      <c r="CC110" s="98"/>
      <c r="CD110" s="98"/>
      <c r="CE110" s="82" t="s">
        <v>352</v>
      </c>
      <c r="CF110" s="85" t="s">
        <v>673</v>
      </c>
      <c r="CG110" s="24"/>
    </row>
    <row r="111" spans="1:85" s="122" customFormat="1" ht="15" customHeight="1" x14ac:dyDescent="0.2">
      <c r="A111" s="108"/>
      <c r="B111" s="242"/>
      <c r="C111" s="285" t="s">
        <v>266</v>
      </c>
      <c r="D111" s="80">
        <f t="shared" si="435"/>
        <v>4850</v>
      </c>
      <c r="E111" s="295">
        <f t="shared" si="436"/>
        <v>4850</v>
      </c>
      <c r="F111" s="81">
        <v>4850</v>
      </c>
      <c r="G111" s="81">
        <f t="shared" si="437"/>
        <v>4850</v>
      </c>
      <c r="H111" s="81">
        <f t="shared" si="438"/>
        <v>0</v>
      </c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  <c r="X111" s="81"/>
      <c r="Y111" s="81"/>
      <c r="Z111" s="81"/>
      <c r="AA111" s="81"/>
      <c r="AB111" s="81"/>
      <c r="AC111" s="81"/>
      <c r="AD111" s="81"/>
      <c r="AE111" s="81"/>
      <c r="AF111" s="81"/>
      <c r="AG111" s="81">
        <v>0</v>
      </c>
      <c r="AH111" s="81">
        <f t="shared" si="439"/>
        <v>0</v>
      </c>
      <c r="AI111" s="81">
        <f t="shared" si="440"/>
        <v>0</v>
      </c>
      <c r="AJ111" s="81"/>
      <c r="AK111" s="81"/>
      <c r="AL111" s="81"/>
      <c r="AM111" s="81"/>
      <c r="AN111" s="81"/>
      <c r="AO111" s="81"/>
      <c r="AP111" s="81"/>
      <c r="AQ111" s="81"/>
      <c r="AR111" s="81"/>
      <c r="AS111" s="81"/>
      <c r="AT111" s="81">
        <v>0</v>
      </c>
      <c r="AU111" s="81">
        <f t="shared" si="441"/>
        <v>0</v>
      </c>
      <c r="AV111" s="81">
        <f t="shared" si="442"/>
        <v>0</v>
      </c>
      <c r="AW111" s="81"/>
      <c r="AX111" s="81"/>
      <c r="AY111" s="81"/>
      <c r="AZ111" s="81"/>
      <c r="BA111" s="81"/>
      <c r="BB111" s="81"/>
      <c r="BC111" s="81"/>
      <c r="BD111" s="81"/>
      <c r="BE111" s="81"/>
      <c r="BF111" s="81"/>
      <c r="BG111" s="81"/>
      <c r="BH111" s="81">
        <v>0</v>
      </c>
      <c r="BI111" s="81">
        <f t="shared" si="443"/>
        <v>0</v>
      </c>
      <c r="BJ111" s="98">
        <f t="shared" si="444"/>
        <v>0</v>
      </c>
      <c r="BK111" s="98"/>
      <c r="BL111" s="98"/>
      <c r="BM111" s="98"/>
      <c r="BN111" s="98"/>
      <c r="BO111" s="98"/>
      <c r="BP111" s="81"/>
      <c r="BQ111" s="81">
        <f t="shared" si="445"/>
        <v>0</v>
      </c>
      <c r="BR111" s="81">
        <f t="shared" si="446"/>
        <v>0</v>
      </c>
      <c r="BS111" s="98"/>
      <c r="BT111" s="98"/>
      <c r="BU111" s="98"/>
      <c r="BV111" s="98"/>
      <c r="BW111" s="98"/>
      <c r="BX111" s="98"/>
      <c r="BY111" s="98"/>
      <c r="BZ111" s="98"/>
      <c r="CA111" s="98"/>
      <c r="CB111" s="98"/>
      <c r="CC111" s="98"/>
      <c r="CD111" s="98"/>
      <c r="CE111" s="82" t="s">
        <v>353</v>
      </c>
      <c r="CF111" s="85" t="s">
        <v>673</v>
      </c>
      <c r="CG111" s="24"/>
    </row>
    <row r="112" spans="1:85" s="122" customFormat="1" ht="15" customHeight="1" x14ac:dyDescent="0.2">
      <c r="A112" s="108"/>
      <c r="B112" s="242"/>
      <c r="C112" s="285" t="s">
        <v>267</v>
      </c>
      <c r="D112" s="80">
        <f t="shared" si="435"/>
        <v>11400</v>
      </c>
      <c r="E112" s="295">
        <f t="shared" si="436"/>
        <v>11400</v>
      </c>
      <c r="F112" s="81">
        <v>11400</v>
      </c>
      <c r="G112" s="81">
        <f t="shared" si="437"/>
        <v>11400</v>
      </c>
      <c r="H112" s="81">
        <f t="shared" si="438"/>
        <v>0</v>
      </c>
      <c r="I112" s="81"/>
      <c r="J112" s="81"/>
      <c r="K112" s="81"/>
      <c r="L112" s="81"/>
      <c r="M112" s="81"/>
      <c r="N112" s="81"/>
      <c r="O112" s="81"/>
      <c r="P112" s="81"/>
      <c r="Q112" s="81"/>
      <c r="R112" s="81"/>
      <c r="S112" s="81"/>
      <c r="T112" s="81"/>
      <c r="U112" s="81"/>
      <c r="V112" s="81"/>
      <c r="W112" s="81"/>
      <c r="X112" s="81"/>
      <c r="Y112" s="81"/>
      <c r="Z112" s="81"/>
      <c r="AA112" s="81"/>
      <c r="AB112" s="81"/>
      <c r="AC112" s="81"/>
      <c r="AD112" s="81"/>
      <c r="AE112" s="81"/>
      <c r="AF112" s="81"/>
      <c r="AG112" s="81">
        <v>0</v>
      </c>
      <c r="AH112" s="81">
        <f t="shared" si="439"/>
        <v>0</v>
      </c>
      <c r="AI112" s="81">
        <f t="shared" si="440"/>
        <v>0</v>
      </c>
      <c r="AJ112" s="81"/>
      <c r="AK112" s="81"/>
      <c r="AL112" s="81"/>
      <c r="AM112" s="81"/>
      <c r="AN112" s="81"/>
      <c r="AO112" s="81"/>
      <c r="AP112" s="81"/>
      <c r="AQ112" s="81"/>
      <c r="AR112" s="81"/>
      <c r="AS112" s="81"/>
      <c r="AT112" s="81">
        <v>0</v>
      </c>
      <c r="AU112" s="81">
        <f t="shared" si="441"/>
        <v>0</v>
      </c>
      <c r="AV112" s="81">
        <f t="shared" si="442"/>
        <v>0</v>
      </c>
      <c r="AW112" s="81"/>
      <c r="AX112" s="81"/>
      <c r="AY112" s="81"/>
      <c r="AZ112" s="81"/>
      <c r="BA112" s="81"/>
      <c r="BB112" s="81"/>
      <c r="BC112" s="81"/>
      <c r="BD112" s="81"/>
      <c r="BE112" s="81"/>
      <c r="BF112" s="81"/>
      <c r="BG112" s="81"/>
      <c r="BH112" s="81">
        <v>0</v>
      </c>
      <c r="BI112" s="81">
        <f t="shared" si="443"/>
        <v>0</v>
      </c>
      <c r="BJ112" s="98">
        <f t="shared" si="444"/>
        <v>0</v>
      </c>
      <c r="BK112" s="98"/>
      <c r="BL112" s="98"/>
      <c r="BM112" s="98"/>
      <c r="BN112" s="98"/>
      <c r="BO112" s="98"/>
      <c r="BP112" s="81"/>
      <c r="BQ112" s="81">
        <f t="shared" si="445"/>
        <v>0</v>
      </c>
      <c r="BR112" s="81">
        <f t="shared" si="446"/>
        <v>0</v>
      </c>
      <c r="BS112" s="98"/>
      <c r="BT112" s="98"/>
      <c r="BU112" s="98"/>
      <c r="BV112" s="98"/>
      <c r="BW112" s="98"/>
      <c r="BX112" s="98"/>
      <c r="BY112" s="98"/>
      <c r="BZ112" s="98"/>
      <c r="CA112" s="98"/>
      <c r="CB112" s="98"/>
      <c r="CC112" s="98"/>
      <c r="CD112" s="98"/>
      <c r="CE112" s="82" t="s">
        <v>354</v>
      </c>
      <c r="CF112" s="85" t="s">
        <v>673</v>
      </c>
      <c r="CG112" s="24"/>
    </row>
    <row r="113" spans="1:85" s="122" customFormat="1" ht="15" customHeight="1" x14ac:dyDescent="0.2">
      <c r="A113" s="108"/>
      <c r="B113" s="242"/>
      <c r="C113" s="285" t="s">
        <v>268</v>
      </c>
      <c r="D113" s="80">
        <f t="shared" si="435"/>
        <v>5878</v>
      </c>
      <c r="E113" s="295">
        <f t="shared" si="436"/>
        <v>5478</v>
      </c>
      <c r="F113" s="81">
        <v>5878</v>
      </c>
      <c r="G113" s="81">
        <f t="shared" si="437"/>
        <v>5478</v>
      </c>
      <c r="H113" s="81">
        <f t="shared" si="438"/>
        <v>-400</v>
      </c>
      <c r="I113" s="81"/>
      <c r="J113" s="81"/>
      <c r="K113" s="81"/>
      <c r="L113" s="81"/>
      <c r="M113" s="81"/>
      <c r="N113" s="81"/>
      <c r="O113" s="81"/>
      <c r="P113" s="81"/>
      <c r="Q113" s="81"/>
      <c r="R113" s="81"/>
      <c r="S113" s="81"/>
      <c r="T113" s="81"/>
      <c r="U113" s="81"/>
      <c r="V113" s="81"/>
      <c r="W113" s="81">
        <v>-400</v>
      </c>
      <c r="X113" s="81"/>
      <c r="Y113" s="81"/>
      <c r="Z113" s="81"/>
      <c r="AA113" s="81"/>
      <c r="AB113" s="81"/>
      <c r="AC113" s="81"/>
      <c r="AD113" s="81"/>
      <c r="AE113" s="81"/>
      <c r="AF113" s="81"/>
      <c r="AG113" s="81">
        <v>0</v>
      </c>
      <c r="AH113" s="81">
        <f t="shared" si="439"/>
        <v>0</v>
      </c>
      <c r="AI113" s="81">
        <f t="shared" si="440"/>
        <v>0</v>
      </c>
      <c r="AJ113" s="81"/>
      <c r="AK113" s="81"/>
      <c r="AL113" s="81"/>
      <c r="AM113" s="81"/>
      <c r="AN113" s="81"/>
      <c r="AO113" s="81"/>
      <c r="AP113" s="81"/>
      <c r="AQ113" s="81"/>
      <c r="AR113" s="81"/>
      <c r="AS113" s="81"/>
      <c r="AT113" s="81">
        <v>0</v>
      </c>
      <c r="AU113" s="81">
        <f t="shared" si="441"/>
        <v>0</v>
      </c>
      <c r="AV113" s="81">
        <f t="shared" si="442"/>
        <v>0</v>
      </c>
      <c r="AW113" s="81"/>
      <c r="AX113" s="81"/>
      <c r="AY113" s="81"/>
      <c r="AZ113" s="81"/>
      <c r="BA113" s="81"/>
      <c r="BB113" s="81"/>
      <c r="BC113" s="81"/>
      <c r="BD113" s="81"/>
      <c r="BE113" s="81"/>
      <c r="BF113" s="81"/>
      <c r="BG113" s="81"/>
      <c r="BH113" s="81">
        <v>0</v>
      </c>
      <c r="BI113" s="81">
        <f t="shared" si="443"/>
        <v>0</v>
      </c>
      <c r="BJ113" s="98">
        <f t="shared" si="444"/>
        <v>0</v>
      </c>
      <c r="BK113" s="98"/>
      <c r="BL113" s="98"/>
      <c r="BM113" s="98"/>
      <c r="BN113" s="98"/>
      <c r="BO113" s="98"/>
      <c r="BP113" s="81"/>
      <c r="BQ113" s="81">
        <f t="shared" si="445"/>
        <v>0</v>
      </c>
      <c r="BR113" s="81">
        <f t="shared" si="446"/>
        <v>0</v>
      </c>
      <c r="BS113" s="98"/>
      <c r="BT113" s="98"/>
      <c r="BU113" s="98"/>
      <c r="BV113" s="98"/>
      <c r="BW113" s="98"/>
      <c r="BX113" s="98"/>
      <c r="BY113" s="98"/>
      <c r="BZ113" s="98"/>
      <c r="CA113" s="98"/>
      <c r="CB113" s="98"/>
      <c r="CC113" s="98"/>
      <c r="CD113" s="98"/>
      <c r="CE113" s="82" t="s">
        <v>355</v>
      </c>
      <c r="CF113" s="85" t="s">
        <v>673</v>
      </c>
      <c r="CG113" s="24"/>
    </row>
    <row r="114" spans="1:85" s="122" customFormat="1" ht="15" customHeight="1" x14ac:dyDescent="0.2">
      <c r="A114" s="108"/>
      <c r="B114" s="242"/>
      <c r="C114" s="285" t="s">
        <v>269</v>
      </c>
      <c r="D114" s="80">
        <f t="shared" si="435"/>
        <v>50938</v>
      </c>
      <c r="E114" s="295">
        <f t="shared" si="436"/>
        <v>51338</v>
      </c>
      <c r="F114" s="81">
        <v>50938</v>
      </c>
      <c r="G114" s="81">
        <f t="shared" si="437"/>
        <v>51338</v>
      </c>
      <c r="H114" s="81">
        <f t="shared" si="438"/>
        <v>400</v>
      </c>
      <c r="I114" s="81"/>
      <c r="J114" s="81"/>
      <c r="K114" s="81"/>
      <c r="L114" s="81"/>
      <c r="M114" s="81"/>
      <c r="N114" s="81"/>
      <c r="O114" s="81"/>
      <c r="P114" s="81"/>
      <c r="Q114" s="81"/>
      <c r="R114" s="81"/>
      <c r="S114" s="81"/>
      <c r="T114" s="81"/>
      <c r="U114" s="81"/>
      <c r="V114" s="81"/>
      <c r="W114" s="81">
        <v>400</v>
      </c>
      <c r="X114" s="81"/>
      <c r="Y114" s="81"/>
      <c r="Z114" s="81"/>
      <c r="AA114" s="81"/>
      <c r="AB114" s="81"/>
      <c r="AC114" s="81"/>
      <c r="AD114" s="81"/>
      <c r="AE114" s="81"/>
      <c r="AF114" s="81"/>
      <c r="AG114" s="81">
        <v>0</v>
      </c>
      <c r="AH114" s="81">
        <f t="shared" si="439"/>
        <v>0</v>
      </c>
      <c r="AI114" s="81">
        <f t="shared" si="440"/>
        <v>0</v>
      </c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>
        <v>0</v>
      </c>
      <c r="AU114" s="81">
        <f t="shared" si="441"/>
        <v>0</v>
      </c>
      <c r="AV114" s="81">
        <f t="shared" si="442"/>
        <v>0</v>
      </c>
      <c r="AW114" s="81"/>
      <c r="AX114" s="81"/>
      <c r="AY114" s="81"/>
      <c r="AZ114" s="81"/>
      <c r="BA114" s="81"/>
      <c r="BB114" s="81"/>
      <c r="BC114" s="81"/>
      <c r="BD114" s="81"/>
      <c r="BE114" s="81"/>
      <c r="BF114" s="81"/>
      <c r="BG114" s="81"/>
      <c r="BH114" s="81">
        <v>0</v>
      </c>
      <c r="BI114" s="81">
        <f t="shared" si="443"/>
        <v>0</v>
      </c>
      <c r="BJ114" s="98">
        <f t="shared" si="444"/>
        <v>0</v>
      </c>
      <c r="BK114" s="98"/>
      <c r="BL114" s="98"/>
      <c r="BM114" s="98"/>
      <c r="BN114" s="98"/>
      <c r="BO114" s="98"/>
      <c r="BP114" s="81"/>
      <c r="BQ114" s="81">
        <f t="shared" si="445"/>
        <v>0</v>
      </c>
      <c r="BR114" s="81">
        <f t="shared" si="446"/>
        <v>0</v>
      </c>
      <c r="BS114" s="98"/>
      <c r="BT114" s="98"/>
      <c r="BU114" s="98"/>
      <c r="BV114" s="98"/>
      <c r="BW114" s="98"/>
      <c r="BX114" s="98"/>
      <c r="BY114" s="98"/>
      <c r="BZ114" s="98"/>
      <c r="CA114" s="98"/>
      <c r="CB114" s="98"/>
      <c r="CC114" s="98"/>
      <c r="CD114" s="98"/>
      <c r="CE114" s="82" t="s">
        <v>356</v>
      </c>
      <c r="CF114" s="85" t="s">
        <v>673</v>
      </c>
      <c r="CG114" s="24"/>
    </row>
    <row r="115" spans="1:85" s="122" customFormat="1" x14ac:dyDescent="0.2">
      <c r="A115" s="108"/>
      <c r="B115" s="242"/>
      <c r="C115" s="285" t="s">
        <v>270</v>
      </c>
      <c r="D115" s="80">
        <f t="shared" si="435"/>
        <v>1500</v>
      </c>
      <c r="E115" s="295">
        <f t="shared" si="436"/>
        <v>1500</v>
      </c>
      <c r="F115" s="81">
        <v>1500</v>
      </c>
      <c r="G115" s="81">
        <f t="shared" si="437"/>
        <v>1500</v>
      </c>
      <c r="H115" s="81">
        <f t="shared" si="438"/>
        <v>0</v>
      </c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  <c r="AG115" s="81">
        <v>0</v>
      </c>
      <c r="AH115" s="81">
        <f t="shared" si="439"/>
        <v>0</v>
      </c>
      <c r="AI115" s="81">
        <f t="shared" si="440"/>
        <v>0</v>
      </c>
      <c r="AJ115" s="81"/>
      <c r="AK115" s="81"/>
      <c r="AL115" s="81"/>
      <c r="AM115" s="81"/>
      <c r="AN115" s="81"/>
      <c r="AO115" s="81"/>
      <c r="AP115" s="81"/>
      <c r="AQ115" s="81"/>
      <c r="AR115" s="81"/>
      <c r="AS115" s="81"/>
      <c r="AT115" s="81">
        <v>0</v>
      </c>
      <c r="AU115" s="81">
        <f t="shared" si="441"/>
        <v>0</v>
      </c>
      <c r="AV115" s="81">
        <f t="shared" si="442"/>
        <v>0</v>
      </c>
      <c r="AW115" s="81"/>
      <c r="AX115" s="81"/>
      <c r="AY115" s="81"/>
      <c r="AZ115" s="81"/>
      <c r="BA115" s="81"/>
      <c r="BB115" s="81"/>
      <c r="BC115" s="81"/>
      <c r="BD115" s="81"/>
      <c r="BE115" s="81"/>
      <c r="BF115" s="81"/>
      <c r="BG115" s="81"/>
      <c r="BH115" s="81">
        <v>0</v>
      </c>
      <c r="BI115" s="81">
        <f t="shared" si="443"/>
        <v>0</v>
      </c>
      <c r="BJ115" s="98">
        <f t="shared" si="444"/>
        <v>0</v>
      </c>
      <c r="BK115" s="98"/>
      <c r="BL115" s="98"/>
      <c r="BM115" s="98"/>
      <c r="BN115" s="98"/>
      <c r="BO115" s="98"/>
      <c r="BP115" s="81"/>
      <c r="BQ115" s="81">
        <f t="shared" si="445"/>
        <v>0</v>
      </c>
      <c r="BR115" s="81">
        <f t="shared" si="446"/>
        <v>0</v>
      </c>
      <c r="BS115" s="98"/>
      <c r="BT115" s="98"/>
      <c r="BU115" s="98"/>
      <c r="BV115" s="98"/>
      <c r="BW115" s="98"/>
      <c r="BX115" s="98"/>
      <c r="BY115" s="98"/>
      <c r="BZ115" s="98"/>
      <c r="CA115" s="98"/>
      <c r="CB115" s="98"/>
      <c r="CC115" s="98"/>
      <c r="CD115" s="98"/>
      <c r="CE115" s="82" t="s">
        <v>357</v>
      </c>
      <c r="CF115" s="85" t="s">
        <v>673</v>
      </c>
      <c r="CG115" s="24"/>
    </row>
    <row r="116" spans="1:85" s="122" customFormat="1" x14ac:dyDescent="0.2">
      <c r="A116" s="108"/>
      <c r="B116" s="242"/>
      <c r="C116" s="285" t="s">
        <v>271</v>
      </c>
      <c r="D116" s="80">
        <f t="shared" si="435"/>
        <v>2420</v>
      </c>
      <c r="E116" s="295">
        <f t="shared" si="436"/>
        <v>2420</v>
      </c>
      <c r="F116" s="81">
        <v>2420</v>
      </c>
      <c r="G116" s="81">
        <f t="shared" si="437"/>
        <v>2420</v>
      </c>
      <c r="H116" s="81">
        <f t="shared" si="438"/>
        <v>0</v>
      </c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  <c r="U116" s="81"/>
      <c r="V116" s="81"/>
      <c r="W116" s="81"/>
      <c r="X116" s="81"/>
      <c r="Y116" s="81"/>
      <c r="Z116" s="81"/>
      <c r="AA116" s="81"/>
      <c r="AB116" s="81"/>
      <c r="AC116" s="81"/>
      <c r="AD116" s="81"/>
      <c r="AE116" s="81"/>
      <c r="AF116" s="81"/>
      <c r="AG116" s="81">
        <v>0</v>
      </c>
      <c r="AH116" s="81">
        <f t="shared" si="439"/>
        <v>0</v>
      </c>
      <c r="AI116" s="81">
        <f t="shared" si="440"/>
        <v>0</v>
      </c>
      <c r="AJ116" s="81"/>
      <c r="AK116" s="81"/>
      <c r="AL116" s="81"/>
      <c r="AM116" s="81"/>
      <c r="AN116" s="81"/>
      <c r="AO116" s="81"/>
      <c r="AP116" s="81"/>
      <c r="AQ116" s="81"/>
      <c r="AR116" s="81"/>
      <c r="AS116" s="81"/>
      <c r="AT116" s="81">
        <v>0</v>
      </c>
      <c r="AU116" s="81">
        <f t="shared" si="441"/>
        <v>0</v>
      </c>
      <c r="AV116" s="81">
        <f t="shared" si="442"/>
        <v>0</v>
      </c>
      <c r="AW116" s="81"/>
      <c r="AX116" s="81"/>
      <c r="AY116" s="81"/>
      <c r="AZ116" s="81"/>
      <c r="BA116" s="81"/>
      <c r="BB116" s="81"/>
      <c r="BC116" s="81"/>
      <c r="BD116" s="81"/>
      <c r="BE116" s="81"/>
      <c r="BF116" s="81"/>
      <c r="BG116" s="81"/>
      <c r="BH116" s="81">
        <v>0</v>
      </c>
      <c r="BI116" s="81">
        <f t="shared" si="443"/>
        <v>0</v>
      </c>
      <c r="BJ116" s="98">
        <f t="shared" si="444"/>
        <v>0</v>
      </c>
      <c r="BK116" s="98"/>
      <c r="BL116" s="98"/>
      <c r="BM116" s="98"/>
      <c r="BN116" s="98"/>
      <c r="BO116" s="98"/>
      <c r="BP116" s="81"/>
      <c r="BQ116" s="81">
        <f t="shared" si="445"/>
        <v>0</v>
      </c>
      <c r="BR116" s="81">
        <f t="shared" si="446"/>
        <v>0</v>
      </c>
      <c r="BS116" s="98"/>
      <c r="BT116" s="98"/>
      <c r="BU116" s="98"/>
      <c r="BV116" s="98"/>
      <c r="BW116" s="98"/>
      <c r="BX116" s="98"/>
      <c r="BY116" s="98"/>
      <c r="BZ116" s="98"/>
      <c r="CA116" s="98"/>
      <c r="CB116" s="98"/>
      <c r="CC116" s="98"/>
      <c r="CD116" s="98"/>
      <c r="CE116" s="82" t="s">
        <v>358</v>
      </c>
      <c r="CF116" s="85" t="s">
        <v>673</v>
      </c>
      <c r="CG116" s="24"/>
    </row>
    <row r="117" spans="1:85" ht="24" customHeight="1" x14ac:dyDescent="0.2">
      <c r="A117" s="108">
        <v>90000056450</v>
      </c>
      <c r="B117" s="241" t="s">
        <v>196</v>
      </c>
      <c r="C117" s="285" t="s">
        <v>450</v>
      </c>
      <c r="D117" s="80">
        <f t="shared" si="435"/>
        <v>842399</v>
      </c>
      <c r="E117" s="295">
        <f t="shared" si="436"/>
        <v>843739</v>
      </c>
      <c r="F117" s="81">
        <v>835752</v>
      </c>
      <c r="G117" s="81">
        <f t="shared" si="437"/>
        <v>836721</v>
      </c>
      <c r="H117" s="81">
        <f t="shared" si="438"/>
        <v>969</v>
      </c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>
        <f>196+773</f>
        <v>969</v>
      </c>
      <c r="X117" s="81"/>
      <c r="Y117" s="81"/>
      <c r="Z117" s="81"/>
      <c r="AA117" s="81"/>
      <c r="AB117" s="81"/>
      <c r="AC117" s="81"/>
      <c r="AD117" s="81"/>
      <c r="AE117" s="81"/>
      <c r="AF117" s="81"/>
      <c r="AG117" s="81">
        <v>0</v>
      </c>
      <c r="AH117" s="81">
        <f t="shared" si="439"/>
        <v>0</v>
      </c>
      <c r="AI117" s="81">
        <f t="shared" si="440"/>
        <v>0</v>
      </c>
      <c r="AJ117" s="81"/>
      <c r="AK117" s="81"/>
      <c r="AL117" s="81"/>
      <c r="AM117" s="81"/>
      <c r="AN117" s="81"/>
      <c r="AO117" s="81"/>
      <c r="AP117" s="81"/>
      <c r="AQ117" s="81"/>
      <c r="AR117" s="81"/>
      <c r="AS117" s="81"/>
      <c r="AT117" s="81">
        <v>6647</v>
      </c>
      <c r="AU117" s="81">
        <f t="shared" si="441"/>
        <v>7032</v>
      </c>
      <c r="AV117" s="81">
        <f t="shared" si="442"/>
        <v>385</v>
      </c>
      <c r="AW117" s="81">
        <v>371</v>
      </c>
      <c r="AX117" s="81"/>
      <c r="AY117" s="81"/>
      <c r="AZ117" s="81"/>
      <c r="BA117" s="81"/>
      <c r="BB117" s="81"/>
      <c r="BC117" s="81">
        <v>14</v>
      </c>
      <c r="BD117" s="81"/>
      <c r="BE117" s="81"/>
      <c r="BF117" s="81"/>
      <c r="BG117" s="81"/>
      <c r="BH117" s="81">
        <v>0</v>
      </c>
      <c r="BI117" s="81">
        <f t="shared" si="443"/>
        <v>0</v>
      </c>
      <c r="BJ117" s="98">
        <f t="shared" si="444"/>
        <v>0</v>
      </c>
      <c r="BK117" s="98"/>
      <c r="BL117" s="98"/>
      <c r="BM117" s="98"/>
      <c r="BN117" s="98"/>
      <c r="BO117" s="98"/>
      <c r="BP117" s="81"/>
      <c r="BQ117" s="81">
        <f t="shared" si="445"/>
        <v>-14</v>
      </c>
      <c r="BR117" s="81">
        <f t="shared" si="446"/>
        <v>-14</v>
      </c>
      <c r="BS117" s="98"/>
      <c r="BT117" s="98"/>
      <c r="BU117" s="98"/>
      <c r="BV117" s="98"/>
      <c r="BW117" s="98"/>
      <c r="BX117" s="98"/>
      <c r="BY117" s="98"/>
      <c r="BZ117" s="98">
        <v>-14</v>
      </c>
      <c r="CA117" s="98"/>
      <c r="CB117" s="98"/>
      <c r="CC117" s="98"/>
      <c r="CD117" s="98"/>
      <c r="CE117" s="82" t="s">
        <v>359</v>
      </c>
      <c r="CF117" s="85"/>
      <c r="CG117" s="24"/>
    </row>
    <row r="118" spans="1:85" s="198" customFormat="1" x14ac:dyDescent="0.2">
      <c r="A118" s="108"/>
      <c r="B118" s="241"/>
      <c r="C118" s="359" t="s">
        <v>627</v>
      </c>
      <c r="D118" s="80">
        <f t="shared" si="435"/>
        <v>1200</v>
      </c>
      <c r="E118" s="295">
        <f t="shared" si="436"/>
        <v>1200</v>
      </c>
      <c r="F118" s="81">
        <v>1200</v>
      </c>
      <c r="G118" s="81">
        <f t="shared" si="437"/>
        <v>1200</v>
      </c>
      <c r="H118" s="81">
        <f t="shared" si="438"/>
        <v>0</v>
      </c>
      <c r="I118" s="81"/>
      <c r="J118" s="81"/>
      <c r="K118" s="81"/>
      <c r="L118" s="81"/>
      <c r="M118" s="81"/>
      <c r="N118" s="81"/>
      <c r="O118" s="81"/>
      <c r="P118" s="81"/>
      <c r="Q118" s="81"/>
      <c r="R118" s="81"/>
      <c r="S118" s="81"/>
      <c r="T118" s="81"/>
      <c r="U118" s="81"/>
      <c r="V118" s="81"/>
      <c r="W118" s="81"/>
      <c r="X118" s="81"/>
      <c r="Y118" s="81"/>
      <c r="Z118" s="81"/>
      <c r="AA118" s="81"/>
      <c r="AB118" s="81"/>
      <c r="AC118" s="81"/>
      <c r="AD118" s="81"/>
      <c r="AE118" s="81"/>
      <c r="AF118" s="81"/>
      <c r="AG118" s="81">
        <v>0</v>
      </c>
      <c r="AH118" s="81">
        <f t="shared" si="439"/>
        <v>0</v>
      </c>
      <c r="AI118" s="81">
        <f t="shared" si="440"/>
        <v>0</v>
      </c>
      <c r="AJ118" s="81"/>
      <c r="AK118" s="81"/>
      <c r="AL118" s="81"/>
      <c r="AM118" s="81"/>
      <c r="AN118" s="81"/>
      <c r="AO118" s="81"/>
      <c r="AP118" s="81"/>
      <c r="AQ118" s="81"/>
      <c r="AR118" s="81"/>
      <c r="AS118" s="81"/>
      <c r="AT118" s="81">
        <v>0</v>
      </c>
      <c r="AU118" s="81">
        <f t="shared" si="441"/>
        <v>0</v>
      </c>
      <c r="AV118" s="81">
        <f t="shared" si="442"/>
        <v>0</v>
      </c>
      <c r="AW118" s="81"/>
      <c r="AX118" s="81"/>
      <c r="AY118" s="81"/>
      <c r="AZ118" s="81"/>
      <c r="BA118" s="81"/>
      <c r="BB118" s="81"/>
      <c r="BC118" s="81"/>
      <c r="BD118" s="81"/>
      <c r="BE118" s="81"/>
      <c r="BF118" s="81"/>
      <c r="BG118" s="81"/>
      <c r="BH118" s="81">
        <v>0</v>
      </c>
      <c r="BI118" s="81">
        <f t="shared" si="443"/>
        <v>0</v>
      </c>
      <c r="BJ118" s="98">
        <f t="shared" si="444"/>
        <v>0</v>
      </c>
      <c r="BK118" s="98"/>
      <c r="BL118" s="98"/>
      <c r="BM118" s="98"/>
      <c r="BN118" s="98"/>
      <c r="BO118" s="98"/>
      <c r="BP118" s="81"/>
      <c r="BQ118" s="81">
        <f t="shared" si="445"/>
        <v>0</v>
      </c>
      <c r="BR118" s="81">
        <f t="shared" si="446"/>
        <v>0</v>
      </c>
      <c r="BS118" s="98"/>
      <c r="BT118" s="98"/>
      <c r="BU118" s="98"/>
      <c r="BV118" s="98"/>
      <c r="BW118" s="98"/>
      <c r="BX118" s="98"/>
      <c r="BY118" s="98"/>
      <c r="BZ118" s="98"/>
      <c r="CA118" s="98"/>
      <c r="CB118" s="98"/>
      <c r="CC118" s="98"/>
      <c r="CD118" s="98"/>
      <c r="CE118" s="82" t="s">
        <v>669</v>
      </c>
      <c r="CF118" s="85"/>
      <c r="CG118" s="24"/>
    </row>
    <row r="119" spans="1:85" s="198" customFormat="1" x14ac:dyDescent="0.2">
      <c r="A119" s="108"/>
      <c r="B119" s="241"/>
      <c r="C119" s="356" t="s">
        <v>819</v>
      </c>
      <c r="D119" s="80">
        <f t="shared" ref="D119" si="483">F119+AG119+AT119+BH119+BP119</f>
        <v>0</v>
      </c>
      <c r="E119" s="295">
        <f t="shared" ref="E119" si="484">G119+AH119+AU119+BI119+BQ119</f>
        <v>600</v>
      </c>
      <c r="F119" s="163"/>
      <c r="G119" s="81">
        <f t="shared" ref="G119" si="485">F119+H119</f>
        <v>600</v>
      </c>
      <c r="H119" s="81">
        <f t="shared" ref="H119" si="486">SUM(I119:AF119)</f>
        <v>600</v>
      </c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>
        <v>600</v>
      </c>
      <c r="T119" s="163"/>
      <c r="U119" s="163"/>
      <c r="V119" s="163"/>
      <c r="W119" s="163"/>
      <c r="X119" s="163"/>
      <c r="Y119" s="163"/>
      <c r="Z119" s="163"/>
      <c r="AA119" s="163"/>
      <c r="AB119" s="163"/>
      <c r="AC119" s="163"/>
      <c r="AD119" s="163"/>
      <c r="AE119" s="163"/>
      <c r="AF119" s="163"/>
      <c r="AG119" s="163"/>
      <c r="AH119" s="81">
        <f t="shared" ref="AH119" si="487">AG119+AI119</f>
        <v>0</v>
      </c>
      <c r="AI119" s="81">
        <f t="shared" ref="AI119" si="488">SUM(AJ119:AS119)</f>
        <v>0</v>
      </c>
      <c r="AJ119" s="163"/>
      <c r="AK119" s="163"/>
      <c r="AL119" s="163"/>
      <c r="AM119" s="163"/>
      <c r="AN119" s="163"/>
      <c r="AO119" s="163"/>
      <c r="AP119" s="163"/>
      <c r="AQ119" s="163"/>
      <c r="AR119" s="163"/>
      <c r="AS119" s="163"/>
      <c r="AT119" s="163"/>
      <c r="AU119" s="81">
        <f t="shared" ref="AU119" si="489">AT119+AV119</f>
        <v>0</v>
      </c>
      <c r="AV119" s="81">
        <f t="shared" ref="AV119" si="490">SUM(AW119:BG119)</f>
        <v>0</v>
      </c>
      <c r="AW119" s="163"/>
      <c r="AX119" s="163"/>
      <c r="AY119" s="163"/>
      <c r="AZ119" s="163"/>
      <c r="BA119" s="163"/>
      <c r="BB119" s="163"/>
      <c r="BC119" s="163"/>
      <c r="BD119" s="163"/>
      <c r="BE119" s="163"/>
      <c r="BF119" s="163"/>
      <c r="BG119" s="163"/>
      <c r="BH119" s="163"/>
      <c r="BI119" s="81">
        <f t="shared" ref="BI119" si="491">BH119+BJ119</f>
        <v>0</v>
      </c>
      <c r="BJ119" s="98">
        <f t="shared" ref="BJ119" si="492">SUM(BK119:BO119)</f>
        <v>0</v>
      </c>
      <c r="BK119" s="199"/>
      <c r="BL119" s="199"/>
      <c r="BM119" s="199"/>
      <c r="BN119" s="199"/>
      <c r="BO119" s="199"/>
      <c r="BP119" s="163"/>
      <c r="BQ119" s="81">
        <f t="shared" ref="BQ119" si="493">BP119+BR119</f>
        <v>0</v>
      </c>
      <c r="BR119" s="81">
        <f t="shared" ref="BR119" si="494">SUM(BS119:CD119)</f>
        <v>0</v>
      </c>
      <c r="BS119" s="199"/>
      <c r="BT119" s="199"/>
      <c r="BU119" s="199"/>
      <c r="BV119" s="199"/>
      <c r="BW119" s="199"/>
      <c r="BX119" s="199"/>
      <c r="BY119" s="199"/>
      <c r="BZ119" s="199"/>
      <c r="CA119" s="199"/>
      <c r="CB119" s="199"/>
      <c r="CC119" s="199"/>
      <c r="CD119" s="199"/>
      <c r="CE119" s="220" t="s">
        <v>820</v>
      </c>
      <c r="CF119" s="85"/>
      <c r="CG119" s="24"/>
    </row>
    <row r="120" spans="1:85" ht="24" customHeight="1" x14ac:dyDescent="0.2">
      <c r="A120" s="108">
        <v>90009229680</v>
      </c>
      <c r="B120" s="241" t="s">
        <v>151</v>
      </c>
      <c r="C120" s="356" t="s">
        <v>451</v>
      </c>
      <c r="D120" s="357">
        <f t="shared" si="435"/>
        <v>1010966</v>
      </c>
      <c r="E120" s="358">
        <f t="shared" si="436"/>
        <v>1029317</v>
      </c>
      <c r="F120" s="163">
        <v>982877</v>
      </c>
      <c r="G120" s="163">
        <f t="shared" si="437"/>
        <v>998261</v>
      </c>
      <c r="H120" s="163">
        <f t="shared" si="438"/>
        <v>15384</v>
      </c>
      <c r="I120" s="163"/>
      <c r="J120" s="163"/>
      <c r="K120" s="163"/>
      <c r="L120" s="163"/>
      <c r="M120" s="163">
        <v>10804</v>
      </c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>
        <v>4580</v>
      </c>
      <c r="AA120" s="163"/>
      <c r="AB120" s="163"/>
      <c r="AC120" s="163"/>
      <c r="AD120" s="163"/>
      <c r="AE120" s="163"/>
      <c r="AF120" s="163"/>
      <c r="AG120" s="163">
        <v>9522</v>
      </c>
      <c r="AH120" s="163">
        <f t="shared" si="439"/>
        <v>10724</v>
      </c>
      <c r="AI120" s="163">
        <f t="shared" si="440"/>
        <v>1202</v>
      </c>
      <c r="AJ120" s="163"/>
      <c r="AK120" s="163"/>
      <c r="AL120" s="163"/>
      <c r="AM120" s="163">
        <v>1202</v>
      </c>
      <c r="AN120" s="163"/>
      <c r="AO120" s="163"/>
      <c r="AP120" s="163"/>
      <c r="AQ120" s="163"/>
      <c r="AR120" s="163"/>
      <c r="AS120" s="163"/>
      <c r="AT120" s="163">
        <v>18567</v>
      </c>
      <c r="AU120" s="163">
        <f t="shared" si="441"/>
        <v>20332</v>
      </c>
      <c r="AV120" s="163">
        <f t="shared" si="442"/>
        <v>1765</v>
      </c>
      <c r="AW120" s="163">
        <v>1551</v>
      </c>
      <c r="AX120" s="163"/>
      <c r="AY120" s="163"/>
      <c r="AZ120" s="163"/>
      <c r="BA120" s="163"/>
      <c r="BB120" s="163">
        <v>214</v>
      </c>
      <c r="BC120" s="163"/>
      <c r="BD120" s="163"/>
      <c r="BE120" s="163"/>
      <c r="BF120" s="163"/>
      <c r="BG120" s="163"/>
      <c r="BH120" s="163">
        <v>0</v>
      </c>
      <c r="BI120" s="163">
        <f t="shared" si="443"/>
        <v>0</v>
      </c>
      <c r="BJ120" s="199">
        <f t="shared" si="444"/>
        <v>0</v>
      </c>
      <c r="BK120" s="199"/>
      <c r="BL120" s="199"/>
      <c r="BM120" s="199"/>
      <c r="BN120" s="199"/>
      <c r="BO120" s="199"/>
      <c r="BP120" s="163"/>
      <c r="BQ120" s="163">
        <f t="shared" si="445"/>
        <v>0</v>
      </c>
      <c r="BR120" s="163">
        <f t="shared" si="446"/>
        <v>0</v>
      </c>
      <c r="BS120" s="199"/>
      <c r="BT120" s="199"/>
      <c r="BU120" s="199"/>
      <c r="BV120" s="199"/>
      <c r="BW120" s="199"/>
      <c r="BX120" s="199"/>
      <c r="BY120" s="199"/>
      <c r="BZ120" s="199"/>
      <c r="CA120" s="199"/>
      <c r="CB120" s="199"/>
      <c r="CC120" s="199"/>
      <c r="CD120" s="199"/>
      <c r="CE120" s="220" t="s">
        <v>360</v>
      </c>
      <c r="CF120" s="85"/>
      <c r="CG120" s="24"/>
    </row>
    <row r="121" spans="1:85" x14ac:dyDescent="0.2">
      <c r="A121" s="108"/>
      <c r="B121" s="242"/>
      <c r="C121" s="285" t="s">
        <v>189</v>
      </c>
      <c r="D121" s="80">
        <f t="shared" si="435"/>
        <v>464128</v>
      </c>
      <c r="E121" s="295">
        <f t="shared" si="436"/>
        <v>536666</v>
      </c>
      <c r="F121" s="81">
        <v>440398</v>
      </c>
      <c r="G121" s="81">
        <f t="shared" si="437"/>
        <v>511801</v>
      </c>
      <c r="H121" s="81">
        <f t="shared" si="438"/>
        <v>71403</v>
      </c>
      <c r="I121" s="81"/>
      <c r="J121" s="81"/>
      <c r="K121" s="81">
        <v>72130</v>
      </c>
      <c r="L121" s="81"/>
      <c r="M121" s="81">
        <v>1280</v>
      </c>
      <c r="N121" s="81"/>
      <c r="O121" s="81"/>
      <c r="P121" s="81"/>
      <c r="Q121" s="81"/>
      <c r="R121" s="81"/>
      <c r="S121" s="81"/>
      <c r="T121" s="81"/>
      <c r="U121" s="81"/>
      <c r="V121" s="81"/>
      <c r="W121" s="81"/>
      <c r="X121" s="81"/>
      <c r="Y121" s="81"/>
      <c r="Z121" s="81">
        <v>-4580</v>
      </c>
      <c r="AA121" s="81"/>
      <c r="AB121" s="81"/>
      <c r="AC121" s="81"/>
      <c r="AD121" s="81">
        <v>2573</v>
      </c>
      <c r="AE121" s="81"/>
      <c r="AF121" s="81"/>
      <c r="AG121" s="81">
        <v>0</v>
      </c>
      <c r="AH121" s="81">
        <f t="shared" si="439"/>
        <v>0</v>
      </c>
      <c r="AI121" s="81">
        <f t="shared" si="440"/>
        <v>0</v>
      </c>
      <c r="AJ121" s="81"/>
      <c r="AK121" s="81"/>
      <c r="AL121" s="81"/>
      <c r="AM121" s="81"/>
      <c r="AN121" s="81"/>
      <c r="AO121" s="81"/>
      <c r="AP121" s="81"/>
      <c r="AQ121" s="81"/>
      <c r="AR121" s="81"/>
      <c r="AS121" s="81"/>
      <c r="AT121" s="81">
        <v>23730</v>
      </c>
      <c r="AU121" s="81">
        <f t="shared" si="441"/>
        <v>24865</v>
      </c>
      <c r="AV121" s="81">
        <f t="shared" si="442"/>
        <v>1135</v>
      </c>
      <c r="AW121" s="81">
        <v>1135</v>
      </c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>
        <v>0</v>
      </c>
      <c r="BI121" s="81">
        <f t="shared" si="443"/>
        <v>0</v>
      </c>
      <c r="BJ121" s="98">
        <f t="shared" si="444"/>
        <v>0</v>
      </c>
      <c r="BK121" s="98"/>
      <c r="BL121" s="98"/>
      <c r="BM121" s="98"/>
      <c r="BN121" s="98"/>
      <c r="BO121" s="98"/>
      <c r="BP121" s="81"/>
      <c r="BQ121" s="81">
        <f t="shared" si="445"/>
        <v>0</v>
      </c>
      <c r="BR121" s="81">
        <f t="shared" si="446"/>
        <v>0</v>
      </c>
      <c r="BS121" s="98"/>
      <c r="BT121" s="98"/>
      <c r="BU121" s="98"/>
      <c r="BV121" s="98"/>
      <c r="BW121" s="98"/>
      <c r="BX121" s="98"/>
      <c r="BY121" s="98"/>
      <c r="BZ121" s="98"/>
      <c r="CA121" s="98"/>
      <c r="CB121" s="98"/>
      <c r="CC121" s="98"/>
      <c r="CD121" s="98"/>
      <c r="CE121" s="82" t="s">
        <v>361</v>
      </c>
      <c r="CF121" s="85" t="s">
        <v>444</v>
      </c>
      <c r="CG121" s="24"/>
    </row>
    <row r="122" spans="1:85" ht="12" customHeight="1" x14ac:dyDescent="0.2">
      <c r="A122" s="108">
        <v>90010478153</v>
      </c>
      <c r="B122" s="241" t="s">
        <v>447</v>
      </c>
      <c r="C122" s="354" t="s">
        <v>182</v>
      </c>
      <c r="D122" s="80">
        <f t="shared" si="435"/>
        <v>693059</v>
      </c>
      <c r="E122" s="295">
        <f t="shared" si="436"/>
        <v>693133</v>
      </c>
      <c r="F122" s="81">
        <v>668348</v>
      </c>
      <c r="G122" s="81">
        <f t="shared" si="437"/>
        <v>668348</v>
      </c>
      <c r="H122" s="81">
        <f t="shared" si="438"/>
        <v>0</v>
      </c>
      <c r="I122" s="81"/>
      <c r="J122" s="81"/>
      <c r="K122" s="81"/>
      <c r="L122" s="81"/>
      <c r="M122" s="81"/>
      <c r="N122" s="81"/>
      <c r="O122" s="81"/>
      <c r="P122" s="81"/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G122" s="81">
        <v>0</v>
      </c>
      <c r="AH122" s="81">
        <f t="shared" si="439"/>
        <v>0</v>
      </c>
      <c r="AI122" s="81">
        <f t="shared" si="440"/>
        <v>0</v>
      </c>
      <c r="AJ122" s="81"/>
      <c r="AK122" s="81"/>
      <c r="AL122" s="81"/>
      <c r="AM122" s="81"/>
      <c r="AN122" s="81"/>
      <c r="AO122" s="81"/>
      <c r="AP122" s="81"/>
      <c r="AQ122" s="81"/>
      <c r="AR122" s="81"/>
      <c r="AS122" s="81"/>
      <c r="AT122" s="81">
        <v>24711</v>
      </c>
      <c r="AU122" s="81">
        <f t="shared" si="441"/>
        <v>24785</v>
      </c>
      <c r="AV122" s="81">
        <f t="shared" si="442"/>
        <v>74</v>
      </c>
      <c r="AW122" s="81"/>
      <c r="AX122" s="81"/>
      <c r="AY122" s="81"/>
      <c r="AZ122" s="81"/>
      <c r="BA122" s="81"/>
      <c r="BB122" s="81"/>
      <c r="BC122" s="81"/>
      <c r="BD122" s="81"/>
      <c r="BE122" s="81">
        <v>74</v>
      </c>
      <c r="BF122" s="81"/>
      <c r="BG122" s="81"/>
      <c r="BH122" s="81">
        <v>0</v>
      </c>
      <c r="BI122" s="81">
        <f t="shared" si="443"/>
        <v>0</v>
      </c>
      <c r="BJ122" s="98">
        <f t="shared" si="444"/>
        <v>0</v>
      </c>
      <c r="BK122" s="98"/>
      <c r="BL122" s="98"/>
      <c r="BM122" s="98"/>
      <c r="BN122" s="98"/>
      <c r="BO122" s="98"/>
      <c r="BP122" s="81"/>
      <c r="BQ122" s="81">
        <f t="shared" si="445"/>
        <v>0</v>
      </c>
      <c r="BR122" s="81">
        <f t="shared" si="446"/>
        <v>0</v>
      </c>
      <c r="BS122" s="98"/>
      <c r="BT122" s="98"/>
      <c r="BU122" s="98"/>
      <c r="BV122" s="98"/>
      <c r="BW122" s="98"/>
      <c r="BX122" s="98"/>
      <c r="BY122" s="98"/>
      <c r="BZ122" s="98"/>
      <c r="CA122" s="98"/>
      <c r="CB122" s="98"/>
      <c r="CC122" s="98"/>
      <c r="CD122" s="98"/>
      <c r="CE122" s="82" t="s">
        <v>362</v>
      </c>
      <c r="CF122" s="85"/>
      <c r="CG122" s="24"/>
    </row>
    <row r="123" spans="1:85" s="130" customFormat="1" x14ac:dyDescent="0.2">
      <c r="A123" s="108"/>
      <c r="B123" s="242"/>
      <c r="C123" s="285" t="s">
        <v>300</v>
      </c>
      <c r="D123" s="80">
        <f t="shared" si="435"/>
        <v>84488</v>
      </c>
      <c r="E123" s="295">
        <f t="shared" si="436"/>
        <v>84488</v>
      </c>
      <c r="F123" s="81">
        <v>55574</v>
      </c>
      <c r="G123" s="81">
        <f t="shared" si="437"/>
        <v>55574</v>
      </c>
      <c r="H123" s="81">
        <f t="shared" si="438"/>
        <v>0</v>
      </c>
      <c r="I123" s="81"/>
      <c r="J123" s="81"/>
      <c r="K123" s="81"/>
      <c r="L123" s="81"/>
      <c r="M123" s="81"/>
      <c r="N123" s="81"/>
      <c r="O123" s="81"/>
      <c r="P123" s="81"/>
      <c r="Q123" s="81"/>
      <c r="R123" s="81"/>
      <c r="S123" s="81"/>
      <c r="T123" s="81"/>
      <c r="U123" s="81"/>
      <c r="V123" s="81"/>
      <c r="W123" s="81"/>
      <c r="X123" s="81"/>
      <c r="Y123" s="81"/>
      <c r="Z123" s="81"/>
      <c r="AA123" s="81"/>
      <c r="AB123" s="81"/>
      <c r="AC123" s="81"/>
      <c r="AD123" s="81"/>
      <c r="AE123" s="81"/>
      <c r="AF123" s="81"/>
      <c r="AG123" s="81">
        <v>0</v>
      </c>
      <c r="AH123" s="81">
        <f t="shared" si="439"/>
        <v>0</v>
      </c>
      <c r="AI123" s="81">
        <f t="shared" si="440"/>
        <v>0</v>
      </c>
      <c r="AJ123" s="81"/>
      <c r="AK123" s="81"/>
      <c r="AL123" s="81"/>
      <c r="AM123" s="81"/>
      <c r="AN123" s="81"/>
      <c r="AO123" s="81"/>
      <c r="AP123" s="81"/>
      <c r="AQ123" s="81"/>
      <c r="AR123" s="81"/>
      <c r="AS123" s="81"/>
      <c r="AT123" s="81">
        <v>28914</v>
      </c>
      <c r="AU123" s="81">
        <f t="shared" si="441"/>
        <v>28914</v>
      </c>
      <c r="AV123" s="81">
        <f t="shared" si="442"/>
        <v>0</v>
      </c>
      <c r="AW123" s="81"/>
      <c r="AX123" s="81"/>
      <c r="AY123" s="81"/>
      <c r="AZ123" s="81"/>
      <c r="BA123" s="81"/>
      <c r="BB123" s="81"/>
      <c r="BC123" s="81"/>
      <c r="BD123" s="81"/>
      <c r="BE123" s="81"/>
      <c r="BF123" s="81"/>
      <c r="BG123" s="81"/>
      <c r="BH123" s="81">
        <v>0</v>
      </c>
      <c r="BI123" s="81">
        <f t="shared" si="443"/>
        <v>0</v>
      </c>
      <c r="BJ123" s="98">
        <f t="shared" si="444"/>
        <v>0</v>
      </c>
      <c r="BK123" s="98"/>
      <c r="BL123" s="98"/>
      <c r="BM123" s="98"/>
      <c r="BN123" s="98"/>
      <c r="BO123" s="98"/>
      <c r="BP123" s="81"/>
      <c r="BQ123" s="81">
        <f t="shared" si="445"/>
        <v>0</v>
      </c>
      <c r="BR123" s="81">
        <f t="shared" si="446"/>
        <v>0</v>
      </c>
      <c r="BS123" s="98"/>
      <c r="BT123" s="98"/>
      <c r="BU123" s="98"/>
      <c r="BV123" s="98"/>
      <c r="BW123" s="98"/>
      <c r="BX123" s="98"/>
      <c r="BY123" s="98"/>
      <c r="BZ123" s="98"/>
      <c r="CA123" s="98"/>
      <c r="CB123" s="98"/>
      <c r="CC123" s="98"/>
      <c r="CD123" s="98"/>
      <c r="CE123" s="82" t="s">
        <v>363</v>
      </c>
      <c r="CF123" s="85"/>
      <c r="CG123" s="24"/>
    </row>
    <row r="124" spans="1:85" s="138" customFormat="1" ht="24" x14ac:dyDescent="0.2">
      <c r="A124" s="108"/>
      <c r="B124" s="242"/>
      <c r="C124" s="285" t="s">
        <v>446</v>
      </c>
      <c r="D124" s="80">
        <f t="shared" si="435"/>
        <v>99050</v>
      </c>
      <c r="E124" s="295">
        <f t="shared" si="436"/>
        <v>108320</v>
      </c>
      <c r="F124" s="81">
        <v>73405</v>
      </c>
      <c r="G124" s="81">
        <f t="shared" si="437"/>
        <v>81671</v>
      </c>
      <c r="H124" s="81">
        <f t="shared" si="438"/>
        <v>8266</v>
      </c>
      <c r="I124" s="81"/>
      <c r="J124" s="81"/>
      <c r="K124" s="81"/>
      <c r="L124" s="81"/>
      <c r="M124" s="81"/>
      <c r="N124" s="81"/>
      <c r="O124" s="81"/>
      <c r="P124" s="81"/>
      <c r="Q124" s="81"/>
      <c r="R124" s="81"/>
      <c r="S124" s="81"/>
      <c r="T124" s="81"/>
      <c r="U124" s="81"/>
      <c r="V124" s="81"/>
      <c r="W124" s="81"/>
      <c r="X124" s="81"/>
      <c r="Y124" s="81"/>
      <c r="Z124" s="81">
        <v>8266</v>
      </c>
      <c r="AA124" s="81"/>
      <c r="AB124" s="81"/>
      <c r="AC124" s="81"/>
      <c r="AD124" s="81"/>
      <c r="AE124" s="81"/>
      <c r="AF124" s="81"/>
      <c r="AG124" s="81">
        <v>0</v>
      </c>
      <c r="AH124" s="81">
        <f t="shared" si="439"/>
        <v>0</v>
      </c>
      <c r="AI124" s="81">
        <f t="shared" si="440"/>
        <v>0</v>
      </c>
      <c r="AJ124" s="81"/>
      <c r="AK124" s="81"/>
      <c r="AL124" s="81"/>
      <c r="AM124" s="81"/>
      <c r="AN124" s="81"/>
      <c r="AO124" s="81"/>
      <c r="AP124" s="81"/>
      <c r="AQ124" s="81"/>
      <c r="AR124" s="81"/>
      <c r="AS124" s="81"/>
      <c r="AT124" s="81">
        <v>25645</v>
      </c>
      <c r="AU124" s="81">
        <f t="shared" si="441"/>
        <v>26649</v>
      </c>
      <c r="AV124" s="81">
        <f t="shared" si="442"/>
        <v>1004</v>
      </c>
      <c r="AW124" s="81">
        <v>1004</v>
      </c>
      <c r="AX124" s="81"/>
      <c r="AY124" s="81"/>
      <c r="AZ124" s="81"/>
      <c r="BA124" s="81"/>
      <c r="BB124" s="81"/>
      <c r="BC124" s="81"/>
      <c r="BD124" s="81"/>
      <c r="BE124" s="81"/>
      <c r="BF124" s="81"/>
      <c r="BG124" s="81"/>
      <c r="BH124" s="81">
        <v>0</v>
      </c>
      <c r="BI124" s="81">
        <f t="shared" si="443"/>
        <v>0</v>
      </c>
      <c r="BJ124" s="98">
        <f t="shared" si="444"/>
        <v>0</v>
      </c>
      <c r="BK124" s="98"/>
      <c r="BL124" s="98"/>
      <c r="BM124" s="98"/>
      <c r="BN124" s="98"/>
      <c r="BO124" s="98"/>
      <c r="BP124" s="81"/>
      <c r="BQ124" s="81">
        <f t="shared" si="445"/>
        <v>0</v>
      </c>
      <c r="BR124" s="81">
        <f t="shared" si="446"/>
        <v>0</v>
      </c>
      <c r="BS124" s="98"/>
      <c r="BT124" s="98"/>
      <c r="BU124" s="98"/>
      <c r="BV124" s="98"/>
      <c r="BW124" s="98"/>
      <c r="BX124" s="98"/>
      <c r="BY124" s="98"/>
      <c r="BZ124" s="98"/>
      <c r="CA124" s="98"/>
      <c r="CB124" s="98"/>
      <c r="CC124" s="98"/>
      <c r="CD124" s="98"/>
      <c r="CE124" s="82" t="s">
        <v>364</v>
      </c>
      <c r="CF124" s="85"/>
      <c r="CG124" s="24"/>
    </row>
    <row r="125" spans="1:85" s="130" customFormat="1" x14ac:dyDescent="0.2">
      <c r="A125" s="108"/>
      <c r="B125" s="242"/>
      <c r="C125" s="285" t="s">
        <v>301</v>
      </c>
      <c r="D125" s="80">
        <f t="shared" si="435"/>
        <v>131617</v>
      </c>
      <c r="E125" s="295">
        <f t="shared" si="436"/>
        <v>131617</v>
      </c>
      <c r="F125" s="81">
        <v>74456</v>
      </c>
      <c r="G125" s="81">
        <f t="shared" si="437"/>
        <v>74456</v>
      </c>
      <c r="H125" s="81">
        <f t="shared" si="438"/>
        <v>0</v>
      </c>
      <c r="I125" s="81"/>
      <c r="J125" s="81"/>
      <c r="K125" s="81"/>
      <c r="L125" s="81"/>
      <c r="M125" s="81"/>
      <c r="N125" s="81"/>
      <c r="O125" s="81"/>
      <c r="P125" s="81"/>
      <c r="Q125" s="81"/>
      <c r="R125" s="81"/>
      <c r="S125" s="81"/>
      <c r="T125" s="81"/>
      <c r="U125" s="81"/>
      <c r="V125" s="81"/>
      <c r="W125" s="81"/>
      <c r="X125" s="81"/>
      <c r="Y125" s="81"/>
      <c r="Z125" s="81"/>
      <c r="AA125" s="81"/>
      <c r="AB125" s="81"/>
      <c r="AC125" s="81"/>
      <c r="AD125" s="81"/>
      <c r="AE125" s="81"/>
      <c r="AF125" s="81"/>
      <c r="AG125" s="81">
        <v>0</v>
      </c>
      <c r="AH125" s="81">
        <f t="shared" si="439"/>
        <v>0</v>
      </c>
      <c r="AI125" s="81">
        <f t="shared" si="440"/>
        <v>0</v>
      </c>
      <c r="AJ125" s="81"/>
      <c r="AK125" s="81"/>
      <c r="AL125" s="81"/>
      <c r="AM125" s="81"/>
      <c r="AN125" s="81"/>
      <c r="AO125" s="81"/>
      <c r="AP125" s="81"/>
      <c r="AQ125" s="81"/>
      <c r="AR125" s="81"/>
      <c r="AS125" s="81"/>
      <c r="AT125" s="81">
        <v>57161</v>
      </c>
      <c r="AU125" s="81">
        <f t="shared" si="441"/>
        <v>57161</v>
      </c>
      <c r="AV125" s="81">
        <f t="shared" si="442"/>
        <v>0</v>
      </c>
      <c r="AW125" s="81"/>
      <c r="AX125" s="81"/>
      <c r="AY125" s="81"/>
      <c r="AZ125" s="81"/>
      <c r="BA125" s="81"/>
      <c r="BB125" s="81"/>
      <c r="BC125" s="81"/>
      <c r="BD125" s="81"/>
      <c r="BE125" s="81"/>
      <c r="BF125" s="81"/>
      <c r="BG125" s="81"/>
      <c r="BH125" s="81">
        <v>0</v>
      </c>
      <c r="BI125" s="81">
        <f t="shared" si="443"/>
        <v>0</v>
      </c>
      <c r="BJ125" s="98">
        <f t="shared" si="444"/>
        <v>0</v>
      </c>
      <c r="BK125" s="98"/>
      <c r="BL125" s="98"/>
      <c r="BM125" s="98"/>
      <c r="BN125" s="98"/>
      <c r="BO125" s="98"/>
      <c r="BP125" s="81"/>
      <c r="BQ125" s="81">
        <f t="shared" si="445"/>
        <v>0</v>
      </c>
      <c r="BR125" s="81">
        <f t="shared" si="446"/>
        <v>0</v>
      </c>
      <c r="BS125" s="98"/>
      <c r="BT125" s="98"/>
      <c r="BU125" s="98"/>
      <c r="BV125" s="98"/>
      <c r="BW125" s="98"/>
      <c r="BX125" s="98"/>
      <c r="BY125" s="98"/>
      <c r="BZ125" s="98"/>
      <c r="CA125" s="98"/>
      <c r="CB125" s="98"/>
      <c r="CC125" s="98"/>
      <c r="CD125" s="98"/>
      <c r="CE125" s="82" t="s">
        <v>365</v>
      </c>
      <c r="CF125" s="85"/>
      <c r="CG125" s="24"/>
    </row>
    <row r="126" spans="1:85" s="130" customFormat="1" x14ac:dyDescent="0.2">
      <c r="A126" s="108"/>
      <c r="B126" s="242"/>
      <c r="C126" s="285" t="s">
        <v>302</v>
      </c>
      <c r="D126" s="80">
        <f t="shared" si="435"/>
        <v>29426</v>
      </c>
      <c r="E126" s="295">
        <f t="shared" si="436"/>
        <v>33278</v>
      </c>
      <c r="F126" s="81">
        <v>12458</v>
      </c>
      <c r="G126" s="81">
        <f t="shared" si="437"/>
        <v>16310</v>
      </c>
      <c r="H126" s="81">
        <f t="shared" si="438"/>
        <v>3852</v>
      </c>
      <c r="I126" s="81"/>
      <c r="J126" s="81"/>
      <c r="K126" s="81"/>
      <c r="L126" s="81"/>
      <c r="M126" s="81"/>
      <c r="N126" s="81"/>
      <c r="O126" s="81"/>
      <c r="P126" s="81"/>
      <c r="Q126" s="81"/>
      <c r="R126" s="81"/>
      <c r="S126" s="81"/>
      <c r="T126" s="81"/>
      <c r="U126" s="81"/>
      <c r="V126" s="81"/>
      <c r="W126" s="81"/>
      <c r="X126" s="81"/>
      <c r="Y126" s="81"/>
      <c r="Z126" s="81">
        <v>3852</v>
      </c>
      <c r="AA126" s="81"/>
      <c r="AB126" s="81"/>
      <c r="AC126" s="81"/>
      <c r="AD126" s="81"/>
      <c r="AE126" s="81"/>
      <c r="AF126" s="81"/>
      <c r="AG126" s="81">
        <v>0</v>
      </c>
      <c r="AH126" s="81">
        <f t="shared" si="439"/>
        <v>0</v>
      </c>
      <c r="AI126" s="81">
        <f t="shared" si="440"/>
        <v>0</v>
      </c>
      <c r="AJ126" s="81"/>
      <c r="AK126" s="81"/>
      <c r="AL126" s="81"/>
      <c r="AM126" s="81"/>
      <c r="AN126" s="81"/>
      <c r="AO126" s="81"/>
      <c r="AP126" s="81"/>
      <c r="AQ126" s="81"/>
      <c r="AR126" s="81"/>
      <c r="AS126" s="81"/>
      <c r="AT126" s="81">
        <v>16968</v>
      </c>
      <c r="AU126" s="81">
        <f t="shared" si="441"/>
        <v>16968</v>
      </c>
      <c r="AV126" s="81">
        <f t="shared" si="442"/>
        <v>0</v>
      </c>
      <c r="AW126" s="81"/>
      <c r="AX126" s="81"/>
      <c r="AY126" s="81"/>
      <c r="AZ126" s="81"/>
      <c r="BA126" s="81"/>
      <c r="BB126" s="81"/>
      <c r="BC126" s="81"/>
      <c r="BD126" s="81"/>
      <c r="BE126" s="81"/>
      <c r="BF126" s="81"/>
      <c r="BG126" s="81"/>
      <c r="BH126" s="81">
        <v>0</v>
      </c>
      <c r="BI126" s="81">
        <f t="shared" si="443"/>
        <v>0</v>
      </c>
      <c r="BJ126" s="98">
        <f t="shared" si="444"/>
        <v>0</v>
      </c>
      <c r="BK126" s="98"/>
      <c r="BL126" s="98"/>
      <c r="BM126" s="98"/>
      <c r="BN126" s="98"/>
      <c r="BO126" s="98"/>
      <c r="BP126" s="81"/>
      <c r="BQ126" s="81">
        <f t="shared" si="445"/>
        <v>0</v>
      </c>
      <c r="BR126" s="81">
        <f t="shared" si="446"/>
        <v>0</v>
      </c>
      <c r="BS126" s="98"/>
      <c r="BT126" s="98"/>
      <c r="BU126" s="98"/>
      <c r="BV126" s="98"/>
      <c r="BW126" s="98"/>
      <c r="BX126" s="98"/>
      <c r="BY126" s="98"/>
      <c r="BZ126" s="98"/>
      <c r="CA126" s="98"/>
      <c r="CB126" s="98"/>
      <c r="CC126" s="98"/>
      <c r="CD126" s="98"/>
      <c r="CE126" s="82" t="s">
        <v>366</v>
      </c>
      <c r="CF126" s="85"/>
      <c r="CG126" s="24"/>
    </row>
    <row r="127" spans="1:85" s="160" customFormat="1" x14ac:dyDescent="0.2">
      <c r="A127" s="108"/>
      <c r="B127" s="242"/>
      <c r="C127" s="285" t="s">
        <v>477</v>
      </c>
      <c r="D127" s="80">
        <f t="shared" si="435"/>
        <v>30041</v>
      </c>
      <c r="E127" s="295">
        <f t="shared" si="436"/>
        <v>31935</v>
      </c>
      <c r="F127" s="81">
        <v>16434</v>
      </c>
      <c r="G127" s="81">
        <f t="shared" si="437"/>
        <v>16434</v>
      </c>
      <c r="H127" s="81">
        <f t="shared" si="438"/>
        <v>0</v>
      </c>
      <c r="I127" s="81"/>
      <c r="J127" s="81"/>
      <c r="K127" s="81"/>
      <c r="L127" s="81"/>
      <c r="M127" s="81"/>
      <c r="N127" s="81"/>
      <c r="O127" s="81"/>
      <c r="P127" s="81"/>
      <c r="Q127" s="81"/>
      <c r="R127" s="81"/>
      <c r="S127" s="81"/>
      <c r="T127" s="81"/>
      <c r="U127" s="81"/>
      <c r="V127" s="81"/>
      <c r="W127" s="81"/>
      <c r="X127" s="81"/>
      <c r="Y127" s="81"/>
      <c r="Z127" s="81"/>
      <c r="AA127" s="81"/>
      <c r="AB127" s="81"/>
      <c r="AC127" s="81"/>
      <c r="AD127" s="81"/>
      <c r="AE127" s="81"/>
      <c r="AF127" s="81"/>
      <c r="AG127" s="81">
        <v>0</v>
      </c>
      <c r="AH127" s="81">
        <f t="shared" si="439"/>
        <v>0</v>
      </c>
      <c r="AI127" s="81">
        <f t="shared" si="440"/>
        <v>0</v>
      </c>
      <c r="AJ127" s="81"/>
      <c r="AK127" s="81"/>
      <c r="AL127" s="81"/>
      <c r="AM127" s="81"/>
      <c r="AN127" s="81"/>
      <c r="AO127" s="81"/>
      <c r="AP127" s="81"/>
      <c r="AQ127" s="81"/>
      <c r="AR127" s="81"/>
      <c r="AS127" s="81"/>
      <c r="AT127" s="81">
        <v>13607</v>
      </c>
      <c r="AU127" s="81">
        <f t="shared" si="441"/>
        <v>15501</v>
      </c>
      <c r="AV127" s="81">
        <f t="shared" si="442"/>
        <v>1894</v>
      </c>
      <c r="AW127" s="81">
        <v>1894</v>
      </c>
      <c r="AX127" s="81"/>
      <c r="AY127" s="81"/>
      <c r="AZ127" s="81"/>
      <c r="BA127" s="81"/>
      <c r="BB127" s="81"/>
      <c r="BC127" s="81"/>
      <c r="BD127" s="81"/>
      <c r="BE127" s="81"/>
      <c r="BF127" s="81"/>
      <c r="BG127" s="81"/>
      <c r="BH127" s="81">
        <v>0</v>
      </c>
      <c r="BI127" s="81">
        <f t="shared" si="443"/>
        <v>0</v>
      </c>
      <c r="BJ127" s="98">
        <f t="shared" si="444"/>
        <v>0</v>
      </c>
      <c r="BK127" s="98"/>
      <c r="BL127" s="98"/>
      <c r="BM127" s="98"/>
      <c r="BN127" s="98"/>
      <c r="BO127" s="98"/>
      <c r="BP127" s="81"/>
      <c r="BQ127" s="81">
        <f t="shared" si="445"/>
        <v>0</v>
      </c>
      <c r="BR127" s="81">
        <f t="shared" si="446"/>
        <v>0</v>
      </c>
      <c r="BS127" s="98"/>
      <c r="BT127" s="98"/>
      <c r="BU127" s="98"/>
      <c r="BV127" s="98"/>
      <c r="BW127" s="98"/>
      <c r="BX127" s="98"/>
      <c r="BY127" s="98"/>
      <c r="BZ127" s="98"/>
      <c r="CA127" s="98"/>
      <c r="CB127" s="98"/>
      <c r="CC127" s="98"/>
      <c r="CD127" s="98"/>
      <c r="CE127" s="82" t="s">
        <v>502</v>
      </c>
      <c r="CF127" s="85"/>
      <c r="CG127" s="24"/>
    </row>
    <row r="128" spans="1:85" s="198" customFormat="1" ht="24" x14ac:dyDescent="0.2">
      <c r="A128" s="108"/>
      <c r="B128" s="242"/>
      <c r="C128" s="407" t="s">
        <v>511</v>
      </c>
      <c r="D128" s="80">
        <f t="shared" si="435"/>
        <v>0</v>
      </c>
      <c r="E128" s="295">
        <f t="shared" si="436"/>
        <v>83700</v>
      </c>
      <c r="F128" s="81"/>
      <c r="G128" s="81">
        <f t="shared" ref="G128" si="495">F128+H128</f>
        <v>83700</v>
      </c>
      <c r="H128" s="81">
        <f t="shared" ref="H128" si="496">SUM(I128:AF128)</f>
        <v>83700</v>
      </c>
      <c r="I128" s="81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>
        <v>83700</v>
      </c>
      <c r="AA128" s="81"/>
      <c r="AB128" s="81"/>
      <c r="AC128" s="81"/>
      <c r="AD128" s="81"/>
      <c r="AE128" s="81"/>
      <c r="AF128" s="81"/>
      <c r="AG128" s="81"/>
      <c r="AH128" s="81">
        <f t="shared" ref="AH128" si="497">AG128+AI128</f>
        <v>0</v>
      </c>
      <c r="AI128" s="81">
        <f t="shared" ref="AI128" si="498">SUM(AJ128:AS128)</f>
        <v>0</v>
      </c>
      <c r="AJ128" s="81"/>
      <c r="AK128" s="81"/>
      <c r="AL128" s="81"/>
      <c r="AM128" s="81"/>
      <c r="AN128" s="81"/>
      <c r="AO128" s="81"/>
      <c r="AP128" s="81"/>
      <c r="AQ128" s="81"/>
      <c r="AR128" s="81"/>
      <c r="AS128" s="81"/>
      <c r="AT128" s="81"/>
      <c r="AU128" s="81">
        <f t="shared" ref="AU128" si="499">AT128+AV128</f>
        <v>0</v>
      </c>
      <c r="AV128" s="81">
        <f t="shared" ref="AV128" si="500">SUM(AW128:BG128)</f>
        <v>0</v>
      </c>
      <c r="AW128" s="81"/>
      <c r="AX128" s="81"/>
      <c r="AY128" s="81"/>
      <c r="AZ128" s="81"/>
      <c r="BA128" s="81"/>
      <c r="BB128" s="81"/>
      <c r="BC128" s="81"/>
      <c r="BD128" s="81"/>
      <c r="BE128" s="81"/>
      <c r="BF128" s="81"/>
      <c r="BG128" s="81"/>
      <c r="BH128" s="81"/>
      <c r="BI128" s="81">
        <f t="shared" ref="BI128" si="501">BH128+BJ128</f>
        <v>0</v>
      </c>
      <c r="BJ128" s="98">
        <f t="shared" ref="BJ128" si="502">SUM(BK128:BO128)</f>
        <v>0</v>
      </c>
      <c r="BK128" s="98"/>
      <c r="BL128" s="98"/>
      <c r="BM128" s="98"/>
      <c r="BN128" s="98"/>
      <c r="BO128" s="98"/>
      <c r="BP128" s="81"/>
      <c r="BQ128" s="81">
        <f t="shared" ref="BQ128" si="503">BP128+BR128</f>
        <v>0</v>
      </c>
      <c r="BR128" s="81">
        <f t="shared" ref="BR128" si="504">SUM(BS128:CD128)</f>
        <v>0</v>
      </c>
      <c r="BS128" s="98"/>
      <c r="BT128" s="98"/>
      <c r="BU128" s="98"/>
      <c r="BV128" s="98"/>
      <c r="BW128" s="98"/>
      <c r="BX128" s="98"/>
      <c r="BY128" s="98"/>
      <c r="BZ128" s="98"/>
      <c r="CA128" s="98"/>
      <c r="CB128" s="98"/>
      <c r="CC128" s="98"/>
      <c r="CD128" s="98"/>
      <c r="CE128" s="82" t="s">
        <v>858</v>
      </c>
      <c r="CF128" s="85"/>
      <c r="CG128" s="24"/>
    </row>
    <row r="129" spans="1:85" ht="24" customHeight="1" x14ac:dyDescent="0.2">
      <c r="A129" s="108">
        <v>90000056408</v>
      </c>
      <c r="B129" s="241" t="s">
        <v>16</v>
      </c>
      <c r="C129" s="285" t="s">
        <v>452</v>
      </c>
      <c r="D129" s="80">
        <f t="shared" si="435"/>
        <v>611988</v>
      </c>
      <c r="E129" s="295">
        <f t="shared" si="436"/>
        <v>617524</v>
      </c>
      <c r="F129" s="81">
        <v>592478</v>
      </c>
      <c r="G129" s="81">
        <f t="shared" si="437"/>
        <v>597033</v>
      </c>
      <c r="H129" s="81">
        <f t="shared" si="438"/>
        <v>4555</v>
      </c>
      <c r="I129" s="81"/>
      <c r="J129" s="81"/>
      <c r="K129" s="81"/>
      <c r="L129" s="81"/>
      <c r="M129" s="81"/>
      <c r="N129" s="81"/>
      <c r="O129" s="81"/>
      <c r="P129" s="81"/>
      <c r="Q129" s="81"/>
      <c r="R129" s="81"/>
      <c r="S129" s="81"/>
      <c r="T129" s="81"/>
      <c r="U129" s="81"/>
      <c r="V129" s="81"/>
      <c r="W129" s="81">
        <v>4555</v>
      </c>
      <c r="X129" s="81"/>
      <c r="Y129" s="81"/>
      <c r="Z129" s="81"/>
      <c r="AA129" s="81"/>
      <c r="AB129" s="81"/>
      <c r="AC129" s="81"/>
      <c r="AD129" s="81"/>
      <c r="AE129" s="81"/>
      <c r="AF129" s="81"/>
      <c r="AG129" s="81">
        <v>0</v>
      </c>
      <c r="AH129" s="81">
        <f t="shared" si="439"/>
        <v>0</v>
      </c>
      <c r="AI129" s="81">
        <f t="shared" si="440"/>
        <v>0</v>
      </c>
      <c r="AJ129" s="81"/>
      <c r="AK129" s="81"/>
      <c r="AL129" s="81"/>
      <c r="AM129" s="81"/>
      <c r="AN129" s="81"/>
      <c r="AO129" s="81"/>
      <c r="AP129" s="81"/>
      <c r="AQ129" s="81"/>
      <c r="AR129" s="81"/>
      <c r="AS129" s="81"/>
      <c r="AT129" s="81">
        <v>19510</v>
      </c>
      <c r="AU129" s="81">
        <f t="shared" si="441"/>
        <v>20491</v>
      </c>
      <c r="AV129" s="81">
        <f t="shared" si="442"/>
        <v>981</v>
      </c>
      <c r="AW129" s="81">
        <v>450</v>
      </c>
      <c r="AX129" s="81"/>
      <c r="AY129" s="81"/>
      <c r="AZ129" s="81"/>
      <c r="BA129" s="81"/>
      <c r="BB129" s="81"/>
      <c r="BC129" s="81"/>
      <c r="BD129" s="81">
        <v>531</v>
      </c>
      <c r="BE129" s="81"/>
      <c r="BF129" s="81"/>
      <c r="BG129" s="81"/>
      <c r="BH129" s="81">
        <v>0</v>
      </c>
      <c r="BI129" s="81">
        <f t="shared" si="443"/>
        <v>0</v>
      </c>
      <c r="BJ129" s="98">
        <f t="shared" si="444"/>
        <v>0</v>
      </c>
      <c r="BK129" s="98"/>
      <c r="BL129" s="98"/>
      <c r="BM129" s="98"/>
      <c r="BN129" s="98"/>
      <c r="BO129" s="98"/>
      <c r="BP129" s="81"/>
      <c r="BQ129" s="81">
        <f t="shared" si="445"/>
        <v>0</v>
      </c>
      <c r="BR129" s="81">
        <f t="shared" si="446"/>
        <v>0</v>
      </c>
      <c r="BS129" s="98"/>
      <c r="BT129" s="98"/>
      <c r="BU129" s="98"/>
      <c r="BV129" s="98"/>
      <c r="BW129" s="98"/>
      <c r="BX129" s="98"/>
      <c r="BY129" s="98"/>
      <c r="BZ129" s="98"/>
      <c r="CA129" s="98"/>
      <c r="CB129" s="98"/>
      <c r="CC129" s="98"/>
      <c r="CD129" s="98"/>
      <c r="CE129" s="82" t="s">
        <v>367</v>
      </c>
      <c r="CF129" s="85"/>
      <c r="CG129" s="24"/>
    </row>
    <row r="130" spans="1:85" ht="12.75" x14ac:dyDescent="0.2">
      <c r="A130" s="108"/>
      <c r="B130" s="243"/>
      <c r="C130" s="285" t="s">
        <v>279</v>
      </c>
      <c r="D130" s="80">
        <f t="shared" si="435"/>
        <v>45176</v>
      </c>
      <c r="E130" s="295">
        <f t="shared" si="436"/>
        <v>46308</v>
      </c>
      <c r="F130" s="81">
        <v>43921</v>
      </c>
      <c r="G130" s="81">
        <f t="shared" si="437"/>
        <v>45053</v>
      </c>
      <c r="H130" s="81">
        <f t="shared" si="438"/>
        <v>1132</v>
      </c>
      <c r="I130" s="81"/>
      <c r="J130" s="81"/>
      <c r="K130" s="81">
        <v>1132</v>
      </c>
      <c r="L130" s="81"/>
      <c r="M130" s="81"/>
      <c r="N130" s="81"/>
      <c r="O130" s="81"/>
      <c r="P130" s="81"/>
      <c r="Q130" s="81"/>
      <c r="R130" s="81"/>
      <c r="S130" s="81"/>
      <c r="T130" s="81"/>
      <c r="U130" s="81"/>
      <c r="V130" s="81"/>
      <c r="W130" s="81"/>
      <c r="X130" s="81"/>
      <c r="Y130" s="81"/>
      <c r="Z130" s="81"/>
      <c r="AA130" s="81"/>
      <c r="AB130" s="81"/>
      <c r="AC130" s="81"/>
      <c r="AD130" s="81"/>
      <c r="AE130" s="81"/>
      <c r="AF130" s="81"/>
      <c r="AG130" s="81">
        <v>0</v>
      </c>
      <c r="AH130" s="81">
        <f t="shared" si="439"/>
        <v>0</v>
      </c>
      <c r="AI130" s="81">
        <f t="shared" si="440"/>
        <v>0</v>
      </c>
      <c r="AJ130" s="81"/>
      <c r="AK130" s="81"/>
      <c r="AL130" s="81"/>
      <c r="AM130" s="81"/>
      <c r="AN130" s="81"/>
      <c r="AO130" s="81"/>
      <c r="AP130" s="81"/>
      <c r="AQ130" s="81"/>
      <c r="AR130" s="81"/>
      <c r="AS130" s="81"/>
      <c r="AT130" s="81">
        <v>1255</v>
      </c>
      <c r="AU130" s="81">
        <f t="shared" si="441"/>
        <v>1255</v>
      </c>
      <c r="AV130" s="81">
        <f t="shared" si="442"/>
        <v>0</v>
      </c>
      <c r="AW130" s="81"/>
      <c r="AX130" s="81"/>
      <c r="AY130" s="81"/>
      <c r="AZ130" s="81"/>
      <c r="BA130" s="81"/>
      <c r="BB130" s="81"/>
      <c r="BC130" s="81"/>
      <c r="BD130" s="81"/>
      <c r="BE130" s="81"/>
      <c r="BF130" s="81"/>
      <c r="BG130" s="81"/>
      <c r="BH130" s="81">
        <v>0</v>
      </c>
      <c r="BI130" s="81">
        <f t="shared" si="443"/>
        <v>0</v>
      </c>
      <c r="BJ130" s="98">
        <f t="shared" si="444"/>
        <v>0</v>
      </c>
      <c r="BK130" s="98"/>
      <c r="BL130" s="98"/>
      <c r="BM130" s="98"/>
      <c r="BN130" s="98"/>
      <c r="BO130" s="98"/>
      <c r="BP130" s="81"/>
      <c r="BQ130" s="81">
        <f t="shared" si="445"/>
        <v>0</v>
      </c>
      <c r="BR130" s="81">
        <f t="shared" si="446"/>
        <v>0</v>
      </c>
      <c r="BS130" s="98"/>
      <c r="BT130" s="98"/>
      <c r="BU130" s="98"/>
      <c r="BV130" s="98"/>
      <c r="BW130" s="98"/>
      <c r="BX130" s="98"/>
      <c r="BY130" s="98"/>
      <c r="BZ130" s="98"/>
      <c r="CA130" s="98"/>
      <c r="CB130" s="98"/>
      <c r="CC130" s="98"/>
      <c r="CD130" s="98"/>
      <c r="CE130" s="82" t="s">
        <v>551</v>
      </c>
      <c r="CF130" s="85" t="s">
        <v>653</v>
      </c>
      <c r="CG130" s="24"/>
    </row>
    <row r="131" spans="1:85" s="198" customFormat="1" ht="27.75" customHeight="1" x14ac:dyDescent="0.2">
      <c r="A131" s="108"/>
      <c r="B131" s="243"/>
      <c r="C131" s="378" t="s">
        <v>800</v>
      </c>
      <c r="D131" s="80">
        <f t="shared" ref="D131" si="505">F131+AG131+AT131+BH131+BP131</f>
        <v>0</v>
      </c>
      <c r="E131" s="295">
        <f t="shared" ref="E131" si="506">G131+AH131+AU131+BI131+BQ131</f>
        <v>4000</v>
      </c>
      <c r="F131" s="81"/>
      <c r="G131" s="81">
        <f t="shared" ref="G131" si="507">F131+H131</f>
        <v>4000</v>
      </c>
      <c r="H131" s="81">
        <f t="shared" ref="H131" si="508">SUM(I131:AF131)</f>
        <v>4000</v>
      </c>
      <c r="I131" s="81"/>
      <c r="J131" s="81"/>
      <c r="K131" s="81"/>
      <c r="L131" s="81"/>
      <c r="M131" s="81">
        <v>4000</v>
      </c>
      <c r="N131" s="81"/>
      <c r="O131" s="81"/>
      <c r="P131" s="81"/>
      <c r="Q131" s="81"/>
      <c r="R131" s="81"/>
      <c r="S131" s="81"/>
      <c r="T131" s="81"/>
      <c r="U131" s="81"/>
      <c r="V131" s="81"/>
      <c r="W131" s="81"/>
      <c r="X131" s="81"/>
      <c r="Y131" s="81"/>
      <c r="Z131" s="81"/>
      <c r="AA131" s="81"/>
      <c r="AB131" s="81"/>
      <c r="AC131" s="81"/>
      <c r="AD131" s="81"/>
      <c r="AE131" s="81"/>
      <c r="AF131" s="81"/>
      <c r="AG131" s="81"/>
      <c r="AH131" s="81">
        <f t="shared" ref="AH131" si="509">AG131+AI131</f>
        <v>0</v>
      </c>
      <c r="AI131" s="81">
        <f t="shared" ref="AI131" si="510">SUM(AJ131:AS131)</f>
        <v>0</v>
      </c>
      <c r="AJ131" s="81"/>
      <c r="AK131" s="81"/>
      <c r="AL131" s="81"/>
      <c r="AM131" s="81"/>
      <c r="AN131" s="81"/>
      <c r="AO131" s="81"/>
      <c r="AP131" s="81"/>
      <c r="AQ131" s="81"/>
      <c r="AR131" s="81"/>
      <c r="AS131" s="81"/>
      <c r="AT131" s="81"/>
      <c r="AU131" s="81">
        <f t="shared" ref="AU131" si="511">AT131+AV131</f>
        <v>0</v>
      </c>
      <c r="AV131" s="81">
        <f t="shared" ref="AV131" si="512">SUM(AW131:BG131)</f>
        <v>0</v>
      </c>
      <c r="AW131" s="81"/>
      <c r="AX131" s="81"/>
      <c r="AY131" s="81"/>
      <c r="AZ131" s="81"/>
      <c r="BA131" s="81"/>
      <c r="BB131" s="81"/>
      <c r="BC131" s="81"/>
      <c r="BD131" s="81"/>
      <c r="BE131" s="81"/>
      <c r="BF131" s="81"/>
      <c r="BG131" s="81"/>
      <c r="BH131" s="81"/>
      <c r="BI131" s="81">
        <f t="shared" ref="BI131" si="513">BH131+BJ131</f>
        <v>0</v>
      </c>
      <c r="BJ131" s="98">
        <f t="shared" ref="BJ131" si="514">SUM(BK131:BO131)</f>
        <v>0</v>
      </c>
      <c r="BK131" s="98"/>
      <c r="BL131" s="98"/>
      <c r="BM131" s="98"/>
      <c r="BN131" s="98"/>
      <c r="BO131" s="98"/>
      <c r="BP131" s="81"/>
      <c r="BQ131" s="81">
        <f t="shared" ref="BQ131" si="515">BP131+BR131</f>
        <v>0</v>
      </c>
      <c r="BR131" s="81">
        <f t="shared" ref="BR131" si="516">SUM(BS131:CD131)</f>
        <v>0</v>
      </c>
      <c r="BS131" s="98"/>
      <c r="BT131" s="98"/>
      <c r="BU131" s="98"/>
      <c r="BV131" s="98"/>
      <c r="BW131" s="98"/>
      <c r="BX131" s="98"/>
      <c r="BY131" s="98"/>
      <c r="BZ131" s="98"/>
      <c r="CA131" s="98"/>
      <c r="CB131" s="98"/>
      <c r="CC131" s="98"/>
      <c r="CD131" s="98"/>
      <c r="CE131" s="82" t="s">
        <v>801</v>
      </c>
      <c r="CF131" s="85"/>
      <c r="CG131" s="24"/>
    </row>
    <row r="132" spans="1:85" s="198" customFormat="1" ht="27.75" customHeight="1" x14ac:dyDescent="0.2">
      <c r="A132" s="108"/>
      <c r="B132" s="243"/>
      <c r="C132" s="378" t="s">
        <v>802</v>
      </c>
      <c r="D132" s="80">
        <f t="shared" ref="D132:D133" si="517">F132+AG132+AT132+BH132+BP132</f>
        <v>0</v>
      </c>
      <c r="E132" s="295">
        <f t="shared" ref="E132:E133" si="518">G132+AH132+AU132+BI132+BQ132</f>
        <v>2423</v>
      </c>
      <c r="F132" s="81"/>
      <c r="G132" s="81">
        <f t="shared" ref="G132" si="519">F132+H132</f>
        <v>2423</v>
      </c>
      <c r="H132" s="81">
        <f t="shared" ref="H132" si="520">SUM(I132:AF132)</f>
        <v>2423</v>
      </c>
      <c r="I132" s="81"/>
      <c r="J132" s="81"/>
      <c r="K132" s="81"/>
      <c r="L132" s="81"/>
      <c r="M132" s="81">
        <v>2423</v>
      </c>
      <c r="N132" s="81"/>
      <c r="O132" s="81"/>
      <c r="P132" s="81"/>
      <c r="Q132" s="81"/>
      <c r="R132" s="81"/>
      <c r="S132" s="81"/>
      <c r="T132" s="81"/>
      <c r="U132" s="81"/>
      <c r="V132" s="81"/>
      <c r="W132" s="81"/>
      <c r="X132" s="81"/>
      <c r="Y132" s="81"/>
      <c r="Z132" s="81"/>
      <c r="AA132" s="81"/>
      <c r="AB132" s="81"/>
      <c r="AC132" s="81"/>
      <c r="AD132" s="81"/>
      <c r="AE132" s="81"/>
      <c r="AF132" s="81"/>
      <c r="AG132" s="81"/>
      <c r="AH132" s="81">
        <f t="shared" ref="AH132" si="521">AG132+AI132</f>
        <v>0</v>
      </c>
      <c r="AI132" s="81">
        <f t="shared" ref="AI132" si="522">SUM(AJ132:AS132)</f>
        <v>0</v>
      </c>
      <c r="AJ132" s="81"/>
      <c r="AK132" s="81"/>
      <c r="AL132" s="81"/>
      <c r="AM132" s="81"/>
      <c r="AN132" s="81"/>
      <c r="AO132" s="81"/>
      <c r="AP132" s="81"/>
      <c r="AQ132" s="81"/>
      <c r="AR132" s="81"/>
      <c r="AS132" s="81"/>
      <c r="AT132" s="81"/>
      <c r="AU132" s="81">
        <f t="shared" ref="AU132" si="523">AT132+AV132</f>
        <v>0</v>
      </c>
      <c r="AV132" s="81">
        <f t="shared" ref="AV132" si="524">SUM(AW132:BG132)</f>
        <v>0</v>
      </c>
      <c r="AW132" s="81"/>
      <c r="AX132" s="81"/>
      <c r="AY132" s="81"/>
      <c r="AZ132" s="81"/>
      <c r="BA132" s="81"/>
      <c r="BB132" s="81"/>
      <c r="BC132" s="81"/>
      <c r="BD132" s="81"/>
      <c r="BE132" s="81"/>
      <c r="BF132" s="81"/>
      <c r="BG132" s="81"/>
      <c r="BH132" s="81"/>
      <c r="BI132" s="81">
        <f t="shared" ref="BI132" si="525">BH132+BJ132</f>
        <v>0</v>
      </c>
      <c r="BJ132" s="98">
        <f t="shared" ref="BJ132" si="526">SUM(BK132:BO132)</f>
        <v>0</v>
      </c>
      <c r="BK132" s="98"/>
      <c r="BL132" s="98"/>
      <c r="BM132" s="98"/>
      <c r="BN132" s="98"/>
      <c r="BO132" s="98"/>
      <c r="BP132" s="81"/>
      <c r="BQ132" s="81">
        <f t="shared" ref="BQ132" si="527">BP132+BR132</f>
        <v>0</v>
      </c>
      <c r="BR132" s="81">
        <f t="shared" ref="BR132" si="528">SUM(BS132:CD132)</f>
        <v>0</v>
      </c>
      <c r="BS132" s="98"/>
      <c r="BT132" s="98"/>
      <c r="BU132" s="98"/>
      <c r="BV132" s="98"/>
      <c r="BW132" s="98"/>
      <c r="BX132" s="98"/>
      <c r="BY132" s="98"/>
      <c r="BZ132" s="98"/>
      <c r="CA132" s="98"/>
      <c r="CB132" s="98"/>
      <c r="CC132" s="98"/>
      <c r="CD132" s="98"/>
      <c r="CE132" s="82" t="s">
        <v>803</v>
      </c>
      <c r="CF132" s="85"/>
      <c r="CG132" s="24"/>
    </row>
    <row r="133" spans="1:85" s="198" customFormat="1" ht="36" x14ac:dyDescent="0.2">
      <c r="A133" s="108"/>
      <c r="B133" s="243"/>
      <c r="C133" s="404" t="s">
        <v>854</v>
      </c>
      <c r="D133" s="80">
        <f t="shared" si="517"/>
        <v>0</v>
      </c>
      <c r="E133" s="295">
        <f t="shared" si="518"/>
        <v>1500</v>
      </c>
      <c r="F133" s="81"/>
      <c r="G133" s="81">
        <f t="shared" ref="G133" si="529">F133+H133</f>
        <v>1500</v>
      </c>
      <c r="H133" s="81">
        <f t="shared" ref="H133" si="530">SUM(I133:AF133)</f>
        <v>1500</v>
      </c>
      <c r="I133" s="81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>
        <v>1500</v>
      </c>
      <c r="AA133" s="81"/>
      <c r="AB133" s="81"/>
      <c r="AC133" s="81"/>
      <c r="AD133" s="81"/>
      <c r="AE133" s="81"/>
      <c r="AF133" s="81"/>
      <c r="AG133" s="81"/>
      <c r="AH133" s="81">
        <f t="shared" ref="AH133" si="531">AG133+AI133</f>
        <v>0</v>
      </c>
      <c r="AI133" s="81">
        <f t="shared" ref="AI133" si="532">SUM(AJ133:AS133)</f>
        <v>0</v>
      </c>
      <c r="AJ133" s="81"/>
      <c r="AK133" s="81"/>
      <c r="AL133" s="81"/>
      <c r="AM133" s="81"/>
      <c r="AN133" s="81"/>
      <c r="AO133" s="81"/>
      <c r="AP133" s="81"/>
      <c r="AQ133" s="81"/>
      <c r="AR133" s="81"/>
      <c r="AS133" s="81"/>
      <c r="AT133" s="81"/>
      <c r="AU133" s="81">
        <f t="shared" ref="AU133" si="533">AT133+AV133</f>
        <v>0</v>
      </c>
      <c r="AV133" s="81">
        <f t="shared" ref="AV133" si="534">SUM(AW133:BG133)</f>
        <v>0</v>
      </c>
      <c r="AW133" s="81"/>
      <c r="AX133" s="81"/>
      <c r="AY133" s="81"/>
      <c r="AZ133" s="81"/>
      <c r="BA133" s="81"/>
      <c r="BB133" s="81"/>
      <c r="BC133" s="81"/>
      <c r="BD133" s="81"/>
      <c r="BE133" s="81"/>
      <c r="BF133" s="81"/>
      <c r="BG133" s="81"/>
      <c r="BH133" s="81"/>
      <c r="BI133" s="81">
        <f t="shared" ref="BI133" si="535">BH133+BJ133</f>
        <v>0</v>
      </c>
      <c r="BJ133" s="98">
        <f t="shared" ref="BJ133" si="536">SUM(BK133:BO133)</f>
        <v>0</v>
      </c>
      <c r="BK133" s="98"/>
      <c r="BL133" s="98"/>
      <c r="BM133" s="98"/>
      <c r="BN133" s="98"/>
      <c r="BO133" s="98"/>
      <c r="BP133" s="81"/>
      <c r="BQ133" s="81">
        <f t="shared" ref="BQ133" si="537">BP133+BR133</f>
        <v>0</v>
      </c>
      <c r="BR133" s="81">
        <f t="shared" ref="BR133" si="538">SUM(BS133:CD133)</f>
        <v>0</v>
      </c>
      <c r="BS133" s="98"/>
      <c r="BT133" s="98"/>
      <c r="BU133" s="98"/>
      <c r="BV133" s="98"/>
      <c r="BW133" s="98"/>
      <c r="BX133" s="98"/>
      <c r="BY133" s="98"/>
      <c r="BZ133" s="98"/>
      <c r="CA133" s="98"/>
      <c r="CB133" s="98"/>
      <c r="CC133" s="98"/>
      <c r="CD133" s="98"/>
      <c r="CE133" s="82" t="s">
        <v>855</v>
      </c>
      <c r="CF133" s="85"/>
      <c r="CG133" s="24"/>
    </row>
    <row r="134" spans="1:85" s="13" customFormat="1" ht="28.5" customHeight="1" x14ac:dyDescent="0.2">
      <c r="A134" s="109">
        <v>40003378932</v>
      </c>
      <c r="B134" s="241" t="s">
        <v>303</v>
      </c>
      <c r="C134" s="285" t="s">
        <v>460</v>
      </c>
      <c r="D134" s="80">
        <f t="shared" si="435"/>
        <v>954012</v>
      </c>
      <c r="E134" s="295">
        <f t="shared" si="436"/>
        <v>954012</v>
      </c>
      <c r="F134" s="81">
        <v>954012</v>
      </c>
      <c r="G134" s="81">
        <f t="shared" si="437"/>
        <v>954012</v>
      </c>
      <c r="H134" s="81">
        <f t="shared" si="438"/>
        <v>0</v>
      </c>
      <c r="I134" s="81"/>
      <c r="J134" s="81"/>
      <c r="K134" s="81"/>
      <c r="L134" s="81"/>
      <c r="M134" s="81"/>
      <c r="N134" s="81"/>
      <c r="O134" s="81"/>
      <c r="P134" s="81"/>
      <c r="Q134" s="81"/>
      <c r="R134" s="81"/>
      <c r="S134" s="81"/>
      <c r="T134" s="81"/>
      <c r="U134" s="81"/>
      <c r="V134" s="81"/>
      <c r="W134" s="81"/>
      <c r="X134" s="81"/>
      <c r="Y134" s="81"/>
      <c r="Z134" s="81"/>
      <c r="AA134" s="81"/>
      <c r="AB134" s="81"/>
      <c r="AC134" s="81"/>
      <c r="AD134" s="81"/>
      <c r="AE134" s="81"/>
      <c r="AF134" s="81"/>
      <c r="AG134" s="81">
        <v>0</v>
      </c>
      <c r="AH134" s="81">
        <f t="shared" si="439"/>
        <v>0</v>
      </c>
      <c r="AI134" s="81">
        <f t="shared" si="440"/>
        <v>0</v>
      </c>
      <c r="AJ134" s="81"/>
      <c r="AK134" s="81"/>
      <c r="AL134" s="81"/>
      <c r="AM134" s="81"/>
      <c r="AN134" s="81"/>
      <c r="AO134" s="81"/>
      <c r="AP134" s="81"/>
      <c r="AQ134" s="81"/>
      <c r="AR134" s="81"/>
      <c r="AS134" s="81"/>
      <c r="AT134" s="81">
        <v>0</v>
      </c>
      <c r="AU134" s="81">
        <f t="shared" si="441"/>
        <v>0</v>
      </c>
      <c r="AV134" s="81">
        <f t="shared" si="442"/>
        <v>0</v>
      </c>
      <c r="AW134" s="81"/>
      <c r="AX134" s="81"/>
      <c r="AY134" s="81"/>
      <c r="AZ134" s="81"/>
      <c r="BA134" s="81"/>
      <c r="BB134" s="81"/>
      <c r="BC134" s="81"/>
      <c r="BD134" s="81"/>
      <c r="BE134" s="81"/>
      <c r="BF134" s="81"/>
      <c r="BG134" s="81"/>
      <c r="BH134" s="81">
        <v>0</v>
      </c>
      <c r="BI134" s="81">
        <f t="shared" si="443"/>
        <v>0</v>
      </c>
      <c r="BJ134" s="98">
        <f t="shared" si="444"/>
        <v>0</v>
      </c>
      <c r="BK134" s="98"/>
      <c r="BL134" s="98"/>
      <c r="BM134" s="98"/>
      <c r="BN134" s="98"/>
      <c r="BO134" s="98"/>
      <c r="BP134" s="81"/>
      <c r="BQ134" s="81">
        <f t="shared" si="445"/>
        <v>0</v>
      </c>
      <c r="BR134" s="81">
        <f t="shared" si="446"/>
        <v>0</v>
      </c>
      <c r="BS134" s="98"/>
      <c r="BT134" s="98"/>
      <c r="BU134" s="98"/>
      <c r="BV134" s="98"/>
      <c r="BW134" s="98"/>
      <c r="BX134" s="98"/>
      <c r="BY134" s="98"/>
      <c r="BZ134" s="98"/>
      <c r="CA134" s="98"/>
      <c r="CB134" s="98"/>
      <c r="CC134" s="98"/>
      <c r="CD134" s="98"/>
      <c r="CE134" s="82" t="s">
        <v>368</v>
      </c>
      <c r="CF134" s="85"/>
      <c r="CG134" s="24"/>
    </row>
    <row r="135" spans="1:85" ht="9" customHeight="1" thickBot="1" x14ac:dyDescent="0.25">
      <c r="A135" s="108"/>
      <c r="B135" s="216"/>
      <c r="C135" s="323"/>
      <c r="D135" s="71"/>
      <c r="E135" s="296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97"/>
      <c r="AV135" s="97"/>
      <c r="AW135" s="97"/>
      <c r="AX135" s="97"/>
      <c r="AY135" s="97"/>
      <c r="AZ135" s="97"/>
      <c r="BA135" s="97"/>
      <c r="BB135" s="97"/>
      <c r="BC135" s="97"/>
      <c r="BD135" s="97"/>
      <c r="BE135" s="97"/>
      <c r="BF135" s="97"/>
      <c r="BG135" s="97"/>
      <c r="BH135" s="97"/>
      <c r="BI135" s="72"/>
      <c r="BJ135" s="97"/>
      <c r="BK135" s="97"/>
      <c r="BL135" s="97"/>
      <c r="BM135" s="97"/>
      <c r="BN135" s="97"/>
      <c r="BO135" s="97"/>
      <c r="BP135" s="72"/>
      <c r="BQ135" s="264"/>
      <c r="BR135" s="97"/>
      <c r="BS135" s="97"/>
      <c r="BT135" s="97"/>
      <c r="BU135" s="97"/>
      <c r="BV135" s="97"/>
      <c r="BW135" s="97"/>
      <c r="BX135" s="97"/>
      <c r="BY135" s="97"/>
      <c r="BZ135" s="97"/>
      <c r="CA135" s="97"/>
      <c r="CB135" s="97"/>
      <c r="CC135" s="97"/>
      <c r="CD135" s="97"/>
      <c r="CE135" s="73"/>
      <c r="CF135" s="86"/>
      <c r="CG135" s="24"/>
    </row>
    <row r="136" spans="1:85" ht="12.75" thickBot="1" x14ac:dyDescent="0.25">
      <c r="A136" s="215" t="s">
        <v>17</v>
      </c>
      <c r="B136" s="125" t="s">
        <v>18</v>
      </c>
      <c r="C136" s="321"/>
      <c r="D136" s="11">
        <f>SUM(D137:D245)</f>
        <v>30693293</v>
      </c>
      <c r="E136" s="297">
        <f>SUM(E137:E245)</f>
        <v>32774729</v>
      </c>
      <c r="F136" s="9">
        <f>SUM(F137:F245)</f>
        <v>21453964</v>
      </c>
      <c r="G136" s="9">
        <f t="shared" ref="G136:AF136" si="539">SUM(G137:G245)</f>
        <v>22984375</v>
      </c>
      <c r="H136" s="9">
        <f t="shared" si="539"/>
        <v>1530411</v>
      </c>
      <c r="I136" s="9">
        <f t="shared" si="539"/>
        <v>51879</v>
      </c>
      <c r="J136" s="9">
        <f t="shared" ref="J136" si="540">SUM(J137:J245)</f>
        <v>7235</v>
      </c>
      <c r="K136" s="9">
        <f t="shared" si="539"/>
        <v>2695825</v>
      </c>
      <c r="L136" s="9">
        <f t="shared" si="539"/>
        <v>94686</v>
      </c>
      <c r="M136" s="9">
        <f t="shared" si="539"/>
        <v>18020</v>
      </c>
      <c r="N136" s="9">
        <f t="shared" si="539"/>
        <v>2025</v>
      </c>
      <c r="O136" s="9">
        <f t="shared" si="539"/>
        <v>0</v>
      </c>
      <c r="P136" s="9">
        <f t="shared" si="539"/>
        <v>0</v>
      </c>
      <c r="Q136" s="9">
        <f t="shared" si="539"/>
        <v>-119425</v>
      </c>
      <c r="R136" s="9">
        <f t="shared" si="539"/>
        <v>0</v>
      </c>
      <c r="S136" s="9">
        <f t="shared" si="539"/>
        <v>-1492064</v>
      </c>
      <c r="T136" s="9"/>
      <c r="U136" s="9">
        <f t="shared" si="539"/>
        <v>52333</v>
      </c>
      <c r="V136" s="9"/>
      <c r="W136" s="9">
        <f t="shared" si="539"/>
        <v>101208</v>
      </c>
      <c r="X136" s="9">
        <f t="shared" ref="X136" si="541">SUM(X137:X245)</f>
        <v>5100</v>
      </c>
      <c r="Y136" s="9">
        <f t="shared" si="539"/>
        <v>99617</v>
      </c>
      <c r="Z136" s="9">
        <f t="shared" ref="Z136:AE136" si="542">SUM(Z137:Z245)</f>
        <v>23432</v>
      </c>
      <c r="AA136" s="9">
        <f t="shared" ref="AA136:AD136" si="543">SUM(AA137:AA245)</f>
        <v>0</v>
      </c>
      <c r="AB136" s="9">
        <f t="shared" si="543"/>
        <v>0</v>
      </c>
      <c r="AC136" s="9">
        <f t="shared" si="543"/>
        <v>0</v>
      </c>
      <c r="AD136" s="9">
        <f t="shared" si="543"/>
        <v>0</v>
      </c>
      <c r="AE136" s="9">
        <f t="shared" si="542"/>
        <v>-9460</v>
      </c>
      <c r="AF136" s="9">
        <f t="shared" si="539"/>
        <v>0</v>
      </c>
      <c r="AG136" s="9">
        <f>SUM(AG137:AG245)</f>
        <v>8765186</v>
      </c>
      <c r="AH136" s="9">
        <f t="shared" ref="AH136" si="544">SUM(AH137:AH245)</f>
        <v>9234271</v>
      </c>
      <c r="AI136" s="9">
        <f t="shared" ref="AI136" si="545">SUM(AI137:AI245)</f>
        <v>469085</v>
      </c>
      <c r="AJ136" s="9">
        <f t="shared" ref="AJ136" si="546">SUM(AJ137:AJ245)</f>
        <v>30354</v>
      </c>
      <c r="AK136" s="9">
        <f t="shared" ref="AK136" si="547">SUM(AK137:AK245)</f>
        <v>195405</v>
      </c>
      <c r="AL136" s="9">
        <f t="shared" ref="AL136" si="548">SUM(AL137:AL245)</f>
        <v>0</v>
      </c>
      <c r="AM136" s="9">
        <f t="shared" ref="AM136" si="549">SUM(AM137:AM245)</f>
        <v>642</v>
      </c>
      <c r="AN136" s="9">
        <f t="shared" ref="AN136" si="550">SUM(AN137:AN245)</f>
        <v>1806</v>
      </c>
      <c r="AO136" s="9">
        <f t="shared" ref="AO136" si="551">SUM(AO137:AO245)</f>
        <v>38122</v>
      </c>
      <c r="AP136" s="9">
        <f t="shared" ref="AP136" si="552">SUM(AP137:AP245)</f>
        <v>23307</v>
      </c>
      <c r="AQ136" s="9">
        <f t="shared" ref="AQ136" si="553">SUM(AQ137:AQ245)</f>
        <v>179449</v>
      </c>
      <c r="AR136" s="9">
        <f t="shared" ref="AR136" si="554">SUM(AR137:AR245)</f>
        <v>0</v>
      </c>
      <c r="AS136" s="9">
        <f t="shared" ref="AS136" si="555">SUM(AS137:AS245)</f>
        <v>0</v>
      </c>
      <c r="AT136" s="9">
        <f>SUM(AT137:AT245)</f>
        <v>494147</v>
      </c>
      <c r="AU136" s="96">
        <f t="shared" ref="AU136" si="556">SUM(AU137:AU245)</f>
        <v>583697</v>
      </c>
      <c r="AV136" s="96">
        <f t="shared" ref="AV136" si="557">SUM(AV137:AV245)</f>
        <v>89550</v>
      </c>
      <c r="AW136" s="96">
        <f t="shared" ref="AW136" si="558">SUM(AW137:AW245)</f>
        <v>52108</v>
      </c>
      <c r="AX136" s="96">
        <f t="shared" ref="AX136" si="559">SUM(AX137:AX245)</f>
        <v>0</v>
      </c>
      <c r="AY136" s="96">
        <f t="shared" ref="AY136" si="560">SUM(AY137:AY245)</f>
        <v>0</v>
      </c>
      <c r="AZ136" s="96">
        <f t="shared" ref="AZ136" si="561">SUM(AZ137:AZ245)</f>
        <v>0</v>
      </c>
      <c r="BA136" s="96">
        <f t="shared" ref="BA136" si="562">SUM(BA137:BA245)</f>
        <v>100</v>
      </c>
      <c r="BB136" s="96">
        <f t="shared" ref="BB136" si="563">SUM(BB137:BB245)</f>
        <v>0</v>
      </c>
      <c r="BC136" s="96">
        <f t="shared" ref="BC136" si="564">SUM(BC137:BC245)</f>
        <v>8922</v>
      </c>
      <c r="BD136" s="96">
        <f t="shared" ref="BD136" si="565">SUM(BD137:BD245)</f>
        <v>1475</v>
      </c>
      <c r="BE136" s="96">
        <f t="shared" ref="BE136" si="566">SUM(BE137:BE245)</f>
        <v>26945</v>
      </c>
      <c r="BF136" s="96">
        <f t="shared" ref="BF136:BG136" si="567">SUM(BF137:BF245)</f>
        <v>0</v>
      </c>
      <c r="BG136" s="96">
        <f t="shared" si="567"/>
        <v>0</v>
      </c>
      <c r="BH136" s="96">
        <f>SUM(BH137:BH245)</f>
        <v>0</v>
      </c>
      <c r="BI136" s="9">
        <f t="shared" ref="BI136" si="568">SUM(BI137:BI245)</f>
        <v>31</v>
      </c>
      <c r="BJ136" s="96">
        <f t="shared" ref="BJ136" si="569">SUM(BJ137:BJ245)</f>
        <v>31</v>
      </c>
      <c r="BK136" s="96">
        <f t="shared" ref="BK136" si="570">SUM(BK137:BK245)</f>
        <v>31</v>
      </c>
      <c r="BL136" s="96">
        <f t="shared" ref="BL136" si="571">SUM(BL137:BL245)</f>
        <v>0</v>
      </c>
      <c r="BM136" s="96">
        <f t="shared" ref="BM136" si="572">SUM(BM137:BM245)</f>
        <v>0</v>
      </c>
      <c r="BN136" s="96">
        <f t="shared" ref="BN136" si="573">SUM(BN137:BN245)</f>
        <v>0</v>
      </c>
      <c r="BO136" s="96">
        <f t="shared" ref="BO136" si="574">SUM(BO137:BO245)</f>
        <v>0</v>
      </c>
      <c r="BP136" s="9">
        <f>SUM(BP137:BP245)</f>
        <v>-20004</v>
      </c>
      <c r="BQ136" s="310">
        <f t="shared" ref="BQ136" si="575">SUM(BQ137:BQ245)</f>
        <v>-27645</v>
      </c>
      <c r="BR136" s="96">
        <f t="shared" ref="BR136" si="576">SUM(BR137:BR245)</f>
        <v>-7641</v>
      </c>
      <c r="BS136" s="96">
        <f t="shared" ref="BS136" si="577">SUM(BS137:BS245)</f>
        <v>0</v>
      </c>
      <c r="BT136" s="96">
        <f t="shared" ref="BT136" si="578">SUM(BT137:BT245)</f>
        <v>-6449</v>
      </c>
      <c r="BU136" s="96">
        <f t="shared" ref="BU136" si="579">SUM(BU137:BU245)</f>
        <v>0</v>
      </c>
      <c r="BV136" s="96">
        <f t="shared" ref="BV136" si="580">SUM(BV137:BV245)</f>
        <v>0</v>
      </c>
      <c r="BW136" s="96">
        <f t="shared" ref="BW136" si="581">SUM(BW137:BW245)</f>
        <v>0</v>
      </c>
      <c r="BX136" s="96">
        <f t="shared" ref="BX136" si="582">SUM(BX137:BX245)</f>
        <v>0</v>
      </c>
      <c r="BY136" s="96">
        <f t="shared" ref="BY136" si="583">SUM(BY137:BY245)</f>
        <v>0</v>
      </c>
      <c r="BZ136" s="96">
        <f t="shared" ref="BZ136" si="584">SUM(BZ137:BZ245)</f>
        <v>-49</v>
      </c>
      <c r="CA136" s="96">
        <f t="shared" ref="CA136" si="585">SUM(CA137:CA245)</f>
        <v>0</v>
      </c>
      <c r="CB136" s="96">
        <f t="shared" ref="CB136:CD136" si="586">SUM(CB137:CB245)</f>
        <v>-1143</v>
      </c>
      <c r="CC136" s="96">
        <f t="shared" ref="CC136" si="587">SUM(CC137:CC245)</f>
        <v>0</v>
      </c>
      <c r="CD136" s="96">
        <f t="shared" si="586"/>
        <v>0</v>
      </c>
      <c r="CE136" s="12"/>
      <c r="CF136" s="87"/>
      <c r="CG136" s="24"/>
    </row>
    <row r="137" spans="1:85" ht="12.75" customHeight="1" thickTop="1" x14ac:dyDescent="0.2">
      <c r="A137" s="108">
        <v>90000056357</v>
      </c>
      <c r="B137" s="247" t="s">
        <v>5</v>
      </c>
      <c r="C137" s="324" t="s">
        <v>182</v>
      </c>
      <c r="D137" s="80">
        <f t="shared" ref="D137:D211" si="588">F137+AG137+AT137+BH137+BP137</f>
        <v>313321</v>
      </c>
      <c r="E137" s="295">
        <f t="shared" ref="E137:E211" si="589">G137+AH137+AU137+BI137+BQ137</f>
        <v>332821</v>
      </c>
      <c r="F137" s="164">
        <v>313321</v>
      </c>
      <c r="G137" s="164">
        <f t="shared" ref="G137:G211" si="590">F137+H137</f>
        <v>332821</v>
      </c>
      <c r="H137" s="164">
        <f t="shared" ref="H137:H211" si="591">SUM(I137:AF137)</f>
        <v>19500</v>
      </c>
      <c r="I137" s="164"/>
      <c r="J137" s="164"/>
      <c r="K137" s="164"/>
      <c r="L137" s="164"/>
      <c r="M137" s="164"/>
      <c r="N137" s="164"/>
      <c r="O137" s="164"/>
      <c r="P137" s="164"/>
      <c r="Q137" s="164"/>
      <c r="R137" s="164"/>
      <c r="S137" s="164">
        <v>5000</v>
      </c>
      <c r="T137" s="164"/>
      <c r="U137" s="164"/>
      <c r="V137" s="164"/>
      <c r="W137" s="164">
        <v>14500</v>
      </c>
      <c r="X137" s="164"/>
      <c r="Y137" s="164"/>
      <c r="Z137" s="164"/>
      <c r="AA137" s="164"/>
      <c r="AB137" s="164"/>
      <c r="AC137" s="164"/>
      <c r="AD137" s="164"/>
      <c r="AE137" s="164"/>
      <c r="AF137" s="164"/>
      <c r="AG137" s="164">
        <v>0</v>
      </c>
      <c r="AH137" s="164">
        <f t="shared" ref="AH137:AH211" si="592">AG137+AI137</f>
        <v>0</v>
      </c>
      <c r="AI137" s="164">
        <f t="shared" ref="AI137:AI211" si="593">SUM(AJ137:AS137)</f>
        <v>0</v>
      </c>
      <c r="AJ137" s="164"/>
      <c r="AK137" s="164"/>
      <c r="AL137" s="164"/>
      <c r="AM137" s="164"/>
      <c r="AN137" s="164"/>
      <c r="AO137" s="164"/>
      <c r="AP137" s="164"/>
      <c r="AQ137" s="164"/>
      <c r="AR137" s="164"/>
      <c r="AS137" s="164"/>
      <c r="AT137" s="164">
        <v>0</v>
      </c>
      <c r="AU137" s="164">
        <f t="shared" ref="AU137:AU211" si="594">AT137+AV137</f>
        <v>0</v>
      </c>
      <c r="AV137" s="164">
        <f t="shared" ref="AV137:AV211" si="595">SUM(AW137:BG137)</f>
        <v>0</v>
      </c>
      <c r="AW137" s="164"/>
      <c r="AX137" s="164"/>
      <c r="AY137" s="164"/>
      <c r="AZ137" s="164"/>
      <c r="BA137" s="164"/>
      <c r="BB137" s="164"/>
      <c r="BC137" s="164"/>
      <c r="BD137" s="164"/>
      <c r="BE137" s="164"/>
      <c r="BF137" s="164"/>
      <c r="BG137" s="164"/>
      <c r="BH137" s="164">
        <v>0</v>
      </c>
      <c r="BI137" s="81">
        <f t="shared" ref="BI137:BI211" si="596">BH137+BJ137</f>
        <v>0</v>
      </c>
      <c r="BJ137" s="98">
        <f t="shared" ref="BJ137:BJ211" si="597">SUM(BK137:BO137)</f>
        <v>0</v>
      </c>
      <c r="BK137" s="305"/>
      <c r="BL137" s="305"/>
      <c r="BM137" s="305"/>
      <c r="BN137" s="305"/>
      <c r="BO137" s="305"/>
      <c r="BP137" s="164"/>
      <c r="BQ137" s="81">
        <f t="shared" ref="BQ137:BQ211" si="598">BP137+BR137</f>
        <v>0</v>
      </c>
      <c r="BR137" s="81">
        <f t="shared" ref="BR137:BR211" si="599">SUM(BS137:CD137)</f>
        <v>0</v>
      </c>
      <c r="BS137" s="305"/>
      <c r="BT137" s="305"/>
      <c r="BU137" s="305"/>
      <c r="BV137" s="305"/>
      <c r="BW137" s="305"/>
      <c r="BX137" s="305"/>
      <c r="BY137" s="305"/>
      <c r="BZ137" s="305"/>
      <c r="CA137" s="305"/>
      <c r="CB137" s="305"/>
      <c r="CC137" s="305"/>
      <c r="CD137" s="305"/>
      <c r="CE137" s="205" t="s">
        <v>339</v>
      </c>
      <c r="CF137" s="206"/>
      <c r="CG137" s="24"/>
    </row>
    <row r="138" spans="1:85" s="162" customFormat="1" ht="15.75" customHeight="1" x14ac:dyDescent="0.2">
      <c r="A138" s="108"/>
      <c r="B138" s="244"/>
      <c r="C138" s="285" t="s">
        <v>217</v>
      </c>
      <c r="D138" s="80">
        <f t="shared" si="588"/>
        <v>8323</v>
      </c>
      <c r="E138" s="295">
        <f t="shared" si="589"/>
        <v>8323</v>
      </c>
      <c r="F138" s="81">
        <v>8323</v>
      </c>
      <c r="G138" s="81">
        <f t="shared" si="590"/>
        <v>8323</v>
      </c>
      <c r="H138" s="81">
        <f t="shared" si="591"/>
        <v>0</v>
      </c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  <c r="AF138" s="81"/>
      <c r="AG138" s="81">
        <v>0</v>
      </c>
      <c r="AH138" s="81">
        <f t="shared" si="592"/>
        <v>0</v>
      </c>
      <c r="AI138" s="81">
        <f t="shared" si="593"/>
        <v>0</v>
      </c>
      <c r="AJ138" s="81"/>
      <c r="AK138" s="81"/>
      <c r="AL138" s="81"/>
      <c r="AM138" s="81"/>
      <c r="AN138" s="81"/>
      <c r="AO138" s="81"/>
      <c r="AP138" s="81"/>
      <c r="AQ138" s="81"/>
      <c r="AR138" s="81"/>
      <c r="AS138" s="81"/>
      <c r="AT138" s="81">
        <v>0</v>
      </c>
      <c r="AU138" s="81">
        <f t="shared" si="594"/>
        <v>0</v>
      </c>
      <c r="AV138" s="81">
        <f t="shared" si="595"/>
        <v>0</v>
      </c>
      <c r="AW138" s="81"/>
      <c r="AX138" s="81"/>
      <c r="AY138" s="81"/>
      <c r="AZ138" s="81"/>
      <c r="BA138" s="81"/>
      <c r="BB138" s="81"/>
      <c r="BC138" s="81"/>
      <c r="BD138" s="81"/>
      <c r="BE138" s="81"/>
      <c r="BF138" s="81"/>
      <c r="BG138" s="81"/>
      <c r="BH138" s="81">
        <v>0</v>
      </c>
      <c r="BI138" s="81">
        <f t="shared" si="596"/>
        <v>0</v>
      </c>
      <c r="BJ138" s="98">
        <f t="shared" si="597"/>
        <v>0</v>
      </c>
      <c r="BK138" s="199"/>
      <c r="BL138" s="199"/>
      <c r="BM138" s="199"/>
      <c r="BN138" s="199"/>
      <c r="BO138" s="199"/>
      <c r="BP138" s="163"/>
      <c r="BQ138" s="81">
        <f t="shared" si="598"/>
        <v>0</v>
      </c>
      <c r="BR138" s="81">
        <f t="shared" si="599"/>
        <v>0</v>
      </c>
      <c r="BS138" s="199"/>
      <c r="BT138" s="199"/>
      <c r="BU138" s="199"/>
      <c r="BV138" s="199"/>
      <c r="BW138" s="199"/>
      <c r="BX138" s="199"/>
      <c r="BY138" s="199"/>
      <c r="BZ138" s="199"/>
      <c r="CA138" s="199"/>
      <c r="CB138" s="199"/>
      <c r="CC138" s="199"/>
      <c r="CD138" s="199"/>
      <c r="CE138" s="220" t="s">
        <v>340</v>
      </c>
      <c r="CF138" s="85" t="s">
        <v>684</v>
      </c>
      <c r="CG138" s="24"/>
    </row>
    <row r="139" spans="1:85" ht="24" x14ac:dyDescent="0.2">
      <c r="A139" s="108"/>
      <c r="B139" s="244"/>
      <c r="C139" s="285" t="s">
        <v>238</v>
      </c>
      <c r="D139" s="80">
        <f t="shared" si="588"/>
        <v>250000</v>
      </c>
      <c r="E139" s="295">
        <f t="shared" si="589"/>
        <v>250000</v>
      </c>
      <c r="F139" s="81">
        <v>250000</v>
      </c>
      <c r="G139" s="81">
        <f t="shared" si="590"/>
        <v>250000</v>
      </c>
      <c r="H139" s="81">
        <f t="shared" si="591"/>
        <v>0</v>
      </c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  <c r="AF139" s="81"/>
      <c r="AG139" s="81">
        <v>0</v>
      </c>
      <c r="AH139" s="81">
        <f t="shared" si="592"/>
        <v>0</v>
      </c>
      <c r="AI139" s="81">
        <f t="shared" si="593"/>
        <v>0</v>
      </c>
      <c r="AJ139" s="81"/>
      <c r="AK139" s="81"/>
      <c r="AL139" s="81"/>
      <c r="AM139" s="81"/>
      <c r="AN139" s="81"/>
      <c r="AO139" s="81"/>
      <c r="AP139" s="81"/>
      <c r="AQ139" s="81"/>
      <c r="AR139" s="81"/>
      <c r="AS139" s="81"/>
      <c r="AT139" s="81">
        <v>0</v>
      </c>
      <c r="AU139" s="81">
        <f t="shared" si="594"/>
        <v>0</v>
      </c>
      <c r="AV139" s="81">
        <f t="shared" si="595"/>
        <v>0</v>
      </c>
      <c r="AW139" s="81"/>
      <c r="AX139" s="81"/>
      <c r="AY139" s="81"/>
      <c r="AZ139" s="81"/>
      <c r="BA139" s="81"/>
      <c r="BB139" s="81"/>
      <c r="BC139" s="81"/>
      <c r="BD139" s="81"/>
      <c r="BE139" s="81"/>
      <c r="BF139" s="81"/>
      <c r="BG139" s="81"/>
      <c r="BH139" s="81">
        <v>0</v>
      </c>
      <c r="BI139" s="81">
        <f t="shared" si="596"/>
        <v>0</v>
      </c>
      <c r="BJ139" s="98">
        <f t="shared" si="597"/>
        <v>0</v>
      </c>
      <c r="BK139" s="81"/>
      <c r="BL139" s="81"/>
      <c r="BM139" s="81"/>
      <c r="BN139" s="81"/>
      <c r="BO139" s="81"/>
      <c r="BP139" s="81"/>
      <c r="BQ139" s="81">
        <f t="shared" si="598"/>
        <v>0</v>
      </c>
      <c r="BR139" s="81">
        <f t="shared" si="599"/>
        <v>0</v>
      </c>
      <c r="BS139" s="81"/>
      <c r="BT139" s="81"/>
      <c r="BU139" s="81"/>
      <c r="BV139" s="81"/>
      <c r="BW139" s="81"/>
      <c r="BX139" s="81"/>
      <c r="BY139" s="81"/>
      <c r="BZ139" s="81"/>
      <c r="CA139" s="81"/>
      <c r="CB139" s="81"/>
      <c r="CC139" s="81"/>
      <c r="CD139" s="81"/>
      <c r="CE139" s="220" t="s">
        <v>341</v>
      </c>
      <c r="CF139" s="200" t="s">
        <v>567</v>
      </c>
      <c r="CG139" s="24"/>
    </row>
    <row r="140" spans="1:85" s="161" customFormat="1" ht="14.25" customHeight="1" x14ac:dyDescent="0.2">
      <c r="A140" s="108"/>
      <c r="B140" s="244"/>
      <c r="C140" s="285" t="s">
        <v>479</v>
      </c>
      <c r="D140" s="80">
        <f t="shared" si="588"/>
        <v>160000</v>
      </c>
      <c r="E140" s="295">
        <f t="shared" si="589"/>
        <v>229594</v>
      </c>
      <c r="F140" s="81">
        <v>160000</v>
      </c>
      <c r="G140" s="81">
        <f t="shared" si="590"/>
        <v>229594</v>
      </c>
      <c r="H140" s="81">
        <f t="shared" si="591"/>
        <v>69594</v>
      </c>
      <c r="I140" s="81"/>
      <c r="J140" s="81"/>
      <c r="K140" s="81">
        <v>55134</v>
      </c>
      <c r="L140" s="81"/>
      <c r="M140" s="81"/>
      <c r="N140" s="81"/>
      <c r="O140" s="81"/>
      <c r="P140" s="81"/>
      <c r="Q140" s="81"/>
      <c r="R140" s="81"/>
      <c r="S140" s="81"/>
      <c r="T140" s="81"/>
      <c r="U140" s="81"/>
      <c r="V140" s="81"/>
      <c r="W140" s="81"/>
      <c r="X140" s="81"/>
      <c r="Y140" s="81"/>
      <c r="Z140" s="81">
        <v>14460</v>
      </c>
      <c r="AA140" s="81"/>
      <c r="AB140" s="81"/>
      <c r="AC140" s="81"/>
      <c r="AD140" s="81"/>
      <c r="AE140" s="81"/>
      <c r="AF140" s="81"/>
      <c r="AG140" s="81">
        <v>0</v>
      </c>
      <c r="AH140" s="81">
        <f t="shared" si="592"/>
        <v>0</v>
      </c>
      <c r="AI140" s="81">
        <f t="shared" si="593"/>
        <v>0</v>
      </c>
      <c r="AJ140" s="81"/>
      <c r="AK140" s="81"/>
      <c r="AL140" s="81"/>
      <c r="AM140" s="81"/>
      <c r="AN140" s="81"/>
      <c r="AO140" s="81"/>
      <c r="AP140" s="81"/>
      <c r="AQ140" s="81"/>
      <c r="AR140" s="81"/>
      <c r="AS140" s="81"/>
      <c r="AT140" s="81">
        <v>0</v>
      </c>
      <c r="AU140" s="81">
        <f t="shared" si="594"/>
        <v>0</v>
      </c>
      <c r="AV140" s="81">
        <f t="shared" si="595"/>
        <v>0</v>
      </c>
      <c r="AW140" s="81"/>
      <c r="AX140" s="81"/>
      <c r="AY140" s="81"/>
      <c r="AZ140" s="81"/>
      <c r="BA140" s="81"/>
      <c r="BB140" s="81"/>
      <c r="BC140" s="81"/>
      <c r="BD140" s="81"/>
      <c r="BE140" s="81"/>
      <c r="BF140" s="81"/>
      <c r="BG140" s="81"/>
      <c r="BH140" s="81">
        <v>0</v>
      </c>
      <c r="BI140" s="81">
        <f t="shared" si="596"/>
        <v>0</v>
      </c>
      <c r="BJ140" s="98">
        <f t="shared" si="597"/>
        <v>0</v>
      </c>
      <c r="BK140" s="81"/>
      <c r="BL140" s="81"/>
      <c r="BM140" s="81"/>
      <c r="BN140" s="81"/>
      <c r="BO140" s="81"/>
      <c r="BP140" s="81"/>
      <c r="BQ140" s="81">
        <f t="shared" si="598"/>
        <v>0</v>
      </c>
      <c r="BR140" s="81">
        <f t="shared" si="599"/>
        <v>0</v>
      </c>
      <c r="BS140" s="81"/>
      <c r="BT140" s="81"/>
      <c r="BU140" s="81"/>
      <c r="BV140" s="81"/>
      <c r="BW140" s="81"/>
      <c r="BX140" s="81"/>
      <c r="BY140" s="81"/>
      <c r="BZ140" s="81"/>
      <c r="CA140" s="81"/>
      <c r="CB140" s="81"/>
      <c r="CC140" s="81"/>
      <c r="CD140" s="81"/>
      <c r="CE140" s="220" t="s">
        <v>342</v>
      </c>
      <c r="CF140" s="85" t="s">
        <v>684</v>
      </c>
      <c r="CG140" s="24"/>
    </row>
    <row r="141" spans="1:85" s="161" customFormat="1" x14ac:dyDescent="0.2">
      <c r="A141" s="108"/>
      <c r="B141" s="244"/>
      <c r="C141" s="319" t="s">
        <v>480</v>
      </c>
      <c r="D141" s="80">
        <f t="shared" si="588"/>
        <v>38543</v>
      </c>
      <c r="E141" s="295">
        <f t="shared" si="589"/>
        <v>70567</v>
      </c>
      <c r="F141" s="163">
        <v>38543</v>
      </c>
      <c r="G141" s="163">
        <f t="shared" si="590"/>
        <v>70567</v>
      </c>
      <c r="H141" s="163">
        <f t="shared" si="591"/>
        <v>32024</v>
      </c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>
        <v>32024</v>
      </c>
      <c r="X141" s="163"/>
      <c r="Y141" s="163"/>
      <c r="Z141" s="163"/>
      <c r="AA141" s="163"/>
      <c r="AB141" s="163"/>
      <c r="AC141" s="163"/>
      <c r="AD141" s="163"/>
      <c r="AE141" s="163"/>
      <c r="AF141" s="163"/>
      <c r="AG141" s="163">
        <v>0</v>
      </c>
      <c r="AH141" s="163">
        <f t="shared" si="592"/>
        <v>0</v>
      </c>
      <c r="AI141" s="163">
        <f t="shared" si="593"/>
        <v>0</v>
      </c>
      <c r="AJ141" s="163"/>
      <c r="AK141" s="163"/>
      <c r="AL141" s="163"/>
      <c r="AM141" s="163"/>
      <c r="AN141" s="163"/>
      <c r="AO141" s="163"/>
      <c r="AP141" s="163"/>
      <c r="AQ141" s="163"/>
      <c r="AR141" s="163"/>
      <c r="AS141" s="163"/>
      <c r="AT141" s="163">
        <v>0</v>
      </c>
      <c r="AU141" s="163">
        <f t="shared" si="594"/>
        <v>0</v>
      </c>
      <c r="AV141" s="163">
        <f t="shared" si="595"/>
        <v>0</v>
      </c>
      <c r="AW141" s="163"/>
      <c r="AX141" s="163"/>
      <c r="AY141" s="163"/>
      <c r="AZ141" s="163"/>
      <c r="BA141" s="163"/>
      <c r="BB141" s="163"/>
      <c r="BC141" s="163"/>
      <c r="BD141" s="163"/>
      <c r="BE141" s="163"/>
      <c r="BF141" s="163"/>
      <c r="BG141" s="163"/>
      <c r="BH141" s="163">
        <v>0</v>
      </c>
      <c r="BI141" s="81">
        <f t="shared" si="596"/>
        <v>0</v>
      </c>
      <c r="BJ141" s="98">
        <f t="shared" si="597"/>
        <v>0</v>
      </c>
      <c r="BK141" s="199"/>
      <c r="BL141" s="199"/>
      <c r="BM141" s="199"/>
      <c r="BN141" s="199"/>
      <c r="BO141" s="199"/>
      <c r="BP141" s="163"/>
      <c r="BQ141" s="81">
        <f t="shared" si="598"/>
        <v>0</v>
      </c>
      <c r="BR141" s="81">
        <f t="shared" si="599"/>
        <v>0</v>
      </c>
      <c r="BS141" s="199"/>
      <c r="BT141" s="199"/>
      <c r="BU141" s="199"/>
      <c r="BV141" s="199"/>
      <c r="BW141" s="199"/>
      <c r="BX141" s="199"/>
      <c r="BY141" s="199"/>
      <c r="BZ141" s="199"/>
      <c r="CA141" s="199"/>
      <c r="CB141" s="199"/>
      <c r="CC141" s="199"/>
      <c r="CD141" s="199"/>
      <c r="CE141" s="220" t="s">
        <v>343</v>
      </c>
      <c r="CF141" s="85" t="s">
        <v>684</v>
      </c>
      <c r="CG141" s="24"/>
    </row>
    <row r="142" spans="1:85" s="161" customFormat="1" x14ac:dyDescent="0.2">
      <c r="A142" s="108"/>
      <c r="B142" s="244"/>
      <c r="C142" s="285" t="s">
        <v>219</v>
      </c>
      <c r="D142" s="80">
        <f t="shared" si="588"/>
        <v>15520</v>
      </c>
      <c r="E142" s="295">
        <f t="shared" si="589"/>
        <v>17264</v>
      </c>
      <c r="F142" s="163">
        <v>15520</v>
      </c>
      <c r="G142" s="163">
        <f t="shared" si="590"/>
        <v>17264</v>
      </c>
      <c r="H142" s="163">
        <f t="shared" si="591"/>
        <v>1744</v>
      </c>
      <c r="I142" s="163"/>
      <c r="J142" s="163"/>
      <c r="K142" s="163"/>
      <c r="L142" s="163"/>
      <c r="M142" s="163"/>
      <c r="N142" s="163"/>
      <c r="O142" s="163"/>
      <c r="P142" s="163">
        <v>544</v>
      </c>
      <c r="Q142" s="163"/>
      <c r="R142" s="163"/>
      <c r="S142" s="163"/>
      <c r="T142" s="163"/>
      <c r="U142" s="163"/>
      <c r="V142" s="163"/>
      <c r="W142" s="163">
        <v>1200</v>
      </c>
      <c r="X142" s="163"/>
      <c r="Y142" s="163"/>
      <c r="Z142" s="163"/>
      <c r="AA142" s="163"/>
      <c r="AB142" s="163"/>
      <c r="AC142" s="163"/>
      <c r="AD142" s="163"/>
      <c r="AE142" s="163"/>
      <c r="AF142" s="163"/>
      <c r="AG142" s="163">
        <v>0</v>
      </c>
      <c r="AH142" s="163">
        <f t="shared" si="592"/>
        <v>0</v>
      </c>
      <c r="AI142" s="163">
        <f t="shared" si="593"/>
        <v>0</v>
      </c>
      <c r="AJ142" s="163"/>
      <c r="AK142" s="163"/>
      <c r="AL142" s="163"/>
      <c r="AM142" s="163"/>
      <c r="AN142" s="163"/>
      <c r="AO142" s="163"/>
      <c r="AP142" s="163"/>
      <c r="AQ142" s="163"/>
      <c r="AR142" s="163"/>
      <c r="AS142" s="163"/>
      <c r="AT142" s="163">
        <v>0</v>
      </c>
      <c r="AU142" s="163">
        <f t="shared" si="594"/>
        <v>0</v>
      </c>
      <c r="AV142" s="163">
        <f t="shared" si="595"/>
        <v>0</v>
      </c>
      <c r="AW142" s="163"/>
      <c r="AX142" s="163"/>
      <c r="AY142" s="163"/>
      <c r="AZ142" s="163"/>
      <c r="BA142" s="163"/>
      <c r="BB142" s="163"/>
      <c r="BC142" s="163"/>
      <c r="BD142" s="163"/>
      <c r="BE142" s="163"/>
      <c r="BF142" s="163"/>
      <c r="BG142" s="163"/>
      <c r="BH142" s="163">
        <v>0</v>
      </c>
      <c r="BI142" s="81">
        <f t="shared" si="596"/>
        <v>0</v>
      </c>
      <c r="BJ142" s="98">
        <f t="shared" si="597"/>
        <v>0</v>
      </c>
      <c r="BK142" s="199"/>
      <c r="BL142" s="199"/>
      <c r="BM142" s="199"/>
      <c r="BN142" s="199"/>
      <c r="BO142" s="199"/>
      <c r="BP142" s="163"/>
      <c r="BQ142" s="81">
        <f t="shared" si="598"/>
        <v>0</v>
      </c>
      <c r="BR142" s="81">
        <f t="shared" si="599"/>
        <v>0</v>
      </c>
      <c r="BS142" s="199"/>
      <c r="BT142" s="199"/>
      <c r="BU142" s="199"/>
      <c r="BV142" s="199"/>
      <c r="BW142" s="199"/>
      <c r="BX142" s="199"/>
      <c r="BY142" s="199"/>
      <c r="BZ142" s="199"/>
      <c r="CA142" s="199"/>
      <c r="CB142" s="199"/>
      <c r="CC142" s="199"/>
      <c r="CD142" s="199"/>
      <c r="CE142" s="220" t="s">
        <v>484</v>
      </c>
      <c r="CF142" s="85" t="s">
        <v>684</v>
      </c>
      <c r="CG142" s="24"/>
    </row>
    <row r="143" spans="1:85" s="161" customFormat="1" ht="24" x14ac:dyDescent="0.2">
      <c r="A143" s="108"/>
      <c r="B143" s="244"/>
      <c r="C143" s="285" t="s">
        <v>506</v>
      </c>
      <c r="D143" s="80">
        <f t="shared" si="588"/>
        <v>140490</v>
      </c>
      <c r="E143" s="295">
        <f t="shared" si="589"/>
        <v>139887</v>
      </c>
      <c r="F143" s="163">
        <v>140490</v>
      </c>
      <c r="G143" s="163">
        <f t="shared" si="590"/>
        <v>139887</v>
      </c>
      <c r="H143" s="163">
        <f t="shared" si="591"/>
        <v>-603</v>
      </c>
      <c r="I143" s="163"/>
      <c r="J143" s="163"/>
      <c r="K143" s="163"/>
      <c r="L143" s="163"/>
      <c r="M143" s="163"/>
      <c r="N143" s="163"/>
      <c r="O143" s="163"/>
      <c r="P143" s="163">
        <v>-544</v>
      </c>
      <c r="Q143" s="163"/>
      <c r="R143" s="163"/>
      <c r="S143" s="163"/>
      <c r="T143" s="163"/>
      <c r="U143" s="163"/>
      <c r="V143" s="163"/>
      <c r="W143" s="163">
        <v>-59</v>
      </c>
      <c r="X143" s="163"/>
      <c r="Y143" s="163"/>
      <c r="Z143" s="163"/>
      <c r="AA143" s="163"/>
      <c r="AB143" s="163"/>
      <c r="AC143" s="163"/>
      <c r="AD143" s="163"/>
      <c r="AE143" s="163"/>
      <c r="AF143" s="163"/>
      <c r="AG143" s="163">
        <v>0</v>
      </c>
      <c r="AH143" s="163">
        <f t="shared" si="592"/>
        <v>0</v>
      </c>
      <c r="AI143" s="163">
        <f t="shared" si="593"/>
        <v>0</v>
      </c>
      <c r="AJ143" s="163"/>
      <c r="AK143" s="163"/>
      <c r="AL143" s="163"/>
      <c r="AM143" s="163"/>
      <c r="AN143" s="163"/>
      <c r="AO143" s="163"/>
      <c r="AP143" s="163"/>
      <c r="AQ143" s="163"/>
      <c r="AR143" s="163"/>
      <c r="AS143" s="163"/>
      <c r="AT143" s="163">
        <v>0</v>
      </c>
      <c r="AU143" s="163">
        <f t="shared" si="594"/>
        <v>0</v>
      </c>
      <c r="AV143" s="163">
        <f t="shared" si="595"/>
        <v>0</v>
      </c>
      <c r="AW143" s="163"/>
      <c r="AX143" s="163"/>
      <c r="AY143" s="163"/>
      <c r="AZ143" s="163"/>
      <c r="BA143" s="163"/>
      <c r="BB143" s="163"/>
      <c r="BC143" s="163"/>
      <c r="BD143" s="163"/>
      <c r="BE143" s="163"/>
      <c r="BF143" s="163"/>
      <c r="BG143" s="163"/>
      <c r="BH143" s="163">
        <v>0</v>
      </c>
      <c r="BI143" s="81">
        <f t="shared" si="596"/>
        <v>0</v>
      </c>
      <c r="BJ143" s="98">
        <f t="shared" si="597"/>
        <v>0</v>
      </c>
      <c r="BK143" s="199"/>
      <c r="BL143" s="199"/>
      <c r="BM143" s="199"/>
      <c r="BN143" s="199"/>
      <c r="BO143" s="199"/>
      <c r="BP143" s="163"/>
      <c r="BQ143" s="81">
        <f t="shared" si="598"/>
        <v>0</v>
      </c>
      <c r="BR143" s="81">
        <f t="shared" si="599"/>
        <v>0</v>
      </c>
      <c r="BS143" s="199"/>
      <c r="BT143" s="199"/>
      <c r="BU143" s="199"/>
      <c r="BV143" s="199"/>
      <c r="BW143" s="199"/>
      <c r="BX143" s="199"/>
      <c r="BY143" s="199"/>
      <c r="BZ143" s="199"/>
      <c r="CA143" s="199"/>
      <c r="CB143" s="199"/>
      <c r="CC143" s="199"/>
      <c r="CD143" s="199"/>
      <c r="CE143" s="220" t="s">
        <v>485</v>
      </c>
      <c r="CF143" s="85" t="s">
        <v>684</v>
      </c>
      <c r="CG143" s="24"/>
    </row>
    <row r="144" spans="1:85" s="162" customFormat="1" ht="24" x14ac:dyDescent="0.2">
      <c r="A144" s="108"/>
      <c r="B144" s="244"/>
      <c r="C144" s="326" t="s">
        <v>256</v>
      </c>
      <c r="D144" s="80">
        <f t="shared" si="588"/>
        <v>1944678</v>
      </c>
      <c r="E144" s="295">
        <f t="shared" si="589"/>
        <v>416608</v>
      </c>
      <c r="F144" s="81">
        <v>1944678</v>
      </c>
      <c r="G144" s="81">
        <f t="shared" si="590"/>
        <v>416608</v>
      </c>
      <c r="H144" s="81">
        <f t="shared" si="591"/>
        <v>-1528070</v>
      </c>
      <c r="I144" s="81"/>
      <c r="J144" s="81"/>
      <c r="K144" s="81"/>
      <c r="L144" s="81"/>
      <c r="M144" s="81">
        <f>12541+14158</f>
        <v>26699</v>
      </c>
      <c r="N144" s="81"/>
      <c r="O144" s="81"/>
      <c r="P144" s="81"/>
      <c r="Q144" s="81"/>
      <c r="R144" s="81"/>
      <c r="S144" s="81">
        <v>-1596300</v>
      </c>
      <c r="T144" s="81"/>
      <c r="U144" s="81"/>
      <c r="V144" s="81"/>
      <c r="W144" s="81">
        <v>4826</v>
      </c>
      <c r="X144" s="81">
        <f>5100</f>
        <v>5100</v>
      </c>
      <c r="Y144" s="81">
        <f>41065</f>
        <v>41065</v>
      </c>
      <c r="Z144" s="81"/>
      <c r="AA144" s="81"/>
      <c r="AB144" s="81"/>
      <c r="AC144" s="81"/>
      <c r="AD144" s="81"/>
      <c r="AE144" s="81">
        <v>-9460</v>
      </c>
      <c r="AF144" s="81"/>
      <c r="AG144" s="81">
        <v>0</v>
      </c>
      <c r="AH144" s="81">
        <f t="shared" si="592"/>
        <v>0</v>
      </c>
      <c r="AI144" s="81">
        <f t="shared" si="593"/>
        <v>0</v>
      </c>
      <c r="AJ144" s="81"/>
      <c r="AK144" s="81"/>
      <c r="AL144" s="81"/>
      <c r="AM144" s="81"/>
      <c r="AN144" s="81"/>
      <c r="AO144" s="81"/>
      <c r="AP144" s="81"/>
      <c r="AQ144" s="81"/>
      <c r="AR144" s="81"/>
      <c r="AS144" s="81"/>
      <c r="AT144" s="81">
        <v>0</v>
      </c>
      <c r="AU144" s="81">
        <f t="shared" si="594"/>
        <v>0</v>
      </c>
      <c r="AV144" s="81">
        <f t="shared" si="595"/>
        <v>0</v>
      </c>
      <c r="AW144" s="81"/>
      <c r="AX144" s="81"/>
      <c r="AY144" s="81"/>
      <c r="AZ144" s="81"/>
      <c r="BA144" s="81"/>
      <c r="BB144" s="81"/>
      <c r="BC144" s="81"/>
      <c r="BD144" s="81"/>
      <c r="BE144" s="81"/>
      <c r="BF144" s="81"/>
      <c r="BG144" s="81"/>
      <c r="BH144" s="81">
        <v>0</v>
      </c>
      <c r="BI144" s="81">
        <f t="shared" si="596"/>
        <v>0</v>
      </c>
      <c r="BJ144" s="98">
        <f t="shared" si="597"/>
        <v>0</v>
      </c>
      <c r="BK144" s="81"/>
      <c r="BL144" s="81"/>
      <c r="BM144" s="81"/>
      <c r="BN144" s="81"/>
      <c r="BO144" s="81"/>
      <c r="BP144" s="81"/>
      <c r="BQ144" s="81">
        <f t="shared" si="598"/>
        <v>0</v>
      </c>
      <c r="BR144" s="81">
        <f t="shared" si="599"/>
        <v>0</v>
      </c>
      <c r="BS144" s="81"/>
      <c r="BT144" s="81"/>
      <c r="BU144" s="81"/>
      <c r="BV144" s="81"/>
      <c r="BW144" s="81"/>
      <c r="BX144" s="81"/>
      <c r="BY144" s="81"/>
      <c r="BZ144" s="81"/>
      <c r="CA144" s="81"/>
      <c r="CB144" s="81"/>
      <c r="CC144" s="81"/>
      <c r="CD144" s="81"/>
      <c r="CE144" s="220" t="s">
        <v>674</v>
      </c>
      <c r="CF144" s="200" t="s">
        <v>672</v>
      </c>
      <c r="CG144" s="24"/>
    </row>
    <row r="145" spans="1:85" s="162" customFormat="1" ht="24" x14ac:dyDescent="0.2">
      <c r="A145" s="108"/>
      <c r="B145" s="244"/>
      <c r="C145" s="285" t="s">
        <v>257</v>
      </c>
      <c r="D145" s="80">
        <f t="shared" si="588"/>
        <v>1347428</v>
      </c>
      <c r="E145" s="295">
        <f t="shared" si="589"/>
        <v>725525</v>
      </c>
      <c r="F145" s="81">
        <v>1347428</v>
      </c>
      <c r="G145" s="81">
        <f t="shared" si="590"/>
        <v>725525</v>
      </c>
      <c r="H145" s="81">
        <f t="shared" si="591"/>
        <v>-621903</v>
      </c>
      <c r="I145" s="81"/>
      <c r="J145" s="81"/>
      <c r="K145" s="81">
        <f>3582-112869</f>
        <v>-109287</v>
      </c>
      <c r="L145" s="81"/>
      <c r="M145" s="81">
        <v>-5567</v>
      </c>
      <c r="N145" s="81"/>
      <c r="O145" s="81"/>
      <c r="P145" s="81"/>
      <c r="Q145" s="81"/>
      <c r="R145" s="81"/>
      <c r="S145" s="81">
        <f>-169645-300000-90000</f>
        <v>-559645</v>
      </c>
      <c r="T145" s="81"/>
      <c r="U145" s="81">
        <f>5549+27844</f>
        <v>33393</v>
      </c>
      <c r="V145" s="81"/>
      <c r="W145" s="81">
        <v>-1277</v>
      </c>
      <c r="X145" s="81"/>
      <c r="Y145" s="81">
        <f>20480</f>
        <v>20480</v>
      </c>
      <c r="Z145" s="81"/>
      <c r="AA145" s="81"/>
      <c r="AB145" s="81"/>
      <c r="AC145" s="81"/>
      <c r="AD145" s="81"/>
      <c r="AE145" s="81"/>
      <c r="AF145" s="81"/>
      <c r="AG145" s="81">
        <v>0</v>
      </c>
      <c r="AH145" s="81">
        <f t="shared" si="592"/>
        <v>0</v>
      </c>
      <c r="AI145" s="81">
        <f t="shared" si="593"/>
        <v>0</v>
      </c>
      <c r="AJ145" s="81"/>
      <c r="AK145" s="81"/>
      <c r="AL145" s="81"/>
      <c r="AM145" s="81"/>
      <c r="AN145" s="81"/>
      <c r="AO145" s="81"/>
      <c r="AP145" s="81"/>
      <c r="AQ145" s="81"/>
      <c r="AR145" s="81"/>
      <c r="AS145" s="81"/>
      <c r="AT145" s="81">
        <v>0</v>
      </c>
      <c r="AU145" s="81">
        <f t="shared" si="594"/>
        <v>0</v>
      </c>
      <c r="AV145" s="81">
        <f t="shared" si="595"/>
        <v>0</v>
      </c>
      <c r="AW145" s="81"/>
      <c r="AX145" s="81"/>
      <c r="AY145" s="81"/>
      <c r="AZ145" s="81"/>
      <c r="BA145" s="81"/>
      <c r="BB145" s="81"/>
      <c r="BC145" s="81"/>
      <c r="BD145" s="81"/>
      <c r="BE145" s="81"/>
      <c r="BF145" s="81"/>
      <c r="BG145" s="81"/>
      <c r="BH145" s="81">
        <v>0</v>
      </c>
      <c r="BI145" s="81">
        <f t="shared" si="596"/>
        <v>0</v>
      </c>
      <c r="BJ145" s="98">
        <f t="shared" si="597"/>
        <v>0</v>
      </c>
      <c r="BK145" s="81"/>
      <c r="BL145" s="81"/>
      <c r="BM145" s="81"/>
      <c r="BN145" s="81"/>
      <c r="BO145" s="81"/>
      <c r="BP145" s="81"/>
      <c r="BQ145" s="81">
        <f t="shared" si="598"/>
        <v>0</v>
      </c>
      <c r="BR145" s="81">
        <f t="shared" si="599"/>
        <v>0</v>
      </c>
      <c r="BS145" s="81"/>
      <c r="BT145" s="81"/>
      <c r="BU145" s="81"/>
      <c r="BV145" s="81"/>
      <c r="BW145" s="81"/>
      <c r="BX145" s="81"/>
      <c r="BY145" s="81"/>
      <c r="BZ145" s="81"/>
      <c r="CA145" s="81"/>
      <c r="CB145" s="81"/>
      <c r="CC145" s="81"/>
      <c r="CD145" s="81"/>
      <c r="CE145" s="220" t="s">
        <v>561</v>
      </c>
      <c r="CF145" s="200" t="s">
        <v>672</v>
      </c>
      <c r="CG145" s="24"/>
    </row>
    <row r="146" spans="1:85" ht="24" x14ac:dyDescent="0.2">
      <c r="A146" s="108"/>
      <c r="B146" s="242"/>
      <c r="C146" s="285" t="s">
        <v>258</v>
      </c>
      <c r="D146" s="80">
        <f t="shared" si="588"/>
        <v>29206</v>
      </c>
      <c r="E146" s="295">
        <f t="shared" si="589"/>
        <v>36441</v>
      </c>
      <c r="F146" s="163">
        <v>29206</v>
      </c>
      <c r="G146" s="163">
        <f t="shared" si="590"/>
        <v>36441</v>
      </c>
      <c r="H146" s="163">
        <f t="shared" si="591"/>
        <v>7235</v>
      </c>
      <c r="I146" s="163"/>
      <c r="J146" s="163">
        <v>7235</v>
      </c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  <c r="V146" s="163"/>
      <c r="W146" s="163"/>
      <c r="X146" s="163"/>
      <c r="Y146" s="163"/>
      <c r="Z146" s="163"/>
      <c r="AA146" s="163"/>
      <c r="AB146" s="163"/>
      <c r="AC146" s="163"/>
      <c r="AD146" s="163"/>
      <c r="AE146" s="163"/>
      <c r="AF146" s="163"/>
      <c r="AG146" s="163">
        <v>0</v>
      </c>
      <c r="AH146" s="163">
        <f t="shared" si="592"/>
        <v>0</v>
      </c>
      <c r="AI146" s="163">
        <f t="shared" si="593"/>
        <v>0</v>
      </c>
      <c r="AJ146" s="163"/>
      <c r="AK146" s="163"/>
      <c r="AL146" s="163"/>
      <c r="AM146" s="163"/>
      <c r="AN146" s="163"/>
      <c r="AO146" s="163"/>
      <c r="AP146" s="163"/>
      <c r="AQ146" s="163"/>
      <c r="AR146" s="163"/>
      <c r="AS146" s="163"/>
      <c r="AT146" s="163">
        <v>0</v>
      </c>
      <c r="AU146" s="163">
        <f t="shared" si="594"/>
        <v>0</v>
      </c>
      <c r="AV146" s="163">
        <f t="shared" si="595"/>
        <v>0</v>
      </c>
      <c r="AW146" s="163"/>
      <c r="AX146" s="163"/>
      <c r="AY146" s="163"/>
      <c r="AZ146" s="163"/>
      <c r="BA146" s="163"/>
      <c r="BB146" s="163"/>
      <c r="BC146" s="163"/>
      <c r="BD146" s="163"/>
      <c r="BE146" s="163"/>
      <c r="BF146" s="163"/>
      <c r="BG146" s="163"/>
      <c r="BH146" s="163">
        <v>0</v>
      </c>
      <c r="BI146" s="81">
        <f t="shared" si="596"/>
        <v>0</v>
      </c>
      <c r="BJ146" s="98">
        <f t="shared" si="597"/>
        <v>0</v>
      </c>
      <c r="BK146" s="199"/>
      <c r="BL146" s="199"/>
      <c r="BM146" s="199"/>
      <c r="BN146" s="199"/>
      <c r="BO146" s="199"/>
      <c r="BP146" s="81"/>
      <c r="BQ146" s="81">
        <f t="shared" si="598"/>
        <v>0</v>
      </c>
      <c r="BR146" s="81">
        <f t="shared" si="599"/>
        <v>0</v>
      </c>
      <c r="BS146" s="199"/>
      <c r="BT146" s="199"/>
      <c r="BU146" s="199"/>
      <c r="BV146" s="199"/>
      <c r="BW146" s="199"/>
      <c r="BX146" s="199"/>
      <c r="BY146" s="199"/>
      <c r="BZ146" s="199"/>
      <c r="CA146" s="199"/>
      <c r="CB146" s="199"/>
      <c r="CC146" s="199"/>
      <c r="CD146" s="199"/>
      <c r="CE146" s="82" t="s">
        <v>675</v>
      </c>
      <c r="CF146" s="200" t="s">
        <v>442</v>
      </c>
      <c r="CG146" s="24"/>
    </row>
    <row r="147" spans="1:85" s="193" customFormat="1" ht="24" x14ac:dyDescent="0.2">
      <c r="A147" s="108"/>
      <c r="B147" s="242"/>
      <c r="C147" s="285" t="s">
        <v>543</v>
      </c>
      <c r="D147" s="80">
        <f t="shared" si="588"/>
        <v>14993</v>
      </c>
      <c r="E147" s="295">
        <f t="shared" si="589"/>
        <v>22793</v>
      </c>
      <c r="F147" s="163">
        <v>34272</v>
      </c>
      <c r="G147" s="163">
        <f t="shared" si="590"/>
        <v>49665</v>
      </c>
      <c r="H147" s="163">
        <f t="shared" si="591"/>
        <v>15393</v>
      </c>
      <c r="I147" s="163"/>
      <c r="J147" s="163"/>
      <c r="K147" s="163">
        <v>14250</v>
      </c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  <c r="V147" s="163"/>
      <c r="W147" s="163"/>
      <c r="X147" s="163"/>
      <c r="Y147" s="163"/>
      <c r="Z147" s="163">
        <v>1143</v>
      </c>
      <c r="AA147" s="163"/>
      <c r="AB147" s="163"/>
      <c r="AC147" s="163"/>
      <c r="AD147" s="163"/>
      <c r="AE147" s="163"/>
      <c r="AF147" s="163"/>
      <c r="AG147" s="163">
        <v>0</v>
      </c>
      <c r="AH147" s="163">
        <f t="shared" si="592"/>
        <v>0</v>
      </c>
      <c r="AI147" s="163">
        <f t="shared" si="593"/>
        <v>0</v>
      </c>
      <c r="AJ147" s="163"/>
      <c r="AK147" s="163"/>
      <c r="AL147" s="163"/>
      <c r="AM147" s="163"/>
      <c r="AN147" s="163"/>
      <c r="AO147" s="163"/>
      <c r="AP147" s="163"/>
      <c r="AQ147" s="163"/>
      <c r="AR147" s="163"/>
      <c r="AS147" s="163"/>
      <c r="AT147" s="163">
        <v>0</v>
      </c>
      <c r="AU147" s="163">
        <f t="shared" si="594"/>
        <v>0</v>
      </c>
      <c r="AV147" s="163">
        <f t="shared" si="595"/>
        <v>0</v>
      </c>
      <c r="AW147" s="163"/>
      <c r="AX147" s="163"/>
      <c r="AY147" s="163"/>
      <c r="AZ147" s="163"/>
      <c r="BA147" s="163"/>
      <c r="BB147" s="163"/>
      <c r="BC147" s="163"/>
      <c r="BD147" s="163"/>
      <c r="BE147" s="163"/>
      <c r="BF147" s="163"/>
      <c r="BG147" s="163"/>
      <c r="BH147" s="163">
        <v>0</v>
      </c>
      <c r="BI147" s="81">
        <f t="shared" si="596"/>
        <v>0</v>
      </c>
      <c r="BJ147" s="98">
        <f t="shared" si="597"/>
        <v>0</v>
      </c>
      <c r="BK147" s="199"/>
      <c r="BL147" s="199"/>
      <c r="BM147" s="199"/>
      <c r="BN147" s="199"/>
      <c r="BO147" s="199"/>
      <c r="BP147" s="81">
        <v>-19279</v>
      </c>
      <c r="BQ147" s="81">
        <f t="shared" si="598"/>
        <v>-26872</v>
      </c>
      <c r="BR147" s="81">
        <f t="shared" si="599"/>
        <v>-7593</v>
      </c>
      <c r="BS147" s="199"/>
      <c r="BT147" s="199">
        <v>-6450</v>
      </c>
      <c r="BU147" s="199"/>
      <c r="BV147" s="199"/>
      <c r="BW147" s="199"/>
      <c r="BX147" s="199"/>
      <c r="BY147" s="199"/>
      <c r="BZ147" s="199"/>
      <c r="CA147" s="199"/>
      <c r="CB147" s="199">
        <v>-1143</v>
      </c>
      <c r="CC147" s="199"/>
      <c r="CD147" s="199"/>
      <c r="CE147" s="82" t="s">
        <v>562</v>
      </c>
      <c r="CF147" s="200"/>
      <c r="CG147" s="24"/>
    </row>
    <row r="148" spans="1:85" s="193" customFormat="1" ht="24" x14ac:dyDescent="0.2">
      <c r="A148" s="108"/>
      <c r="B148" s="242"/>
      <c r="C148" s="285" t="s">
        <v>544</v>
      </c>
      <c r="D148" s="80">
        <f t="shared" si="588"/>
        <v>167259</v>
      </c>
      <c r="E148" s="295">
        <f t="shared" si="589"/>
        <v>251277</v>
      </c>
      <c r="F148" s="163">
        <v>167259</v>
      </c>
      <c r="G148" s="163">
        <f t="shared" si="590"/>
        <v>251277</v>
      </c>
      <c r="H148" s="163">
        <f t="shared" si="591"/>
        <v>84018</v>
      </c>
      <c r="I148" s="163"/>
      <c r="J148" s="163"/>
      <c r="K148" s="163">
        <v>8047</v>
      </c>
      <c r="L148" s="163"/>
      <c r="M148" s="163"/>
      <c r="N148" s="163"/>
      <c r="O148" s="163"/>
      <c r="P148" s="163"/>
      <c r="Q148" s="163"/>
      <c r="R148" s="163"/>
      <c r="S148" s="163">
        <v>60839</v>
      </c>
      <c r="T148" s="163"/>
      <c r="U148" s="163"/>
      <c r="V148" s="163"/>
      <c r="W148" s="163"/>
      <c r="X148" s="163"/>
      <c r="Y148" s="163"/>
      <c r="Z148" s="163">
        <v>15132</v>
      </c>
      <c r="AA148" s="163"/>
      <c r="AB148" s="163"/>
      <c r="AC148" s="163"/>
      <c r="AD148" s="163"/>
      <c r="AE148" s="163"/>
      <c r="AF148" s="163"/>
      <c r="AG148" s="163">
        <v>0</v>
      </c>
      <c r="AH148" s="163">
        <f t="shared" si="592"/>
        <v>0</v>
      </c>
      <c r="AI148" s="163">
        <f t="shared" si="593"/>
        <v>0</v>
      </c>
      <c r="AJ148" s="163"/>
      <c r="AK148" s="163"/>
      <c r="AL148" s="163"/>
      <c r="AM148" s="163"/>
      <c r="AN148" s="163"/>
      <c r="AO148" s="163"/>
      <c r="AP148" s="163"/>
      <c r="AQ148" s="163"/>
      <c r="AR148" s="163"/>
      <c r="AS148" s="163"/>
      <c r="AT148" s="163">
        <v>0</v>
      </c>
      <c r="AU148" s="163">
        <f t="shared" si="594"/>
        <v>0</v>
      </c>
      <c r="AV148" s="163">
        <f t="shared" si="595"/>
        <v>0</v>
      </c>
      <c r="AW148" s="163"/>
      <c r="AX148" s="163"/>
      <c r="AY148" s="163"/>
      <c r="AZ148" s="163"/>
      <c r="BA148" s="163"/>
      <c r="BB148" s="163"/>
      <c r="BC148" s="163"/>
      <c r="BD148" s="163"/>
      <c r="BE148" s="163"/>
      <c r="BF148" s="163"/>
      <c r="BG148" s="163"/>
      <c r="BH148" s="163">
        <v>0</v>
      </c>
      <c r="BI148" s="81">
        <f t="shared" si="596"/>
        <v>0</v>
      </c>
      <c r="BJ148" s="98">
        <f t="shared" si="597"/>
        <v>0</v>
      </c>
      <c r="BK148" s="199"/>
      <c r="BL148" s="199"/>
      <c r="BM148" s="199"/>
      <c r="BN148" s="199"/>
      <c r="BO148" s="199"/>
      <c r="BP148" s="81"/>
      <c r="BQ148" s="81">
        <f t="shared" si="598"/>
        <v>0</v>
      </c>
      <c r="BR148" s="81">
        <f t="shared" si="599"/>
        <v>0</v>
      </c>
      <c r="BS148" s="199"/>
      <c r="BT148" s="199"/>
      <c r="BU148" s="199"/>
      <c r="BV148" s="199"/>
      <c r="BW148" s="199"/>
      <c r="BX148" s="199"/>
      <c r="BY148" s="199"/>
      <c r="BZ148" s="199"/>
      <c r="CA148" s="199"/>
      <c r="CB148" s="199"/>
      <c r="CC148" s="199"/>
      <c r="CD148" s="199"/>
      <c r="CE148" s="82" t="s">
        <v>563</v>
      </c>
      <c r="CF148" s="200"/>
      <c r="CG148" s="24"/>
    </row>
    <row r="149" spans="1:85" s="198" customFormat="1" x14ac:dyDescent="0.2">
      <c r="A149" s="108"/>
      <c r="B149" s="242"/>
      <c r="C149" s="285" t="s">
        <v>628</v>
      </c>
      <c r="D149" s="80">
        <f t="shared" si="588"/>
        <v>1715</v>
      </c>
      <c r="E149" s="295">
        <f t="shared" si="589"/>
        <v>1715</v>
      </c>
      <c r="F149" s="163">
        <v>1715</v>
      </c>
      <c r="G149" s="163">
        <f t="shared" si="590"/>
        <v>1715</v>
      </c>
      <c r="H149" s="163">
        <f t="shared" si="591"/>
        <v>0</v>
      </c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  <c r="V149" s="163"/>
      <c r="W149" s="163"/>
      <c r="X149" s="163"/>
      <c r="Y149" s="163"/>
      <c r="Z149" s="163"/>
      <c r="AA149" s="163"/>
      <c r="AB149" s="163"/>
      <c r="AC149" s="163"/>
      <c r="AD149" s="163"/>
      <c r="AE149" s="163"/>
      <c r="AF149" s="163"/>
      <c r="AG149" s="163">
        <v>0</v>
      </c>
      <c r="AH149" s="163">
        <f t="shared" si="592"/>
        <v>0</v>
      </c>
      <c r="AI149" s="163">
        <f t="shared" si="593"/>
        <v>0</v>
      </c>
      <c r="AJ149" s="163"/>
      <c r="AK149" s="163"/>
      <c r="AL149" s="163"/>
      <c r="AM149" s="163"/>
      <c r="AN149" s="163"/>
      <c r="AO149" s="163"/>
      <c r="AP149" s="163"/>
      <c r="AQ149" s="163"/>
      <c r="AR149" s="163"/>
      <c r="AS149" s="163"/>
      <c r="AT149" s="163">
        <v>0</v>
      </c>
      <c r="AU149" s="163">
        <f t="shared" si="594"/>
        <v>0</v>
      </c>
      <c r="AV149" s="163">
        <f t="shared" si="595"/>
        <v>0</v>
      </c>
      <c r="AW149" s="163"/>
      <c r="AX149" s="163"/>
      <c r="AY149" s="163"/>
      <c r="AZ149" s="163"/>
      <c r="BA149" s="163"/>
      <c r="BB149" s="163"/>
      <c r="BC149" s="163"/>
      <c r="BD149" s="163"/>
      <c r="BE149" s="163"/>
      <c r="BF149" s="163"/>
      <c r="BG149" s="163"/>
      <c r="BH149" s="163">
        <v>0</v>
      </c>
      <c r="BI149" s="81">
        <f t="shared" si="596"/>
        <v>0</v>
      </c>
      <c r="BJ149" s="98">
        <f t="shared" si="597"/>
        <v>0</v>
      </c>
      <c r="BK149" s="199"/>
      <c r="BL149" s="199"/>
      <c r="BM149" s="199"/>
      <c r="BN149" s="199"/>
      <c r="BO149" s="199"/>
      <c r="BP149" s="81"/>
      <c r="BQ149" s="81">
        <f t="shared" si="598"/>
        <v>0</v>
      </c>
      <c r="BR149" s="81">
        <f t="shared" si="599"/>
        <v>0</v>
      </c>
      <c r="BS149" s="199"/>
      <c r="BT149" s="199"/>
      <c r="BU149" s="199"/>
      <c r="BV149" s="199"/>
      <c r="BW149" s="199"/>
      <c r="BX149" s="199"/>
      <c r="BY149" s="199"/>
      <c r="BZ149" s="199"/>
      <c r="CA149" s="199"/>
      <c r="CB149" s="199"/>
      <c r="CC149" s="199"/>
      <c r="CD149" s="199"/>
      <c r="CE149" s="82" t="s">
        <v>676</v>
      </c>
      <c r="CF149" s="200"/>
      <c r="CG149" s="24"/>
    </row>
    <row r="150" spans="1:85" s="198" customFormat="1" ht="36" x14ac:dyDescent="0.2">
      <c r="A150" s="108"/>
      <c r="B150" s="242"/>
      <c r="C150" s="285" t="s">
        <v>629</v>
      </c>
      <c r="D150" s="80">
        <f t="shared" si="588"/>
        <v>1076321</v>
      </c>
      <c r="E150" s="295">
        <f t="shared" si="589"/>
        <v>1080375</v>
      </c>
      <c r="F150" s="163">
        <v>1076321</v>
      </c>
      <c r="G150" s="163">
        <f t="shared" si="590"/>
        <v>1080375</v>
      </c>
      <c r="H150" s="163">
        <f t="shared" si="591"/>
        <v>4054</v>
      </c>
      <c r="I150" s="163"/>
      <c r="J150" s="163"/>
      <c r="K150" s="163">
        <v>9361</v>
      </c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  <c r="V150" s="163"/>
      <c r="W150" s="163"/>
      <c r="X150" s="163"/>
      <c r="Y150" s="163">
        <v>-5307</v>
      </c>
      <c r="Z150" s="163"/>
      <c r="AA150" s="163"/>
      <c r="AB150" s="163"/>
      <c r="AC150" s="163"/>
      <c r="AD150" s="163"/>
      <c r="AE150" s="163"/>
      <c r="AF150" s="163"/>
      <c r="AG150" s="163">
        <v>0</v>
      </c>
      <c r="AH150" s="163">
        <f t="shared" si="592"/>
        <v>0</v>
      </c>
      <c r="AI150" s="163">
        <f t="shared" si="593"/>
        <v>0</v>
      </c>
      <c r="AJ150" s="163"/>
      <c r="AK150" s="163"/>
      <c r="AL150" s="163"/>
      <c r="AM150" s="163"/>
      <c r="AN150" s="163"/>
      <c r="AO150" s="163"/>
      <c r="AP150" s="163"/>
      <c r="AQ150" s="163"/>
      <c r="AR150" s="163"/>
      <c r="AS150" s="163"/>
      <c r="AT150" s="163">
        <v>0</v>
      </c>
      <c r="AU150" s="163">
        <f t="shared" si="594"/>
        <v>0</v>
      </c>
      <c r="AV150" s="163">
        <f t="shared" si="595"/>
        <v>0</v>
      </c>
      <c r="AW150" s="163"/>
      <c r="AX150" s="163"/>
      <c r="AY150" s="163"/>
      <c r="AZ150" s="163"/>
      <c r="BA150" s="163"/>
      <c r="BB150" s="163"/>
      <c r="BC150" s="163"/>
      <c r="BD150" s="163"/>
      <c r="BE150" s="163"/>
      <c r="BF150" s="163"/>
      <c r="BG150" s="163"/>
      <c r="BH150" s="163">
        <v>0</v>
      </c>
      <c r="BI150" s="81">
        <f t="shared" si="596"/>
        <v>0</v>
      </c>
      <c r="BJ150" s="98">
        <f t="shared" si="597"/>
        <v>0</v>
      </c>
      <c r="BK150" s="199"/>
      <c r="BL150" s="199"/>
      <c r="BM150" s="199"/>
      <c r="BN150" s="199"/>
      <c r="BO150" s="199"/>
      <c r="BP150" s="81"/>
      <c r="BQ150" s="81">
        <f t="shared" si="598"/>
        <v>0</v>
      </c>
      <c r="BR150" s="81">
        <f t="shared" si="599"/>
        <v>0</v>
      </c>
      <c r="BS150" s="199"/>
      <c r="BT150" s="199"/>
      <c r="BU150" s="199"/>
      <c r="BV150" s="199"/>
      <c r="BW150" s="199"/>
      <c r="BX150" s="199"/>
      <c r="BY150" s="199"/>
      <c r="BZ150" s="199"/>
      <c r="CA150" s="199"/>
      <c r="CB150" s="199"/>
      <c r="CC150" s="199"/>
      <c r="CD150" s="199"/>
      <c r="CE150" s="82" t="s">
        <v>677</v>
      </c>
      <c r="CF150" s="200"/>
      <c r="CG150" s="24"/>
    </row>
    <row r="151" spans="1:85" s="198" customFormat="1" ht="36" x14ac:dyDescent="0.2">
      <c r="A151" s="108"/>
      <c r="B151" s="242"/>
      <c r="C151" s="285" t="s">
        <v>630</v>
      </c>
      <c r="D151" s="80">
        <f t="shared" si="588"/>
        <v>162981</v>
      </c>
      <c r="E151" s="295">
        <f t="shared" si="589"/>
        <v>168042</v>
      </c>
      <c r="F151" s="163">
        <v>162981</v>
      </c>
      <c r="G151" s="163">
        <f t="shared" si="590"/>
        <v>168042</v>
      </c>
      <c r="H151" s="163">
        <f t="shared" si="591"/>
        <v>5061</v>
      </c>
      <c r="I151" s="163"/>
      <c r="J151" s="163"/>
      <c r="K151" s="163">
        <v>5061</v>
      </c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3"/>
      <c r="AE151" s="163"/>
      <c r="AF151" s="163"/>
      <c r="AG151" s="163">
        <v>0</v>
      </c>
      <c r="AH151" s="163">
        <f t="shared" si="592"/>
        <v>0</v>
      </c>
      <c r="AI151" s="163">
        <f t="shared" si="593"/>
        <v>0</v>
      </c>
      <c r="AJ151" s="163"/>
      <c r="AK151" s="163"/>
      <c r="AL151" s="163"/>
      <c r="AM151" s="163"/>
      <c r="AN151" s="163"/>
      <c r="AO151" s="163"/>
      <c r="AP151" s="163"/>
      <c r="AQ151" s="163"/>
      <c r="AR151" s="163"/>
      <c r="AS151" s="163"/>
      <c r="AT151" s="163">
        <v>0</v>
      </c>
      <c r="AU151" s="163">
        <f t="shared" si="594"/>
        <v>0</v>
      </c>
      <c r="AV151" s="163">
        <f t="shared" si="595"/>
        <v>0</v>
      </c>
      <c r="AW151" s="163"/>
      <c r="AX151" s="163"/>
      <c r="AY151" s="163"/>
      <c r="AZ151" s="163"/>
      <c r="BA151" s="163"/>
      <c r="BB151" s="163"/>
      <c r="BC151" s="163"/>
      <c r="BD151" s="163"/>
      <c r="BE151" s="163"/>
      <c r="BF151" s="163"/>
      <c r="BG151" s="163"/>
      <c r="BH151" s="163">
        <v>0</v>
      </c>
      <c r="BI151" s="81">
        <f t="shared" si="596"/>
        <v>0</v>
      </c>
      <c r="BJ151" s="98">
        <f t="shared" si="597"/>
        <v>0</v>
      </c>
      <c r="BK151" s="199"/>
      <c r="BL151" s="199"/>
      <c r="BM151" s="199"/>
      <c r="BN151" s="199"/>
      <c r="BO151" s="199"/>
      <c r="BP151" s="81"/>
      <c r="BQ151" s="81">
        <f t="shared" si="598"/>
        <v>0</v>
      </c>
      <c r="BR151" s="81">
        <f t="shared" si="599"/>
        <v>0</v>
      </c>
      <c r="BS151" s="199"/>
      <c r="BT151" s="199"/>
      <c r="BU151" s="199"/>
      <c r="BV151" s="199"/>
      <c r="BW151" s="199"/>
      <c r="BX151" s="199"/>
      <c r="BY151" s="199"/>
      <c r="BZ151" s="199"/>
      <c r="CA151" s="199"/>
      <c r="CB151" s="199"/>
      <c r="CC151" s="199"/>
      <c r="CD151" s="199"/>
      <c r="CE151" s="82" t="s">
        <v>678</v>
      </c>
      <c r="CF151" s="200"/>
      <c r="CG151" s="24"/>
    </row>
    <row r="152" spans="1:85" s="198" customFormat="1" ht="27" customHeight="1" x14ac:dyDescent="0.2">
      <c r="A152" s="108"/>
      <c r="B152" s="242"/>
      <c r="C152" s="285" t="s">
        <v>631</v>
      </c>
      <c r="D152" s="80">
        <f t="shared" si="588"/>
        <v>1075004</v>
      </c>
      <c r="E152" s="295">
        <f t="shared" si="589"/>
        <v>1078358</v>
      </c>
      <c r="F152" s="163">
        <v>1075004</v>
      </c>
      <c r="G152" s="163">
        <f t="shared" si="590"/>
        <v>1078358</v>
      </c>
      <c r="H152" s="163">
        <f t="shared" si="591"/>
        <v>3354</v>
      </c>
      <c r="I152" s="163"/>
      <c r="J152" s="163"/>
      <c r="K152" s="163">
        <v>6466</v>
      </c>
      <c r="L152" s="163"/>
      <c r="M152" s="163">
        <v>-3112</v>
      </c>
      <c r="N152" s="163"/>
      <c r="O152" s="163"/>
      <c r="P152" s="163"/>
      <c r="Q152" s="163"/>
      <c r="R152" s="163"/>
      <c r="S152" s="163"/>
      <c r="T152" s="163"/>
      <c r="U152" s="163"/>
      <c r="V152" s="163"/>
      <c r="W152" s="163"/>
      <c r="X152" s="163"/>
      <c r="Y152" s="163"/>
      <c r="Z152" s="163"/>
      <c r="AA152" s="163"/>
      <c r="AB152" s="163"/>
      <c r="AC152" s="163"/>
      <c r="AD152" s="163"/>
      <c r="AE152" s="163"/>
      <c r="AF152" s="163"/>
      <c r="AG152" s="163">
        <v>0</v>
      </c>
      <c r="AH152" s="163">
        <f t="shared" si="592"/>
        <v>0</v>
      </c>
      <c r="AI152" s="163">
        <f t="shared" si="593"/>
        <v>0</v>
      </c>
      <c r="AJ152" s="163"/>
      <c r="AK152" s="163"/>
      <c r="AL152" s="163"/>
      <c r="AM152" s="163"/>
      <c r="AN152" s="163"/>
      <c r="AO152" s="163"/>
      <c r="AP152" s="163"/>
      <c r="AQ152" s="163"/>
      <c r="AR152" s="163"/>
      <c r="AS152" s="163"/>
      <c r="AT152" s="163">
        <v>0</v>
      </c>
      <c r="AU152" s="163">
        <f t="shared" si="594"/>
        <v>0</v>
      </c>
      <c r="AV152" s="163">
        <f t="shared" si="595"/>
        <v>0</v>
      </c>
      <c r="AW152" s="163"/>
      <c r="AX152" s="163"/>
      <c r="AY152" s="163"/>
      <c r="AZ152" s="163"/>
      <c r="BA152" s="163"/>
      <c r="BB152" s="163"/>
      <c r="BC152" s="163"/>
      <c r="BD152" s="163"/>
      <c r="BE152" s="163"/>
      <c r="BF152" s="163"/>
      <c r="BG152" s="163"/>
      <c r="BH152" s="163">
        <v>0</v>
      </c>
      <c r="BI152" s="81">
        <f t="shared" si="596"/>
        <v>0</v>
      </c>
      <c r="BJ152" s="98">
        <f t="shared" si="597"/>
        <v>0</v>
      </c>
      <c r="BK152" s="199"/>
      <c r="BL152" s="199"/>
      <c r="BM152" s="199"/>
      <c r="BN152" s="199"/>
      <c r="BO152" s="199"/>
      <c r="BP152" s="81"/>
      <c r="BQ152" s="81">
        <f t="shared" si="598"/>
        <v>0</v>
      </c>
      <c r="BR152" s="81">
        <f t="shared" si="599"/>
        <v>0</v>
      </c>
      <c r="BS152" s="199"/>
      <c r="BT152" s="199"/>
      <c r="BU152" s="199"/>
      <c r="BV152" s="199"/>
      <c r="BW152" s="199"/>
      <c r="BX152" s="199"/>
      <c r="BY152" s="199"/>
      <c r="BZ152" s="199"/>
      <c r="CA152" s="199"/>
      <c r="CB152" s="199"/>
      <c r="CC152" s="199"/>
      <c r="CD152" s="199"/>
      <c r="CE152" s="82" t="s">
        <v>679</v>
      </c>
      <c r="CF152" s="200"/>
      <c r="CG152" s="24"/>
    </row>
    <row r="153" spans="1:85" s="198" customFormat="1" ht="25.5" customHeight="1" x14ac:dyDescent="0.2">
      <c r="A153" s="108"/>
      <c r="B153" s="242"/>
      <c r="C153" s="285" t="s">
        <v>632</v>
      </c>
      <c r="D153" s="80">
        <f t="shared" si="588"/>
        <v>58050</v>
      </c>
      <c r="E153" s="295">
        <f t="shared" si="589"/>
        <v>58050</v>
      </c>
      <c r="F153" s="163">
        <v>58050</v>
      </c>
      <c r="G153" s="163">
        <f t="shared" si="590"/>
        <v>58050</v>
      </c>
      <c r="H153" s="163">
        <f t="shared" si="591"/>
        <v>0</v>
      </c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  <c r="V153" s="163"/>
      <c r="W153" s="163"/>
      <c r="X153" s="163"/>
      <c r="Y153" s="163"/>
      <c r="Z153" s="163"/>
      <c r="AA153" s="163"/>
      <c r="AB153" s="163"/>
      <c r="AC153" s="163"/>
      <c r="AD153" s="163"/>
      <c r="AE153" s="163"/>
      <c r="AF153" s="163"/>
      <c r="AG153" s="163">
        <v>0</v>
      </c>
      <c r="AH153" s="163">
        <f t="shared" si="592"/>
        <v>0</v>
      </c>
      <c r="AI153" s="163">
        <f t="shared" si="593"/>
        <v>0</v>
      </c>
      <c r="AJ153" s="163"/>
      <c r="AK153" s="163"/>
      <c r="AL153" s="163"/>
      <c r="AM153" s="163"/>
      <c r="AN153" s="163"/>
      <c r="AO153" s="163"/>
      <c r="AP153" s="163"/>
      <c r="AQ153" s="163"/>
      <c r="AR153" s="163"/>
      <c r="AS153" s="163"/>
      <c r="AT153" s="163">
        <v>0</v>
      </c>
      <c r="AU153" s="163">
        <f t="shared" si="594"/>
        <v>0</v>
      </c>
      <c r="AV153" s="163">
        <f t="shared" si="595"/>
        <v>0</v>
      </c>
      <c r="AW153" s="163"/>
      <c r="AX153" s="163"/>
      <c r="AY153" s="163"/>
      <c r="AZ153" s="163"/>
      <c r="BA153" s="163"/>
      <c r="BB153" s="163"/>
      <c r="BC153" s="163"/>
      <c r="BD153" s="163"/>
      <c r="BE153" s="163"/>
      <c r="BF153" s="163"/>
      <c r="BG153" s="163"/>
      <c r="BH153" s="163">
        <v>0</v>
      </c>
      <c r="BI153" s="81">
        <f t="shared" si="596"/>
        <v>0</v>
      </c>
      <c r="BJ153" s="98">
        <f t="shared" si="597"/>
        <v>0</v>
      </c>
      <c r="BK153" s="199"/>
      <c r="BL153" s="199"/>
      <c r="BM153" s="199"/>
      <c r="BN153" s="199"/>
      <c r="BO153" s="199"/>
      <c r="BP153" s="81"/>
      <c r="BQ153" s="81">
        <f t="shared" si="598"/>
        <v>0</v>
      </c>
      <c r="BR153" s="81">
        <f t="shared" si="599"/>
        <v>0</v>
      </c>
      <c r="BS153" s="199"/>
      <c r="BT153" s="199"/>
      <c r="BU153" s="199"/>
      <c r="BV153" s="199"/>
      <c r="BW153" s="199"/>
      <c r="BX153" s="199"/>
      <c r="BY153" s="199"/>
      <c r="BZ153" s="199"/>
      <c r="CA153" s="199"/>
      <c r="CB153" s="199"/>
      <c r="CC153" s="199"/>
      <c r="CD153" s="199"/>
      <c r="CE153" s="82" t="s">
        <v>680</v>
      </c>
      <c r="CF153" s="200"/>
      <c r="CG153" s="24"/>
    </row>
    <row r="154" spans="1:85" s="198" customFormat="1" ht="24" x14ac:dyDescent="0.2">
      <c r="A154" s="108"/>
      <c r="B154" s="242"/>
      <c r="C154" s="285" t="s">
        <v>703</v>
      </c>
      <c r="D154" s="80">
        <f t="shared" si="588"/>
        <v>942</v>
      </c>
      <c r="E154" s="295">
        <f t="shared" si="589"/>
        <v>942</v>
      </c>
      <c r="F154" s="163">
        <v>942</v>
      </c>
      <c r="G154" s="163">
        <f t="shared" si="590"/>
        <v>942</v>
      </c>
      <c r="H154" s="163">
        <f t="shared" si="591"/>
        <v>0</v>
      </c>
      <c r="I154" s="163"/>
      <c r="J154" s="163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  <c r="V154" s="163"/>
      <c r="W154" s="163"/>
      <c r="X154" s="163"/>
      <c r="Y154" s="163"/>
      <c r="Z154" s="163"/>
      <c r="AA154" s="163"/>
      <c r="AB154" s="163"/>
      <c r="AC154" s="163"/>
      <c r="AD154" s="163"/>
      <c r="AE154" s="163"/>
      <c r="AF154" s="163"/>
      <c r="AG154" s="163">
        <v>0</v>
      </c>
      <c r="AH154" s="163">
        <f t="shared" si="592"/>
        <v>0</v>
      </c>
      <c r="AI154" s="163">
        <f t="shared" si="593"/>
        <v>0</v>
      </c>
      <c r="AJ154" s="163"/>
      <c r="AK154" s="163"/>
      <c r="AL154" s="163"/>
      <c r="AM154" s="163"/>
      <c r="AN154" s="163"/>
      <c r="AO154" s="163"/>
      <c r="AP154" s="163"/>
      <c r="AQ154" s="163"/>
      <c r="AR154" s="163"/>
      <c r="AS154" s="163"/>
      <c r="AT154" s="163">
        <v>0</v>
      </c>
      <c r="AU154" s="163">
        <f t="shared" si="594"/>
        <v>0</v>
      </c>
      <c r="AV154" s="163">
        <f t="shared" si="595"/>
        <v>0</v>
      </c>
      <c r="AW154" s="163"/>
      <c r="AX154" s="163"/>
      <c r="AY154" s="163"/>
      <c r="AZ154" s="163"/>
      <c r="BA154" s="163"/>
      <c r="BB154" s="163"/>
      <c r="BC154" s="163"/>
      <c r="BD154" s="163"/>
      <c r="BE154" s="163"/>
      <c r="BF154" s="163"/>
      <c r="BG154" s="163"/>
      <c r="BH154" s="163">
        <v>0</v>
      </c>
      <c r="BI154" s="81">
        <f t="shared" si="596"/>
        <v>0</v>
      </c>
      <c r="BJ154" s="98">
        <f t="shared" si="597"/>
        <v>0</v>
      </c>
      <c r="BK154" s="199"/>
      <c r="BL154" s="199"/>
      <c r="BM154" s="199"/>
      <c r="BN154" s="199"/>
      <c r="BO154" s="199"/>
      <c r="BP154" s="81"/>
      <c r="BQ154" s="81">
        <f t="shared" si="598"/>
        <v>0</v>
      </c>
      <c r="BR154" s="81">
        <f t="shared" si="599"/>
        <v>0</v>
      </c>
      <c r="BS154" s="199"/>
      <c r="BT154" s="199"/>
      <c r="BU154" s="199"/>
      <c r="BV154" s="199"/>
      <c r="BW154" s="199"/>
      <c r="BX154" s="199"/>
      <c r="BY154" s="199"/>
      <c r="BZ154" s="199"/>
      <c r="CA154" s="199"/>
      <c r="CB154" s="199"/>
      <c r="CC154" s="199"/>
      <c r="CD154" s="199"/>
      <c r="CE154" s="82" t="s">
        <v>681</v>
      </c>
      <c r="CF154" s="200"/>
      <c r="CG154" s="24"/>
    </row>
    <row r="155" spans="1:85" s="198" customFormat="1" ht="36" x14ac:dyDescent="0.2">
      <c r="A155" s="108"/>
      <c r="B155" s="242"/>
      <c r="C155" s="337" t="s">
        <v>743</v>
      </c>
      <c r="D155" s="80">
        <f t="shared" ref="D155" si="600">F155+AG155+AT155+BH155+BP155</f>
        <v>0</v>
      </c>
      <c r="E155" s="295">
        <f t="shared" ref="E155" si="601">G155+AH155+AU155+BI155+BQ155</f>
        <v>37880</v>
      </c>
      <c r="F155" s="163"/>
      <c r="G155" s="163">
        <f t="shared" ref="G155" si="602">F155+H155</f>
        <v>37880</v>
      </c>
      <c r="H155" s="163">
        <f t="shared" ref="H155" si="603">SUM(I155:AF155)</f>
        <v>37880</v>
      </c>
      <c r="I155" s="163">
        <v>37880</v>
      </c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  <c r="V155" s="163"/>
      <c r="W155" s="163"/>
      <c r="X155" s="163"/>
      <c r="Y155" s="163"/>
      <c r="Z155" s="163"/>
      <c r="AA155" s="163"/>
      <c r="AB155" s="163"/>
      <c r="AC155" s="163"/>
      <c r="AD155" s="163"/>
      <c r="AE155" s="163"/>
      <c r="AF155" s="163"/>
      <c r="AG155" s="163"/>
      <c r="AH155" s="163">
        <f t="shared" ref="AH155" si="604">AG155+AI155</f>
        <v>0</v>
      </c>
      <c r="AI155" s="163">
        <f t="shared" ref="AI155" si="605">SUM(AJ155:AS155)</f>
        <v>0</v>
      </c>
      <c r="AJ155" s="163"/>
      <c r="AK155" s="163"/>
      <c r="AL155" s="163"/>
      <c r="AM155" s="163"/>
      <c r="AN155" s="163"/>
      <c r="AO155" s="163"/>
      <c r="AP155" s="163"/>
      <c r="AQ155" s="163"/>
      <c r="AR155" s="163"/>
      <c r="AS155" s="163"/>
      <c r="AT155" s="163"/>
      <c r="AU155" s="163">
        <f t="shared" ref="AU155" si="606">AT155+AV155</f>
        <v>0</v>
      </c>
      <c r="AV155" s="163">
        <f t="shared" ref="AV155" si="607">SUM(AW155:BG155)</f>
        <v>0</v>
      </c>
      <c r="AW155" s="163"/>
      <c r="AX155" s="163"/>
      <c r="AY155" s="163"/>
      <c r="AZ155" s="163"/>
      <c r="BA155" s="163"/>
      <c r="BB155" s="163"/>
      <c r="BC155" s="163"/>
      <c r="BD155" s="163"/>
      <c r="BE155" s="163"/>
      <c r="BF155" s="163"/>
      <c r="BG155" s="163"/>
      <c r="BH155" s="163"/>
      <c r="BI155" s="81">
        <f t="shared" ref="BI155" si="608">BH155+BJ155</f>
        <v>0</v>
      </c>
      <c r="BJ155" s="98">
        <f t="shared" ref="BJ155" si="609">SUM(BK155:BO155)</f>
        <v>0</v>
      </c>
      <c r="BK155" s="199"/>
      <c r="BL155" s="199"/>
      <c r="BM155" s="199"/>
      <c r="BN155" s="199"/>
      <c r="BO155" s="199"/>
      <c r="BP155" s="81"/>
      <c r="BQ155" s="81">
        <f t="shared" ref="BQ155" si="610">BP155+BR155</f>
        <v>0</v>
      </c>
      <c r="BR155" s="81">
        <f t="shared" ref="BR155" si="611">SUM(BS155:CD155)</f>
        <v>0</v>
      </c>
      <c r="BS155" s="199"/>
      <c r="BT155" s="199"/>
      <c r="BU155" s="199"/>
      <c r="BV155" s="199"/>
      <c r="BW155" s="199"/>
      <c r="BX155" s="199"/>
      <c r="BY155" s="199"/>
      <c r="BZ155" s="199"/>
      <c r="CA155" s="199"/>
      <c r="CB155" s="199"/>
      <c r="CC155" s="199"/>
      <c r="CD155" s="199"/>
      <c r="CE155" s="82" t="s">
        <v>744</v>
      </c>
      <c r="CF155" s="200"/>
      <c r="CG155" s="24"/>
    </row>
    <row r="156" spans="1:85" s="198" customFormat="1" x14ac:dyDescent="0.2">
      <c r="A156" s="108"/>
      <c r="B156" s="242"/>
      <c r="C156" s="344" t="s">
        <v>768</v>
      </c>
      <c r="D156" s="80">
        <f t="shared" ref="D156" si="612">F156+AG156+AT156+BH156+BP156</f>
        <v>0</v>
      </c>
      <c r="E156" s="295">
        <f t="shared" ref="E156" si="613">G156+AH156+AU156+BI156+BQ156</f>
        <v>0</v>
      </c>
      <c r="F156" s="163"/>
      <c r="G156" s="163">
        <f t="shared" ref="G156" si="614">F156+H156</f>
        <v>0</v>
      </c>
      <c r="H156" s="163">
        <f t="shared" ref="H156" si="615">SUM(I156:AF156)</f>
        <v>0</v>
      </c>
      <c r="I156" s="163"/>
      <c r="J156" s="163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  <c r="V156" s="163"/>
      <c r="W156" s="163"/>
      <c r="X156" s="163"/>
      <c r="Y156" s="163"/>
      <c r="Z156" s="163"/>
      <c r="AA156" s="163"/>
      <c r="AB156" s="163"/>
      <c r="AC156" s="163"/>
      <c r="AD156" s="163"/>
      <c r="AE156" s="163"/>
      <c r="AF156" s="163"/>
      <c r="AG156" s="163"/>
      <c r="AH156" s="163">
        <f t="shared" ref="AH156" si="616">AG156+AI156</f>
        <v>0</v>
      </c>
      <c r="AI156" s="163">
        <f t="shared" ref="AI156" si="617">SUM(AJ156:AS156)</f>
        <v>0</v>
      </c>
      <c r="AJ156" s="163"/>
      <c r="AK156" s="163"/>
      <c r="AL156" s="163"/>
      <c r="AM156" s="163"/>
      <c r="AN156" s="163"/>
      <c r="AO156" s="163"/>
      <c r="AP156" s="163"/>
      <c r="AQ156" s="163"/>
      <c r="AR156" s="163"/>
      <c r="AS156" s="163"/>
      <c r="AT156" s="163"/>
      <c r="AU156" s="163">
        <f t="shared" ref="AU156" si="618">AT156+AV156</f>
        <v>0</v>
      </c>
      <c r="AV156" s="163">
        <f t="shared" ref="AV156" si="619">SUM(AW156:BG156)</f>
        <v>0</v>
      </c>
      <c r="AW156" s="163"/>
      <c r="AX156" s="163"/>
      <c r="AY156" s="163"/>
      <c r="AZ156" s="163"/>
      <c r="BA156" s="163"/>
      <c r="BB156" s="163"/>
      <c r="BC156" s="163"/>
      <c r="BD156" s="163"/>
      <c r="BE156" s="163"/>
      <c r="BF156" s="163"/>
      <c r="BG156" s="163"/>
      <c r="BH156" s="163"/>
      <c r="BI156" s="81">
        <f t="shared" ref="BI156" si="620">BH156+BJ156</f>
        <v>0</v>
      </c>
      <c r="BJ156" s="98">
        <f t="shared" ref="BJ156" si="621">SUM(BK156:BO156)</f>
        <v>0</v>
      </c>
      <c r="BK156" s="199"/>
      <c r="BL156" s="199"/>
      <c r="BM156" s="199"/>
      <c r="BN156" s="199"/>
      <c r="BO156" s="199"/>
      <c r="BP156" s="81"/>
      <c r="BQ156" s="81">
        <f t="shared" ref="BQ156" si="622">BP156+BR156</f>
        <v>0</v>
      </c>
      <c r="BR156" s="81">
        <f t="shared" ref="BR156" si="623">SUM(BS156:CD156)</f>
        <v>0</v>
      </c>
      <c r="BS156" s="199"/>
      <c r="BT156" s="199"/>
      <c r="BU156" s="199"/>
      <c r="BV156" s="199"/>
      <c r="BW156" s="199"/>
      <c r="BX156" s="199"/>
      <c r="BY156" s="199"/>
      <c r="BZ156" s="199"/>
      <c r="CA156" s="199"/>
      <c r="CB156" s="199"/>
      <c r="CC156" s="199"/>
      <c r="CD156" s="199"/>
      <c r="CE156" s="82" t="s">
        <v>769</v>
      </c>
      <c r="CF156" s="200"/>
      <c r="CG156" s="24"/>
    </row>
    <row r="157" spans="1:85" s="198" customFormat="1" ht="36" x14ac:dyDescent="0.2">
      <c r="A157" s="108"/>
      <c r="B157" s="242"/>
      <c r="C157" s="348" t="s">
        <v>775</v>
      </c>
      <c r="D157" s="80">
        <f t="shared" ref="D157" si="624">F157+AG157+AT157+BH157+BP157</f>
        <v>0</v>
      </c>
      <c r="E157" s="295">
        <f t="shared" ref="E157" si="625">G157+AH157+AU157+BI157+BQ157</f>
        <v>1660231</v>
      </c>
      <c r="F157" s="163"/>
      <c r="G157" s="163">
        <f t="shared" ref="G157" si="626">F157+H157</f>
        <v>1660231</v>
      </c>
      <c r="H157" s="163">
        <f t="shared" ref="H157" si="627">SUM(I157:AF157)</f>
        <v>1660231</v>
      </c>
      <c r="I157" s="163"/>
      <c r="J157" s="163"/>
      <c r="K157" s="163">
        <v>1779656</v>
      </c>
      <c r="L157" s="163"/>
      <c r="M157" s="163"/>
      <c r="N157" s="163"/>
      <c r="O157" s="163"/>
      <c r="P157" s="163"/>
      <c r="Q157" s="163">
        <v>-119425</v>
      </c>
      <c r="R157" s="163"/>
      <c r="S157" s="163"/>
      <c r="T157" s="163"/>
      <c r="U157" s="163"/>
      <c r="V157" s="163"/>
      <c r="W157" s="163"/>
      <c r="X157" s="163"/>
      <c r="Y157" s="163"/>
      <c r="Z157" s="163"/>
      <c r="AA157" s="163"/>
      <c r="AB157" s="163"/>
      <c r="AC157" s="163"/>
      <c r="AD157" s="163"/>
      <c r="AE157" s="163"/>
      <c r="AF157" s="163"/>
      <c r="AG157" s="163"/>
      <c r="AH157" s="163">
        <f t="shared" ref="AH157" si="628">AG157+AI157</f>
        <v>0</v>
      </c>
      <c r="AI157" s="163">
        <f t="shared" ref="AI157" si="629">SUM(AJ157:AS157)</f>
        <v>0</v>
      </c>
      <c r="AJ157" s="163"/>
      <c r="AK157" s="163"/>
      <c r="AL157" s="163"/>
      <c r="AM157" s="163"/>
      <c r="AN157" s="163"/>
      <c r="AO157" s="163"/>
      <c r="AP157" s="163"/>
      <c r="AQ157" s="163"/>
      <c r="AR157" s="163"/>
      <c r="AS157" s="163"/>
      <c r="AT157" s="163"/>
      <c r="AU157" s="163">
        <f t="shared" ref="AU157" si="630">AT157+AV157</f>
        <v>0</v>
      </c>
      <c r="AV157" s="163">
        <f t="shared" ref="AV157" si="631">SUM(AW157:BG157)</f>
        <v>0</v>
      </c>
      <c r="AW157" s="163"/>
      <c r="AX157" s="163"/>
      <c r="AY157" s="163"/>
      <c r="AZ157" s="163"/>
      <c r="BA157" s="163"/>
      <c r="BB157" s="163"/>
      <c r="BC157" s="163"/>
      <c r="BD157" s="163"/>
      <c r="BE157" s="163"/>
      <c r="BF157" s="163"/>
      <c r="BG157" s="163"/>
      <c r="BH157" s="163"/>
      <c r="BI157" s="81">
        <f t="shared" ref="BI157" si="632">BH157+BJ157</f>
        <v>0</v>
      </c>
      <c r="BJ157" s="98">
        <f t="shared" ref="BJ157" si="633">SUM(BK157:BO157)</f>
        <v>0</v>
      </c>
      <c r="BK157" s="199"/>
      <c r="BL157" s="199"/>
      <c r="BM157" s="199"/>
      <c r="BN157" s="199"/>
      <c r="BO157" s="199"/>
      <c r="BP157" s="81"/>
      <c r="BQ157" s="81">
        <f t="shared" ref="BQ157" si="634">BP157+BR157</f>
        <v>0</v>
      </c>
      <c r="BR157" s="81">
        <f t="shared" ref="BR157" si="635">SUM(BS157:CD157)</f>
        <v>0</v>
      </c>
      <c r="BS157" s="199"/>
      <c r="BT157" s="199"/>
      <c r="BU157" s="199"/>
      <c r="BV157" s="199"/>
      <c r="BW157" s="199"/>
      <c r="BX157" s="199"/>
      <c r="BY157" s="199"/>
      <c r="BZ157" s="199"/>
      <c r="CA157" s="199"/>
      <c r="CB157" s="199"/>
      <c r="CC157" s="199"/>
      <c r="CD157" s="199"/>
      <c r="CE157" s="82" t="s">
        <v>776</v>
      </c>
      <c r="CF157" s="200"/>
      <c r="CG157" s="24"/>
    </row>
    <row r="158" spans="1:85" s="198" customFormat="1" ht="24.75" customHeight="1" x14ac:dyDescent="0.2">
      <c r="A158" s="108"/>
      <c r="B158" s="242"/>
      <c r="C158" s="349" t="s">
        <v>779</v>
      </c>
      <c r="D158" s="80">
        <f t="shared" ref="D158" si="636">F158+AG158+AT158+BH158+BP158</f>
        <v>0</v>
      </c>
      <c r="E158" s="295">
        <f t="shared" ref="E158" si="637">G158+AH158+AU158+BI158+BQ158</f>
        <v>863674</v>
      </c>
      <c r="F158" s="163"/>
      <c r="G158" s="163">
        <f t="shared" ref="G158" si="638">F158+H158</f>
        <v>863674</v>
      </c>
      <c r="H158" s="163">
        <f t="shared" ref="H158" si="639">SUM(I158:AF158)</f>
        <v>863674</v>
      </c>
      <c r="I158" s="163"/>
      <c r="J158" s="163"/>
      <c r="K158" s="163">
        <v>863674</v>
      </c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3"/>
      <c r="AE158" s="163"/>
      <c r="AF158" s="163"/>
      <c r="AG158" s="163"/>
      <c r="AH158" s="163">
        <f t="shared" ref="AH158" si="640">AG158+AI158</f>
        <v>0</v>
      </c>
      <c r="AI158" s="163">
        <f t="shared" ref="AI158" si="641">SUM(AJ158:AS158)</f>
        <v>0</v>
      </c>
      <c r="AJ158" s="163"/>
      <c r="AK158" s="163"/>
      <c r="AL158" s="163"/>
      <c r="AM158" s="163"/>
      <c r="AN158" s="163"/>
      <c r="AO158" s="163"/>
      <c r="AP158" s="163"/>
      <c r="AQ158" s="163"/>
      <c r="AR158" s="163"/>
      <c r="AS158" s="163"/>
      <c r="AT158" s="163"/>
      <c r="AU158" s="163">
        <f t="shared" ref="AU158" si="642">AT158+AV158</f>
        <v>0</v>
      </c>
      <c r="AV158" s="163">
        <f t="shared" ref="AV158" si="643">SUM(AW158:BG158)</f>
        <v>0</v>
      </c>
      <c r="AW158" s="163"/>
      <c r="AX158" s="163"/>
      <c r="AY158" s="163"/>
      <c r="AZ158" s="163"/>
      <c r="BA158" s="163"/>
      <c r="BB158" s="163"/>
      <c r="BC158" s="163"/>
      <c r="BD158" s="163"/>
      <c r="BE158" s="163"/>
      <c r="BF158" s="163"/>
      <c r="BG158" s="163"/>
      <c r="BH158" s="163"/>
      <c r="BI158" s="81">
        <f t="shared" ref="BI158" si="644">BH158+BJ158</f>
        <v>0</v>
      </c>
      <c r="BJ158" s="98">
        <f t="shared" ref="BJ158" si="645">SUM(BK158:BO158)</f>
        <v>0</v>
      </c>
      <c r="BK158" s="199"/>
      <c r="BL158" s="199"/>
      <c r="BM158" s="199"/>
      <c r="BN158" s="199"/>
      <c r="BO158" s="199"/>
      <c r="BP158" s="81"/>
      <c r="BQ158" s="81">
        <f t="shared" ref="BQ158" si="646">BP158+BR158</f>
        <v>0</v>
      </c>
      <c r="BR158" s="81">
        <f t="shared" ref="BR158" si="647">SUM(BS158:CD158)</f>
        <v>0</v>
      </c>
      <c r="BS158" s="199"/>
      <c r="BT158" s="199"/>
      <c r="BU158" s="199"/>
      <c r="BV158" s="199"/>
      <c r="BW158" s="199"/>
      <c r="BX158" s="199"/>
      <c r="BY158" s="199"/>
      <c r="BZ158" s="199"/>
      <c r="CA158" s="199"/>
      <c r="CB158" s="199"/>
      <c r="CC158" s="199"/>
      <c r="CD158" s="199"/>
      <c r="CE158" s="82" t="s">
        <v>780</v>
      </c>
      <c r="CF158" s="200"/>
      <c r="CG158" s="24"/>
    </row>
    <row r="159" spans="1:85" s="198" customFormat="1" ht="38.25" customHeight="1" x14ac:dyDescent="0.2">
      <c r="A159" s="108"/>
      <c r="B159" s="242"/>
      <c r="C159" s="389" t="s">
        <v>835</v>
      </c>
      <c r="D159" s="80">
        <f t="shared" ref="D159:D160" si="648">F159+AG159+AT159+BH159+BP159</f>
        <v>0</v>
      </c>
      <c r="E159" s="295">
        <f t="shared" ref="E159:E160" si="649">G159+AH159+AU159+BI159+BQ159</f>
        <v>634319</v>
      </c>
      <c r="F159" s="163"/>
      <c r="G159" s="163">
        <f t="shared" ref="G159:G160" si="650">F159+H159</f>
        <v>634319</v>
      </c>
      <c r="H159" s="163">
        <f t="shared" ref="H159:H160" si="651">SUM(I159:AF159)</f>
        <v>634319</v>
      </c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>
        <v>580732</v>
      </c>
      <c r="T159" s="163"/>
      <c r="U159" s="163"/>
      <c r="V159" s="163"/>
      <c r="W159" s="163">
        <v>53587</v>
      </c>
      <c r="X159" s="163"/>
      <c r="Y159" s="163"/>
      <c r="Z159" s="163"/>
      <c r="AA159" s="163"/>
      <c r="AB159" s="163"/>
      <c r="AC159" s="163"/>
      <c r="AD159" s="163"/>
      <c r="AE159" s="163"/>
      <c r="AF159" s="163"/>
      <c r="AG159" s="163"/>
      <c r="AH159" s="163">
        <f t="shared" ref="AH159:AH160" si="652">AG159+AI159</f>
        <v>0</v>
      </c>
      <c r="AI159" s="163">
        <f t="shared" ref="AI159:AI160" si="653">SUM(AJ159:AS159)</f>
        <v>0</v>
      </c>
      <c r="AJ159" s="163"/>
      <c r="AK159" s="163"/>
      <c r="AL159" s="163"/>
      <c r="AM159" s="163"/>
      <c r="AN159" s="163"/>
      <c r="AO159" s="163"/>
      <c r="AP159" s="163"/>
      <c r="AQ159" s="163"/>
      <c r="AR159" s="163"/>
      <c r="AS159" s="163"/>
      <c r="AT159" s="163"/>
      <c r="AU159" s="163">
        <f t="shared" ref="AU159:AU160" si="654">AT159+AV159</f>
        <v>0</v>
      </c>
      <c r="AV159" s="163">
        <f t="shared" ref="AV159:AV160" si="655">SUM(AW159:BG159)</f>
        <v>0</v>
      </c>
      <c r="AW159" s="163"/>
      <c r="AX159" s="163"/>
      <c r="AY159" s="163"/>
      <c r="AZ159" s="163"/>
      <c r="BA159" s="163"/>
      <c r="BB159" s="163"/>
      <c r="BC159" s="163"/>
      <c r="BD159" s="163"/>
      <c r="BE159" s="163"/>
      <c r="BF159" s="163"/>
      <c r="BG159" s="163"/>
      <c r="BH159" s="163"/>
      <c r="BI159" s="81">
        <f t="shared" ref="BI159:BI160" si="656">BH159+BJ159</f>
        <v>0</v>
      </c>
      <c r="BJ159" s="98">
        <f t="shared" ref="BJ159:BJ160" si="657">SUM(BK159:BO159)</f>
        <v>0</v>
      </c>
      <c r="BK159" s="199"/>
      <c r="BL159" s="199"/>
      <c r="BM159" s="199"/>
      <c r="BN159" s="199"/>
      <c r="BO159" s="199"/>
      <c r="BP159" s="81"/>
      <c r="BQ159" s="81">
        <f t="shared" ref="BQ159:BQ160" si="658">BP159+BR159</f>
        <v>0</v>
      </c>
      <c r="BR159" s="81">
        <f t="shared" ref="BR159:BR160" si="659">SUM(BS159:CD159)</f>
        <v>0</v>
      </c>
      <c r="BS159" s="199"/>
      <c r="BT159" s="199"/>
      <c r="BU159" s="199"/>
      <c r="BV159" s="199"/>
      <c r="BW159" s="199"/>
      <c r="BX159" s="199"/>
      <c r="BY159" s="199"/>
      <c r="BZ159" s="199"/>
      <c r="CA159" s="199"/>
      <c r="CB159" s="199"/>
      <c r="CC159" s="199"/>
      <c r="CD159" s="199"/>
      <c r="CE159" s="82" t="s">
        <v>822</v>
      </c>
      <c r="CF159" s="200"/>
      <c r="CG159" s="24"/>
    </row>
    <row r="160" spans="1:85" s="198" customFormat="1" x14ac:dyDescent="0.2">
      <c r="A160" s="108"/>
      <c r="B160" s="242"/>
      <c r="C160" s="394" t="s">
        <v>831</v>
      </c>
      <c r="D160" s="80">
        <f t="shared" si="648"/>
        <v>0</v>
      </c>
      <c r="E160" s="295">
        <f t="shared" si="649"/>
        <v>1940</v>
      </c>
      <c r="F160" s="163"/>
      <c r="G160" s="163">
        <f t="shared" si="650"/>
        <v>1940</v>
      </c>
      <c r="H160" s="163">
        <f t="shared" si="651"/>
        <v>1940</v>
      </c>
      <c r="I160" s="163"/>
      <c r="J160" s="163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>
        <v>1940</v>
      </c>
      <c r="V160" s="163"/>
      <c r="W160" s="163"/>
      <c r="X160" s="163"/>
      <c r="Y160" s="163"/>
      <c r="Z160" s="163"/>
      <c r="AA160" s="163"/>
      <c r="AB160" s="163"/>
      <c r="AC160" s="163"/>
      <c r="AD160" s="163"/>
      <c r="AE160" s="163"/>
      <c r="AF160" s="163"/>
      <c r="AG160" s="163"/>
      <c r="AH160" s="163">
        <f t="shared" si="652"/>
        <v>0</v>
      </c>
      <c r="AI160" s="163">
        <f t="shared" si="653"/>
        <v>0</v>
      </c>
      <c r="AJ160" s="163"/>
      <c r="AK160" s="163"/>
      <c r="AL160" s="163"/>
      <c r="AM160" s="163"/>
      <c r="AN160" s="163"/>
      <c r="AO160" s="163"/>
      <c r="AP160" s="163"/>
      <c r="AQ160" s="163"/>
      <c r="AR160" s="163"/>
      <c r="AS160" s="163"/>
      <c r="AT160" s="163"/>
      <c r="AU160" s="163">
        <f t="shared" si="654"/>
        <v>0</v>
      </c>
      <c r="AV160" s="163">
        <f t="shared" si="655"/>
        <v>0</v>
      </c>
      <c r="AW160" s="163"/>
      <c r="AX160" s="163"/>
      <c r="AY160" s="163"/>
      <c r="AZ160" s="163"/>
      <c r="BA160" s="163"/>
      <c r="BB160" s="163"/>
      <c r="BC160" s="163"/>
      <c r="BD160" s="163"/>
      <c r="BE160" s="163"/>
      <c r="BF160" s="163"/>
      <c r="BG160" s="163"/>
      <c r="BH160" s="163"/>
      <c r="BI160" s="81">
        <f t="shared" si="656"/>
        <v>0</v>
      </c>
      <c r="BJ160" s="98">
        <f t="shared" si="657"/>
        <v>0</v>
      </c>
      <c r="BK160" s="199"/>
      <c r="BL160" s="199"/>
      <c r="BM160" s="199"/>
      <c r="BN160" s="199"/>
      <c r="BO160" s="199"/>
      <c r="BP160" s="81"/>
      <c r="BQ160" s="81">
        <f t="shared" si="658"/>
        <v>0</v>
      </c>
      <c r="BR160" s="81">
        <f t="shared" si="659"/>
        <v>0</v>
      </c>
      <c r="BS160" s="199"/>
      <c r="BT160" s="199"/>
      <c r="BU160" s="199"/>
      <c r="BV160" s="199"/>
      <c r="BW160" s="199"/>
      <c r="BX160" s="199"/>
      <c r="BY160" s="199"/>
      <c r="BZ160" s="199"/>
      <c r="CA160" s="199"/>
      <c r="CB160" s="199"/>
      <c r="CC160" s="199"/>
      <c r="CD160" s="199"/>
      <c r="CE160" s="82" t="s">
        <v>832</v>
      </c>
      <c r="CF160" s="200"/>
      <c r="CG160" s="24"/>
    </row>
    <row r="161" spans="1:85" ht="24" customHeight="1" x14ac:dyDescent="0.2">
      <c r="A161" s="108">
        <v>90000051665</v>
      </c>
      <c r="B161" s="241" t="s">
        <v>245</v>
      </c>
      <c r="C161" s="285" t="s">
        <v>227</v>
      </c>
      <c r="D161" s="80">
        <f t="shared" si="588"/>
        <v>854860</v>
      </c>
      <c r="E161" s="295">
        <f t="shared" si="589"/>
        <v>908727</v>
      </c>
      <c r="F161" s="81">
        <v>604903</v>
      </c>
      <c r="G161" s="81">
        <f t="shared" si="590"/>
        <v>639695</v>
      </c>
      <c r="H161" s="81">
        <f t="shared" si="591"/>
        <v>34792</v>
      </c>
      <c r="I161" s="81"/>
      <c r="J161" s="81"/>
      <c r="K161" s="81"/>
      <c r="L161" s="81">
        <f>29999+100</f>
        <v>30099</v>
      </c>
      <c r="M161" s="81"/>
      <c r="N161" s="81"/>
      <c r="O161" s="81"/>
      <c r="P161" s="81"/>
      <c r="Q161" s="81"/>
      <c r="R161" s="81"/>
      <c r="S161" s="81"/>
      <c r="T161" s="81"/>
      <c r="U161" s="81"/>
      <c r="V161" s="81"/>
      <c r="W161" s="81"/>
      <c r="X161" s="81"/>
      <c r="Y161" s="81"/>
      <c r="Z161" s="81">
        <v>4693</v>
      </c>
      <c r="AA161" s="81"/>
      <c r="AB161" s="81"/>
      <c r="AC161" s="81"/>
      <c r="AD161" s="81"/>
      <c r="AE161" s="81"/>
      <c r="AF161" s="81"/>
      <c r="AG161" s="81">
        <v>223203</v>
      </c>
      <c r="AH161" s="81">
        <f t="shared" si="592"/>
        <v>236941</v>
      </c>
      <c r="AI161" s="81">
        <f t="shared" si="593"/>
        <v>13738</v>
      </c>
      <c r="AJ161" s="81">
        <v>1183</v>
      </c>
      <c r="AK161" s="81">
        <v>3688</v>
      </c>
      <c r="AL161" s="81"/>
      <c r="AM161" s="81"/>
      <c r="AN161" s="81">
        <f>-63-1+1</f>
        <v>-63</v>
      </c>
      <c r="AO161" s="81"/>
      <c r="AP161" s="81"/>
      <c r="AQ161" s="81">
        <f>1183+3437+831+479+3000</f>
        <v>8930</v>
      </c>
      <c r="AR161" s="81"/>
      <c r="AS161" s="81"/>
      <c r="AT161" s="81">
        <v>26754</v>
      </c>
      <c r="AU161" s="81">
        <f t="shared" si="594"/>
        <v>32091</v>
      </c>
      <c r="AV161" s="81">
        <f t="shared" si="595"/>
        <v>5337</v>
      </c>
      <c r="AW161" s="81">
        <v>5337</v>
      </c>
      <c r="AX161" s="81"/>
      <c r="AY161" s="81"/>
      <c r="AZ161" s="81"/>
      <c r="BA161" s="81"/>
      <c r="BB161" s="81"/>
      <c r="BC161" s="81"/>
      <c r="BD161" s="81"/>
      <c r="BE161" s="81"/>
      <c r="BF161" s="81"/>
      <c r="BG161" s="81"/>
      <c r="BH161" s="81">
        <v>0</v>
      </c>
      <c r="BI161" s="81">
        <f t="shared" si="596"/>
        <v>0</v>
      </c>
      <c r="BJ161" s="98">
        <f t="shared" si="597"/>
        <v>0</v>
      </c>
      <c r="BK161" s="98"/>
      <c r="BL161" s="98"/>
      <c r="BM161" s="98"/>
      <c r="BN161" s="98"/>
      <c r="BO161" s="98"/>
      <c r="BP161" s="81"/>
      <c r="BQ161" s="81">
        <f t="shared" si="598"/>
        <v>0</v>
      </c>
      <c r="BR161" s="81">
        <f t="shared" si="599"/>
        <v>0</v>
      </c>
      <c r="BS161" s="98"/>
      <c r="BT161" s="98"/>
      <c r="BU161" s="98"/>
      <c r="BV161" s="98"/>
      <c r="BW161" s="98"/>
      <c r="BX161" s="98"/>
      <c r="BY161" s="98"/>
      <c r="BZ161" s="98"/>
      <c r="CA161" s="98"/>
      <c r="CB161" s="98"/>
      <c r="CC161" s="98"/>
      <c r="CD161" s="98"/>
      <c r="CE161" s="82" t="s">
        <v>369</v>
      </c>
      <c r="CF161" s="85"/>
      <c r="CG161" s="24"/>
    </row>
    <row r="162" spans="1:85" x14ac:dyDescent="0.2">
      <c r="A162" s="108"/>
      <c r="B162" s="242"/>
      <c r="C162" s="285" t="s">
        <v>240</v>
      </c>
      <c r="D162" s="80">
        <f t="shared" si="588"/>
        <v>65436</v>
      </c>
      <c r="E162" s="295">
        <f t="shared" si="589"/>
        <v>65436</v>
      </c>
      <c r="F162" s="81">
        <v>46771</v>
      </c>
      <c r="G162" s="81">
        <f t="shared" si="590"/>
        <v>46771</v>
      </c>
      <c r="H162" s="81">
        <f t="shared" si="591"/>
        <v>0</v>
      </c>
      <c r="I162" s="81"/>
      <c r="J162" s="81"/>
      <c r="K162" s="81"/>
      <c r="L162" s="81"/>
      <c r="M162" s="81"/>
      <c r="N162" s="81"/>
      <c r="O162" s="81"/>
      <c r="P162" s="81"/>
      <c r="Q162" s="81"/>
      <c r="R162" s="81"/>
      <c r="S162" s="81"/>
      <c r="T162" s="81"/>
      <c r="U162" s="81"/>
      <c r="V162" s="81"/>
      <c r="W162" s="81"/>
      <c r="X162" s="81"/>
      <c r="Y162" s="81"/>
      <c r="Z162" s="81"/>
      <c r="AA162" s="81"/>
      <c r="AB162" s="81"/>
      <c r="AC162" s="81"/>
      <c r="AD162" s="81"/>
      <c r="AE162" s="81"/>
      <c r="AF162" s="81"/>
      <c r="AG162" s="81">
        <v>18665</v>
      </c>
      <c r="AH162" s="81">
        <f t="shared" si="592"/>
        <v>18665</v>
      </c>
      <c r="AI162" s="81">
        <f t="shared" si="593"/>
        <v>0</v>
      </c>
      <c r="AJ162" s="81"/>
      <c r="AK162" s="81"/>
      <c r="AL162" s="81"/>
      <c r="AM162" s="81"/>
      <c r="AN162" s="81"/>
      <c r="AO162" s="81"/>
      <c r="AP162" s="81"/>
      <c r="AQ162" s="81"/>
      <c r="AR162" s="81"/>
      <c r="AS162" s="81"/>
      <c r="AT162" s="81">
        <v>0</v>
      </c>
      <c r="AU162" s="81">
        <f t="shared" si="594"/>
        <v>0</v>
      </c>
      <c r="AV162" s="81">
        <f t="shared" si="595"/>
        <v>0</v>
      </c>
      <c r="AW162" s="81"/>
      <c r="AX162" s="81"/>
      <c r="AY162" s="81"/>
      <c r="AZ162" s="81"/>
      <c r="BA162" s="81"/>
      <c r="BB162" s="81"/>
      <c r="BC162" s="81"/>
      <c r="BD162" s="81"/>
      <c r="BE162" s="81"/>
      <c r="BF162" s="81"/>
      <c r="BG162" s="81"/>
      <c r="BH162" s="81">
        <v>0</v>
      </c>
      <c r="BI162" s="81">
        <f t="shared" si="596"/>
        <v>0</v>
      </c>
      <c r="BJ162" s="98">
        <f t="shared" si="597"/>
        <v>0</v>
      </c>
      <c r="BK162" s="98"/>
      <c r="BL162" s="98"/>
      <c r="BM162" s="98"/>
      <c r="BN162" s="98"/>
      <c r="BO162" s="98"/>
      <c r="BP162" s="81"/>
      <c r="BQ162" s="81">
        <f t="shared" si="598"/>
        <v>0</v>
      </c>
      <c r="BR162" s="81">
        <f t="shared" si="599"/>
        <v>0</v>
      </c>
      <c r="BS162" s="98"/>
      <c r="BT162" s="98"/>
      <c r="BU162" s="98"/>
      <c r="BV162" s="98"/>
      <c r="BW162" s="98"/>
      <c r="BX162" s="98"/>
      <c r="BY162" s="98"/>
      <c r="BZ162" s="98"/>
      <c r="CA162" s="98"/>
      <c r="CB162" s="98"/>
      <c r="CC162" s="98"/>
      <c r="CD162" s="98"/>
      <c r="CE162" s="82" t="s">
        <v>370</v>
      </c>
      <c r="CF162" s="85"/>
      <c r="CG162" s="24"/>
    </row>
    <row r="163" spans="1:85" s="198" customFormat="1" ht="24" x14ac:dyDescent="0.2">
      <c r="A163" s="108"/>
      <c r="B163" s="242"/>
      <c r="C163" s="388" t="s">
        <v>817</v>
      </c>
      <c r="D163" s="80">
        <f t="shared" ref="D163" si="660">F163+AG163+AT163+BH163+BP163</f>
        <v>0</v>
      </c>
      <c r="E163" s="295">
        <f t="shared" ref="E163" si="661">G163+AH163+AU163+BI163+BQ163</f>
        <v>17310</v>
      </c>
      <c r="F163" s="81"/>
      <c r="G163" s="81">
        <f t="shared" ref="G163" si="662">F163+H163</f>
        <v>17310</v>
      </c>
      <c r="H163" s="81">
        <f t="shared" ref="H163" si="663">SUM(I163:AF163)</f>
        <v>17310</v>
      </c>
      <c r="I163" s="81"/>
      <c r="J163" s="81"/>
      <c r="K163" s="81"/>
      <c r="L163" s="81"/>
      <c r="M163" s="81"/>
      <c r="N163" s="81"/>
      <c r="O163" s="81"/>
      <c r="P163" s="81"/>
      <c r="Q163" s="81"/>
      <c r="R163" s="81"/>
      <c r="S163" s="81">
        <v>17310</v>
      </c>
      <c r="T163" s="81"/>
      <c r="U163" s="81"/>
      <c r="V163" s="81"/>
      <c r="W163" s="81"/>
      <c r="X163" s="81"/>
      <c r="Y163" s="81"/>
      <c r="Z163" s="81"/>
      <c r="AA163" s="81"/>
      <c r="AB163" s="81"/>
      <c r="AC163" s="81"/>
      <c r="AD163" s="81"/>
      <c r="AE163" s="81"/>
      <c r="AF163" s="81"/>
      <c r="AG163" s="81"/>
      <c r="AH163" s="81">
        <f t="shared" ref="AH163" si="664">AG163+AI163</f>
        <v>0</v>
      </c>
      <c r="AI163" s="81">
        <f t="shared" ref="AI163" si="665">SUM(AJ163:AS163)</f>
        <v>0</v>
      </c>
      <c r="AJ163" s="81"/>
      <c r="AK163" s="81"/>
      <c r="AL163" s="81"/>
      <c r="AM163" s="81"/>
      <c r="AN163" s="81"/>
      <c r="AO163" s="81"/>
      <c r="AP163" s="81"/>
      <c r="AQ163" s="81"/>
      <c r="AR163" s="81"/>
      <c r="AS163" s="81"/>
      <c r="AT163" s="81"/>
      <c r="AU163" s="81">
        <f t="shared" ref="AU163" si="666">AT163+AV163</f>
        <v>0</v>
      </c>
      <c r="AV163" s="81">
        <f t="shared" ref="AV163" si="667">SUM(AW163:BG163)</f>
        <v>0</v>
      </c>
      <c r="AW163" s="81"/>
      <c r="AX163" s="81"/>
      <c r="AY163" s="81"/>
      <c r="AZ163" s="81"/>
      <c r="BA163" s="81"/>
      <c r="BB163" s="81"/>
      <c r="BC163" s="81"/>
      <c r="BD163" s="81"/>
      <c r="BE163" s="81"/>
      <c r="BF163" s="81"/>
      <c r="BG163" s="81"/>
      <c r="BH163" s="81"/>
      <c r="BI163" s="81">
        <f t="shared" ref="BI163" si="668">BH163+BJ163</f>
        <v>0</v>
      </c>
      <c r="BJ163" s="98">
        <f t="shared" ref="BJ163" si="669">SUM(BK163:BO163)</f>
        <v>0</v>
      </c>
      <c r="BK163" s="98"/>
      <c r="BL163" s="98"/>
      <c r="BM163" s="98"/>
      <c r="BN163" s="98"/>
      <c r="BO163" s="98"/>
      <c r="BP163" s="81"/>
      <c r="BQ163" s="81">
        <f t="shared" ref="BQ163" si="670">BP163+BR163</f>
        <v>0</v>
      </c>
      <c r="BR163" s="81">
        <f t="shared" ref="BR163" si="671">SUM(BS163:CD163)</f>
        <v>0</v>
      </c>
      <c r="BS163" s="98"/>
      <c r="BT163" s="98"/>
      <c r="BU163" s="98"/>
      <c r="BV163" s="98"/>
      <c r="BW163" s="98"/>
      <c r="BX163" s="98"/>
      <c r="BY163" s="98"/>
      <c r="BZ163" s="98"/>
      <c r="CA163" s="98"/>
      <c r="CB163" s="98"/>
      <c r="CC163" s="98"/>
      <c r="CD163" s="98"/>
      <c r="CE163" s="82" t="s">
        <v>818</v>
      </c>
      <c r="CF163" s="85"/>
      <c r="CG163" s="24"/>
    </row>
    <row r="164" spans="1:85" ht="22.5" customHeight="1" x14ac:dyDescent="0.2">
      <c r="A164" s="108">
        <v>90000051561</v>
      </c>
      <c r="B164" s="241" t="s">
        <v>280</v>
      </c>
      <c r="C164" s="285" t="s">
        <v>227</v>
      </c>
      <c r="D164" s="80">
        <f t="shared" si="588"/>
        <v>715688</v>
      </c>
      <c r="E164" s="295">
        <f t="shared" si="589"/>
        <v>745510</v>
      </c>
      <c r="F164" s="81">
        <v>343518</v>
      </c>
      <c r="G164" s="81">
        <f t="shared" si="590"/>
        <v>333452</v>
      </c>
      <c r="H164" s="81">
        <f t="shared" si="591"/>
        <v>-10066</v>
      </c>
      <c r="I164" s="81"/>
      <c r="J164" s="81"/>
      <c r="K164" s="81">
        <v>-10066</v>
      </c>
      <c r="L164" s="81"/>
      <c r="M164" s="8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81"/>
      <c r="Z164" s="81"/>
      <c r="AA164" s="81"/>
      <c r="AB164" s="81"/>
      <c r="AC164" s="81"/>
      <c r="AD164" s="81"/>
      <c r="AE164" s="81"/>
      <c r="AF164" s="81"/>
      <c r="AG164" s="81">
        <v>352962</v>
      </c>
      <c r="AH164" s="81">
        <f t="shared" si="592"/>
        <v>382784</v>
      </c>
      <c r="AI164" s="81">
        <f t="shared" si="593"/>
        <v>29822</v>
      </c>
      <c r="AJ164" s="81">
        <v>2247</v>
      </c>
      <c r="AK164" s="81">
        <v>5919</v>
      </c>
      <c r="AL164" s="81"/>
      <c r="AM164" s="81"/>
      <c r="AN164" s="81">
        <f>-137-1+1</f>
        <v>-137</v>
      </c>
      <c r="AO164" s="81"/>
      <c r="AP164" s="81"/>
      <c r="AQ164" s="81">
        <f>2247+20318-772</f>
        <v>21793</v>
      </c>
      <c r="AR164" s="81"/>
      <c r="AS164" s="81"/>
      <c r="AT164" s="81">
        <v>19350</v>
      </c>
      <c r="AU164" s="81">
        <f t="shared" si="594"/>
        <v>29416</v>
      </c>
      <c r="AV164" s="81">
        <f t="shared" si="595"/>
        <v>10066</v>
      </c>
      <c r="AW164" s="81">
        <v>10066</v>
      </c>
      <c r="AX164" s="81"/>
      <c r="AY164" s="81"/>
      <c r="AZ164" s="81"/>
      <c r="BA164" s="81"/>
      <c r="BB164" s="81"/>
      <c r="BC164" s="81"/>
      <c r="BD164" s="81"/>
      <c r="BE164" s="81"/>
      <c r="BF164" s="81"/>
      <c r="BG164" s="81"/>
      <c r="BH164" s="81">
        <v>0</v>
      </c>
      <c r="BI164" s="81">
        <f t="shared" si="596"/>
        <v>0</v>
      </c>
      <c r="BJ164" s="98">
        <f t="shared" si="597"/>
        <v>0</v>
      </c>
      <c r="BK164" s="98"/>
      <c r="BL164" s="98"/>
      <c r="BM164" s="98"/>
      <c r="BN164" s="98"/>
      <c r="BO164" s="98"/>
      <c r="BP164" s="81">
        <v>-142</v>
      </c>
      <c r="BQ164" s="81">
        <f t="shared" si="598"/>
        <v>-142</v>
      </c>
      <c r="BR164" s="81">
        <f t="shared" si="599"/>
        <v>0</v>
      </c>
      <c r="BS164" s="98"/>
      <c r="BT164" s="98"/>
      <c r="BU164" s="98"/>
      <c r="BV164" s="98"/>
      <c r="BW164" s="98"/>
      <c r="BX164" s="98"/>
      <c r="BY164" s="98"/>
      <c r="BZ164" s="98"/>
      <c r="CA164" s="98"/>
      <c r="CB164" s="98"/>
      <c r="CC164" s="98"/>
      <c r="CD164" s="98"/>
      <c r="CE164" s="82" t="s">
        <v>371</v>
      </c>
      <c r="CF164" s="85"/>
      <c r="CG164" s="24"/>
    </row>
    <row r="165" spans="1:85" x14ac:dyDescent="0.2">
      <c r="A165" s="108"/>
      <c r="B165" s="242"/>
      <c r="C165" s="285" t="s">
        <v>240</v>
      </c>
      <c r="D165" s="80">
        <f t="shared" si="588"/>
        <v>84322</v>
      </c>
      <c r="E165" s="295">
        <f t="shared" si="589"/>
        <v>88985</v>
      </c>
      <c r="F165" s="81">
        <v>61512</v>
      </c>
      <c r="G165" s="81">
        <f t="shared" si="590"/>
        <v>61512</v>
      </c>
      <c r="H165" s="81">
        <f t="shared" si="591"/>
        <v>0</v>
      </c>
      <c r="I165" s="81"/>
      <c r="J165" s="81"/>
      <c r="K165" s="81"/>
      <c r="L165" s="81"/>
      <c r="M165" s="81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81"/>
      <c r="Z165" s="81"/>
      <c r="AA165" s="81"/>
      <c r="AB165" s="81"/>
      <c r="AC165" s="81"/>
      <c r="AD165" s="81"/>
      <c r="AE165" s="81"/>
      <c r="AF165" s="81"/>
      <c r="AG165" s="81">
        <v>22810</v>
      </c>
      <c r="AH165" s="81">
        <f t="shared" si="592"/>
        <v>27473</v>
      </c>
      <c r="AI165" s="81">
        <f t="shared" si="593"/>
        <v>4663</v>
      </c>
      <c r="AJ165" s="81"/>
      <c r="AK165" s="81">
        <v>3879</v>
      </c>
      <c r="AL165" s="81"/>
      <c r="AM165" s="81"/>
      <c r="AN165" s="81"/>
      <c r="AO165" s="81"/>
      <c r="AP165" s="81"/>
      <c r="AQ165" s="81">
        <v>784</v>
      </c>
      <c r="AR165" s="81"/>
      <c r="AS165" s="81"/>
      <c r="AT165" s="81">
        <v>0</v>
      </c>
      <c r="AU165" s="81">
        <f t="shared" si="594"/>
        <v>0</v>
      </c>
      <c r="AV165" s="81">
        <f t="shared" si="595"/>
        <v>0</v>
      </c>
      <c r="AW165" s="81"/>
      <c r="AX165" s="81"/>
      <c r="AY165" s="81"/>
      <c r="AZ165" s="81"/>
      <c r="BA165" s="81"/>
      <c r="BB165" s="81"/>
      <c r="BC165" s="81"/>
      <c r="BD165" s="81"/>
      <c r="BE165" s="81"/>
      <c r="BF165" s="81"/>
      <c r="BG165" s="81"/>
      <c r="BH165" s="81">
        <v>0</v>
      </c>
      <c r="BI165" s="81">
        <f t="shared" si="596"/>
        <v>0</v>
      </c>
      <c r="BJ165" s="98">
        <f t="shared" si="597"/>
        <v>0</v>
      </c>
      <c r="BK165" s="98"/>
      <c r="BL165" s="98"/>
      <c r="BM165" s="98"/>
      <c r="BN165" s="98"/>
      <c r="BO165" s="98"/>
      <c r="BP165" s="81"/>
      <c r="BQ165" s="81">
        <f t="shared" si="598"/>
        <v>0</v>
      </c>
      <c r="BR165" s="81">
        <f t="shared" si="599"/>
        <v>0</v>
      </c>
      <c r="BS165" s="98"/>
      <c r="BT165" s="98"/>
      <c r="BU165" s="98"/>
      <c r="BV165" s="98"/>
      <c r="BW165" s="98"/>
      <c r="BX165" s="98"/>
      <c r="BY165" s="98"/>
      <c r="BZ165" s="98"/>
      <c r="CA165" s="98"/>
      <c r="CB165" s="98"/>
      <c r="CC165" s="98"/>
      <c r="CD165" s="98"/>
      <c r="CE165" s="82" t="s">
        <v>372</v>
      </c>
      <c r="CF165" s="85"/>
      <c r="CG165" s="24"/>
    </row>
    <row r="166" spans="1:85" ht="24" customHeight="1" x14ac:dyDescent="0.2">
      <c r="A166" s="108">
        <v>90009226256</v>
      </c>
      <c r="B166" s="241" t="s">
        <v>152</v>
      </c>
      <c r="C166" s="285" t="s">
        <v>453</v>
      </c>
      <c r="D166" s="80">
        <f t="shared" si="588"/>
        <v>368103</v>
      </c>
      <c r="E166" s="295">
        <f t="shared" si="589"/>
        <v>366517</v>
      </c>
      <c r="F166" s="81">
        <v>281391</v>
      </c>
      <c r="G166" s="81">
        <f t="shared" si="590"/>
        <v>283345</v>
      </c>
      <c r="H166" s="81">
        <f t="shared" si="591"/>
        <v>1954</v>
      </c>
      <c r="I166" s="81"/>
      <c r="J166" s="81"/>
      <c r="K166" s="81"/>
      <c r="L166" s="81"/>
      <c r="M166" s="81"/>
      <c r="N166" s="81"/>
      <c r="O166" s="81"/>
      <c r="P166" s="81"/>
      <c r="Q166" s="81"/>
      <c r="R166" s="81"/>
      <c r="S166" s="81"/>
      <c r="T166" s="81"/>
      <c r="U166" s="81"/>
      <c r="V166" s="81"/>
      <c r="W166" s="81">
        <v>1954</v>
      </c>
      <c r="X166" s="81"/>
      <c r="Y166" s="81"/>
      <c r="Z166" s="81"/>
      <c r="AA166" s="81"/>
      <c r="AB166" s="81"/>
      <c r="AC166" s="81"/>
      <c r="AD166" s="81"/>
      <c r="AE166" s="81"/>
      <c r="AF166" s="81"/>
      <c r="AG166" s="81">
        <v>76102</v>
      </c>
      <c r="AH166" s="81">
        <f t="shared" si="592"/>
        <v>70692</v>
      </c>
      <c r="AI166" s="81">
        <f t="shared" si="593"/>
        <v>-5410</v>
      </c>
      <c r="AJ166" s="81"/>
      <c r="AK166" s="81"/>
      <c r="AL166" s="81"/>
      <c r="AM166" s="81"/>
      <c r="AN166" s="81"/>
      <c r="AO166" s="81"/>
      <c r="AP166" s="81"/>
      <c r="AQ166" s="81">
        <v>-5410</v>
      </c>
      <c r="AR166" s="81"/>
      <c r="AS166" s="81"/>
      <c r="AT166" s="81">
        <v>10610</v>
      </c>
      <c r="AU166" s="81">
        <f t="shared" si="594"/>
        <v>12480</v>
      </c>
      <c r="AV166" s="81">
        <f t="shared" si="595"/>
        <v>1870</v>
      </c>
      <c r="AW166" s="81">
        <v>737</v>
      </c>
      <c r="AX166" s="81"/>
      <c r="AY166" s="81"/>
      <c r="AZ166" s="81"/>
      <c r="BA166" s="81"/>
      <c r="BB166" s="81"/>
      <c r="BC166" s="81">
        <v>923</v>
      </c>
      <c r="BD166" s="81"/>
      <c r="BE166" s="81">
        <v>210</v>
      </c>
      <c r="BF166" s="81"/>
      <c r="BG166" s="81"/>
      <c r="BH166" s="81">
        <v>0</v>
      </c>
      <c r="BI166" s="81">
        <f t="shared" si="596"/>
        <v>0</v>
      </c>
      <c r="BJ166" s="98">
        <f t="shared" si="597"/>
        <v>0</v>
      </c>
      <c r="BK166" s="98"/>
      <c r="BL166" s="98"/>
      <c r="BM166" s="98"/>
      <c r="BN166" s="98"/>
      <c r="BO166" s="98"/>
      <c r="BP166" s="81"/>
      <c r="BQ166" s="81">
        <f t="shared" si="598"/>
        <v>0</v>
      </c>
      <c r="BR166" s="81">
        <f t="shared" si="599"/>
        <v>0</v>
      </c>
      <c r="BS166" s="98"/>
      <c r="BT166" s="98"/>
      <c r="BU166" s="98"/>
      <c r="BV166" s="98"/>
      <c r="BW166" s="98"/>
      <c r="BX166" s="98"/>
      <c r="BY166" s="98"/>
      <c r="BZ166" s="98"/>
      <c r="CA166" s="98"/>
      <c r="CB166" s="98"/>
      <c r="CC166" s="98"/>
      <c r="CD166" s="98"/>
      <c r="CE166" s="82" t="s">
        <v>373</v>
      </c>
      <c r="CF166" s="85"/>
      <c r="CG166" s="24"/>
    </row>
    <row r="167" spans="1:85" s="130" customFormat="1" ht="12.75" x14ac:dyDescent="0.2">
      <c r="A167" s="110"/>
      <c r="B167" s="245"/>
      <c r="C167" s="285" t="s">
        <v>538</v>
      </c>
      <c r="D167" s="80">
        <f t="shared" si="588"/>
        <v>62734</v>
      </c>
      <c r="E167" s="295">
        <f t="shared" si="589"/>
        <v>71041</v>
      </c>
      <c r="F167" s="81">
        <v>62734</v>
      </c>
      <c r="G167" s="81">
        <f t="shared" si="590"/>
        <v>71041</v>
      </c>
      <c r="H167" s="81">
        <f t="shared" si="591"/>
        <v>8307</v>
      </c>
      <c r="I167" s="81"/>
      <c r="J167" s="81"/>
      <c r="K167" s="81">
        <v>8307</v>
      </c>
      <c r="L167" s="81"/>
      <c r="M167" s="8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81"/>
      <c r="Z167" s="81"/>
      <c r="AA167" s="81"/>
      <c r="AB167" s="81"/>
      <c r="AC167" s="81"/>
      <c r="AD167" s="81"/>
      <c r="AE167" s="81"/>
      <c r="AF167" s="81"/>
      <c r="AG167" s="81">
        <v>0</v>
      </c>
      <c r="AH167" s="81">
        <f t="shared" si="592"/>
        <v>0</v>
      </c>
      <c r="AI167" s="81">
        <f t="shared" si="593"/>
        <v>0</v>
      </c>
      <c r="AJ167" s="81"/>
      <c r="AK167" s="81"/>
      <c r="AL167" s="81"/>
      <c r="AM167" s="81"/>
      <c r="AN167" s="81"/>
      <c r="AO167" s="81"/>
      <c r="AP167" s="81"/>
      <c r="AQ167" s="81"/>
      <c r="AR167" s="81"/>
      <c r="AS167" s="81"/>
      <c r="AT167" s="81">
        <v>0</v>
      </c>
      <c r="AU167" s="81">
        <f t="shared" si="594"/>
        <v>0</v>
      </c>
      <c r="AV167" s="81">
        <f t="shared" si="595"/>
        <v>0</v>
      </c>
      <c r="AW167" s="81"/>
      <c r="AX167" s="81"/>
      <c r="AY167" s="81"/>
      <c r="AZ167" s="81"/>
      <c r="BA167" s="81"/>
      <c r="BB167" s="81"/>
      <c r="BC167" s="81"/>
      <c r="BD167" s="81"/>
      <c r="BE167" s="81"/>
      <c r="BF167" s="81"/>
      <c r="BG167" s="81"/>
      <c r="BH167" s="81">
        <v>0</v>
      </c>
      <c r="BI167" s="81">
        <f t="shared" si="596"/>
        <v>0</v>
      </c>
      <c r="BJ167" s="98">
        <f t="shared" si="597"/>
        <v>0</v>
      </c>
      <c r="BK167" s="98"/>
      <c r="BL167" s="98"/>
      <c r="BM167" s="98"/>
      <c r="BN167" s="98"/>
      <c r="BO167" s="98"/>
      <c r="BP167" s="81"/>
      <c r="BQ167" s="81">
        <f t="shared" si="598"/>
        <v>0</v>
      </c>
      <c r="BR167" s="81">
        <f t="shared" si="599"/>
        <v>0</v>
      </c>
      <c r="BS167" s="98"/>
      <c r="BT167" s="98"/>
      <c r="BU167" s="98"/>
      <c r="BV167" s="98"/>
      <c r="BW167" s="98"/>
      <c r="BX167" s="98"/>
      <c r="BY167" s="98"/>
      <c r="BZ167" s="98"/>
      <c r="CA167" s="98"/>
      <c r="CB167" s="98"/>
      <c r="CC167" s="98"/>
      <c r="CD167" s="98"/>
      <c r="CE167" s="82" t="s">
        <v>682</v>
      </c>
      <c r="CF167" s="85"/>
      <c r="CG167" s="24"/>
    </row>
    <row r="168" spans="1:85" s="198" customFormat="1" ht="12.75" x14ac:dyDescent="0.2">
      <c r="A168" s="110"/>
      <c r="B168" s="245"/>
      <c r="C168" s="285" t="s">
        <v>633</v>
      </c>
      <c r="D168" s="80">
        <f t="shared" si="588"/>
        <v>1803</v>
      </c>
      <c r="E168" s="295">
        <f t="shared" si="589"/>
        <v>1844</v>
      </c>
      <c r="F168" s="81">
        <v>1803</v>
      </c>
      <c r="G168" s="81">
        <f t="shared" si="590"/>
        <v>1844</v>
      </c>
      <c r="H168" s="81">
        <f t="shared" si="591"/>
        <v>41</v>
      </c>
      <c r="I168" s="81"/>
      <c r="J168" s="81"/>
      <c r="K168" s="81">
        <v>41</v>
      </c>
      <c r="L168" s="81"/>
      <c r="M168" s="8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81"/>
      <c r="Z168" s="81"/>
      <c r="AA168" s="81"/>
      <c r="AB168" s="81"/>
      <c r="AC168" s="81"/>
      <c r="AD168" s="81"/>
      <c r="AE168" s="81"/>
      <c r="AF168" s="81"/>
      <c r="AG168" s="81">
        <v>0</v>
      </c>
      <c r="AH168" s="81">
        <f t="shared" si="592"/>
        <v>0</v>
      </c>
      <c r="AI168" s="81">
        <f t="shared" si="593"/>
        <v>0</v>
      </c>
      <c r="AJ168" s="81"/>
      <c r="AK168" s="81"/>
      <c r="AL168" s="81"/>
      <c r="AM168" s="81"/>
      <c r="AN168" s="81"/>
      <c r="AO168" s="81"/>
      <c r="AP168" s="81"/>
      <c r="AQ168" s="81"/>
      <c r="AR168" s="81"/>
      <c r="AS168" s="81"/>
      <c r="AT168" s="81">
        <v>0</v>
      </c>
      <c r="AU168" s="81">
        <f t="shared" si="594"/>
        <v>0</v>
      </c>
      <c r="AV168" s="81">
        <f t="shared" si="595"/>
        <v>0</v>
      </c>
      <c r="AW168" s="81"/>
      <c r="AX168" s="81"/>
      <c r="AY168" s="81"/>
      <c r="AZ168" s="81"/>
      <c r="BA168" s="81"/>
      <c r="BB168" s="81"/>
      <c r="BC168" s="81"/>
      <c r="BD168" s="81"/>
      <c r="BE168" s="81"/>
      <c r="BF168" s="81"/>
      <c r="BG168" s="81"/>
      <c r="BH168" s="81">
        <v>0</v>
      </c>
      <c r="BI168" s="81">
        <f t="shared" si="596"/>
        <v>0</v>
      </c>
      <c r="BJ168" s="98">
        <f t="shared" si="597"/>
        <v>0</v>
      </c>
      <c r="BK168" s="98"/>
      <c r="BL168" s="98"/>
      <c r="BM168" s="98"/>
      <c r="BN168" s="98"/>
      <c r="BO168" s="98"/>
      <c r="BP168" s="81"/>
      <c r="BQ168" s="81">
        <f t="shared" si="598"/>
        <v>0</v>
      </c>
      <c r="BR168" s="81">
        <f t="shared" si="599"/>
        <v>0</v>
      </c>
      <c r="BS168" s="98"/>
      <c r="BT168" s="98"/>
      <c r="BU168" s="98"/>
      <c r="BV168" s="98"/>
      <c r="BW168" s="98"/>
      <c r="BX168" s="98"/>
      <c r="BY168" s="98"/>
      <c r="BZ168" s="98"/>
      <c r="CA168" s="98"/>
      <c r="CB168" s="98"/>
      <c r="CC168" s="98"/>
      <c r="CD168" s="98"/>
      <c r="CE168" s="82" t="s">
        <v>683</v>
      </c>
      <c r="CF168" s="85"/>
      <c r="CG168" s="24"/>
    </row>
    <row r="169" spans="1:85" s="198" customFormat="1" ht="24" x14ac:dyDescent="0.2">
      <c r="A169" s="110"/>
      <c r="B169" s="245"/>
      <c r="C169" s="285" t="s">
        <v>634</v>
      </c>
      <c r="D169" s="80">
        <f t="shared" si="588"/>
        <v>0</v>
      </c>
      <c r="E169" s="295">
        <f t="shared" si="589"/>
        <v>3</v>
      </c>
      <c r="F169" s="81">
        <v>582</v>
      </c>
      <c r="G169" s="81">
        <f t="shared" si="590"/>
        <v>584</v>
      </c>
      <c r="H169" s="81">
        <f t="shared" si="591"/>
        <v>2</v>
      </c>
      <c r="I169" s="81"/>
      <c r="J169" s="81"/>
      <c r="K169" s="81">
        <v>2</v>
      </c>
      <c r="L169" s="81"/>
      <c r="M169" s="81"/>
      <c r="N169" s="81"/>
      <c r="O169" s="81"/>
      <c r="P169" s="81"/>
      <c r="Q169" s="81"/>
      <c r="R169" s="81"/>
      <c r="S169" s="81"/>
      <c r="T169" s="81"/>
      <c r="U169" s="81"/>
      <c r="V169" s="81"/>
      <c r="W169" s="81">
        <f>1-1</f>
        <v>0</v>
      </c>
      <c r="X169" s="81"/>
      <c r="Y169" s="81"/>
      <c r="Z169" s="81"/>
      <c r="AA169" s="81"/>
      <c r="AB169" s="81"/>
      <c r="AC169" s="81"/>
      <c r="AD169" s="81"/>
      <c r="AE169" s="81"/>
      <c r="AF169" s="81"/>
      <c r="AG169" s="81">
        <v>0</v>
      </c>
      <c r="AH169" s="81">
        <f t="shared" si="592"/>
        <v>0</v>
      </c>
      <c r="AI169" s="81">
        <f t="shared" si="593"/>
        <v>0</v>
      </c>
      <c r="AJ169" s="81"/>
      <c r="AK169" s="81"/>
      <c r="AL169" s="81"/>
      <c r="AM169" s="81"/>
      <c r="AN169" s="81"/>
      <c r="AO169" s="81"/>
      <c r="AP169" s="81"/>
      <c r="AQ169" s="81"/>
      <c r="AR169" s="81"/>
      <c r="AS169" s="81"/>
      <c r="AT169" s="81">
        <v>0</v>
      </c>
      <c r="AU169" s="81">
        <f t="shared" si="594"/>
        <v>0</v>
      </c>
      <c r="AV169" s="81">
        <f t="shared" si="595"/>
        <v>0</v>
      </c>
      <c r="AW169" s="81"/>
      <c r="AX169" s="81"/>
      <c r="AY169" s="81"/>
      <c r="AZ169" s="81"/>
      <c r="BA169" s="81"/>
      <c r="BB169" s="81"/>
      <c r="BC169" s="81"/>
      <c r="BD169" s="81"/>
      <c r="BE169" s="81"/>
      <c r="BF169" s="81"/>
      <c r="BG169" s="81"/>
      <c r="BH169" s="81">
        <v>0</v>
      </c>
      <c r="BI169" s="81">
        <f t="shared" si="596"/>
        <v>0</v>
      </c>
      <c r="BJ169" s="98">
        <f t="shared" si="597"/>
        <v>0</v>
      </c>
      <c r="BK169" s="98"/>
      <c r="BL169" s="98"/>
      <c r="BM169" s="98"/>
      <c r="BN169" s="98"/>
      <c r="BO169" s="98"/>
      <c r="BP169" s="81">
        <v>-582</v>
      </c>
      <c r="BQ169" s="81">
        <f t="shared" si="598"/>
        <v>-581</v>
      </c>
      <c r="BR169" s="81">
        <f t="shared" si="599"/>
        <v>1</v>
      </c>
      <c r="BS169" s="98"/>
      <c r="BT169" s="98"/>
      <c r="BU169" s="98"/>
      <c r="BV169" s="98"/>
      <c r="BW169" s="98"/>
      <c r="BX169" s="98"/>
      <c r="BY169" s="98"/>
      <c r="BZ169" s="98">
        <v>1</v>
      </c>
      <c r="CA169" s="98"/>
      <c r="CB169" s="98"/>
      <c r="CC169" s="98"/>
      <c r="CD169" s="98"/>
      <c r="CE169" s="82" t="s">
        <v>685</v>
      </c>
      <c r="CF169" s="85"/>
      <c r="CG169" s="24"/>
    </row>
    <row r="170" spans="1:85" s="198" customFormat="1" ht="12.75" x14ac:dyDescent="0.2">
      <c r="A170" s="110"/>
      <c r="B170" s="245"/>
      <c r="C170" s="341" t="s">
        <v>767</v>
      </c>
      <c r="D170" s="80">
        <f t="shared" ref="D170" si="672">F170+AG170+AT170+BH170+BP170</f>
        <v>0</v>
      </c>
      <c r="E170" s="295">
        <f t="shared" ref="E170" si="673">G170+AH170+AU170+BI170+BQ170</f>
        <v>0</v>
      </c>
      <c r="F170" s="81"/>
      <c r="G170" s="81">
        <f t="shared" ref="G170" si="674">F170+H170</f>
        <v>0</v>
      </c>
      <c r="H170" s="81">
        <f t="shared" ref="H170" si="675">SUM(I170:AF170)</f>
        <v>0</v>
      </c>
      <c r="I170" s="81"/>
      <c r="J170" s="81"/>
      <c r="K170" s="81"/>
      <c r="L170" s="81"/>
      <c r="M170" s="8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81"/>
      <c r="Z170" s="81"/>
      <c r="AA170" s="81"/>
      <c r="AB170" s="81"/>
      <c r="AC170" s="81"/>
      <c r="AD170" s="81"/>
      <c r="AE170" s="81"/>
      <c r="AF170" s="81"/>
      <c r="AG170" s="81"/>
      <c r="AH170" s="81">
        <f t="shared" ref="AH170" si="676">AG170+AI170</f>
        <v>0</v>
      </c>
      <c r="AI170" s="81">
        <f t="shared" ref="AI170" si="677">SUM(AJ170:AS170)</f>
        <v>0</v>
      </c>
      <c r="AJ170" s="81"/>
      <c r="AK170" s="81"/>
      <c r="AL170" s="81"/>
      <c r="AM170" s="81"/>
      <c r="AN170" s="81"/>
      <c r="AO170" s="81"/>
      <c r="AP170" s="81"/>
      <c r="AQ170" s="81"/>
      <c r="AR170" s="81"/>
      <c r="AS170" s="81"/>
      <c r="AT170" s="81"/>
      <c r="AU170" s="81">
        <f t="shared" ref="AU170" si="678">AT170+AV170</f>
        <v>0</v>
      </c>
      <c r="AV170" s="81">
        <f t="shared" ref="AV170" si="679">SUM(AW170:BG170)</f>
        <v>0</v>
      </c>
      <c r="AW170" s="81"/>
      <c r="AX170" s="81"/>
      <c r="AY170" s="81"/>
      <c r="AZ170" s="81"/>
      <c r="BA170" s="81"/>
      <c r="BB170" s="81"/>
      <c r="BC170" s="81"/>
      <c r="BD170" s="81"/>
      <c r="BE170" s="81"/>
      <c r="BF170" s="81"/>
      <c r="BG170" s="81"/>
      <c r="BH170" s="81"/>
      <c r="BI170" s="81">
        <f t="shared" ref="BI170" si="680">BH170+BJ170</f>
        <v>0</v>
      </c>
      <c r="BJ170" s="98">
        <f t="shared" ref="BJ170" si="681">SUM(BK170:BO170)</f>
        <v>0</v>
      </c>
      <c r="BK170" s="98"/>
      <c r="BL170" s="98"/>
      <c r="BM170" s="98"/>
      <c r="BN170" s="98"/>
      <c r="BO170" s="98"/>
      <c r="BP170" s="81"/>
      <c r="BQ170" s="81">
        <f t="shared" ref="BQ170" si="682">BP170+BR170</f>
        <v>0</v>
      </c>
      <c r="BR170" s="81">
        <f t="shared" ref="BR170" si="683">SUM(BS170:CD170)</f>
        <v>0</v>
      </c>
      <c r="BS170" s="98"/>
      <c r="BT170" s="98"/>
      <c r="BU170" s="98"/>
      <c r="BV170" s="98"/>
      <c r="BW170" s="98"/>
      <c r="BX170" s="98"/>
      <c r="BY170" s="98"/>
      <c r="BZ170" s="98"/>
      <c r="CA170" s="98"/>
      <c r="CB170" s="98"/>
      <c r="CC170" s="98"/>
      <c r="CD170" s="98"/>
      <c r="CE170" s="82" t="s">
        <v>766</v>
      </c>
      <c r="CF170" s="85"/>
      <c r="CG170" s="24"/>
    </row>
    <row r="171" spans="1:85" ht="24" customHeight="1" x14ac:dyDescent="0.2">
      <c r="A171" s="108">
        <v>90000051487</v>
      </c>
      <c r="B171" s="241" t="s">
        <v>137</v>
      </c>
      <c r="C171" s="285" t="s">
        <v>227</v>
      </c>
      <c r="D171" s="80">
        <f t="shared" si="588"/>
        <v>931862</v>
      </c>
      <c r="E171" s="295">
        <f t="shared" si="589"/>
        <v>1231390</v>
      </c>
      <c r="F171" s="81">
        <v>407899</v>
      </c>
      <c r="G171" s="81">
        <f t="shared" si="590"/>
        <v>496669</v>
      </c>
      <c r="H171" s="81">
        <f t="shared" si="591"/>
        <v>88770</v>
      </c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81"/>
      <c r="V171" s="81"/>
      <c r="W171" s="81"/>
      <c r="X171" s="81"/>
      <c r="Y171" s="81">
        <v>88770</v>
      </c>
      <c r="Z171" s="81"/>
      <c r="AA171" s="81"/>
      <c r="AB171" s="81"/>
      <c r="AC171" s="81"/>
      <c r="AD171" s="81"/>
      <c r="AE171" s="81"/>
      <c r="AF171" s="81"/>
      <c r="AG171" s="81">
        <v>513962</v>
      </c>
      <c r="AH171" s="81">
        <f t="shared" si="592"/>
        <v>716702</v>
      </c>
      <c r="AI171" s="81">
        <f t="shared" si="593"/>
        <v>202740</v>
      </c>
      <c r="AJ171" s="81">
        <v>2226</v>
      </c>
      <c r="AK171" s="81">
        <v>5864</v>
      </c>
      <c r="AL171" s="81"/>
      <c r="AM171" s="81"/>
      <c r="AN171" s="81"/>
      <c r="AO171" s="81"/>
      <c r="AP171" s="81">
        <f>4620+142173</f>
        <v>146793</v>
      </c>
      <c r="AQ171" s="81">
        <v>47857</v>
      </c>
      <c r="AR171" s="81"/>
      <c r="AS171" s="81"/>
      <c r="AT171" s="81">
        <v>10001</v>
      </c>
      <c r="AU171" s="81">
        <f t="shared" si="594"/>
        <v>18019</v>
      </c>
      <c r="AV171" s="81">
        <f t="shared" si="595"/>
        <v>8018</v>
      </c>
      <c r="AW171" s="81"/>
      <c r="AX171" s="81"/>
      <c r="AY171" s="81"/>
      <c r="AZ171" s="81"/>
      <c r="BA171" s="81">
        <v>100</v>
      </c>
      <c r="BB171" s="81"/>
      <c r="BC171" s="81"/>
      <c r="BD171" s="81">
        <v>7918</v>
      </c>
      <c r="BE171" s="81"/>
      <c r="BF171" s="81"/>
      <c r="BG171" s="81"/>
      <c r="BH171" s="81">
        <v>0</v>
      </c>
      <c r="BI171" s="81">
        <f t="shared" si="596"/>
        <v>0</v>
      </c>
      <c r="BJ171" s="98">
        <f t="shared" si="597"/>
        <v>0</v>
      </c>
      <c r="BK171" s="98"/>
      <c r="BL171" s="98"/>
      <c r="BM171" s="98"/>
      <c r="BN171" s="98"/>
      <c r="BO171" s="98"/>
      <c r="BP171" s="81"/>
      <c r="BQ171" s="81">
        <f t="shared" si="598"/>
        <v>0</v>
      </c>
      <c r="BR171" s="81">
        <f t="shared" si="599"/>
        <v>0</v>
      </c>
      <c r="BS171" s="98"/>
      <c r="BT171" s="98"/>
      <c r="BU171" s="98"/>
      <c r="BV171" s="98"/>
      <c r="BW171" s="98"/>
      <c r="BX171" s="98"/>
      <c r="BY171" s="98"/>
      <c r="BZ171" s="98"/>
      <c r="CA171" s="98"/>
      <c r="CB171" s="98"/>
      <c r="CC171" s="98"/>
      <c r="CD171" s="98"/>
      <c r="CE171" s="82" t="s">
        <v>374</v>
      </c>
      <c r="CF171" s="85"/>
      <c r="CG171" s="24"/>
    </row>
    <row r="172" spans="1:85" s="103" customFormat="1" x14ac:dyDescent="0.2">
      <c r="A172" s="108"/>
      <c r="B172" s="242"/>
      <c r="C172" s="285" t="s">
        <v>240</v>
      </c>
      <c r="D172" s="80">
        <f t="shared" si="588"/>
        <v>89592</v>
      </c>
      <c r="E172" s="295">
        <f t="shared" si="589"/>
        <v>132948</v>
      </c>
      <c r="F172" s="81">
        <v>89592</v>
      </c>
      <c r="G172" s="81">
        <f t="shared" si="590"/>
        <v>104969</v>
      </c>
      <c r="H172" s="81">
        <f t="shared" si="591"/>
        <v>15377</v>
      </c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81"/>
      <c r="V172" s="81"/>
      <c r="W172" s="81"/>
      <c r="X172" s="81"/>
      <c r="Y172" s="81">
        <v>15377</v>
      </c>
      <c r="Z172" s="81"/>
      <c r="AA172" s="81"/>
      <c r="AB172" s="81"/>
      <c r="AC172" s="81"/>
      <c r="AD172" s="81"/>
      <c r="AE172" s="81"/>
      <c r="AF172" s="81"/>
      <c r="AG172" s="81">
        <v>0</v>
      </c>
      <c r="AH172" s="81">
        <f t="shared" si="592"/>
        <v>27979</v>
      </c>
      <c r="AI172" s="81">
        <f t="shared" si="593"/>
        <v>27979</v>
      </c>
      <c r="AJ172" s="81"/>
      <c r="AK172" s="81"/>
      <c r="AL172" s="81"/>
      <c r="AM172" s="81"/>
      <c r="AN172" s="81"/>
      <c r="AO172" s="81"/>
      <c r="AP172" s="81">
        <v>27979</v>
      </c>
      <c r="AQ172" s="81"/>
      <c r="AR172" s="81"/>
      <c r="AS172" s="81"/>
      <c r="AT172" s="81">
        <v>0</v>
      </c>
      <c r="AU172" s="81">
        <f t="shared" si="594"/>
        <v>0</v>
      </c>
      <c r="AV172" s="81">
        <f t="shared" si="595"/>
        <v>0</v>
      </c>
      <c r="AW172" s="81"/>
      <c r="AX172" s="81"/>
      <c r="AY172" s="81"/>
      <c r="AZ172" s="81"/>
      <c r="BA172" s="81"/>
      <c r="BB172" s="81"/>
      <c r="BC172" s="81"/>
      <c r="BD172" s="81"/>
      <c r="BE172" s="81"/>
      <c r="BF172" s="81"/>
      <c r="BG172" s="81"/>
      <c r="BH172" s="81">
        <v>0</v>
      </c>
      <c r="BI172" s="81">
        <f t="shared" si="596"/>
        <v>0</v>
      </c>
      <c r="BJ172" s="98">
        <f t="shared" si="597"/>
        <v>0</v>
      </c>
      <c r="BK172" s="98"/>
      <c r="BL172" s="98"/>
      <c r="BM172" s="98"/>
      <c r="BN172" s="98"/>
      <c r="BO172" s="98"/>
      <c r="BP172" s="81"/>
      <c r="BQ172" s="81">
        <f t="shared" si="598"/>
        <v>0</v>
      </c>
      <c r="BR172" s="81">
        <f t="shared" si="599"/>
        <v>0</v>
      </c>
      <c r="BS172" s="98"/>
      <c r="BT172" s="98"/>
      <c r="BU172" s="98"/>
      <c r="BV172" s="98"/>
      <c r="BW172" s="98"/>
      <c r="BX172" s="98"/>
      <c r="BY172" s="98"/>
      <c r="BZ172" s="98"/>
      <c r="CA172" s="98"/>
      <c r="CB172" s="98"/>
      <c r="CC172" s="98"/>
      <c r="CD172" s="98"/>
      <c r="CE172" s="82" t="s">
        <v>375</v>
      </c>
      <c r="CF172" s="85"/>
      <c r="CG172" s="24"/>
    </row>
    <row r="173" spans="1:85" s="193" customFormat="1" ht="24" x14ac:dyDescent="0.2">
      <c r="A173" s="108"/>
      <c r="B173" s="242"/>
      <c r="C173" s="285" t="s">
        <v>543</v>
      </c>
      <c r="D173" s="80">
        <f t="shared" si="588"/>
        <v>4345</v>
      </c>
      <c r="E173" s="295">
        <f t="shared" si="589"/>
        <v>7622</v>
      </c>
      <c r="F173" s="81">
        <v>4345</v>
      </c>
      <c r="G173" s="81">
        <f t="shared" si="590"/>
        <v>7622</v>
      </c>
      <c r="H173" s="81">
        <f t="shared" si="591"/>
        <v>3277</v>
      </c>
      <c r="I173" s="81"/>
      <c r="J173" s="81"/>
      <c r="K173" s="81">
        <v>1447</v>
      </c>
      <c r="L173" s="81"/>
      <c r="M173" s="81"/>
      <c r="N173" s="81"/>
      <c r="O173" s="81"/>
      <c r="P173" s="81"/>
      <c r="Q173" s="81"/>
      <c r="R173" s="81"/>
      <c r="S173" s="81"/>
      <c r="T173" s="81"/>
      <c r="U173" s="81"/>
      <c r="V173" s="81"/>
      <c r="W173" s="81"/>
      <c r="X173" s="81"/>
      <c r="Y173" s="81"/>
      <c r="Z173" s="81">
        <v>1830</v>
      </c>
      <c r="AA173" s="81"/>
      <c r="AB173" s="81"/>
      <c r="AC173" s="81"/>
      <c r="AD173" s="81"/>
      <c r="AE173" s="81"/>
      <c r="AF173" s="81"/>
      <c r="AG173" s="81">
        <v>0</v>
      </c>
      <c r="AH173" s="81">
        <f t="shared" si="592"/>
        <v>0</v>
      </c>
      <c r="AI173" s="81">
        <f t="shared" si="593"/>
        <v>0</v>
      </c>
      <c r="AJ173" s="81"/>
      <c r="AK173" s="81"/>
      <c r="AL173" s="81"/>
      <c r="AM173" s="81"/>
      <c r="AN173" s="81"/>
      <c r="AO173" s="81"/>
      <c r="AP173" s="81"/>
      <c r="AQ173" s="81"/>
      <c r="AR173" s="81"/>
      <c r="AS173" s="81"/>
      <c r="AT173" s="81">
        <v>0</v>
      </c>
      <c r="AU173" s="81">
        <f t="shared" si="594"/>
        <v>0</v>
      </c>
      <c r="AV173" s="81">
        <f t="shared" si="595"/>
        <v>0</v>
      </c>
      <c r="AW173" s="81"/>
      <c r="AX173" s="81"/>
      <c r="AY173" s="81"/>
      <c r="AZ173" s="81"/>
      <c r="BA173" s="81"/>
      <c r="BB173" s="81"/>
      <c r="BC173" s="81"/>
      <c r="BD173" s="81"/>
      <c r="BE173" s="81"/>
      <c r="BF173" s="81"/>
      <c r="BG173" s="81"/>
      <c r="BH173" s="81">
        <v>0</v>
      </c>
      <c r="BI173" s="81">
        <f t="shared" si="596"/>
        <v>0</v>
      </c>
      <c r="BJ173" s="98">
        <f t="shared" si="597"/>
        <v>0</v>
      </c>
      <c r="BK173" s="98"/>
      <c r="BL173" s="98"/>
      <c r="BM173" s="98"/>
      <c r="BN173" s="98"/>
      <c r="BO173" s="98"/>
      <c r="BP173" s="81"/>
      <c r="BQ173" s="81">
        <f t="shared" si="598"/>
        <v>0</v>
      </c>
      <c r="BR173" s="81">
        <f t="shared" si="599"/>
        <v>0</v>
      </c>
      <c r="BS173" s="98"/>
      <c r="BT173" s="98"/>
      <c r="BU173" s="98"/>
      <c r="BV173" s="98"/>
      <c r="BW173" s="98"/>
      <c r="BX173" s="98"/>
      <c r="BY173" s="98"/>
      <c r="BZ173" s="98"/>
      <c r="CA173" s="98"/>
      <c r="CB173" s="98"/>
      <c r="CC173" s="98"/>
      <c r="CD173" s="98"/>
      <c r="CE173" s="82" t="s">
        <v>686</v>
      </c>
      <c r="CF173" s="85"/>
      <c r="CG173" s="24"/>
    </row>
    <row r="174" spans="1:85" s="198" customFormat="1" ht="24" x14ac:dyDescent="0.2">
      <c r="A174" s="108"/>
      <c r="B174" s="242"/>
      <c r="C174" s="285" t="s">
        <v>635</v>
      </c>
      <c r="D174" s="80">
        <f t="shared" si="588"/>
        <v>5660</v>
      </c>
      <c r="E174" s="295">
        <f t="shared" si="589"/>
        <v>2119</v>
      </c>
      <c r="F174" s="81">
        <v>5660</v>
      </c>
      <c r="G174" s="81">
        <f t="shared" si="590"/>
        <v>2119</v>
      </c>
      <c r="H174" s="81">
        <f t="shared" si="591"/>
        <v>-3541</v>
      </c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  <c r="U174" s="81"/>
      <c r="V174" s="81"/>
      <c r="W174" s="81"/>
      <c r="X174" s="81"/>
      <c r="Y174" s="81">
        <v>-3541</v>
      </c>
      <c r="Z174" s="81"/>
      <c r="AA174" s="81"/>
      <c r="AB174" s="81"/>
      <c r="AC174" s="81"/>
      <c r="AD174" s="81"/>
      <c r="AE174" s="81"/>
      <c r="AF174" s="81"/>
      <c r="AG174" s="81">
        <v>0</v>
      </c>
      <c r="AH174" s="81">
        <f t="shared" si="592"/>
        <v>0</v>
      </c>
      <c r="AI174" s="81">
        <f t="shared" si="593"/>
        <v>0</v>
      </c>
      <c r="AJ174" s="81"/>
      <c r="AK174" s="81"/>
      <c r="AL174" s="81"/>
      <c r="AM174" s="81"/>
      <c r="AN174" s="81"/>
      <c r="AO174" s="81"/>
      <c r="AP174" s="81"/>
      <c r="AQ174" s="81"/>
      <c r="AR174" s="81"/>
      <c r="AS174" s="81"/>
      <c r="AT174" s="81">
        <v>0</v>
      </c>
      <c r="AU174" s="81">
        <f t="shared" si="594"/>
        <v>0</v>
      </c>
      <c r="AV174" s="81">
        <f t="shared" si="595"/>
        <v>0</v>
      </c>
      <c r="AW174" s="81"/>
      <c r="AX174" s="81"/>
      <c r="AY174" s="81"/>
      <c r="AZ174" s="81"/>
      <c r="BA174" s="81"/>
      <c r="BB174" s="81"/>
      <c r="BC174" s="81"/>
      <c r="BD174" s="81"/>
      <c r="BE174" s="81"/>
      <c r="BF174" s="81"/>
      <c r="BG174" s="81"/>
      <c r="BH174" s="81">
        <v>0</v>
      </c>
      <c r="BI174" s="81">
        <f t="shared" si="596"/>
        <v>0</v>
      </c>
      <c r="BJ174" s="98">
        <f t="shared" si="597"/>
        <v>0</v>
      </c>
      <c r="BK174" s="98"/>
      <c r="BL174" s="98"/>
      <c r="BM174" s="98"/>
      <c r="BN174" s="98"/>
      <c r="BO174" s="98"/>
      <c r="BP174" s="81"/>
      <c r="BQ174" s="81">
        <f t="shared" si="598"/>
        <v>0</v>
      </c>
      <c r="BR174" s="81">
        <f t="shared" si="599"/>
        <v>0</v>
      </c>
      <c r="BS174" s="98"/>
      <c r="BT174" s="98"/>
      <c r="BU174" s="98"/>
      <c r="BV174" s="98"/>
      <c r="BW174" s="98"/>
      <c r="BX174" s="98"/>
      <c r="BY174" s="98"/>
      <c r="BZ174" s="98"/>
      <c r="CA174" s="98"/>
      <c r="CB174" s="98"/>
      <c r="CC174" s="98"/>
      <c r="CD174" s="98"/>
      <c r="CE174" s="82" t="s">
        <v>687</v>
      </c>
      <c r="CF174" s="85"/>
      <c r="CG174" s="24"/>
    </row>
    <row r="175" spans="1:85" s="198" customFormat="1" ht="24" x14ac:dyDescent="0.2">
      <c r="A175" s="108"/>
      <c r="B175" s="242"/>
      <c r="C175" s="401" t="s">
        <v>846</v>
      </c>
      <c r="D175" s="80">
        <f t="shared" si="588"/>
        <v>0</v>
      </c>
      <c r="E175" s="295">
        <f t="shared" si="589"/>
        <v>6356</v>
      </c>
      <c r="F175" s="81"/>
      <c r="G175" s="81">
        <f t="shared" si="590"/>
        <v>0</v>
      </c>
      <c r="H175" s="81">
        <f t="shared" si="591"/>
        <v>0</v>
      </c>
      <c r="I175" s="81"/>
      <c r="J175" s="81"/>
      <c r="K175" s="81"/>
      <c r="L175" s="81"/>
      <c r="M175" s="81"/>
      <c r="N175" s="81"/>
      <c r="O175" s="81"/>
      <c r="P175" s="81"/>
      <c r="Q175" s="81"/>
      <c r="R175" s="81"/>
      <c r="S175" s="81"/>
      <c r="T175" s="81"/>
      <c r="U175" s="81"/>
      <c r="V175" s="81"/>
      <c r="W175" s="81"/>
      <c r="X175" s="81"/>
      <c r="Y175" s="81"/>
      <c r="Z175" s="81"/>
      <c r="AA175" s="81"/>
      <c r="AB175" s="81"/>
      <c r="AC175" s="81"/>
      <c r="AD175" s="81"/>
      <c r="AE175" s="81"/>
      <c r="AF175" s="81"/>
      <c r="AG175" s="81"/>
      <c r="AH175" s="81">
        <f t="shared" si="592"/>
        <v>6356</v>
      </c>
      <c r="AI175" s="81">
        <f t="shared" si="593"/>
        <v>6356</v>
      </c>
      <c r="AJ175" s="81"/>
      <c r="AK175" s="81"/>
      <c r="AL175" s="81"/>
      <c r="AM175" s="81"/>
      <c r="AN175" s="81"/>
      <c r="AO175" s="81"/>
      <c r="AP175" s="81">
        <v>6356</v>
      </c>
      <c r="AQ175" s="81"/>
      <c r="AR175" s="81"/>
      <c r="AS175" s="81"/>
      <c r="AT175" s="81"/>
      <c r="AU175" s="81">
        <f t="shared" si="594"/>
        <v>0</v>
      </c>
      <c r="AV175" s="81">
        <f t="shared" si="595"/>
        <v>0</v>
      </c>
      <c r="AW175" s="81"/>
      <c r="AX175" s="81"/>
      <c r="AY175" s="81"/>
      <c r="AZ175" s="81"/>
      <c r="BA175" s="81"/>
      <c r="BB175" s="81"/>
      <c r="BC175" s="81"/>
      <c r="BD175" s="81"/>
      <c r="BE175" s="81"/>
      <c r="BF175" s="81"/>
      <c r="BG175" s="81"/>
      <c r="BH175" s="81"/>
      <c r="BI175" s="81">
        <f t="shared" si="596"/>
        <v>0</v>
      </c>
      <c r="BJ175" s="98">
        <f t="shared" si="597"/>
        <v>0</v>
      </c>
      <c r="BK175" s="98"/>
      <c r="BL175" s="98"/>
      <c r="BM175" s="98"/>
      <c r="BN175" s="98"/>
      <c r="BO175" s="98"/>
      <c r="BP175" s="81"/>
      <c r="BQ175" s="81">
        <f t="shared" si="598"/>
        <v>0</v>
      </c>
      <c r="BR175" s="81">
        <f t="shared" si="599"/>
        <v>0</v>
      </c>
      <c r="BS175" s="98"/>
      <c r="BT175" s="98"/>
      <c r="BU175" s="98"/>
      <c r="BV175" s="98"/>
      <c r="BW175" s="98"/>
      <c r="BX175" s="98"/>
      <c r="BY175" s="98"/>
      <c r="BZ175" s="98"/>
      <c r="CA175" s="98"/>
      <c r="CB175" s="98"/>
      <c r="CC175" s="98"/>
      <c r="CD175" s="98"/>
      <c r="CE175" s="82" t="s">
        <v>845</v>
      </c>
      <c r="CF175" s="85"/>
      <c r="CG175" s="24"/>
    </row>
    <row r="176" spans="1:85" ht="26.25" customHeight="1" x14ac:dyDescent="0.2">
      <c r="A176" s="108">
        <v>90000051519</v>
      </c>
      <c r="B176" s="241" t="s">
        <v>710</v>
      </c>
      <c r="C176" s="285" t="s">
        <v>227</v>
      </c>
      <c r="D176" s="80">
        <f t="shared" si="588"/>
        <v>1470093</v>
      </c>
      <c r="E176" s="295">
        <f t="shared" si="589"/>
        <v>1491825</v>
      </c>
      <c r="F176" s="81">
        <v>672007</v>
      </c>
      <c r="G176" s="81">
        <f t="shared" si="590"/>
        <v>658796</v>
      </c>
      <c r="H176" s="81">
        <f t="shared" si="591"/>
        <v>-13211</v>
      </c>
      <c r="I176" s="81"/>
      <c r="J176" s="81"/>
      <c r="K176" s="81">
        <v>-1583</v>
      </c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>
        <v>-6888</v>
      </c>
      <c r="Z176" s="81">
        <v>-4740</v>
      </c>
      <c r="AA176" s="81"/>
      <c r="AB176" s="81"/>
      <c r="AC176" s="81"/>
      <c r="AD176" s="81"/>
      <c r="AE176" s="81"/>
      <c r="AF176" s="81"/>
      <c r="AG176" s="81">
        <v>779637</v>
      </c>
      <c r="AH176" s="81">
        <f t="shared" si="592"/>
        <v>800889</v>
      </c>
      <c r="AI176" s="81">
        <f t="shared" si="593"/>
        <v>21252</v>
      </c>
      <c r="AJ176" s="81">
        <v>4536</v>
      </c>
      <c r="AK176" s="81">
        <v>12648</v>
      </c>
      <c r="AL176" s="81"/>
      <c r="AM176" s="81"/>
      <c r="AN176" s="81">
        <v>-3</v>
      </c>
      <c r="AO176" s="81"/>
      <c r="AP176" s="81">
        <v>4536</v>
      </c>
      <c r="AQ176" s="81">
        <f>1654+360-2479</f>
        <v>-465</v>
      </c>
      <c r="AR176" s="81"/>
      <c r="AS176" s="81"/>
      <c r="AT176" s="81">
        <v>18449</v>
      </c>
      <c r="AU176" s="81">
        <f t="shared" si="594"/>
        <v>32140</v>
      </c>
      <c r="AV176" s="81">
        <f t="shared" si="595"/>
        <v>13691</v>
      </c>
      <c r="AW176" s="81">
        <v>2063</v>
      </c>
      <c r="AX176" s="81"/>
      <c r="AY176" s="81"/>
      <c r="AZ176" s="81"/>
      <c r="BA176" s="81"/>
      <c r="BB176" s="81"/>
      <c r="BC176" s="81"/>
      <c r="BD176" s="81">
        <v>6888</v>
      </c>
      <c r="BE176" s="81">
        <v>4740</v>
      </c>
      <c r="BF176" s="81"/>
      <c r="BG176" s="81"/>
      <c r="BH176" s="81">
        <v>0</v>
      </c>
      <c r="BI176" s="81">
        <f t="shared" si="596"/>
        <v>0</v>
      </c>
      <c r="BJ176" s="98">
        <f t="shared" si="597"/>
        <v>0</v>
      </c>
      <c r="BK176" s="98"/>
      <c r="BL176" s="98"/>
      <c r="BM176" s="98"/>
      <c r="BN176" s="98"/>
      <c r="BO176" s="98"/>
      <c r="BP176" s="81"/>
      <c r="BQ176" s="81">
        <f t="shared" si="598"/>
        <v>0</v>
      </c>
      <c r="BR176" s="81">
        <f t="shared" si="599"/>
        <v>0</v>
      </c>
      <c r="BS176" s="98"/>
      <c r="BT176" s="98"/>
      <c r="BU176" s="98"/>
      <c r="BV176" s="98"/>
      <c r="BW176" s="98"/>
      <c r="BX176" s="98"/>
      <c r="BY176" s="98"/>
      <c r="BZ176" s="98"/>
      <c r="CA176" s="98"/>
      <c r="CB176" s="98"/>
      <c r="CC176" s="98"/>
      <c r="CD176" s="98"/>
      <c r="CE176" s="82" t="s">
        <v>376</v>
      </c>
      <c r="CF176" s="85"/>
      <c r="CG176" s="24"/>
    </row>
    <row r="177" spans="1:85" x14ac:dyDescent="0.2">
      <c r="A177" s="108"/>
      <c r="B177" s="242"/>
      <c r="C177" s="285" t="s">
        <v>240</v>
      </c>
      <c r="D177" s="80">
        <f t="shared" si="588"/>
        <v>188524</v>
      </c>
      <c r="E177" s="295">
        <f t="shared" si="589"/>
        <v>186437</v>
      </c>
      <c r="F177" s="81">
        <v>121957</v>
      </c>
      <c r="G177" s="81">
        <f t="shared" si="590"/>
        <v>121957</v>
      </c>
      <c r="H177" s="81">
        <f t="shared" si="591"/>
        <v>0</v>
      </c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81"/>
      <c r="V177" s="81"/>
      <c r="W177" s="81"/>
      <c r="X177" s="81"/>
      <c r="Y177" s="81"/>
      <c r="Z177" s="81"/>
      <c r="AA177" s="81"/>
      <c r="AB177" s="81"/>
      <c r="AC177" s="81"/>
      <c r="AD177" s="81"/>
      <c r="AE177" s="81"/>
      <c r="AF177" s="81"/>
      <c r="AG177" s="81">
        <v>66567</v>
      </c>
      <c r="AH177" s="81">
        <f t="shared" si="592"/>
        <v>64480</v>
      </c>
      <c r="AI177" s="81">
        <f t="shared" si="593"/>
        <v>-2087</v>
      </c>
      <c r="AJ177" s="81"/>
      <c r="AK177" s="81">
        <v>817</v>
      </c>
      <c r="AL177" s="81"/>
      <c r="AM177" s="81"/>
      <c r="AN177" s="81"/>
      <c r="AO177" s="81"/>
      <c r="AP177" s="81"/>
      <c r="AQ177" s="81">
        <v>-2904</v>
      </c>
      <c r="AR177" s="81"/>
      <c r="AS177" s="81"/>
      <c r="AT177" s="81">
        <v>0</v>
      </c>
      <c r="AU177" s="81">
        <f t="shared" si="594"/>
        <v>0</v>
      </c>
      <c r="AV177" s="81">
        <f t="shared" si="595"/>
        <v>0</v>
      </c>
      <c r="AW177" s="81"/>
      <c r="AX177" s="81"/>
      <c r="AY177" s="81"/>
      <c r="AZ177" s="81"/>
      <c r="BA177" s="81"/>
      <c r="BB177" s="81"/>
      <c r="BC177" s="81"/>
      <c r="BD177" s="81"/>
      <c r="BE177" s="81"/>
      <c r="BF177" s="81"/>
      <c r="BG177" s="81"/>
      <c r="BH177" s="81">
        <v>0</v>
      </c>
      <c r="BI177" s="81">
        <f t="shared" si="596"/>
        <v>0</v>
      </c>
      <c r="BJ177" s="98">
        <f t="shared" si="597"/>
        <v>0</v>
      </c>
      <c r="BK177" s="98"/>
      <c r="BL177" s="98"/>
      <c r="BM177" s="98"/>
      <c r="BN177" s="98"/>
      <c r="BO177" s="98"/>
      <c r="BP177" s="81"/>
      <c r="BQ177" s="81">
        <f t="shared" si="598"/>
        <v>0</v>
      </c>
      <c r="BR177" s="81">
        <f t="shared" si="599"/>
        <v>0</v>
      </c>
      <c r="BS177" s="98"/>
      <c r="BT177" s="98"/>
      <c r="BU177" s="98"/>
      <c r="BV177" s="98"/>
      <c r="BW177" s="98"/>
      <c r="BX177" s="98"/>
      <c r="BY177" s="98"/>
      <c r="BZ177" s="98"/>
      <c r="CA177" s="98"/>
      <c r="CB177" s="98"/>
      <c r="CC177" s="98"/>
      <c r="CD177" s="98"/>
      <c r="CE177" s="82" t="s">
        <v>377</v>
      </c>
      <c r="CF177" s="85"/>
      <c r="CG177" s="24"/>
    </row>
    <row r="178" spans="1:85" ht="24" customHeight="1" x14ac:dyDescent="0.2">
      <c r="A178" s="108">
        <v>90009251338</v>
      </c>
      <c r="B178" s="241" t="s">
        <v>474</v>
      </c>
      <c r="C178" s="285" t="s">
        <v>227</v>
      </c>
      <c r="D178" s="80">
        <f t="shared" si="588"/>
        <v>418220</v>
      </c>
      <c r="E178" s="295">
        <f t="shared" si="589"/>
        <v>439998</v>
      </c>
      <c r="F178" s="81">
        <v>288028</v>
      </c>
      <c r="G178" s="81">
        <f t="shared" si="590"/>
        <v>289904</v>
      </c>
      <c r="H178" s="81">
        <f t="shared" si="591"/>
        <v>1876</v>
      </c>
      <c r="I178" s="81"/>
      <c r="J178" s="81"/>
      <c r="K178" s="81"/>
      <c r="L178" s="81"/>
      <c r="M178" s="81"/>
      <c r="N178" s="81"/>
      <c r="O178" s="81"/>
      <c r="P178" s="81"/>
      <c r="Q178" s="81"/>
      <c r="R178" s="81"/>
      <c r="S178" s="81"/>
      <c r="T178" s="81"/>
      <c r="U178" s="81"/>
      <c r="V178" s="81"/>
      <c r="W178" s="81"/>
      <c r="X178" s="81"/>
      <c r="Y178" s="81">
        <v>1876</v>
      </c>
      <c r="Z178" s="81"/>
      <c r="AA178" s="81"/>
      <c r="AB178" s="81"/>
      <c r="AC178" s="81"/>
      <c r="AD178" s="81"/>
      <c r="AE178" s="81"/>
      <c r="AF178" s="81"/>
      <c r="AG178" s="81">
        <v>126492</v>
      </c>
      <c r="AH178" s="81">
        <f t="shared" si="592"/>
        <v>141795</v>
      </c>
      <c r="AI178" s="81">
        <f t="shared" si="593"/>
        <v>15303</v>
      </c>
      <c r="AJ178" s="81">
        <f>791+86</f>
        <v>877</v>
      </c>
      <c r="AK178" s="81">
        <f>2084+460</f>
        <v>2544</v>
      </c>
      <c r="AL178" s="81"/>
      <c r="AM178" s="81"/>
      <c r="AN178" s="81"/>
      <c r="AO178" s="81"/>
      <c r="AP178" s="81">
        <v>791</v>
      </c>
      <c r="AQ178" s="81">
        <f>5596+5495</f>
        <v>11091</v>
      </c>
      <c r="AR178" s="81"/>
      <c r="AS178" s="81"/>
      <c r="AT178" s="81">
        <v>3700</v>
      </c>
      <c r="AU178" s="81">
        <f t="shared" si="594"/>
        <v>8299</v>
      </c>
      <c r="AV178" s="81">
        <f t="shared" si="595"/>
        <v>4599</v>
      </c>
      <c r="AW178" s="81"/>
      <c r="AX178" s="81"/>
      <c r="AY178" s="81"/>
      <c r="AZ178" s="81"/>
      <c r="BA178" s="81"/>
      <c r="BB178" s="81"/>
      <c r="BC178" s="81"/>
      <c r="BD178" s="81">
        <v>4599</v>
      </c>
      <c r="BE178" s="81"/>
      <c r="BF178" s="81"/>
      <c r="BG178" s="81"/>
      <c r="BH178" s="81">
        <v>0</v>
      </c>
      <c r="BI178" s="81">
        <f t="shared" si="596"/>
        <v>0</v>
      </c>
      <c r="BJ178" s="98">
        <f t="shared" si="597"/>
        <v>0</v>
      </c>
      <c r="BK178" s="98"/>
      <c r="BL178" s="98"/>
      <c r="BM178" s="98"/>
      <c r="BN178" s="98"/>
      <c r="BO178" s="98"/>
      <c r="BP178" s="81"/>
      <c r="BQ178" s="81">
        <f t="shared" si="598"/>
        <v>0</v>
      </c>
      <c r="BR178" s="81">
        <f t="shared" si="599"/>
        <v>0</v>
      </c>
      <c r="BS178" s="98"/>
      <c r="BT178" s="98"/>
      <c r="BU178" s="98"/>
      <c r="BV178" s="98"/>
      <c r="BW178" s="98"/>
      <c r="BX178" s="98"/>
      <c r="BY178" s="98"/>
      <c r="BZ178" s="98"/>
      <c r="CA178" s="98"/>
      <c r="CB178" s="98"/>
      <c r="CC178" s="98"/>
      <c r="CD178" s="98"/>
      <c r="CE178" s="82" t="s">
        <v>378</v>
      </c>
      <c r="CF178" s="85"/>
      <c r="CG178" s="24"/>
    </row>
    <row r="179" spans="1:85" x14ac:dyDescent="0.2">
      <c r="A179" s="108"/>
      <c r="B179" s="242"/>
      <c r="C179" s="285" t="s">
        <v>240</v>
      </c>
      <c r="D179" s="80">
        <f t="shared" si="588"/>
        <v>29590</v>
      </c>
      <c r="E179" s="295">
        <f t="shared" si="589"/>
        <v>29590</v>
      </c>
      <c r="F179" s="81">
        <v>15321</v>
      </c>
      <c r="G179" s="81">
        <f t="shared" si="590"/>
        <v>15321</v>
      </c>
      <c r="H179" s="81">
        <f t="shared" si="591"/>
        <v>0</v>
      </c>
      <c r="I179" s="81"/>
      <c r="J179" s="81"/>
      <c r="K179" s="81"/>
      <c r="L179" s="81"/>
      <c r="M179" s="81"/>
      <c r="N179" s="81"/>
      <c r="O179" s="81"/>
      <c r="P179" s="81"/>
      <c r="Q179" s="81"/>
      <c r="R179" s="81"/>
      <c r="S179" s="81"/>
      <c r="T179" s="81"/>
      <c r="U179" s="81"/>
      <c r="V179" s="81"/>
      <c r="W179" s="81"/>
      <c r="X179" s="81"/>
      <c r="Y179" s="81"/>
      <c r="Z179" s="81"/>
      <c r="AA179" s="81"/>
      <c r="AB179" s="81"/>
      <c r="AC179" s="81"/>
      <c r="AD179" s="81"/>
      <c r="AE179" s="81"/>
      <c r="AF179" s="81"/>
      <c r="AG179" s="81">
        <v>14269</v>
      </c>
      <c r="AH179" s="81">
        <f t="shared" si="592"/>
        <v>14269</v>
      </c>
      <c r="AI179" s="81">
        <f t="shared" si="593"/>
        <v>0</v>
      </c>
      <c r="AJ179" s="81"/>
      <c r="AK179" s="81"/>
      <c r="AL179" s="81"/>
      <c r="AM179" s="81"/>
      <c r="AN179" s="81"/>
      <c r="AO179" s="81"/>
      <c r="AP179" s="81"/>
      <c r="AQ179" s="81"/>
      <c r="AR179" s="81"/>
      <c r="AS179" s="81"/>
      <c r="AT179" s="81">
        <v>0</v>
      </c>
      <c r="AU179" s="81">
        <f t="shared" si="594"/>
        <v>0</v>
      </c>
      <c r="AV179" s="81">
        <f t="shared" si="595"/>
        <v>0</v>
      </c>
      <c r="AW179" s="81"/>
      <c r="AX179" s="81"/>
      <c r="AY179" s="81"/>
      <c r="AZ179" s="81"/>
      <c r="BA179" s="81"/>
      <c r="BB179" s="81"/>
      <c r="BC179" s="81"/>
      <c r="BD179" s="81"/>
      <c r="BE179" s="81"/>
      <c r="BF179" s="81"/>
      <c r="BG179" s="81"/>
      <c r="BH179" s="81">
        <v>0</v>
      </c>
      <c r="BI179" s="81">
        <f t="shared" si="596"/>
        <v>0</v>
      </c>
      <c r="BJ179" s="98">
        <f t="shared" si="597"/>
        <v>0</v>
      </c>
      <c r="BK179" s="98"/>
      <c r="BL179" s="98"/>
      <c r="BM179" s="98"/>
      <c r="BN179" s="98"/>
      <c r="BO179" s="98"/>
      <c r="BP179" s="81"/>
      <c r="BQ179" s="81">
        <f t="shared" si="598"/>
        <v>0</v>
      </c>
      <c r="BR179" s="81">
        <f t="shared" si="599"/>
        <v>0</v>
      </c>
      <c r="BS179" s="98"/>
      <c r="BT179" s="98"/>
      <c r="BU179" s="98"/>
      <c r="BV179" s="98"/>
      <c r="BW179" s="98"/>
      <c r="BX179" s="98"/>
      <c r="BY179" s="98"/>
      <c r="BZ179" s="98"/>
      <c r="CA179" s="98"/>
      <c r="CB179" s="98"/>
      <c r="CC179" s="98"/>
      <c r="CD179" s="98"/>
      <c r="CE179" s="82" t="s">
        <v>379</v>
      </c>
      <c r="CF179" s="85"/>
      <c r="CG179" s="24"/>
    </row>
    <row r="180" spans="1:85" ht="24" x14ac:dyDescent="0.2">
      <c r="A180" s="108">
        <v>90000051576</v>
      </c>
      <c r="B180" s="241" t="s">
        <v>473</v>
      </c>
      <c r="C180" s="285" t="s">
        <v>227</v>
      </c>
      <c r="D180" s="80">
        <f t="shared" si="588"/>
        <v>611306</v>
      </c>
      <c r="E180" s="295">
        <f t="shared" si="589"/>
        <v>632602</v>
      </c>
      <c r="F180" s="81">
        <v>425843</v>
      </c>
      <c r="G180" s="81">
        <f t="shared" si="590"/>
        <v>419582</v>
      </c>
      <c r="H180" s="81">
        <f t="shared" si="591"/>
        <v>-6261</v>
      </c>
      <c r="I180" s="81"/>
      <c r="J180" s="81"/>
      <c r="K180" s="81">
        <v>-4761</v>
      </c>
      <c r="L180" s="81"/>
      <c r="M180" s="81"/>
      <c r="N180" s="81"/>
      <c r="O180" s="81"/>
      <c r="P180" s="81"/>
      <c r="Q180" s="81"/>
      <c r="R180" s="81"/>
      <c r="S180" s="81"/>
      <c r="T180" s="81"/>
      <c r="U180" s="81"/>
      <c r="V180" s="81"/>
      <c r="W180" s="81">
        <v>-1500</v>
      </c>
      <c r="X180" s="81"/>
      <c r="Y180" s="81"/>
      <c r="Z180" s="81"/>
      <c r="AA180" s="81"/>
      <c r="AB180" s="81"/>
      <c r="AC180" s="81"/>
      <c r="AD180" s="81"/>
      <c r="AE180" s="81"/>
      <c r="AF180" s="81"/>
      <c r="AG180" s="81">
        <v>172004</v>
      </c>
      <c r="AH180" s="81">
        <f t="shared" si="592"/>
        <v>186746</v>
      </c>
      <c r="AI180" s="81">
        <f t="shared" si="593"/>
        <v>14742</v>
      </c>
      <c r="AJ180" s="81">
        <v>973</v>
      </c>
      <c r="AK180" s="81">
        <v>3190</v>
      </c>
      <c r="AL180" s="81"/>
      <c r="AM180" s="81"/>
      <c r="AN180" s="81">
        <v>-4</v>
      </c>
      <c r="AO180" s="81"/>
      <c r="AP180" s="81"/>
      <c r="AQ180" s="81">
        <f>973+5650-529+119+4370</f>
        <v>10583</v>
      </c>
      <c r="AR180" s="81"/>
      <c r="AS180" s="81"/>
      <c r="AT180" s="81">
        <v>13459</v>
      </c>
      <c r="AU180" s="81">
        <f t="shared" si="594"/>
        <v>26274</v>
      </c>
      <c r="AV180" s="81">
        <f t="shared" si="595"/>
        <v>12815</v>
      </c>
      <c r="AW180" s="81">
        <v>5456</v>
      </c>
      <c r="AX180" s="81"/>
      <c r="AY180" s="81"/>
      <c r="AZ180" s="81"/>
      <c r="BA180" s="81"/>
      <c r="BB180" s="81"/>
      <c r="BC180" s="81">
        <v>6054</v>
      </c>
      <c r="BD180" s="81"/>
      <c r="BE180" s="81">
        <v>1305</v>
      </c>
      <c r="BF180" s="81"/>
      <c r="BG180" s="81"/>
      <c r="BH180" s="81">
        <v>0</v>
      </c>
      <c r="BI180" s="81">
        <f t="shared" si="596"/>
        <v>0</v>
      </c>
      <c r="BJ180" s="98">
        <f t="shared" si="597"/>
        <v>0</v>
      </c>
      <c r="BK180" s="98"/>
      <c r="BL180" s="98"/>
      <c r="BM180" s="98"/>
      <c r="BN180" s="98"/>
      <c r="BO180" s="98"/>
      <c r="BP180" s="81"/>
      <c r="BQ180" s="81">
        <f t="shared" si="598"/>
        <v>0</v>
      </c>
      <c r="BR180" s="81">
        <f t="shared" si="599"/>
        <v>0</v>
      </c>
      <c r="BS180" s="98"/>
      <c r="BT180" s="98"/>
      <c r="BU180" s="98"/>
      <c r="BV180" s="98"/>
      <c r="BW180" s="98"/>
      <c r="BX180" s="98"/>
      <c r="BY180" s="98"/>
      <c r="BZ180" s="98"/>
      <c r="CA180" s="98"/>
      <c r="CB180" s="98"/>
      <c r="CC180" s="98"/>
      <c r="CD180" s="98"/>
      <c r="CE180" s="82" t="s">
        <v>380</v>
      </c>
      <c r="CF180" s="85"/>
      <c r="CG180" s="24"/>
    </row>
    <row r="181" spans="1:85" x14ac:dyDescent="0.2">
      <c r="A181" s="108"/>
      <c r="B181" s="242"/>
      <c r="C181" s="285" t="s">
        <v>240</v>
      </c>
      <c r="D181" s="80">
        <f t="shared" si="588"/>
        <v>53862</v>
      </c>
      <c r="E181" s="295">
        <f t="shared" si="589"/>
        <v>54724</v>
      </c>
      <c r="F181" s="81">
        <v>36447</v>
      </c>
      <c r="G181" s="81">
        <f t="shared" si="590"/>
        <v>36447</v>
      </c>
      <c r="H181" s="81">
        <f t="shared" si="591"/>
        <v>0</v>
      </c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81"/>
      <c r="V181" s="81"/>
      <c r="W181" s="81"/>
      <c r="X181" s="81"/>
      <c r="Y181" s="81"/>
      <c r="Z181" s="81"/>
      <c r="AA181" s="81"/>
      <c r="AB181" s="81"/>
      <c r="AC181" s="81"/>
      <c r="AD181" s="81"/>
      <c r="AE181" s="81"/>
      <c r="AF181" s="81"/>
      <c r="AG181" s="81">
        <v>17415</v>
      </c>
      <c r="AH181" s="81">
        <f t="shared" si="592"/>
        <v>18277</v>
      </c>
      <c r="AI181" s="81">
        <f t="shared" si="593"/>
        <v>862</v>
      </c>
      <c r="AJ181" s="81"/>
      <c r="AK181" s="81">
        <v>862</v>
      </c>
      <c r="AL181" s="81"/>
      <c r="AM181" s="81"/>
      <c r="AN181" s="81"/>
      <c r="AO181" s="81"/>
      <c r="AP181" s="81"/>
      <c r="AQ181" s="81"/>
      <c r="AR181" s="81"/>
      <c r="AS181" s="81"/>
      <c r="AT181" s="81">
        <v>0</v>
      </c>
      <c r="AU181" s="81">
        <f t="shared" si="594"/>
        <v>0</v>
      </c>
      <c r="AV181" s="81">
        <f t="shared" si="595"/>
        <v>0</v>
      </c>
      <c r="AW181" s="81"/>
      <c r="AX181" s="81"/>
      <c r="AY181" s="81"/>
      <c r="AZ181" s="81"/>
      <c r="BA181" s="81"/>
      <c r="BB181" s="81"/>
      <c r="BC181" s="81"/>
      <c r="BD181" s="81"/>
      <c r="BE181" s="81"/>
      <c r="BF181" s="81"/>
      <c r="BG181" s="81"/>
      <c r="BH181" s="81">
        <v>0</v>
      </c>
      <c r="BI181" s="81">
        <f t="shared" si="596"/>
        <v>0</v>
      </c>
      <c r="BJ181" s="98">
        <f t="shared" si="597"/>
        <v>0</v>
      </c>
      <c r="BK181" s="98"/>
      <c r="BL181" s="98"/>
      <c r="BM181" s="98"/>
      <c r="BN181" s="98"/>
      <c r="BO181" s="98"/>
      <c r="BP181" s="81"/>
      <c r="BQ181" s="81">
        <f t="shared" si="598"/>
        <v>0</v>
      </c>
      <c r="BR181" s="81">
        <f t="shared" si="599"/>
        <v>0</v>
      </c>
      <c r="BS181" s="98"/>
      <c r="BT181" s="98"/>
      <c r="BU181" s="98"/>
      <c r="BV181" s="98"/>
      <c r="BW181" s="98"/>
      <c r="BX181" s="98"/>
      <c r="BY181" s="98"/>
      <c r="BZ181" s="98"/>
      <c r="CA181" s="98"/>
      <c r="CB181" s="98"/>
      <c r="CC181" s="98"/>
      <c r="CD181" s="98"/>
      <c r="CE181" s="82" t="s">
        <v>381</v>
      </c>
      <c r="CF181" s="85"/>
      <c r="CG181" s="24"/>
    </row>
    <row r="182" spans="1:85" s="198" customFormat="1" ht="24" x14ac:dyDescent="0.2">
      <c r="A182" s="108"/>
      <c r="B182" s="242"/>
      <c r="C182" s="285" t="s">
        <v>636</v>
      </c>
      <c r="D182" s="80">
        <f t="shared" si="588"/>
        <v>8775</v>
      </c>
      <c r="E182" s="295">
        <f t="shared" si="589"/>
        <v>9087</v>
      </c>
      <c r="F182" s="81">
        <v>8775</v>
      </c>
      <c r="G182" s="81">
        <f t="shared" si="590"/>
        <v>9087</v>
      </c>
      <c r="H182" s="81">
        <f t="shared" si="591"/>
        <v>312</v>
      </c>
      <c r="I182" s="81"/>
      <c r="J182" s="81"/>
      <c r="K182" s="81">
        <v>312</v>
      </c>
      <c r="L182" s="81"/>
      <c r="M182" s="81"/>
      <c r="N182" s="81"/>
      <c r="O182" s="81"/>
      <c r="P182" s="81"/>
      <c r="Q182" s="81"/>
      <c r="R182" s="81"/>
      <c r="S182" s="81"/>
      <c r="T182" s="81"/>
      <c r="U182" s="81"/>
      <c r="V182" s="81"/>
      <c r="W182" s="81"/>
      <c r="X182" s="81"/>
      <c r="Y182" s="81"/>
      <c r="Z182" s="81"/>
      <c r="AA182" s="81"/>
      <c r="AB182" s="81"/>
      <c r="AC182" s="81"/>
      <c r="AD182" s="81"/>
      <c r="AE182" s="81"/>
      <c r="AF182" s="81"/>
      <c r="AG182" s="81">
        <v>0</v>
      </c>
      <c r="AH182" s="81">
        <f t="shared" si="592"/>
        <v>0</v>
      </c>
      <c r="AI182" s="81">
        <f t="shared" si="593"/>
        <v>0</v>
      </c>
      <c r="AJ182" s="81"/>
      <c r="AK182" s="81"/>
      <c r="AL182" s="81"/>
      <c r="AM182" s="81"/>
      <c r="AN182" s="81"/>
      <c r="AO182" s="81"/>
      <c r="AP182" s="81"/>
      <c r="AQ182" s="81"/>
      <c r="AR182" s="81"/>
      <c r="AS182" s="81"/>
      <c r="AT182" s="81">
        <v>0</v>
      </c>
      <c r="AU182" s="81">
        <f t="shared" si="594"/>
        <v>0</v>
      </c>
      <c r="AV182" s="81">
        <f t="shared" si="595"/>
        <v>0</v>
      </c>
      <c r="AW182" s="81"/>
      <c r="AX182" s="81"/>
      <c r="AY182" s="81"/>
      <c r="AZ182" s="81"/>
      <c r="BA182" s="81"/>
      <c r="BB182" s="81"/>
      <c r="BC182" s="81"/>
      <c r="BD182" s="81"/>
      <c r="BE182" s="81"/>
      <c r="BF182" s="81"/>
      <c r="BG182" s="81"/>
      <c r="BH182" s="81">
        <v>0</v>
      </c>
      <c r="BI182" s="81">
        <f t="shared" si="596"/>
        <v>0</v>
      </c>
      <c r="BJ182" s="98">
        <f t="shared" si="597"/>
        <v>0</v>
      </c>
      <c r="BK182" s="98"/>
      <c r="BL182" s="98"/>
      <c r="BM182" s="98"/>
      <c r="BN182" s="98"/>
      <c r="BO182" s="98"/>
      <c r="BP182" s="81"/>
      <c r="BQ182" s="81">
        <f t="shared" si="598"/>
        <v>0</v>
      </c>
      <c r="BR182" s="81">
        <f t="shared" si="599"/>
        <v>0</v>
      </c>
      <c r="BS182" s="98"/>
      <c r="BT182" s="98"/>
      <c r="BU182" s="98"/>
      <c r="BV182" s="98"/>
      <c r="BW182" s="98"/>
      <c r="BX182" s="98"/>
      <c r="BY182" s="98"/>
      <c r="BZ182" s="98"/>
      <c r="CA182" s="98"/>
      <c r="CB182" s="98"/>
      <c r="CC182" s="98"/>
      <c r="CD182" s="98"/>
      <c r="CE182" s="82" t="s">
        <v>688</v>
      </c>
      <c r="CF182" s="85"/>
      <c r="CG182" s="24"/>
    </row>
    <row r="183" spans="1:85" ht="24" customHeight="1" x14ac:dyDescent="0.2">
      <c r="A183" s="108">
        <v>90000051627</v>
      </c>
      <c r="B183" s="241" t="s">
        <v>198</v>
      </c>
      <c r="C183" s="285" t="s">
        <v>227</v>
      </c>
      <c r="D183" s="80">
        <f t="shared" si="588"/>
        <v>957855</v>
      </c>
      <c r="E183" s="295">
        <f t="shared" si="589"/>
        <v>997119</v>
      </c>
      <c r="F183" s="81">
        <v>467015</v>
      </c>
      <c r="G183" s="81">
        <f t="shared" si="590"/>
        <v>465505</v>
      </c>
      <c r="H183" s="81">
        <f t="shared" si="591"/>
        <v>-1510</v>
      </c>
      <c r="I183" s="81"/>
      <c r="J183" s="81"/>
      <c r="K183" s="81">
        <v>-1510</v>
      </c>
      <c r="L183" s="81"/>
      <c r="M183" s="81"/>
      <c r="N183" s="81"/>
      <c r="O183" s="81"/>
      <c r="P183" s="81"/>
      <c r="Q183" s="81"/>
      <c r="R183" s="81"/>
      <c r="S183" s="81"/>
      <c r="T183" s="81"/>
      <c r="U183" s="81"/>
      <c r="V183" s="81"/>
      <c r="W183" s="81"/>
      <c r="X183" s="81"/>
      <c r="Y183" s="81"/>
      <c r="Z183" s="81"/>
      <c r="AA183" s="81"/>
      <c r="AB183" s="81"/>
      <c r="AC183" s="81"/>
      <c r="AD183" s="81"/>
      <c r="AE183" s="81"/>
      <c r="AF183" s="81"/>
      <c r="AG183" s="81">
        <v>475210</v>
      </c>
      <c r="AH183" s="81">
        <f t="shared" si="592"/>
        <v>511956</v>
      </c>
      <c r="AI183" s="81">
        <f t="shared" si="593"/>
        <v>36746</v>
      </c>
      <c r="AJ183" s="81">
        <v>2968</v>
      </c>
      <c r="AK183" s="81">
        <v>7947</v>
      </c>
      <c r="AL183" s="81"/>
      <c r="AM183" s="81"/>
      <c r="AN183" s="81">
        <f>-1+1</f>
        <v>0</v>
      </c>
      <c r="AO183" s="81">
        <f>51515+3153</f>
        <v>54668</v>
      </c>
      <c r="AP183" s="81"/>
      <c r="AQ183" s="81">
        <f>-29683+846</f>
        <v>-28837</v>
      </c>
      <c r="AR183" s="81"/>
      <c r="AS183" s="81"/>
      <c r="AT183" s="81">
        <v>15630</v>
      </c>
      <c r="AU183" s="81">
        <f t="shared" si="594"/>
        <v>19708</v>
      </c>
      <c r="AV183" s="81">
        <f t="shared" si="595"/>
        <v>4078</v>
      </c>
      <c r="AW183" s="81">
        <v>3608</v>
      </c>
      <c r="AX183" s="81"/>
      <c r="AY183" s="81"/>
      <c r="AZ183" s="81"/>
      <c r="BA183" s="81"/>
      <c r="BB183" s="81"/>
      <c r="BC183" s="81">
        <v>50</v>
      </c>
      <c r="BD183" s="81"/>
      <c r="BE183" s="81">
        <v>420</v>
      </c>
      <c r="BF183" s="81"/>
      <c r="BG183" s="81"/>
      <c r="BH183" s="81">
        <v>0</v>
      </c>
      <c r="BI183" s="81">
        <f t="shared" si="596"/>
        <v>0</v>
      </c>
      <c r="BJ183" s="98">
        <f t="shared" si="597"/>
        <v>0</v>
      </c>
      <c r="BK183" s="98"/>
      <c r="BL183" s="98"/>
      <c r="BM183" s="98"/>
      <c r="BN183" s="98"/>
      <c r="BO183" s="98"/>
      <c r="BP183" s="81"/>
      <c r="BQ183" s="81">
        <f t="shared" si="598"/>
        <v>-50</v>
      </c>
      <c r="BR183" s="81">
        <f t="shared" si="599"/>
        <v>-50</v>
      </c>
      <c r="BS183" s="98"/>
      <c r="BT183" s="98"/>
      <c r="BU183" s="98"/>
      <c r="BV183" s="98"/>
      <c r="BW183" s="98"/>
      <c r="BX183" s="98"/>
      <c r="BY183" s="98"/>
      <c r="BZ183" s="98">
        <v>-50</v>
      </c>
      <c r="CA183" s="98"/>
      <c r="CB183" s="98"/>
      <c r="CC183" s="98"/>
      <c r="CD183" s="98"/>
      <c r="CE183" s="82" t="s">
        <v>382</v>
      </c>
      <c r="CF183" s="85"/>
      <c r="CG183" s="24"/>
    </row>
    <row r="184" spans="1:85" x14ac:dyDescent="0.2">
      <c r="A184" s="108"/>
      <c r="B184" s="242"/>
      <c r="C184" s="285" t="s">
        <v>240</v>
      </c>
      <c r="D184" s="80">
        <f t="shared" si="588"/>
        <v>115811</v>
      </c>
      <c r="E184" s="295">
        <f t="shared" si="589"/>
        <v>118727</v>
      </c>
      <c r="F184" s="81">
        <v>75508</v>
      </c>
      <c r="G184" s="81">
        <f t="shared" si="590"/>
        <v>78424</v>
      </c>
      <c r="H184" s="81">
        <f t="shared" si="591"/>
        <v>2916</v>
      </c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81"/>
      <c r="V184" s="81"/>
      <c r="W184" s="81"/>
      <c r="X184" s="81"/>
      <c r="Y184" s="81"/>
      <c r="Z184" s="81">
        <v>2916</v>
      </c>
      <c r="AA184" s="81"/>
      <c r="AB184" s="81"/>
      <c r="AC184" s="81"/>
      <c r="AD184" s="81"/>
      <c r="AE184" s="81"/>
      <c r="AF184" s="81"/>
      <c r="AG184" s="81">
        <v>40303</v>
      </c>
      <c r="AH184" s="81">
        <f t="shared" si="592"/>
        <v>40303</v>
      </c>
      <c r="AI184" s="81">
        <f t="shared" si="593"/>
        <v>0</v>
      </c>
      <c r="AJ184" s="81"/>
      <c r="AK184" s="81"/>
      <c r="AL184" s="81"/>
      <c r="AM184" s="81"/>
      <c r="AN184" s="81"/>
      <c r="AO184" s="81"/>
      <c r="AP184" s="81"/>
      <c r="AQ184" s="81"/>
      <c r="AR184" s="81"/>
      <c r="AS184" s="81"/>
      <c r="AT184" s="81">
        <v>0</v>
      </c>
      <c r="AU184" s="81">
        <f t="shared" si="594"/>
        <v>0</v>
      </c>
      <c r="AV184" s="81">
        <f t="shared" si="595"/>
        <v>0</v>
      </c>
      <c r="AW184" s="81"/>
      <c r="AX184" s="81"/>
      <c r="AY184" s="81"/>
      <c r="AZ184" s="81"/>
      <c r="BA184" s="81"/>
      <c r="BB184" s="81"/>
      <c r="BC184" s="81"/>
      <c r="BD184" s="81"/>
      <c r="BE184" s="81"/>
      <c r="BF184" s="81"/>
      <c r="BG184" s="81"/>
      <c r="BH184" s="81">
        <v>0</v>
      </c>
      <c r="BI184" s="81">
        <f t="shared" si="596"/>
        <v>0</v>
      </c>
      <c r="BJ184" s="98">
        <f t="shared" si="597"/>
        <v>0</v>
      </c>
      <c r="BK184" s="98"/>
      <c r="BL184" s="98"/>
      <c r="BM184" s="98"/>
      <c r="BN184" s="98"/>
      <c r="BO184" s="98"/>
      <c r="BP184" s="81"/>
      <c r="BQ184" s="81">
        <f t="shared" si="598"/>
        <v>0</v>
      </c>
      <c r="BR184" s="81">
        <f t="shared" si="599"/>
        <v>0</v>
      </c>
      <c r="BS184" s="98"/>
      <c r="BT184" s="98"/>
      <c r="BU184" s="98"/>
      <c r="BV184" s="98"/>
      <c r="BW184" s="98"/>
      <c r="BX184" s="98"/>
      <c r="BY184" s="98"/>
      <c r="BZ184" s="98"/>
      <c r="CA184" s="98"/>
      <c r="CB184" s="98"/>
      <c r="CC184" s="98"/>
      <c r="CD184" s="98"/>
      <c r="CE184" s="82" t="s">
        <v>383</v>
      </c>
      <c r="CF184" s="85"/>
      <c r="CG184" s="24"/>
    </row>
    <row r="185" spans="1:85" s="192" customFormat="1" x14ac:dyDescent="0.2">
      <c r="A185" s="108"/>
      <c r="B185" s="242"/>
      <c r="C185" s="285" t="s">
        <v>637</v>
      </c>
      <c r="D185" s="80">
        <f t="shared" si="588"/>
        <v>3069</v>
      </c>
      <c r="E185" s="295">
        <f t="shared" si="589"/>
        <v>3069</v>
      </c>
      <c r="F185" s="81">
        <v>3069</v>
      </c>
      <c r="G185" s="81">
        <f t="shared" si="590"/>
        <v>3069</v>
      </c>
      <c r="H185" s="81">
        <f t="shared" si="591"/>
        <v>0</v>
      </c>
      <c r="I185" s="81"/>
      <c r="J185" s="81"/>
      <c r="K185" s="81"/>
      <c r="L185" s="81"/>
      <c r="M185" s="81"/>
      <c r="N185" s="81"/>
      <c r="O185" s="81"/>
      <c r="P185" s="81"/>
      <c r="Q185" s="81"/>
      <c r="R185" s="81"/>
      <c r="S185" s="81"/>
      <c r="T185" s="81"/>
      <c r="U185" s="81"/>
      <c r="V185" s="81"/>
      <c r="W185" s="81"/>
      <c r="X185" s="81"/>
      <c r="Y185" s="81"/>
      <c r="Z185" s="81"/>
      <c r="AA185" s="81"/>
      <c r="AB185" s="81"/>
      <c r="AC185" s="81"/>
      <c r="AD185" s="81"/>
      <c r="AE185" s="81"/>
      <c r="AF185" s="81"/>
      <c r="AG185" s="81">
        <v>0</v>
      </c>
      <c r="AH185" s="81">
        <f t="shared" si="592"/>
        <v>0</v>
      </c>
      <c r="AI185" s="81">
        <f t="shared" si="593"/>
        <v>0</v>
      </c>
      <c r="AJ185" s="81"/>
      <c r="AK185" s="81"/>
      <c r="AL185" s="81"/>
      <c r="AM185" s="81"/>
      <c r="AN185" s="81"/>
      <c r="AO185" s="81"/>
      <c r="AP185" s="81"/>
      <c r="AQ185" s="81"/>
      <c r="AR185" s="81"/>
      <c r="AS185" s="81"/>
      <c r="AT185" s="81">
        <v>0</v>
      </c>
      <c r="AU185" s="81">
        <f t="shared" si="594"/>
        <v>0</v>
      </c>
      <c r="AV185" s="81">
        <f t="shared" si="595"/>
        <v>0</v>
      </c>
      <c r="AW185" s="81"/>
      <c r="AX185" s="81"/>
      <c r="AY185" s="81"/>
      <c r="AZ185" s="81"/>
      <c r="BA185" s="81"/>
      <c r="BB185" s="81"/>
      <c r="BC185" s="81"/>
      <c r="BD185" s="81"/>
      <c r="BE185" s="81"/>
      <c r="BF185" s="81"/>
      <c r="BG185" s="81"/>
      <c r="BH185" s="81">
        <v>0</v>
      </c>
      <c r="BI185" s="81">
        <f t="shared" si="596"/>
        <v>0</v>
      </c>
      <c r="BJ185" s="98">
        <f t="shared" si="597"/>
        <v>0</v>
      </c>
      <c r="BK185" s="98"/>
      <c r="BL185" s="98"/>
      <c r="BM185" s="98"/>
      <c r="BN185" s="98"/>
      <c r="BO185" s="98"/>
      <c r="BP185" s="81"/>
      <c r="BQ185" s="81">
        <f t="shared" si="598"/>
        <v>0</v>
      </c>
      <c r="BR185" s="81">
        <f t="shared" si="599"/>
        <v>0</v>
      </c>
      <c r="BS185" s="98"/>
      <c r="BT185" s="98"/>
      <c r="BU185" s="98"/>
      <c r="BV185" s="98"/>
      <c r="BW185" s="98"/>
      <c r="BX185" s="98"/>
      <c r="BY185" s="98"/>
      <c r="BZ185" s="98"/>
      <c r="CA185" s="98"/>
      <c r="CB185" s="98"/>
      <c r="CC185" s="98"/>
      <c r="CD185" s="98"/>
      <c r="CE185" s="82" t="s">
        <v>552</v>
      </c>
      <c r="CF185" s="85"/>
      <c r="CG185" s="24"/>
    </row>
    <row r="186" spans="1:85" ht="24" customHeight="1" x14ac:dyDescent="0.2">
      <c r="A186" s="108">
        <v>90000053670</v>
      </c>
      <c r="B186" s="241" t="s">
        <v>281</v>
      </c>
      <c r="C186" s="285" t="s">
        <v>247</v>
      </c>
      <c r="D186" s="80">
        <f t="shared" si="588"/>
        <v>555675</v>
      </c>
      <c r="E186" s="295">
        <f t="shared" si="589"/>
        <v>580480</v>
      </c>
      <c r="F186" s="81">
        <v>322431</v>
      </c>
      <c r="G186" s="81">
        <f t="shared" si="590"/>
        <v>322431</v>
      </c>
      <c r="H186" s="81">
        <f t="shared" si="591"/>
        <v>0</v>
      </c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81"/>
      <c r="V186" s="81"/>
      <c r="W186" s="81"/>
      <c r="X186" s="81"/>
      <c r="Y186" s="81"/>
      <c r="Z186" s="81"/>
      <c r="AA186" s="81"/>
      <c r="AB186" s="81"/>
      <c r="AC186" s="81"/>
      <c r="AD186" s="81"/>
      <c r="AE186" s="81"/>
      <c r="AF186" s="81"/>
      <c r="AG186" s="81">
        <v>161796</v>
      </c>
      <c r="AH186" s="81">
        <f t="shared" si="592"/>
        <v>190110</v>
      </c>
      <c r="AI186" s="81">
        <f t="shared" si="593"/>
        <v>28314</v>
      </c>
      <c r="AJ186" s="81"/>
      <c r="AK186" s="81">
        <f>24592+848</f>
        <v>25440</v>
      </c>
      <c r="AL186" s="81"/>
      <c r="AM186" s="81"/>
      <c r="AN186" s="81"/>
      <c r="AO186" s="81"/>
      <c r="AP186" s="81"/>
      <c r="AQ186" s="81">
        <f>2640-436+670</f>
        <v>2874</v>
      </c>
      <c r="AR186" s="81"/>
      <c r="AS186" s="81"/>
      <c r="AT186" s="81">
        <v>71448</v>
      </c>
      <c r="AU186" s="81">
        <f t="shared" si="594"/>
        <v>67939</v>
      </c>
      <c r="AV186" s="81">
        <f t="shared" si="595"/>
        <v>-3509</v>
      </c>
      <c r="AW186" s="81">
        <v>-3957</v>
      </c>
      <c r="AX186" s="81"/>
      <c r="AY186" s="81"/>
      <c r="AZ186" s="81"/>
      <c r="BA186" s="81"/>
      <c r="BB186" s="81"/>
      <c r="BC186" s="81">
        <v>448</v>
      </c>
      <c r="BD186" s="81"/>
      <c r="BE186" s="81"/>
      <c r="BF186" s="81"/>
      <c r="BG186" s="81"/>
      <c r="BH186" s="81">
        <v>0</v>
      </c>
      <c r="BI186" s="81">
        <f t="shared" si="596"/>
        <v>0</v>
      </c>
      <c r="BJ186" s="98">
        <f t="shared" si="597"/>
        <v>0</v>
      </c>
      <c r="BK186" s="98"/>
      <c r="BL186" s="98"/>
      <c r="BM186" s="98"/>
      <c r="BN186" s="98"/>
      <c r="BO186" s="98"/>
      <c r="BP186" s="81"/>
      <c r="BQ186" s="81">
        <f t="shared" si="598"/>
        <v>0</v>
      </c>
      <c r="BR186" s="81">
        <f t="shared" si="599"/>
        <v>0</v>
      </c>
      <c r="BS186" s="98"/>
      <c r="BT186" s="98"/>
      <c r="BU186" s="98"/>
      <c r="BV186" s="98"/>
      <c r="BW186" s="98"/>
      <c r="BX186" s="98"/>
      <c r="BY186" s="98"/>
      <c r="BZ186" s="98"/>
      <c r="CA186" s="98"/>
      <c r="CB186" s="98"/>
      <c r="CC186" s="98"/>
      <c r="CD186" s="98"/>
      <c r="CE186" s="82" t="s">
        <v>384</v>
      </c>
      <c r="CF186" s="85"/>
      <c r="CG186" s="24"/>
    </row>
    <row r="187" spans="1:85" s="130" customFormat="1" x14ac:dyDescent="0.2">
      <c r="A187" s="108"/>
      <c r="B187" s="242"/>
      <c r="C187" s="285" t="s">
        <v>240</v>
      </c>
      <c r="D187" s="80">
        <f t="shared" si="588"/>
        <v>16070</v>
      </c>
      <c r="E187" s="295">
        <f t="shared" si="589"/>
        <v>16070</v>
      </c>
      <c r="F187" s="81">
        <v>16070</v>
      </c>
      <c r="G187" s="81">
        <f t="shared" si="590"/>
        <v>16070</v>
      </c>
      <c r="H187" s="81">
        <f t="shared" si="591"/>
        <v>0</v>
      </c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81"/>
      <c r="V187" s="81"/>
      <c r="W187" s="81"/>
      <c r="X187" s="81"/>
      <c r="Y187" s="81"/>
      <c r="Z187" s="81"/>
      <c r="AA187" s="81"/>
      <c r="AB187" s="81"/>
      <c r="AC187" s="81"/>
      <c r="AD187" s="81"/>
      <c r="AE187" s="81"/>
      <c r="AF187" s="81"/>
      <c r="AG187" s="81">
        <v>0</v>
      </c>
      <c r="AH187" s="81">
        <f t="shared" si="592"/>
        <v>0</v>
      </c>
      <c r="AI187" s="81">
        <f t="shared" si="593"/>
        <v>0</v>
      </c>
      <c r="AJ187" s="81"/>
      <c r="AK187" s="81"/>
      <c r="AL187" s="81"/>
      <c r="AM187" s="81"/>
      <c r="AN187" s="81"/>
      <c r="AO187" s="81"/>
      <c r="AP187" s="81"/>
      <c r="AQ187" s="81"/>
      <c r="AR187" s="81"/>
      <c r="AS187" s="81"/>
      <c r="AT187" s="81">
        <v>0</v>
      </c>
      <c r="AU187" s="81">
        <f t="shared" si="594"/>
        <v>0</v>
      </c>
      <c r="AV187" s="81">
        <f t="shared" si="595"/>
        <v>0</v>
      </c>
      <c r="AW187" s="81"/>
      <c r="AX187" s="81"/>
      <c r="AY187" s="81"/>
      <c r="AZ187" s="81"/>
      <c r="BA187" s="81"/>
      <c r="BB187" s="81"/>
      <c r="BC187" s="81"/>
      <c r="BD187" s="81"/>
      <c r="BE187" s="81"/>
      <c r="BF187" s="81"/>
      <c r="BG187" s="81"/>
      <c r="BH187" s="81">
        <v>0</v>
      </c>
      <c r="BI187" s="81">
        <f t="shared" si="596"/>
        <v>0</v>
      </c>
      <c r="BJ187" s="98">
        <f t="shared" si="597"/>
        <v>0</v>
      </c>
      <c r="BK187" s="98"/>
      <c r="BL187" s="98"/>
      <c r="BM187" s="98"/>
      <c r="BN187" s="98"/>
      <c r="BO187" s="98"/>
      <c r="BP187" s="81"/>
      <c r="BQ187" s="81">
        <f t="shared" si="598"/>
        <v>0</v>
      </c>
      <c r="BR187" s="81">
        <f t="shared" si="599"/>
        <v>0</v>
      </c>
      <c r="BS187" s="98"/>
      <c r="BT187" s="98"/>
      <c r="BU187" s="98"/>
      <c r="BV187" s="98"/>
      <c r="BW187" s="98"/>
      <c r="BX187" s="98"/>
      <c r="BY187" s="98"/>
      <c r="BZ187" s="98"/>
      <c r="CA187" s="98"/>
      <c r="CB187" s="98"/>
      <c r="CC187" s="98"/>
      <c r="CD187" s="98"/>
      <c r="CE187" s="82" t="s">
        <v>386</v>
      </c>
      <c r="CF187" s="85"/>
      <c r="CG187" s="24"/>
    </row>
    <row r="188" spans="1:85" s="198" customFormat="1" ht="48" x14ac:dyDescent="0.2">
      <c r="A188" s="108"/>
      <c r="B188" s="242"/>
      <c r="C188" s="353" t="s">
        <v>788</v>
      </c>
      <c r="D188" s="80">
        <f t="shared" ref="D188" si="684">F188+AG188+AT188+BH188+BP188</f>
        <v>0</v>
      </c>
      <c r="E188" s="295">
        <f t="shared" ref="E188" si="685">G188+AH188+AU188+BI188+BQ188</f>
        <v>1553</v>
      </c>
      <c r="F188" s="81"/>
      <c r="G188" s="81">
        <f t="shared" ref="G188" si="686">F188+H188</f>
        <v>1553</v>
      </c>
      <c r="H188" s="81">
        <f t="shared" ref="H188" si="687">SUM(I188:AF188)</f>
        <v>1553</v>
      </c>
      <c r="I188" s="81"/>
      <c r="J188" s="81"/>
      <c r="K188" s="81"/>
      <c r="L188" s="81">
        <v>1553</v>
      </c>
      <c r="M188" s="81"/>
      <c r="N188" s="81"/>
      <c r="O188" s="81"/>
      <c r="P188" s="81"/>
      <c r="Q188" s="81"/>
      <c r="R188" s="81"/>
      <c r="S188" s="81"/>
      <c r="T188" s="81"/>
      <c r="U188" s="81"/>
      <c r="V188" s="81"/>
      <c r="W188" s="81"/>
      <c r="X188" s="81"/>
      <c r="Y188" s="81"/>
      <c r="Z188" s="81"/>
      <c r="AA188" s="81"/>
      <c r="AB188" s="81"/>
      <c r="AC188" s="81"/>
      <c r="AD188" s="81"/>
      <c r="AE188" s="81"/>
      <c r="AF188" s="81"/>
      <c r="AG188" s="81"/>
      <c r="AH188" s="81">
        <f t="shared" ref="AH188" si="688">AG188+AI188</f>
        <v>0</v>
      </c>
      <c r="AI188" s="81">
        <f t="shared" ref="AI188" si="689">SUM(AJ188:AS188)</f>
        <v>0</v>
      </c>
      <c r="AJ188" s="81"/>
      <c r="AK188" s="81"/>
      <c r="AL188" s="81"/>
      <c r="AM188" s="81"/>
      <c r="AN188" s="81"/>
      <c r="AO188" s="81"/>
      <c r="AP188" s="81"/>
      <c r="AQ188" s="81"/>
      <c r="AR188" s="81"/>
      <c r="AS188" s="81"/>
      <c r="AT188" s="81"/>
      <c r="AU188" s="81">
        <f t="shared" ref="AU188" si="690">AT188+AV188</f>
        <v>0</v>
      </c>
      <c r="AV188" s="81">
        <f t="shared" ref="AV188" si="691">SUM(AW188:BG188)</f>
        <v>0</v>
      </c>
      <c r="AW188" s="81"/>
      <c r="AX188" s="81"/>
      <c r="AY188" s="81"/>
      <c r="AZ188" s="81"/>
      <c r="BA188" s="81"/>
      <c r="BB188" s="81"/>
      <c r="BC188" s="81"/>
      <c r="BD188" s="81"/>
      <c r="BE188" s="81"/>
      <c r="BF188" s="81"/>
      <c r="BG188" s="81"/>
      <c r="BH188" s="81"/>
      <c r="BI188" s="81">
        <f t="shared" ref="BI188" si="692">BH188+BJ188</f>
        <v>0</v>
      </c>
      <c r="BJ188" s="98">
        <f t="shared" ref="BJ188" si="693">SUM(BK188:BO188)</f>
        <v>0</v>
      </c>
      <c r="BK188" s="98"/>
      <c r="BL188" s="98"/>
      <c r="BM188" s="98"/>
      <c r="BN188" s="98"/>
      <c r="BO188" s="98"/>
      <c r="BP188" s="81"/>
      <c r="BQ188" s="81">
        <f t="shared" ref="BQ188" si="694">BP188+BR188</f>
        <v>0</v>
      </c>
      <c r="BR188" s="81">
        <f t="shared" ref="BR188" si="695">SUM(BS188:CD188)</f>
        <v>0</v>
      </c>
      <c r="BS188" s="98"/>
      <c r="BT188" s="98"/>
      <c r="BU188" s="98"/>
      <c r="BV188" s="98"/>
      <c r="BW188" s="98"/>
      <c r="BX188" s="98"/>
      <c r="BY188" s="98"/>
      <c r="BZ188" s="98"/>
      <c r="CA188" s="98"/>
      <c r="CB188" s="98"/>
      <c r="CC188" s="98"/>
      <c r="CD188" s="98"/>
      <c r="CE188" s="82" t="s">
        <v>787</v>
      </c>
      <c r="CF188" s="85"/>
      <c r="CG188" s="24"/>
    </row>
    <row r="189" spans="1:85" ht="24" x14ac:dyDescent="0.2">
      <c r="A189" s="108">
        <v>90000051595</v>
      </c>
      <c r="B189" s="241" t="s">
        <v>153</v>
      </c>
      <c r="C189" s="285" t="s">
        <v>227</v>
      </c>
      <c r="D189" s="80">
        <f t="shared" si="588"/>
        <v>1153842</v>
      </c>
      <c r="E189" s="295">
        <f t="shared" si="589"/>
        <v>1183680</v>
      </c>
      <c r="F189" s="81">
        <v>556776</v>
      </c>
      <c r="G189" s="81">
        <f t="shared" si="590"/>
        <v>549375</v>
      </c>
      <c r="H189" s="81">
        <f t="shared" si="591"/>
        <v>-7401</v>
      </c>
      <c r="I189" s="81"/>
      <c r="J189" s="81"/>
      <c r="K189" s="81">
        <v>-5401</v>
      </c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1"/>
      <c r="Z189" s="81">
        <v>-2000</v>
      </c>
      <c r="AA189" s="81"/>
      <c r="AB189" s="81"/>
      <c r="AC189" s="81"/>
      <c r="AD189" s="81"/>
      <c r="AE189" s="81"/>
      <c r="AF189" s="81"/>
      <c r="AG189" s="81">
        <v>580160</v>
      </c>
      <c r="AH189" s="81">
        <f t="shared" si="592"/>
        <v>609878</v>
      </c>
      <c r="AI189" s="81">
        <f t="shared" si="593"/>
        <v>29718</v>
      </c>
      <c r="AJ189" s="81">
        <f>3213+1291</f>
        <v>4504</v>
      </c>
      <c r="AK189" s="81">
        <v>9256</v>
      </c>
      <c r="AL189" s="81"/>
      <c r="AM189" s="81"/>
      <c r="AN189" s="81"/>
      <c r="AO189" s="81"/>
      <c r="AP189" s="81"/>
      <c r="AQ189" s="81">
        <f>12745+3213</f>
        <v>15958</v>
      </c>
      <c r="AR189" s="81"/>
      <c r="AS189" s="81"/>
      <c r="AT189" s="81">
        <v>16906</v>
      </c>
      <c r="AU189" s="81">
        <f t="shared" si="594"/>
        <v>24427</v>
      </c>
      <c r="AV189" s="81">
        <f t="shared" si="595"/>
        <v>7521</v>
      </c>
      <c r="AW189" s="81">
        <v>5521</v>
      </c>
      <c r="AX189" s="81"/>
      <c r="AY189" s="81"/>
      <c r="AZ189" s="81"/>
      <c r="BA189" s="81"/>
      <c r="BB189" s="81"/>
      <c r="BC189" s="81"/>
      <c r="BD189" s="81"/>
      <c r="BE189" s="81">
        <v>2000</v>
      </c>
      <c r="BF189" s="81"/>
      <c r="BG189" s="81"/>
      <c r="BH189" s="81">
        <v>0</v>
      </c>
      <c r="BI189" s="81">
        <f t="shared" si="596"/>
        <v>0</v>
      </c>
      <c r="BJ189" s="98">
        <f t="shared" si="597"/>
        <v>0</v>
      </c>
      <c r="BK189" s="98"/>
      <c r="BL189" s="98"/>
      <c r="BM189" s="98"/>
      <c r="BN189" s="98"/>
      <c r="BO189" s="98"/>
      <c r="BP189" s="81"/>
      <c r="BQ189" s="81">
        <f t="shared" si="598"/>
        <v>0</v>
      </c>
      <c r="BR189" s="81">
        <f t="shared" si="599"/>
        <v>0</v>
      </c>
      <c r="BS189" s="98"/>
      <c r="BT189" s="98"/>
      <c r="BU189" s="98"/>
      <c r="BV189" s="98"/>
      <c r="BW189" s="98"/>
      <c r="BX189" s="98"/>
      <c r="BY189" s="98"/>
      <c r="BZ189" s="98"/>
      <c r="CA189" s="98"/>
      <c r="CB189" s="98"/>
      <c r="CC189" s="98"/>
      <c r="CD189" s="98"/>
      <c r="CE189" s="82" t="s">
        <v>387</v>
      </c>
      <c r="CF189" s="85"/>
      <c r="CG189" s="24"/>
    </row>
    <row r="190" spans="1:85" x14ac:dyDescent="0.2">
      <c r="A190" s="108"/>
      <c r="B190" s="242"/>
      <c r="C190" s="285" t="s">
        <v>240</v>
      </c>
      <c r="D190" s="80">
        <f t="shared" si="588"/>
        <v>149962</v>
      </c>
      <c r="E190" s="295">
        <f t="shared" si="589"/>
        <v>149962</v>
      </c>
      <c r="F190" s="81">
        <v>109536</v>
      </c>
      <c r="G190" s="81">
        <f t="shared" si="590"/>
        <v>109536</v>
      </c>
      <c r="H190" s="81">
        <f t="shared" si="591"/>
        <v>0</v>
      </c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1"/>
      <c r="Z190" s="81"/>
      <c r="AA190" s="81"/>
      <c r="AB190" s="81"/>
      <c r="AC190" s="81"/>
      <c r="AD190" s="81"/>
      <c r="AE190" s="81"/>
      <c r="AF190" s="81"/>
      <c r="AG190" s="81">
        <v>40426</v>
      </c>
      <c r="AH190" s="81">
        <f t="shared" si="592"/>
        <v>40426</v>
      </c>
      <c r="AI190" s="81">
        <f t="shared" si="593"/>
        <v>0</v>
      </c>
      <c r="AJ190" s="81"/>
      <c r="AK190" s="81"/>
      <c r="AL190" s="81"/>
      <c r="AM190" s="81"/>
      <c r="AN190" s="81"/>
      <c r="AO190" s="81"/>
      <c r="AP190" s="81"/>
      <c r="AQ190" s="81"/>
      <c r="AR190" s="81"/>
      <c r="AS190" s="81"/>
      <c r="AT190" s="81">
        <v>0</v>
      </c>
      <c r="AU190" s="81">
        <f t="shared" si="594"/>
        <v>0</v>
      </c>
      <c r="AV190" s="81">
        <f t="shared" si="595"/>
        <v>0</v>
      </c>
      <c r="AW190" s="81"/>
      <c r="AX190" s="81"/>
      <c r="AY190" s="81"/>
      <c r="AZ190" s="81"/>
      <c r="BA190" s="81"/>
      <c r="BB190" s="81"/>
      <c r="BC190" s="81"/>
      <c r="BD190" s="81"/>
      <c r="BE190" s="81"/>
      <c r="BF190" s="81"/>
      <c r="BG190" s="81"/>
      <c r="BH190" s="81">
        <v>0</v>
      </c>
      <c r="BI190" s="81">
        <f t="shared" si="596"/>
        <v>0</v>
      </c>
      <c r="BJ190" s="98">
        <f t="shared" si="597"/>
        <v>0</v>
      </c>
      <c r="BK190" s="98"/>
      <c r="BL190" s="98"/>
      <c r="BM190" s="98"/>
      <c r="BN190" s="98"/>
      <c r="BO190" s="98"/>
      <c r="BP190" s="81"/>
      <c r="BQ190" s="81">
        <f t="shared" si="598"/>
        <v>0</v>
      </c>
      <c r="BR190" s="81">
        <f t="shared" si="599"/>
        <v>0</v>
      </c>
      <c r="BS190" s="98"/>
      <c r="BT190" s="98"/>
      <c r="BU190" s="98"/>
      <c r="BV190" s="98"/>
      <c r="BW190" s="98"/>
      <c r="BX190" s="98"/>
      <c r="BY190" s="98"/>
      <c r="BZ190" s="98"/>
      <c r="CA190" s="98"/>
      <c r="CB190" s="98"/>
      <c r="CC190" s="98"/>
      <c r="CD190" s="98"/>
      <c r="CE190" s="82" t="s">
        <v>385</v>
      </c>
      <c r="CF190" s="85"/>
      <c r="CG190" s="24"/>
    </row>
    <row r="191" spans="1:85" s="198" customFormat="1" x14ac:dyDescent="0.2">
      <c r="A191" s="108"/>
      <c r="B191" s="242"/>
      <c r="C191" s="285" t="s">
        <v>638</v>
      </c>
      <c r="D191" s="80">
        <f t="shared" si="588"/>
        <v>9990</v>
      </c>
      <c r="E191" s="295">
        <f t="shared" si="589"/>
        <v>15703</v>
      </c>
      <c r="F191" s="81">
        <v>9990</v>
      </c>
      <c r="G191" s="81">
        <f t="shared" si="590"/>
        <v>15703</v>
      </c>
      <c r="H191" s="81">
        <f t="shared" si="591"/>
        <v>5713</v>
      </c>
      <c r="I191" s="81"/>
      <c r="J191" s="81"/>
      <c r="K191" s="81">
        <v>5713</v>
      </c>
      <c r="L191" s="81"/>
      <c r="M191" s="81"/>
      <c r="N191" s="81"/>
      <c r="O191" s="81"/>
      <c r="P191" s="81"/>
      <c r="Q191" s="81"/>
      <c r="R191" s="81"/>
      <c r="S191" s="81"/>
      <c r="T191" s="81"/>
      <c r="U191" s="81"/>
      <c r="V191" s="81"/>
      <c r="W191" s="81"/>
      <c r="X191" s="81"/>
      <c r="Y191" s="81"/>
      <c r="Z191" s="81"/>
      <c r="AA191" s="81"/>
      <c r="AB191" s="81"/>
      <c r="AC191" s="81"/>
      <c r="AD191" s="81"/>
      <c r="AE191" s="81"/>
      <c r="AF191" s="81"/>
      <c r="AG191" s="81">
        <v>0</v>
      </c>
      <c r="AH191" s="81">
        <f t="shared" si="592"/>
        <v>0</v>
      </c>
      <c r="AI191" s="81">
        <f t="shared" si="593"/>
        <v>0</v>
      </c>
      <c r="AJ191" s="81"/>
      <c r="AK191" s="81"/>
      <c r="AL191" s="81"/>
      <c r="AM191" s="81"/>
      <c r="AN191" s="81"/>
      <c r="AO191" s="81"/>
      <c r="AP191" s="81"/>
      <c r="AQ191" s="81"/>
      <c r="AR191" s="81"/>
      <c r="AS191" s="81"/>
      <c r="AT191" s="81">
        <v>0</v>
      </c>
      <c r="AU191" s="81">
        <f t="shared" si="594"/>
        <v>0</v>
      </c>
      <c r="AV191" s="81">
        <f t="shared" si="595"/>
        <v>0</v>
      </c>
      <c r="AW191" s="81"/>
      <c r="AX191" s="81"/>
      <c r="AY191" s="81"/>
      <c r="AZ191" s="81"/>
      <c r="BA191" s="81"/>
      <c r="BB191" s="81"/>
      <c r="BC191" s="81"/>
      <c r="BD191" s="81"/>
      <c r="BE191" s="81"/>
      <c r="BF191" s="81"/>
      <c r="BG191" s="81"/>
      <c r="BH191" s="81">
        <v>0</v>
      </c>
      <c r="BI191" s="81">
        <f t="shared" si="596"/>
        <v>0</v>
      </c>
      <c r="BJ191" s="98">
        <f t="shared" si="597"/>
        <v>0</v>
      </c>
      <c r="BK191" s="98"/>
      <c r="BL191" s="98"/>
      <c r="BM191" s="98"/>
      <c r="BN191" s="98"/>
      <c r="BO191" s="98"/>
      <c r="BP191" s="81"/>
      <c r="BQ191" s="81">
        <f t="shared" si="598"/>
        <v>0</v>
      </c>
      <c r="BR191" s="81">
        <f t="shared" si="599"/>
        <v>0</v>
      </c>
      <c r="BS191" s="98"/>
      <c r="BT191" s="98"/>
      <c r="BU191" s="98"/>
      <c r="BV191" s="98"/>
      <c r="BW191" s="98"/>
      <c r="BX191" s="98"/>
      <c r="BY191" s="98"/>
      <c r="BZ191" s="98"/>
      <c r="CA191" s="98"/>
      <c r="CB191" s="98"/>
      <c r="CC191" s="98"/>
      <c r="CD191" s="98"/>
      <c r="CE191" s="82" t="s">
        <v>553</v>
      </c>
      <c r="CF191" s="85"/>
      <c r="CG191" s="24"/>
    </row>
    <row r="192" spans="1:85" s="193" customFormat="1" ht="24" x14ac:dyDescent="0.2">
      <c r="A192" s="108"/>
      <c r="B192" s="243"/>
      <c r="C192" s="285" t="s">
        <v>543</v>
      </c>
      <c r="D192" s="80">
        <f t="shared" si="588"/>
        <v>6266</v>
      </c>
      <c r="E192" s="295">
        <f t="shared" si="589"/>
        <v>9523</v>
      </c>
      <c r="F192" s="81">
        <v>6266</v>
      </c>
      <c r="G192" s="81">
        <f t="shared" si="590"/>
        <v>9523</v>
      </c>
      <c r="H192" s="81">
        <f t="shared" si="591"/>
        <v>3257</v>
      </c>
      <c r="I192" s="81"/>
      <c r="J192" s="81"/>
      <c r="K192" s="81">
        <v>2088</v>
      </c>
      <c r="L192" s="81"/>
      <c r="M192" s="81"/>
      <c r="N192" s="81"/>
      <c r="O192" s="81"/>
      <c r="P192" s="81"/>
      <c r="Q192" s="81"/>
      <c r="R192" s="81"/>
      <c r="S192" s="81"/>
      <c r="T192" s="81"/>
      <c r="U192" s="81"/>
      <c r="V192" s="81"/>
      <c r="W192" s="81"/>
      <c r="X192" s="81"/>
      <c r="Y192" s="81"/>
      <c r="Z192" s="81">
        <v>1169</v>
      </c>
      <c r="AA192" s="81"/>
      <c r="AB192" s="81"/>
      <c r="AC192" s="81"/>
      <c r="AD192" s="81"/>
      <c r="AE192" s="81"/>
      <c r="AF192" s="81"/>
      <c r="AG192" s="81">
        <v>0</v>
      </c>
      <c r="AH192" s="81">
        <f t="shared" si="592"/>
        <v>0</v>
      </c>
      <c r="AI192" s="81">
        <f t="shared" si="593"/>
        <v>0</v>
      </c>
      <c r="AJ192" s="81"/>
      <c r="AK192" s="81"/>
      <c r="AL192" s="81"/>
      <c r="AM192" s="81"/>
      <c r="AN192" s="81"/>
      <c r="AO192" s="81"/>
      <c r="AP192" s="81"/>
      <c r="AQ192" s="81"/>
      <c r="AR192" s="81"/>
      <c r="AS192" s="81"/>
      <c r="AT192" s="81">
        <v>0</v>
      </c>
      <c r="AU192" s="81">
        <f t="shared" si="594"/>
        <v>0</v>
      </c>
      <c r="AV192" s="81">
        <f t="shared" si="595"/>
        <v>0</v>
      </c>
      <c r="AW192" s="81"/>
      <c r="AX192" s="81"/>
      <c r="AY192" s="81"/>
      <c r="AZ192" s="81"/>
      <c r="BA192" s="81"/>
      <c r="BB192" s="81"/>
      <c r="BC192" s="81"/>
      <c r="BD192" s="81"/>
      <c r="BE192" s="81"/>
      <c r="BF192" s="81"/>
      <c r="BG192" s="81"/>
      <c r="BH192" s="81">
        <v>0</v>
      </c>
      <c r="BI192" s="81">
        <f t="shared" si="596"/>
        <v>0</v>
      </c>
      <c r="BJ192" s="98">
        <f t="shared" si="597"/>
        <v>0</v>
      </c>
      <c r="BK192" s="98"/>
      <c r="BL192" s="98"/>
      <c r="BM192" s="98"/>
      <c r="BN192" s="98"/>
      <c r="BO192" s="98"/>
      <c r="BP192" s="81"/>
      <c r="BQ192" s="81">
        <f t="shared" si="598"/>
        <v>0</v>
      </c>
      <c r="BR192" s="81">
        <f t="shared" si="599"/>
        <v>0</v>
      </c>
      <c r="BS192" s="98"/>
      <c r="BT192" s="98"/>
      <c r="BU192" s="98"/>
      <c r="BV192" s="98"/>
      <c r="BW192" s="98"/>
      <c r="BX192" s="98"/>
      <c r="BY192" s="98"/>
      <c r="BZ192" s="98"/>
      <c r="CA192" s="98"/>
      <c r="CB192" s="98"/>
      <c r="CC192" s="98"/>
      <c r="CD192" s="98"/>
      <c r="CE192" s="82" t="s">
        <v>689</v>
      </c>
      <c r="CF192" s="85"/>
      <c r="CG192" s="24"/>
    </row>
    <row r="193" spans="1:85" s="198" customFormat="1" ht="24" x14ac:dyDescent="0.2">
      <c r="A193" s="108"/>
      <c r="B193" s="243"/>
      <c r="C193" s="285" t="s">
        <v>639</v>
      </c>
      <c r="D193" s="80">
        <f t="shared" si="588"/>
        <v>3590</v>
      </c>
      <c r="E193" s="295">
        <f t="shared" si="589"/>
        <v>4340</v>
      </c>
      <c r="F193" s="81">
        <v>3590</v>
      </c>
      <c r="G193" s="81">
        <f t="shared" si="590"/>
        <v>4340</v>
      </c>
      <c r="H193" s="81">
        <f t="shared" si="591"/>
        <v>750</v>
      </c>
      <c r="I193" s="81"/>
      <c r="J193" s="81"/>
      <c r="K193" s="81">
        <v>750</v>
      </c>
      <c r="L193" s="81"/>
      <c r="M193" s="81"/>
      <c r="N193" s="81"/>
      <c r="O193" s="81"/>
      <c r="P193" s="81"/>
      <c r="Q193" s="81"/>
      <c r="R193" s="81"/>
      <c r="S193" s="81"/>
      <c r="T193" s="81"/>
      <c r="U193" s="81"/>
      <c r="V193" s="81"/>
      <c r="W193" s="81"/>
      <c r="X193" s="81"/>
      <c r="Y193" s="81"/>
      <c r="Z193" s="81"/>
      <c r="AA193" s="81"/>
      <c r="AB193" s="81"/>
      <c r="AC193" s="81"/>
      <c r="AD193" s="81"/>
      <c r="AE193" s="81"/>
      <c r="AF193" s="81"/>
      <c r="AG193" s="81">
        <v>0</v>
      </c>
      <c r="AH193" s="81">
        <f t="shared" si="592"/>
        <v>0</v>
      </c>
      <c r="AI193" s="81">
        <f t="shared" si="593"/>
        <v>0</v>
      </c>
      <c r="AJ193" s="81"/>
      <c r="AK193" s="81"/>
      <c r="AL193" s="81"/>
      <c r="AM193" s="81"/>
      <c r="AN193" s="81"/>
      <c r="AO193" s="81"/>
      <c r="AP193" s="81"/>
      <c r="AQ193" s="81"/>
      <c r="AR193" s="81"/>
      <c r="AS193" s="81"/>
      <c r="AT193" s="81">
        <v>0</v>
      </c>
      <c r="AU193" s="81">
        <f t="shared" si="594"/>
        <v>0</v>
      </c>
      <c r="AV193" s="81">
        <f t="shared" si="595"/>
        <v>0</v>
      </c>
      <c r="AW193" s="81"/>
      <c r="AX193" s="81"/>
      <c r="AY193" s="81"/>
      <c r="AZ193" s="81"/>
      <c r="BA193" s="81"/>
      <c r="BB193" s="81"/>
      <c r="BC193" s="81"/>
      <c r="BD193" s="81"/>
      <c r="BE193" s="81"/>
      <c r="BF193" s="81"/>
      <c r="BG193" s="81"/>
      <c r="BH193" s="81">
        <v>0</v>
      </c>
      <c r="BI193" s="81">
        <f t="shared" si="596"/>
        <v>0</v>
      </c>
      <c r="BJ193" s="98">
        <f t="shared" si="597"/>
        <v>0</v>
      </c>
      <c r="BK193" s="98"/>
      <c r="BL193" s="98"/>
      <c r="BM193" s="98"/>
      <c r="BN193" s="98"/>
      <c r="BO193" s="98"/>
      <c r="BP193" s="81"/>
      <c r="BQ193" s="81">
        <f t="shared" si="598"/>
        <v>0</v>
      </c>
      <c r="BR193" s="81">
        <f t="shared" si="599"/>
        <v>0</v>
      </c>
      <c r="BS193" s="98"/>
      <c r="BT193" s="98"/>
      <c r="BU193" s="98"/>
      <c r="BV193" s="98"/>
      <c r="BW193" s="98"/>
      <c r="BX193" s="98"/>
      <c r="BY193" s="98"/>
      <c r="BZ193" s="98"/>
      <c r="CA193" s="98"/>
      <c r="CB193" s="98"/>
      <c r="CC193" s="98"/>
      <c r="CD193" s="98"/>
      <c r="CE193" s="82" t="s">
        <v>690</v>
      </c>
      <c r="CF193" s="85"/>
      <c r="CG193" s="24"/>
    </row>
    <row r="194" spans="1:85" ht="24" customHeight="1" x14ac:dyDescent="0.2">
      <c r="A194" s="108">
        <v>90000056465</v>
      </c>
      <c r="B194" s="241" t="s">
        <v>282</v>
      </c>
      <c r="C194" s="285" t="s">
        <v>242</v>
      </c>
      <c r="D194" s="80">
        <f t="shared" si="588"/>
        <v>1093712</v>
      </c>
      <c r="E194" s="295">
        <f t="shared" si="589"/>
        <v>1224328</v>
      </c>
      <c r="F194" s="81">
        <v>549670</v>
      </c>
      <c r="G194" s="81">
        <f t="shared" si="590"/>
        <v>600951</v>
      </c>
      <c r="H194" s="81">
        <f t="shared" si="591"/>
        <v>51281</v>
      </c>
      <c r="I194" s="81"/>
      <c r="J194" s="81"/>
      <c r="K194" s="81">
        <v>69281</v>
      </c>
      <c r="L194" s="81"/>
      <c r="M194" s="81"/>
      <c r="N194" s="81"/>
      <c r="O194" s="81"/>
      <c r="P194" s="81"/>
      <c r="Q194" s="81"/>
      <c r="R194" s="81"/>
      <c r="S194" s="81"/>
      <c r="T194" s="81"/>
      <c r="U194" s="81"/>
      <c r="V194" s="81"/>
      <c r="W194" s="81">
        <v>-18000</v>
      </c>
      <c r="X194" s="81"/>
      <c r="Y194" s="81"/>
      <c r="Z194" s="81"/>
      <c r="AA194" s="81"/>
      <c r="AB194" s="81"/>
      <c r="AC194" s="81"/>
      <c r="AD194" s="81"/>
      <c r="AE194" s="81"/>
      <c r="AF194" s="81"/>
      <c r="AG194" s="81">
        <v>446030</v>
      </c>
      <c r="AH194" s="81">
        <f t="shared" si="592"/>
        <v>506278</v>
      </c>
      <c r="AI194" s="81">
        <f t="shared" si="593"/>
        <v>60248</v>
      </c>
      <c r="AJ194" s="81"/>
      <c r="AK194" s="81">
        <f>48097+7</f>
        <v>48104</v>
      </c>
      <c r="AL194" s="81"/>
      <c r="AM194" s="81">
        <v>642</v>
      </c>
      <c r="AN194" s="81"/>
      <c r="AO194" s="81"/>
      <c r="AP194" s="81"/>
      <c r="AQ194" s="81">
        <v>11502</v>
      </c>
      <c r="AR194" s="81"/>
      <c r="AS194" s="81"/>
      <c r="AT194" s="81">
        <v>98012</v>
      </c>
      <c r="AU194" s="81">
        <f t="shared" si="594"/>
        <v>117069</v>
      </c>
      <c r="AV194" s="81">
        <f t="shared" si="595"/>
        <v>19057</v>
      </c>
      <c r="AW194" s="81">
        <v>6078</v>
      </c>
      <c r="AX194" s="81"/>
      <c r="AY194" s="81"/>
      <c r="AZ194" s="81"/>
      <c r="BA194" s="81"/>
      <c r="BB194" s="81"/>
      <c r="BC194" s="81">
        <v>1559</v>
      </c>
      <c r="BD194" s="81"/>
      <c r="BE194" s="81">
        <v>11420</v>
      </c>
      <c r="BF194" s="81"/>
      <c r="BG194" s="81"/>
      <c r="BH194" s="81">
        <v>0</v>
      </c>
      <c r="BI194" s="81">
        <f t="shared" si="596"/>
        <v>30</v>
      </c>
      <c r="BJ194" s="98">
        <f t="shared" si="597"/>
        <v>30</v>
      </c>
      <c r="BK194" s="98">
        <v>30</v>
      </c>
      <c r="BL194" s="98"/>
      <c r="BM194" s="98"/>
      <c r="BN194" s="98"/>
      <c r="BO194" s="98"/>
      <c r="BP194" s="81"/>
      <c r="BQ194" s="81">
        <f t="shared" si="598"/>
        <v>0</v>
      </c>
      <c r="BR194" s="81">
        <f t="shared" si="599"/>
        <v>0</v>
      </c>
      <c r="BS194" s="98"/>
      <c r="BT194" s="98"/>
      <c r="BU194" s="98"/>
      <c r="BV194" s="98"/>
      <c r="BW194" s="98"/>
      <c r="BX194" s="98"/>
      <c r="BY194" s="98"/>
      <c r="BZ194" s="98"/>
      <c r="CA194" s="98"/>
      <c r="CB194" s="98"/>
      <c r="CC194" s="98"/>
      <c r="CD194" s="98"/>
      <c r="CE194" s="82" t="s">
        <v>388</v>
      </c>
      <c r="CF194" s="85"/>
      <c r="CG194" s="24"/>
    </row>
    <row r="195" spans="1:85" s="198" customFormat="1" ht="24" customHeight="1" x14ac:dyDescent="0.2">
      <c r="A195" s="108"/>
      <c r="B195" s="241"/>
      <c r="C195" s="353" t="s">
        <v>785</v>
      </c>
      <c r="D195" s="80">
        <f t="shared" ref="D195" si="696">F195+AG195+AT195+BH195+BP195</f>
        <v>0</v>
      </c>
      <c r="E195" s="295">
        <f t="shared" ref="E195" si="697">G195+AH195+AU195+BI195+BQ195</f>
        <v>1050</v>
      </c>
      <c r="F195" s="81"/>
      <c r="G195" s="81">
        <f t="shared" ref="G195" si="698">F195+H195</f>
        <v>1050</v>
      </c>
      <c r="H195" s="81">
        <f t="shared" ref="H195" si="699">SUM(I195:AF195)</f>
        <v>1050</v>
      </c>
      <c r="I195" s="81"/>
      <c r="J195" s="81"/>
      <c r="K195" s="81"/>
      <c r="L195" s="81">
        <v>1050</v>
      </c>
      <c r="M195" s="81"/>
      <c r="N195" s="81"/>
      <c r="O195" s="81"/>
      <c r="P195" s="81"/>
      <c r="Q195" s="81"/>
      <c r="R195" s="81"/>
      <c r="S195" s="81"/>
      <c r="T195" s="81"/>
      <c r="U195" s="81"/>
      <c r="V195" s="81"/>
      <c r="W195" s="81"/>
      <c r="X195" s="81"/>
      <c r="Y195" s="81"/>
      <c r="Z195" s="81"/>
      <c r="AA195" s="81"/>
      <c r="AB195" s="81"/>
      <c r="AC195" s="81"/>
      <c r="AD195" s="81"/>
      <c r="AE195" s="81"/>
      <c r="AF195" s="81"/>
      <c r="AG195" s="81"/>
      <c r="AH195" s="81">
        <f t="shared" ref="AH195" si="700">AG195+AI195</f>
        <v>0</v>
      </c>
      <c r="AI195" s="81">
        <f t="shared" ref="AI195" si="701">SUM(AJ195:AS195)</f>
        <v>0</v>
      </c>
      <c r="AJ195" s="81"/>
      <c r="AK195" s="81"/>
      <c r="AL195" s="81"/>
      <c r="AM195" s="81"/>
      <c r="AN195" s="81"/>
      <c r="AO195" s="81"/>
      <c r="AP195" s="81"/>
      <c r="AQ195" s="81"/>
      <c r="AR195" s="81"/>
      <c r="AS195" s="81"/>
      <c r="AT195" s="81"/>
      <c r="AU195" s="81">
        <f t="shared" ref="AU195" si="702">AT195+AV195</f>
        <v>0</v>
      </c>
      <c r="AV195" s="81">
        <f t="shared" ref="AV195" si="703">SUM(AW195:BG195)</f>
        <v>0</v>
      </c>
      <c r="AW195" s="98"/>
      <c r="AX195" s="98"/>
      <c r="AY195" s="98"/>
      <c r="AZ195" s="98"/>
      <c r="BA195" s="98"/>
      <c r="BB195" s="98"/>
      <c r="BC195" s="98"/>
      <c r="BD195" s="98"/>
      <c r="BE195" s="98"/>
      <c r="BF195" s="98"/>
      <c r="BG195" s="98"/>
      <c r="BH195" s="98"/>
      <c r="BI195" s="81">
        <f t="shared" ref="BI195" si="704">BH195+BJ195</f>
        <v>0</v>
      </c>
      <c r="BJ195" s="98">
        <f t="shared" ref="BJ195" si="705">SUM(BK195:BO195)</f>
        <v>0</v>
      </c>
      <c r="BK195" s="98"/>
      <c r="BL195" s="98"/>
      <c r="BM195" s="98"/>
      <c r="BN195" s="98"/>
      <c r="BO195" s="98"/>
      <c r="BP195" s="81"/>
      <c r="BQ195" s="81">
        <f t="shared" ref="BQ195" si="706">BP195+BR195</f>
        <v>0</v>
      </c>
      <c r="BR195" s="81">
        <f t="shared" ref="BR195" si="707">SUM(BS195:CD195)</f>
        <v>0</v>
      </c>
      <c r="BS195" s="98"/>
      <c r="BT195" s="98"/>
      <c r="BU195" s="98"/>
      <c r="BV195" s="98"/>
      <c r="BW195" s="98"/>
      <c r="BX195" s="98"/>
      <c r="BY195" s="98"/>
      <c r="BZ195" s="98"/>
      <c r="CA195" s="98"/>
      <c r="CB195" s="98"/>
      <c r="CC195" s="98"/>
      <c r="CD195" s="98"/>
      <c r="CE195" s="82" t="s">
        <v>786</v>
      </c>
      <c r="CF195" s="85"/>
      <c r="CG195" s="24"/>
    </row>
    <row r="196" spans="1:85" ht="24" customHeight="1" x14ac:dyDescent="0.2">
      <c r="A196" s="108">
        <v>90009249140</v>
      </c>
      <c r="B196" s="241" t="s">
        <v>513</v>
      </c>
      <c r="C196" s="285" t="s">
        <v>228</v>
      </c>
      <c r="D196" s="80">
        <f t="shared" si="588"/>
        <v>352406</v>
      </c>
      <c r="E196" s="295">
        <f t="shared" si="589"/>
        <v>353118</v>
      </c>
      <c r="F196" s="81">
        <v>325959</v>
      </c>
      <c r="G196" s="81">
        <f t="shared" si="590"/>
        <v>325959</v>
      </c>
      <c r="H196" s="81">
        <f t="shared" si="591"/>
        <v>0</v>
      </c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81"/>
      <c r="V196" s="81"/>
      <c r="W196" s="81"/>
      <c r="X196" s="81"/>
      <c r="Y196" s="81"/>
      <c r="Z196" s="81"/>
      <c r="AA196" s="81"/>
      <c r="AB196" s="81"/>
      <c r="AC196" s="81"/>
      <c r="AD196" s="81"/>
      <c r="AE196" s="81"/>
      <c r="AF196" s="81"/>
      <c r="AG196" s="81">
        <v>25411</v>
      </c>
      <c r="AH196" s="81">
        <f t="shared" si="592"/>
        <v>26111</v>
      </c>
      <c r="AI196" s="81">
        <f t="shared" si="593"/>
        <v>700</v>
      </c>
      <c r="AJ196" s="81"/>
      <c r="AK196" s="81">
        <v>627</v>
      </c>
      <c r="AL196" s="81"/>
      <c r="AM196" s="81"/>
      <c r="AN196" s="81"/>
      <c r="AO196" s="81"/>
      <c r="AP196" s="81"/>
      <c r="AQ196" s="81">
        <v>73</v>
      </c>
      <c r="AR196" s="81"/>
      <c r="AS196" s="81"/>
      <c r="AT196" s="81">
        <v>1036</v>
      </c>
      <c r="AU196" s="98">
        <f t="shared" si="594"/>
        <v>1048</v>
      </c>
      <c r="AV196" s="98">
        <f t="shared" si="595"/>
        <v>12</v>
      </c>
      <c r="AW196" s="98">
        <v>12</v>
      </c>
      <c r="AX196" s="98"/>
      <c r="AY196" s="98"/>
      <c r="AZ196" s="98"/>
      <c r="BA196" s="98"/>
      <c r="BB196" s="98"/>
      <c r="BC196" s="98"/>
      <c r="BD196" s="98"/>
      <c r="BE196" s="98"/>
      <c r="BF196" s="98"/>
      <c r="BG196" s="98"/>
      <c r="BH196" s="98">
        <v>0</v>
      </c>
      <c r="BI196" s="81">
        <f t="shared" si="596"/>
        <v>0</v>
      </c>
      <c r="BJ196" s="98">
        <f t="shared" si="597"/>
        <v>0</v>
      </c>
      <c r="BK196" s="98"/>
      <c r="BL196" s="98"/>
      <c r="BM196" s="98"/>
      <c r="BN196" s="98"/>
      <c r="BO196" s="98"/>
      <c r="BP196" s="81"/>
      <c r="BQ196" s="81">
        <f t="shared" si="598"/>
        <v>0</v>
      </c>
      <c r="BR196" s="81">
        <f t="shared" si="599"/>
        <v>0</v>
      </c>
      <c r="BS196" s="98"/>
      <c r="BT196" s="98"/>
      <c r="BU196" s="98"/>
      <c r="BV196" s="98"/>
      <c r="BW196" s="98"/>
      <c r="BX196" s="98"/>
      <c r="BY196" s="98"/>
      <c r="BZ196" s="98"/>
      <c r="CA196" s="98"/>
      <c r="CB196" s="98"/>
      <c r="CC196" s="98"/>
      <c r="CD196" s="98"/>
      <c r="CE196" s="82" t="s">
        <v>389</v>
      </c>
      <c r="CF196" s="85"/>
      <c r="CG196" s="24"/>
    </row>
    <row r="197" spans="1:85" x14ac:dyDescent="0.2">
      <c r="A197" s="108"/>
      <c r="B197" s="242"/>
      <c r="C197" s="285" t="s">
        <v>240</v>
      </c>
      <c r="D197" s="80">
        <f t="shared" si="588"/>
        <v>34395</v>
      </c>
      <c r="E197" s="295">
        <f t="shared" si="589"/>
        <v>34395</v>
      </c>
      <c r="F197" s="81">
        <v>34395</v>
      </c>
      <c r="G197" s="81">
        <f t="shared" si="590"/>
        <v>34395</v>
      </c>
      <c r="H197" s="81">
        <f t="shared" si="591"/>
        <v>0</v>
      </c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81"/>
      <c r="V197" s="81"/>
      <c r="W197" s="81"/>
      <c r="X197" s="81"/>
      <c r="Y197" s="81"/>
      <c r="Z197" s="81"/>
      <c r="AA197" s="81"/>
      <c r="AB197" s="81"/>
      <c r="AC197" s="81"/>
      <c r="AD197" s="81"/>
      <c r="AE197" s="81"/>
      <c r="AF197" s="81"/>
      <c r="AG197" s="81">
        <v>0</v>
      </c>
      <c r="AH197" s="81">
        <f t="shared" si="592"/>
        <v>0</v>
      </c>
      <c r="AI197" s="81">
        <f t="shared" si="593"/>
        <v>0</v>
      </c>
      <c r="AJ197" s="81"/>
      <c r="AK197" s="81"/>
      <c r="AL197" s="81"/>
      <c r="AM197" s="81"/>
      <c r="AN197" s="81"/>
      <c r="AO197" s="81"/>
      <c r="AP197" s="81"/>
      <c r="AQ197" s="81"/>
      <c r="AR197" s="81"/>
      <c r="AS197" s="81"/>
      <c r="AT197" s="81">
        <v>0</v>
      </c>
      <c r="AU197" s="81">
        <f t="shared" si="594"/>
        <v>0</v>
      </c>
      <c r="AV197" s="81">
        <f t="shared" si="595"/>
        <v>0</v>
      </c>
      <c r="AW197" s="81"/>
      <c r="AX197" s="81"/>
      <c r="AY197" s="81"/>
      <c r="AZ197" s="81"/>
      <c r="BA197" s="81"/>
      <c r="BB197" s="81"/>
      <c r="BC197" s="81"/>
      <c r="BD197" s="81"/>
      <c r="BE197" s="81"/>
      <c r="BF197" s="81"/>
      <c r="BG197" s="81"/>
      <c r="BH197" s="81">
        <v>0</v>
      </c>
      <c r="BI197" s="81">
        <f t="shared" si="596"/>
        <v>0</v>
      </c>
      <c r="BJ197" s="98">
        <f t="shared" si="597"/>
        <v>0</v>
      </c>
      <c r="BK197" s="98"/>
      <c r="BL197" s="98"/>
      <c r="BM197" s="98"/>
      <c r="BN197" s="98"/>
      <c r="BO197" s="98"/>
      <c r="BP197" s="81"/>
      <c r="BQ197" s="81">
        <f t="shared" si="598"/>
        <v>0</v>
      </c>
      <c r="BR197" s="81">
        <f t="shared" si="599"/>
        <v>0</v>
      </c>
      <c r="BS197" s="98"/>
      <c r="BT197" s="98"/>
      <c r="BU197" s="98"/>
      <c r="BV197" s="98"/>
      <c r="BW197" s="98"/>
      <c r="BX197" s="98"/>
      <c r="BY197" s="98"/>
      <c r="BZ197" s="98"/>
      <c r="CA197" s="98"/>
      <c r="CB197" s="98"/>
      <c r="CC197" s="98"/>
      <c r="CD197" s="98"/>
      <c r="CE197" s="82" t="s">
        <v>390</v>
      </c>
      <c r="CF197" s="85"/>
      <c r="CG197" s="24"/>
    </row>
    <row r="198" spans="1:85" ht="24" customHeight="1" x14ac:dyDescent="0.2">
      <c r="A198" s="108">
        <v>90009249210</v>
      </c>
      <c r="B198" s="241" t="s">
        <v>514</v>
      </c>
      <c r="C198" s="285" t="s">
        <v>228</v>
      </c>
      <c r="D198" s="80">
        <f t="shared" si="588"/>
        <v>428030</v>
      </c>
      <c r="E198" s="295">
        <f t="shared" si="589"/>
        <v>424759</v>
      </c>
      <c r="F198" s="81">
        <v>402703</v>
      </c>
      <c r="G198" s="81">
        <f t="shared" si="590"/>
        <v>402627</v>
      </c>
      <c r="H198" s="81">
        <f t="shared" si="591"/>
        <v>-76</v>
      </c>
      <c r="I198" s="81"/>
      <c r="J198" s="81"/>
      <c r="K198" s="81">
        <v>-76</v>
      </c>
      <c r="L198" s="81"/>
      <c r="M198" s="81"/>
      <c r="N198" s="81"/>
      <c r="O198" s="81"/>
      <c r="P198" s="81"/>
      <c r="Q198" s="81"/>
      <c r="R198" s="81"/>
      <c r="S198" s="81"/>
      <c r="T198" s="81"/>
      <c r="U198" s="81"/>
      <c r="V198" s="81"/>
      <c r="W198" s="81"/>
      <c r="X198" s="81"/>
      <c r="Y198" s="81"/>
      <c r="Z198" s="81"/>
      <c r="AA198" s="81"/>
      <c r="AB198" s="81"/>
      <c r="AC198" s="81"/>
      <c r="AD198" s="81"/>
      <c r="AE198" s="81"/>
      <c r="AF198" s="81"/>
      <c r="AG198" s="81">
        <v>25327</v>
      </c>
      <c r="AH198" s="81">
        <f t="shared" si="592"/>
        <v>22056</v>
      </c>
      <c r="AI198" s="81">
        <f t="shared" si="593"/>
        <v>-3271</v>
      </c>
      <c r="AJ198" s="81"/>
      <c r="AK198" s="81">
        <v>608</v>
      </c>
      <c r="AL198" s="81"/>
      <c r="AM198" s="81"/>
      <c r="AN198" s="81"/>
      <c r="AO198" s="81"/>
      <c r="AP198" s="81"/>
      <c r="AQ198" s="81">
        <v>-3879</v>
      </c>
      <c r="AR198" s="81"/>
      <c r="AS198" s="81"/>
      <c r="AT198" s="81">
        <v>0</v>
      </c>
      <c r="AU198" s="81">
        <f t="shared" si="594"/>
        <v>76</v>
      </c>
      <c r="AV198" s="81">
        <f t="shared" si="595"/>
        <v>76</v>
      </c>
      <c r="AW198" s="81">
        <v>76</v>
      </c>
      <c r="AX198" s="81"/>
      <c r="AY198" s="81"/>
      <c r="AZ198" s="81"/>
      <c r="BA198" s="81"/>
      <c r="BB198" s="81"/>
      <c r="BC198" s="81"/>
      <c r="BD198" s="81"/>
      <c r="BE198" s="81"/>
      <c r="BF198" s="81"/>
      <c r="BG198" s="81"/>
      <c r="BH198" s="81">
        <v>0</v>
      </c>
      <c r="BI198" s="81">
        <f t="shared" si="596"/>
        <v>0</v>
      </c>
      <c r="BJ198" s="98">
        <f t="shared" si="597"/>
        <v>0</v>
      </c>
      <c r="BK198" s="98"/>
      <c r="BL198" s="98"/>
      <c r="BM198" s="98"/>
      <c r="BN198" s="98"/>
      <c r="BO198" s="98"/>
      <c r="BP198" s="81"/>
      <c r="BQ198" s="81">
        <f t="shared" si="598"/>
        <v>0</v>
      </c>
      <c r="BR198" s="81">
        <f t="shared" si="599"/>
        <v>0</v>
      </c>
      <c r="BS198" s="98"/>
      <c r="BT198" s="98"/>
      <c r="BU198" s="98"/>
      <c r="BV198" s="98"/>
      <c r="BW198" s="98"/>
      <c r="BX198" s="98"/>
      <c r="BY198" s="98"/>
      <c r="BZ198" s="98"/>
      <c r="CA198" s="98"/>
      <c r="CB198" s="98"/>
      <c r="CC198" s="98"/>
      <c r="CD198" s="98"/>
      <c r="CE198" s="82" t="s">
        <v>391</v>
      </c>
      <c r="CF198" s="85"/>
      <c r="CG198" s="24"/>
    </row>
    <row r="199" spans="1:85" x14ac:dyDescent="0.2">
      <c r="A199" s="108"/>
      <c r="B199" s="242"/>
      <c r="C199" s="285" t="s">
        <v>240</v>
      </c>
      <c r="D199" s="80">
        <f t="shared" si="588"/>
        <v>40312</v>
      </c>
      <c r="E199" s="295">
        <f t="shared" si="589"/>
        <v>40312</v>
      </c>
      <c r="F199" s="81">
        <v>40312</v>
      </c>
      <c r="G199" s="81">
        <f t="shared" si="590"/>
        <v>40312</v>
      </c>
      <c r="H199" s="81">
        <f t="shared" si="591"/>
        <v>0</v>
      </c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81"/>
      <c r="U199" s="81"/>
      <c r="V199" s="81"/>
      <c r="W199" s="81"/>
      <c r="X199" s="81"/>
      <c r="Y199" s="81"/>
      <c r="Z199" s="81"/>
      <c r="AA199" s="81"/>
      <c r="AB199" s="81"/>
      <c r="AC199" s="81"/>
      <c r="AD199" s="81"/>
      <c r="AE199" s="81"/>
      <c r="AF199" s="81"/>
      <c r="AG199" s="81">
        <v>0</v>
      </c>
      <c r="AH199" s="81">
        <f t="shared" si="592"/>
        <v>0</v>
      </c>
      <c r="AI199" s="81">
        <f t="shared" si="593"/>
        <v>0</v>
      </c>
      <c r="AJ199" s="81"/>
      <c r="AK199" s="81"/>
      <c r="AL199" s="81"/>
      <c r="AM199" s="81"/>
      <c r="AN199" s="81"/>
      <c r="AO199" s="81"/>
      <c r="AP199" s="81"/>
      <c r="AQ199" s="81"/>
      <c r="AR199" s="81"/>
      <c r="AS199" s="81"/>
      <c r="AT199" s="81">
        <v>0</v>
      </c>
      <c r="AU199" s="81">
        <f t="shared" si="594"/>
        <v>0</v>
      </c>
      <c r="AV199" s="81">
        <f t="shared" si="595"/>
        <v>0</v>
      </c>
      <c r="AW199" s="81"/>
      <c r="AX199" s="81"/>
      <c r="AY199" s="81"/>
      <c r="AZ199" s="81"/>
      <c r="BA199" s="81"/>
      <c r="BB199" s="81"/>
      <c r="BC199" s="81"/>
      <c r="BD199" s="81"/>
      <c r="BE199" s="81"/>
      <c r="BF199" s="81"/>
      <c r="BG199" s="81"/>
      <c r="BH199" s="81">
        <v>0</v>
      </c>
      <c r="BI199" s="81">
        <f t="shared" si="596"/>
        <v>0</v>
      </c>
      <c r="BJ199" s="98">
        <f t="shared" si="597"/>
        <v>0</v>
      </c>
      <c r="BK199" s="98"/>
      <c r="BL199" s="98"/>
      <c r="BM199" s="98"/>
      <c r="BN199" s="98"/>
      <c r="BO199" s="98"/>
      <c r="BP199" s="81"/>
      <c r="BQ199" s="81">
        <f t="shared" si="598"/>
        <v>0</v>
      </c>
      <c r="BR199" s="81">
        <f t="shared" si="599"/>
        <v>0</v>
      </c>
      <c r="BS199" s="98"/>
      <c r="BT199" s="98"/>
      <c r="BU199" s="98"/>
      <c r="BV199" s="98"/>
      <c r="BW199" s="98"/>
      <c r="BX199" s="98"/>
      <c r="BY199" s="98"/>
      <c r="BZ199" s="98"/>
      <c r="CA199" s="98"/>
      <c r="CB199" s="98"/>
      <c r="CC199" s="98"/>
      <c r="CD199" s="98"/>
      <c r="CE199" s="82" t="s">
        <v>392</v>
      </c>
      <c r="CF199" s="85"/>
      <c r="CG199" s="24"/>
    </row>
    <row r="200" spans="1:85" ht="24" customHeight="1" x14ac:dyDescent="0.2">
      <c r="A200" s="108">
        <v>90009249155</v>
      </c>
      <c r="B200" s="241" t="s">
        <v>515</v>
      </c>
      <c r="C200" s="285" t="s">
        <v>228</v>
      </c>
      <c r="D200" s="80">
        <f t="shared" si="588"/>
        <v>379137</v>
      </c>
      <c r="E200" s="295">
        <f t="shared" si="589"/>
        <v>379892</v>
      </c>
      <c r="F200" s="81">
        <v>358203</v>
      </c>
      <c r="G200" s="81">
        <f t="shared" si="590"/>
        <v>358203</v>
      </c>
      <c r="H200" s="81">
        <f t="shared" si="591"/>
        <v>0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81"/>
      <c r="U200" s="81"/>
      <c r="V200" s="81"/>
      <c r="W200" s="81"/>
      <c r="X200" s="81"/>
      <c r="Y200" s="81"/>
      <c r="Z200" s="81"/>
      <c r="AA200" s="81"/>
      <c r="AB200" s="81"/>
      <c r="AC200" s="81"/>
      <c r="AD200" s="81"/>
      <c r="AE200" s="81"/>
      <c r="AF200" s="81"/>
      <c r="AG200" s="81">
        <v>20929</v>
      </c>
      <c r="AH200" s="81">
        <f t="shared" si="592"/>
        <v>21684</v>
      </c>
      <c r="AI200" s="81">
        <f t="shared" si="593"/>
        <v>755</v>
      </c>
      <c r="AJ200" s="81"/>
      <c r="AK200" s="81">
        <v>516</v>
      </c>
      <c r="AL200" s="81"/>
      <c r="AM200" s="81"/>
      <c r="AN200" s="81"/>
      <c r="AO200" s="81"/>
      <c r="AP200" s="81"/>
      <c r="AQ200" s="81">
        <v>239</v>
      </c>
      <c r="AR200" s="81"/>
      <c r="AS200" s="81"/>
      <c r="AT200" s="81">
        <v>5</v>
      </c>
      <c r="AU200" s="81">
        <f t="shared" si="594"/>
        <v>5</v>
      </c>
      <c r="AV200" s="81">
        <f t="shared" si="595"/>
        <v>0</v>
      </c>
      <c r="AW200" s="81"/>
      <c r="AX200" s="81"/>
      <c r="AY200" s="81"/>
      <c r="AZ200" s="81"/>
      <c r="BA200" s="81"/>
      <c r="BB200" s="81"/>
      <c r="BC200" s="81"/>
      <c r="BD200" s="81"/>
      <c r="BE200" s="81"/>
      <c r="BF200" s="81"/>
      <c r="BG200" s="81"/>
      <c r="BH200" s="81">
        <v>0</v>
      </c>
      <c r="BI200" s="81">
        <f t="shared" si="596"/>
        <v>0</v>
      </c>
      <c r="BJ200" s="98">
        <f t="shared" si="597"/>
        <v>0</v>
      </c>
      <c r="BK200" s="98"/>
      <c r="BL200" s="98"/>
      <c r="BM200" s="98"/>
      <c r="BN200" s="98"/>
      <c r="BO200" s="98"/>
      <c r="BP200" s="81"/>
      <c r="BQ200" s="81">
        <f t="shared" si="598"/>
        <v>0</v>
      </c>
      <c r="BR200" s="81">
        <f t="shared" si="599"/>
        <v>0</v>
      </c>
      <c r="BS200" s="98"/>
      <c r="BT200" s="98"/>
      <c r="BU200" s="98"/>
      <c r="BV200" s="98"/>
      <c r="BW200" s="98"/>
      <c r="BX200" s="98"/>
      <c r="BY200" s="98"/>
      <c r="BZ200" s="98"/>
      <c r="CA200" s="98"/>
      <c r="CB200" s="98"/>
      <c r="CC200" s="98"/>
      <c r="CD200" s="98"/>
      <c r="CE200" s="82" t="s">
        <v>393</v>
      </c>
      <c r="CF200" s="85"/>
      <c r="CG200" s="24"/>
    </row>
    <row r="201" spans="1:85" x14ac:dyDescent="0.2">
      <c r="A201" s="108"/>
      <c r="B201" s="242"/>
      <c r="C201" s="285" t="s">
        <v>240</v>
      </c>
      <c r="D201" s="80">
        <f t="shared" si="588"/>
        <v>34395</v>
      </c>
      <c r="E201" s="295">
        <f t="shared" si="589"/>
        <v>34395</v>
      </c>
      <c r="F201" s="81">
        <v>34395</v>
      </c>
      <c r="G201" s="81">
        <f t="shared" si="590"/>
        <v>34395</v>
      </c>
      <c r="H201" s="81">
        <f t="shared" si="591"/>
        <v>0</v>
      </c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81"/>
      <c r="U201" s="81"/>
      <c r="V201" s="81"/>
      <c r="W201" s="81"/>
      <c r="X201" s="81"/>
      <c r="Y201" s="81"/>
      <c r="Z201" s="81"/>
      <c r="AA201" s="81"/>
      <c r="AB201" s="81"/>
      <c r="AC201" s="81"/>
      <c r="AD201" s="81"/>
      <c r="AE201" s="81"/>
      <c r="AF201" s="81"/>
      <c r="AG201" s="81">
        <v>0</v>
      </c>
      <c r="AH201" s="81">
        <f t="shared" si="592"/>
        <v>0</v>
      </c>
      <c r="AI201" s="81">
        <f t="shared" si="593"/>
        <v>0</v>
      </c>
      <c r="AJ201" s="81"/>
      <c r="AK201" s="81"/>
      <c r="AL201" s="81"/>
      <c r="AM201" s="81"/>
      <c r="AN201" s="81"/>
      <c r="AO201" s="81"/>
      <c r="AP201" s="81"/>
      <c r="AQ201" s="81"/>
      <c r="AR201" s="81"/>
      <c r="AS201" s="81"/>
      <c r="AT201" s="81">
        <v>0</v>
      </c>
      <c r="AU201" s="81">
        <f t="shared" si="594"/>
        <v>0</v>
      </c>
      <c r="AV201" s="81">
        <f t="shared" si="595"/>
        <v>0</v>
      </c>
      <c r="AW201" s="81"/>
      <c r="AX201" s="81"/>
      <c r="AY201" s="81"/>
      <c r="AZ201" s="81"/>
      <c r="BA201" s="81"/>
      <c r="BB201" s="81"/>
      <c r="BC201" s="81"/>
      <c r="BD201" s="81"/>
      <c r="BE201" s="81"/>
      <c r="BF201" s="81"/>
      <c r="BG201" s="81"/>
      <c r="BH201" s="81">
        <v>0</v>
      </c>
      <c r="BI201" s="81">
        <f t="shared" si="596"/>
        <v>0</v>
      </c>
      <c r="BJ201" s="98">
        <f t="shared" si="597"/>
        <v>0</v>
      </c>
      <c r="BK201" s="98"/>
      <c r="BL201" s="98"/>
      <c r="BM201" s="98"/>
      <c r="BN201" s="98"/>
      <c r="BO201" s="98"/>
      <c r="BP201" s="81"/>
      <c r="BQ201" s="81">
        <f t="shared" si="598"/>
        <v>0</v>
      </c>
      <c r="BR201" s="81">
        <f t="shared" si="599"/>
        <v>0</v>
      </c>
      <c r="BS201" s="98"/>
      <c r="BT201" s="98"/>
      <c r="BU201" s="98"/>
      <c r="BV201" s="98"/>
      <c r="BW201" s="98"/>
      <c r="BX201" s="98"/>
      <c r="BY201" s="98"/>
      <c r="BZ201" s="98"/>
      <c r="CA201" s="98"/>
      <c r="CB201" s="98"/>
      <c r="CC201" s="98"/>
      <c r="CD201" s="98"/>
      <c r="CE201" s="82" t="s">
        <v>394</v>
      </c>
      <c r="CF201" s="85"/>
      <c r="CG201" s="24"/>
    </row>
    <row r="202" spans="1:85" ht="24" customHeight="1" x14ac:dyDescent="0.2">
      <c r="A202" s="108">
        <v>90009249259</v>
      </c>
      <c r="B202" s="241" t="s">
        <v>516</v>
      </c>
      <c r="C202" s="285" t="s">
        <v>228</v>
      </c>
      <c r="D202" s="80">
        <f t="shared" si="588"/>
        <v>660915</v>
      </c>
      <c r="E202" s="295">
        <f t="shared" si="589"/>
        <v>665285</v>
      </c>
      <c r="F202" s="81">
        <v>591153</v>
      </c>
      <c r="G202" s="81">
        <f t="shared" si="590"/>
        <v>591153</v>
      </c>
      <c r="H202" s="81">
        <f t="shared" si="591"/>
        <v>0</v>
      </c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81"/>
      <c r="U202" s="81"/>
      <c r="V202" s="81"/>
      <c r="W202" s="81"/>
      <c r="X202" s="81"/>
      <c r="Y202" s="81"/>
      <c r="Z202" s="81"/>
      <c r="AA202" s="81"/>
      <c r="AB202" s="81"/>
      <c r="AC202" s="81"/>
      <c r="AD202" s="81"/>
      <c r="AE202" s="81"/>
      <c r="AF202" s="81"/>
      <c r="AG202" s="81">
        <v>64030</v>
      </c>
      <c r="AH202" s="81">
        <f t="shared" si="592"/>
        <v>67808</v>
      </c>
      <c r="AI202" s="81">
        <f t="shared" si="593"/>
        <v>3778</v>
      </c>
      <c r="AJ202" s="81"/>
      <c r="AK202" s="81">
        <v>1512</v>
      </c>
      <c r="AL202" s="81"/>
      <c r="AM202" s="81"/>
      <c r="AN202" s="81"/>
      <c r="AO202" s="81"/>
      <c r="AP202" s="81"/>
      <c r="AQ202" s="81">
        <f>1530+736</f>
        <v>2266</v>
      </c>
      <c r="AR202" s="81"/>
      <c r="AS202" s="81"/>
      <c r="AT202" s="81">
        <v>5732</v>
      </c>
      <c r="AU202" s="81">
        <f t="shared" si="594"/>
        <v>6324</v>
      </c>
      <c r="AV202" s="81">
        <f t="shared" si="595"/>
        <v>592</v>
      </c>
      <c r="AW202" s="81">
        <v>592</v>
      </c>
      <c r="AX202" s="81"/>
      <c r="AY202" s="81"/>
      <c r="AZ202" s="81"/>
      <c r="BA202" s="81"/>
      <c r="BB202" s="81"/>
      <c r="BC202" s="81"/>
      <c r="BD202" s="81"/>
      <c r="BE202" s="81"/>
      <c r="BF202" s="81"/>
      <c r="BG202" s="81"/>
      <c r="BH202" s="81">
        <v>0</v>
      </c>
      <c r="BI202" s="81">
        <f t="shared" si="596"/>
        <v>0</v>
      </c>
      <c r="BJ202" s="98">
        <f t="shared" si="597"/>
        <v>0</v>
      </c>
      <c r="BK202" s="98"/>
      <c r="BL202" s="98"/>
      <c r="BM202" s="98"/>
      <c r="BN202" s="98"/>
      <c r="BO202" s="98"/>
      <c r="BP202" s="81"/>
      <c r="BQ202" s="81">
        <f t="shared" si="598"/>
        <v>0</v>
      </c>
      <c r="BR202" s="81">
        <f t="shared" si="599"/>
        <v>0</v>
      </c>
      <c r="BS202" s="98"/>
      <c r="BT202" s="98"/>
      <c r="BU202" s="98"/>
      <c r="BV202" s="98"/>
      <c r="BW202" s="98"/>
      <c r="BX202" s="98"/>
      <c r="BY202" s="98"/>
      <c r="BZ202" s="98"/>
      <c r="CA202" s="98"/>
      <c r="CB202" s="98"/>
      <c r="CC202" s="98"/>
      <c r="CD202" s="98"/>
      <c r="CE202" s="82" t="s">
        <v>395</v>
      </c>
      <c r="CF202" s="85"/>
      <c r="CG202" s="24"/>
    </row>
    <row r="203" spans="1:85" x14ac:dyDescent="0.2">
      <c r="A203" s="108"/>
      <c r="B203" s="242"/>
      <c r="C203" s="285" t="s">
        <v>240</v>
      </c>
      <c r="D203" s="80">
        <f t="shared" si="588"/>
        <v>90451</v>
      </c>
      <c r="E203" s="295">
        <f t="shared" si="589"/>
        <v>90451</v>
      </c>
      <c r="F203" s="81">
        <v>83953</v>
      </c>
      <c r="G203" s="81">
        <f t="shared" si="590"/>
        <v>83953</v>
      </c>
      <c r="H203" s="81">
        <f t="shared" si="591"/>
        <v>0</v>
      </c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81"/>
      <c r="U203" s="81"/>
      <c r="V203" s="81"/>
      <c r="W203" s="81"/>
      <c r="X203" s="81"/>
      <c r="Y203" s="81"/>
      <c r="Z203" s="81"/>
      <c r="AA203" s="81"/>
      <c r="AB203" s="81"/>
      <c r="AC203" s="81"/>
      <c r="AD203" s="81"/>
      <c r="AE203" s="81"/>
      <c r="AF203" s="81"/>
      <c r="AG203" s="81">
        <v>0</v>
      </c>
      <c r="AH203" s="81">
        <f t="shared" si="592"/>
        <v>0</v>
      </c>
      <c r="AI203" s="81">
        <f t="shared" si="593"/>
        <v>0</v>
      </c>
      <c r="AJ203" s="81"/>
      <c r="AK203" s="81"/>
      <c r="AL203" s="81"/>
      <c r="AM203" s="81"/>
      <c r="AN203" s="81"/>
      <c r="AO203" s="81"/>
      <c r="AP203" s="81"/>
      <c r="AQ203" s="81"/>
      <c r="AR203" s="81"/>
      <c r="AS203" s="81"/>
      <c r="AT203" s="81">
        <v>6498</v>
      </c>
      <c r="AU203" s="81">
        <f t="shared" si="594"/>
        <v>6498</v>
      </c>
      <c r="AV203" s="81">
        <f t="shared" si="595"/>
        <v>0</v>
      </c>
      <c r="AW203" s="81"/>
      <c r="AX203" s="81"/>
      <c r="AY203" s="81"/>
      <c r="AZ203" s="81"/>
      <c r="BA203" s="81"/>
      <c r="BB203" s="81"/>
      <c r="BC203" s="81"/>
      <c r="BD203" s="81"/>
      <c r="BE203" s="81"/>
      <c r="BF203" s="81"/>
      <c r="BG203" s="81"/>
      <c r="BH203" s="81">
        <v>0</v>
      </c>
      <c r="BI203" s="81">
        <f t="shared" si="596"/>
        <v>0</v>
      </c>
      <c r="BJ203" s="98">
        <f t="shared" si="597"/>
        <v>0</v>
      </c>
      <c r="BK203" s="98"/>
      <c r="BL203" s="98"/>
      <c r="BM203" s="98"/>
      <c r="BN203" s="98"/>
      <c r="BO203" s="98"/>
      <c r="BP203" s="81"/>
      <c r="BQ203" s="81">
        <f t="shared" si="598"/>
        <v>0</v>
      </c>
      <c r="BR203" s="81">
        <f t="shared" si="599"/>
        <v>0</v>
      </c>
      <c r="BS203" s="98"/>
      <c r="BT203" s="98"/>
      <c r="BU203" s="98"/>
      <c r="BV203" s="98"/>
      <c r="BW203" s="98"/>
      <c r="BX203" s="98"/>
      <c r="BY203" s="98"/>
      <c r="BZ203" s="98"/>
      <c r="CA203" s="98"/>
      <c r="CB203" s="98"/>
      <c r="CC203" s="98"/>
      <c r="CD203" s="98"/>
      <c r="CE203" s="82" t="s">
        <v>396</v>
      </c>
      <c r="CF203" s="85"/>
      <c r="CG203" s="24"/>
    </row>
    <row r="204" spans="1:85" ht="24" customHeight="1" x14ac:dyDescent="0.2">
      <c r="A204" s="108">
        <v>90009249314</v>
      </c>
      <c r="B204" s="241" t="s">
        <v>517</v>
      </c>
      <c r="C204" s="285" t="s">
        <v>228</v>
      </c>
      <c r="D204" s="80">
        <f t="shared" si="588"/>
        <v>671803</v>
      </c>
      <c r="E204" s="295">
        <f t="shared" si="589"/>
        <v>679776</v>
      </c>
      <c r="F204" s="81">
        <v>580135</v>
      </c>
      <c r="G204" s="81">
        <f t="shared" si="590"/>
        <v>580135</v>
      </c>
      <c r="H204" s="81">
        <f t="shared" si="591"/>
        <v>0</v>
      </c>
      <c r="I204" s="81"/>
      <c r="J204" s="81"/>
      <c r="K204" s="81"/>
      <c r="L204" s="81"/>
      <c r="M204" s="81"/>
      <c r="N204" s="81"/>
      <c r="O204" s="81"/>
      <c r="P204" s="81"/>
      <c r="Q204" s="81"/>
      <c r="R204" s="81"/>
      <c r="S204" s="81"/>
      <c r="T204" s="81"/>
      <c r="U204" s="81"/>
      <c r="V204" s="81"/>
      <c r="W204" s="81"/>
      <c r="X204" s="81"/>
      <c r="Y204" s="81"/>
      <c r="Z204" s="81"/>
      <c r="AA204" s="81"/>
      <c r="AB204" s="81"/>
      <c r="AC204" s="81"/>
      <c r="AD204" s="81"/>
      <c r="AE204" s="81"/>
      <c r="AF204" s="81"/>
      <c r="AG204" s="81">
        <v>83701</v>
      </c>
      <c r="AH204" s="81">
        <f t="shared" si="592"/>
        <v>91593</v>
      </c>
      <c r="AI204" s="81">
        <f t="shared" si="593"/>
        <v>7892</v>
      </c>
      <c r="AJ204" s="81"/>
      <c r="AK204" s="81">
        <v>1641</v>
      </c>
      <c r="AL204" s="81"/>
      <c r="AM204" s="81"/>
      <c r="AN204" s="81"/>
      <c r="AO204" s="81"/>
      <c r="AP204" s="81"/>
      <c r="AQ204" s="81">
        <v>6251</v>
      </c>
      <c r="AR204" s="81"/>
      <c r="AS204" s="81"/>
      <c r="AT204" s="81">
        <v>7967</v>
      </c>
      <c r="AU204" s="81">
        <f t="shared" si="594"/>
        <v>8048</v>
      </c>
      <c r="AV204" s="81">
        <f t="shared" si="595"/>
        <v>81</v>
      </c>
      <c r="AW204" s="81">
        <v>81</v>
      </c>
      <c r="AX204" s="81"/>
      <c r="AY204" s="81"/>
      <c r="AZ204" s="81"/>
      <c r="BA204" s="81"/>
      <c r="BB204" s="81"/>
      <c r="BC204" s="81"/>
      <c r="BD204" s="81"/>
      <c r="BE204" s="81"/>
      <c r="BF204" s="81"/>
      <c r="BG204" s="81"/>
      <c r="BH204" s="81">
        <v>0</v>
      </c>
      <c r="BI204" s="81">
        <f t="shared" si="596"/>
        <v>0</v>
      </c>
      <c r="BJ204" s="98">
        <f t="shared" si="597"/>
        <v>0</v>
      </c>
      <c r="BK204" s="98"/>
      <c r="BL204" s="98"/>
      <c r="BM204" s="98"/>
      <c r="BN204" s="98"/>
      <c r="BO204" s="98"/>
      <c r="BP204" s="81"/>
      <c r="BQ204" s="81">
        <f t="shared" si="598"/>
        <v>0</v>
      </c>
      <c r="BR204" s="81">
        <f t="shared" si="599"/>
        <v>0</v>
      </c>
      <c r="BS204" s="98"/>
      <c r="BT204" s="98"/>
      <c r="BU204" s="98"/>
      <c r="BV204" s="98"/>
      <c r="BW204" s="98"/>
      <c r="BX204" s="98"/>
      <c r="BY204" s="98"/>
      <c r="BZ204" s="98"/>
      <c r="CA204" s="98"/>
      <c r="CB204" s="98"/>
      <c r="CC204" s="98"/>
      <c r="CD204" s="98"/>
      <c r="CE204" s="82" t="s">
        <v>397</v>
      </c>
      <c r="CF204" s="85"/>
      <c r="CG204" s="24"/>
    </row>
    <row r="205" spans="1:85" x14ac:dyDescent="0.2">
      <c r="A205" s="108"/>
      <c r="B205" s="242"/>
      <c r="C205" s="285" t="s">
        <v>240</v>
      </c>
      <c r="D205" s="80">
        <f t="shared" si="588"/>
        <v>85062</v>
      </c>
      <c r="E205" s="295">
        <f t="shared" si="589"/>
        <v>85062</v>
      </c>
      <c r="F205" s="81">
        <v>85062</v>
      </c>
      <c r="G205" s="81">
        <f t="shared" si="590"/>
        <v>85062</v>
      </c>
      <c r="H205" s="81">
        <f t="shared" si="591"/>
        <v>0</v>
      </c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81"/>
      <c r="U205" s="81"/>
      <c r="V205" s="81"/>
      <c r="W205" s="81"/>
      <c r="X205" s="81"/>
      <c r="Y205" s="81"/>
      <c r="Z205" s="81"/>
      <c r="AA205" s="81"/>
      <c r="AB205" s="81"/>
      <c r="AC205" s="81"/>
      <c r="AD205" s="81"/>
      <c r="AE205" s="81"/>
      <c r="AF205" s="81"/>
      <c r="AG205" s="81">
        <v>0</v>
      </c>
      <c r="AH205" s="81">
        <f t="shared" si="592"/>
        <v>0</v>
      </c>
      <c r="AI205" s="81">
        <f t="shared" si="593"/>
        <v>0</v>
      </c>
      <c r="AJ205" s="81"/>
      <c r="AK205" s="81"/>
      <c r="AL205" s="81"/>
      <c r="AM205" s="81"/>
      <c r="AN205" s="81"/>
      <c r="AO205" s="81"/>
      <c r="AP205" s="81"/>
      <c r="AQ205" s="81"/>
      <c r="AR205" s="81"/>
      <c r="AS205" s="81"/>
      <c r="AT205" s="81">
        <v>0</v>
      </c>
      <c r="AU205" s="81">
        <f t="shared" si="594"/>
        <v>0</v>
      </c>
      <c r="AV205" s="81">
        <f t="shared" si="595"/>
        <v>0</v>
      </c>
      <c r="AW205" s="81"/>
      <c r="AX205" s="81"/>
      <c r="AY205" s="81"/>
      <c r="AZ205" s="81"/>
      <c r="BA205" s="81"/>
      <c r="BB205" s="81"/>
      <c r="BC205" s="81"/>
      <c r="BD205" s="81"/>
      <c r="BE205" s="81"/>
      <c r="BF205" s="81"/>
      <c r="BG205" s="81"/>
      <c r="BH205" s="81">
        <v>0</v>
      </c>
      <c r="BI205" s="81">
        <f t="shared" si="596"/>
        <v>0</v>
      </c>
      <c r="BJ205" s="98">
        <f t="shared" si="597"/>
        <v>0</v>
      </c>
      <c r="BK205" s="98"/>
      <c r="BL205" s="98"/>
      <c r="BM205" s="98"/>
      <c r="BN205" s="98"/>
      <c r="BO205" s="98"/>
      <c r="BP205" s="81"/>
      <c r="BQ205" s="81">
        <f t="shared" si="598"/>
        <v>0</v>
      </c>
      <c r="BR205" s="81">
        <f t="shared" si="599"/>
        <v>0</v>
      </c>
      <c r="BS205" s="98"/>
      <c r="BT205" s="98"/>
      <c r="BU205" s="98"/>
      <c r="BV205" s="98"/>
      <c r="BW205" s="98"/>
      <c r="BX205" s="98"/>
      <c r="BY205" s="98"/>
      <c r="BZ205" s="98"/>
      <c r="CA205" s="98"/>
      <c r="CB205" s="98"/>
      <c r="CC205" s="98"/>
      <c r="CD205" s="98"/>
      <c r="CE205" s="82" t="s">
        <v>398</v>
      </c>
      <c r="CF205" s="85"/>
      <c r="CG205" s="24"/>
    </row>
    <row r="206" spans="1:85" ht="24" customHeight="1" x14ac:dyDescent="0.2">
      <c r="A206" s="108">
        <v>90009249189</v>
      </c>
      <c r="B206" s="241" t="s">
        <v>518</v>
      </c>
      <c r="C206" s="285" t="s">
        <v>228</v>
      </c>
      <c r="D206" s="80">
        <f t="shared" si="588"/>
        <v>644518</v>
      </c>
      <c r="E206" s="295">
        <f t="shared" si="589"/>
        <v>644341</v>
      </c>
      <c r="F206" s="81">
        <v>552680</v>
      </c>
      <c r="G206" s="81">
        <f t="shared" si="590"/>
        <v>552115</v>
      </c>
      <c r="H206" s="81">
        <f t="shared" si="591"/>
        <v>-565</v>
      </c>
      <c r="I206" s="81"/>
      <c r="J206" s="81"/>
      <c r="K206" s="81">
        <v>-565</v>
      </c>
      <c r="L206" s="81"/>
      <c r="M206" s="81"/>
      <c r="N206" s="81"/>
      <c r="O206" s="81"/>
      <c r="P206" s="81"/>
      <c r="Q206" s="81"/>
      <c r="R206" s="81"/>
      <c r="S206" s="81"/>
      <c r="T206" s="81"/>
      <c r="U206" s="81"/>
      <c r="V206" s="81"/>
      <c r="W206" s="81"/>
      <c r="X206" s="81"/>
      <c r="Y206" s="81"/>
      <c r="Z206" s="81"/>
      <c r="AA206" s="81"/>
      <c r="AB206" s="81"/>
      <c r="AC206" s="81"/>
      <c r="AD206" s="81"/>
      <c r="AE206" s="81"/>
      <c r="AF206" s="81"/>
      <c r="AG206" s="81">
        <v>85804</v>
      </c>
      <c r="AH206" s="81">
        <f t="shared" si="592"/>
        <v>85627</v>
      </c>
      <c r="AI206" s="81">
        <f t="shared" si="593"/>
        <v>-177</v>
      </c>
      <c r="AJ206" s="81"/>
      <c r="AK206" s="81">
        <v>1567</v>
      </c>
      <c r="AL206" s="81"/>
      <c r="AM206" s="81"/>
      <c r="AN206" s="81"/>
      <c r="AO206" s="81"/>
      <c r="AP206" s="81"/>
      <c r="AQ206" s="81">
        <v>-1744</v>
      </c>
      <c r="AR206" s="81"/>
      <c r="AS206" s="81"/>
      <c r="AT206" s="81">
        <v>6034</v>
      </c>
      <c r="AU206" s="81">
        <f t="shared" si="594"/>
        <v>6599</v>
      </c>
      <c r="AV206" s="81">
        <f t="shared" si="595"/>
        <v>565</v>
      </c>
      <c r="AW206" s="81">
        <v>565</v>
      </c>
      <c r="AX206" s="81"/>
      <c r="AY206" s="81"/>
      <c r="AZ206" s="81"/>
      <c r="BA206" s="81"/>
      <c r="BB206" s="81"/>
      <c r="BC206" s="81"/>
      <c r="BD206" s="81"/>
      <c r="BE206" s="81"/>
      <c r="BF206" s="81"/>
      <c r="BG206" s="81"/>
      <c r="BH206" s="81">
        <v>0</v>
      </c>
      <c r="BI206" s="81">
        <f t="shared" si="596"/>
        <v>0</v>
      </c>
      <c r="BJ206" s="98">
        <f t="shared" si="597"/>
        <v>0</v>
      </c>
      <c r="BK206" s="98"/>
      <c r="BL206" s="98"/>
      <c r="BM206" s="98"/>
      <c r="BN206" s="98"/>
      <c r="BO206" s="98"/>
      <c r="BP206" s="81"/>
      <c r="BQ206" s="81">
        <f t="shared" si="598"/>
        <v>0</v>
      </c>
      <c r="BR206" s="81">
        <f t="shared" si="599"/>
        <v>0</v>
      </c>
      <c r="BS206" s="98"/>
      <c r="BT206" s="98"/>
      <c r="BU206" s="98"/>
      <c r="BV206" s="98"/>
      <c r="BW206" s="98"/>
      <c r="BX206" s="98"/>
      <c r="BY206" s="98"/>
      <c r="BZ206" s="98"/>
      <c r="CA206" s="98"/>
      <c r="CB206" s="98"/>
      <c r="CC206" s="98"/>
      <c r="CD206" s="98"/>
      <c r="CE206" s="82" t="s">
        <v>399</v>
      </c>
      <c r="CF206" s="85"/>
      <c r="CG206" s="24"/>
    </row>
    <row r="207" spans="1:85" x14ac:dyDescent="0.2">
      <c r="A207" s="108"/>
      <c r="B207" s="242"/>
      <c r="C207" s="285" t="s">
        <v>240</v>
      </c>
      <c r="D207" s="80">
        <f t="shared" si="588"/>
        <v>84561</v>
      </c>
      <c r="E207" s="295">
        <f t="shared" si="589"/>
        <v>84561</v>
      </c>
      <c r="F207" s="81">
        <v>78405</v>
      </c>
      <c r="G207" s="81">
        <f t="shared" si="590"/>
        <v>78405</v>
      </c>
      <c r="H207" s="81">
        <f t="shared" si="591"/>
        <v>0</v>
      </c>
      <c r="I207" s="81"/>
      <c r="J207" s="81"/>
      <c r="K207" s="81"/>
      <c r="L207" s="81"/>
      <c r="M207" s="81"/>
      <c r="N207" s="81"/>
      <c r="O207" s="81"/>
      <c r="P207" s="81"/>
      <c r="Q207" s="81"/>
      <c r="R207" s="81"/>
      <c r="S207" s="81"/>
      <c r="T207" s="81"/>
      <c r="U207" s="81"/>
      <c r="V207" s="81"/>
      <c r="W207" s="81"/>
      <c r="X207" s="81"/>
      <c r="Y207" s="81"/>
      <c r="Z207" s="81"/>
      <c r="AA207" s="81"/>
      <c r="AB207" s="81"/>
      <c r="AC207" s="81"/>
      <c r="AD207" s="81"/>
      <c r="AE207" s="81"/>
      <c r="AF207" s="81"/>
      <c r="AG207" s="81">
        <v>0</v>
      </c>
      <c r="AH207" s="81">
        <f t="shared" si="592"/>
        <v>0</v>
      </c>
      <c r="AI207" s="81">
        <f t="shared" si="593"/>
        <v>0</v>
      </c>
      <c r="AJ207" s="81"/>
      <c r="AK207" s="81"/>
      <c r="AL207" s="81"/>
      <c r="AM207" s="81"/>
      <c r="AN207" s="81"/>
      <c r="AO207" s="81"/>
      <c r="AP207" s="81"/>
      <c r="AQ207" s="81"/>
      <c r="AR207" s="81"/>
      <c r="AS207" s="81"/>
      <c r="AT207" s="81">
        <v>6156</v>
      </c>
      <c r="AU207" s="81">
        <f t="shared" si="594"/>
        <v>6156</v>
      </c>
      <c r="AV207" s="81">
        <f t="shared" si="595"/>
        <v>0</v>
      </c>
      <c r="AW207" s="81"/>
      <c r="AX207" s="81"/>
      <c r="AY207" s="81"/>
      <c r="AZ207" s="81"/>
      <c r="BA207" s="81"/>
      <c r="BB207" s="81"/>
      <c r="BC207" s="81"/>
      <c r="BD207" s="81"/>
      <c r="BE207" s="81"/>
      <c r="BF207" s="81"/>
      <c r="BG207" s="81"/>
      <c r="BH207" s="81">
        <v>0</v>
      </c>
      <c r="BI207" s="81">
        <f t="shared" si="596"/>
        <v>0</v>
      </c>
      <c r="BJ207" s="98">
        <f t="shared" si="597"/>
        <v>0</v>
      </c>
      <c r="BK207" s="98"/>
      <c r="BL207" s="98"/>
      <c r="BM207" s="98"/>
      <c r="BN207" s="98"/>
      <c r="BO207" s="98"/>
      <c r="BP207" s="81"/>
      <c r="BQ207" s="81">
        <f t="shared" si="598"/>
        <v>0</v>
      </c>
      <c r="BR207" s="81">
        <f t="shared" si="599"/>
        <v>0</v>
      </c>
      <c r="BS207" s="98"/>
      <c r="BT207" s="98"/>
      <c r="BU207" s="98"/>
      <c r="BV207" s="98"/>
      <c r="BW207" s="98"/>
      <c r="BX207" s="98"/>
      <c r="BY207" s="98"/>
      <c r="BZ207" s="98"/>
      <c r="CA207" s="98"/>
      <c r="CB207" s="98"/>
      <c r="CC207" s="98"/>
      <c r="CD207" s="98"/>
      <c r="CE207" s="82" t="s">
        <v>400</v>
      </c>
      <c r="CF207" s="85"/>
      <c r="CG207" s="24"/>
    </row>
    <row r="208" spans="1:85" ht="24" customHeight="1" x14ac:dyDescent="0.2">
      <c r="A208" s="108">
        <v>90009249136</v>
      </c>
      <c r="B208" s="241" t="s">
        <v>519</v>
      </c>
      <c r="C208" s="285" t="s">
        <v>228</v>
      </c>
      <c r="D208" s="80">
        <f t="shared" si="588"/>
        <v>331285</v>
      </c>
      <c r="E208" s="295">
        <f t="shared" si="589"/>
        <v>332562</v>
      </c>
      <c r="F208" s="81">
        <v>314523</v>
      </c>
      <c r="G208" s="81">
        <f t="shared" si="590"/>
        <v>314483</v>
      </c>
      <c r="H208" s="81">
        <f t="shared" si="591"/>
        <v>-40</v>
      </c>
      <c r="I208" s="81"/>
      <c r="J208" s="81"/>
      <c r="K208" s="81">
        <v>-40</v>
      </c>
      <c r="L208" s="81"/>
      <c r="M208" s="81"/>
      <c r="N208" s="81"/>
      <c r="O208" s="81"/>
      <c r="P208" s="81"/>
      <c r="Q208" s="81"/>
      <c r="R208" s="81"/>
      <c r="S208" s="81"/>
      <c r="T208" s="81"/>
      <c r="U208" s="81"/>
      <c r="V208" s="81"/>
      <c r="W208" s="81"/>
      <c r="X208" s="81"/>
      <c r="Y208" s="81"/>
      <c r="Z208" s="81"/>
      <c r="AA208" s="81"/>
      <c r="AB208" s="81"/>
      <c r="AC208" s="81"/>
      <c r="AD208" s="81"/>
      <c r="AE208" s="81"/>
      <c r="AF208" s="81"/>
      <c r="AG208" s="81">
        <v>16669</v>
      </c>
      <c r="AH208" s="81">
        <f t="shared" si="592"/>
        <v>17946</v>
      </c>
      <c r="AI208" s="81">
        <f t="shared" si="593"/>
        <v>1277</v>
      </c>
      <c r="AJ208" s="81"/>
      <c r="AK208" s="81">
        <v>406</v>
      </c>
      <c r="AL208" s="81"/>
      <c r="AM208" s="81"/>
      <c r="AN208" s="81"/>
      <c r="AO208" s="81"/>
      <c r="AP208" s="81"/>
      <c r="AQ208" s="81">
        <v>871</v>
      </c>
      <c r="AR208" s="81"/>
      <c r="AS208" s="81"/>
      <c r="AT208" s="81">
        <v>93</v>
      </c>
      <c r="AU208" s="81">
        <f t="shared" si="594"/>
        <v>133</v>
      </c>
      <c r="AV208" s="81">
        <f t="shared" si="595"/>
        <v>40</v>
      </c>
      <c r="AW208" s="81">
        <v>40</v>
      </c>
      <c r="AX208" s="81"/>
      <c r="AY208" s="81"/>
      <c r="AZ208" s="81"/>
      <c r="BA208" s="81"/>
      <c r="BB208" s="81"/>
      <c r="BC208" s="81"/>
      <c r="BD208" s="81"/>
      <c r="BE208" s="81"/>
      <c r="BF208" s="81"/>
      <c r="BG208" s="81"/>
      <c r="BH208" s="81">
        <v>0</v>
      </c>
      <c r="BI208" s="81">
        <f t="shared" si="596"/>
        <v>0</v>
      </c>
      <c r="BJ208" s="98">
        <f t="shared" si="597"/>
        <v>0</v>
      </c>
      <c r="BK208" s="98"/>
      <c r="BL208" s="98"/>
      <c r="BM208" s="98"/>
      <c r="BN208" s="98"/>
      <c r="BO208" s="98"/>
      <c r="BP208" s="81"/>
      <c r="BQ208" s="81">
        <f t="shared" si="598"/>
        <v>0</v>
      </c>
      <c r="BR208" s="81">
        <f t="shared" si="599"/>
        <v>0</v>
      </c>
      <c r="BS208" s="98"/>
      <c r="BT208" s="98"/>
      <c r="BU208" s="98"/>
      <c r="BV208" s="98"/>
      <c r="BW208" s="98"/>
      <c r="BX208" s="98"/>
      <c r="BY208" s="98"/>
      <c r="BZ208" s="98"/>
      <c r="CA208" s="98"/>
      <c r="CB208" s="98"/>
      <c r="CC208" s="98"/>
      <c r="CD208" s="98"/>
      <c r="CE208" s="82" t="s">
        <v>401</v>
      </c>
      <c r="CF208" s="85"/>
      <c r="CG208" s="24"/>
    </row>
    <row r="209" spans="1:85" x14ac:dyDescent="0.2">
      <c r="A209" s="108"/>
      <c r="B209" s="242"/>
      <c r="C209" s="285" t="s">
        <v>240</v>
      </c>
      <c r="D209" s="80">
        <f t="shared" si="588"/>
        <v>31436</v>
      </c>
      <c r="E209" s="295">
        <f t="shared" si="589"/>
        <v>31436</v>
      </c>
      <c r="F209" s="81">
        <v>31436</v>
      </c>
      <c r="G209" s="81">
        <f t="shared" si="590"/>
        <v>31436</v>
      </c>
      <c r="H209" s="81">
        <f t="shared" si="591"/>
        <v>0</v>
      </c>
      <c r="I209" s="81"/>
      <c r="J209" s="81"/>
      <c r="K209" s="81"/>
      <c r="L209" s="81"/>
      <c r="M209" s="81"/>
      <c r="N209" s="81"/>
      <c r="O209" s="81"/>
      <c r="P209" s="81"/>
      <c r="Q209" s="81"/>
      <c r="R209" s="81"/>
      <c r="S209" s="81"/>
      <c r="T209" s="81"/>
      <c r="U209" s="81"/>
      <c r="V209" s="81"/>
      <c r="W209" s="81"/>
      <c r="X209" s="81"/>
      <c r="Y209" s="81"/>
      <c r="Z209" s="81"/>
      <c r="AA209" s="81"/>
      <c r="AB209" s="81"/>
      <c r="AC209" s="81"/>
      <c r="AD209" s="81"/>
      <c r="AE209" s="81"/>
      <c r="AF209" s="81"/>
      <c r="AG209" s="81">
        <v>0</v>
      </c>
      <c r="AH209" s="81">
        <f t="shared" si="592"/>
        <v>0</v>
      </c>
      <c r="AI209" s="81">
        <f t="shared" si="593"/>
        <v>0</v>
      </c>
      <c r="AJ209" s="81"/>
      <c r="AK209" s="81"/>
      <c r="AL209" s="81"/>
      <c r="AM209" s="81"/>
      <c r="AN209" s="81"/>
      <c r="AO209" s="81"/>
      <c r="AP209" s="81"/>
      <c r="AQ209" s="81"/>
      <c r="AR209" s="81"/>
      <c r="AS209" s="81"/>
      <c r="AT209" s="81">
        <v>0</v>
      </c>
      <c r="AU209" s="81">
        <f t="shared" si="594"/>
        <v>0</v>
      </c>
      <c r="AV209" s="81">
        <f t="shared" si="595"/>
        <v>0</v>
      </c>
      <c r="AW209" s="81"/>
      <c r="AX209" s="81"/>
      <c r="AY209" s="81"/>
      <c r="AZ209" s="81"/>
      <c r="BA209" s="81"/>
      <c r="BB209" s="81"/>
      <c r="BC209" s="81"/>
      <c r="BD209" s="81"/>
      <c r="BE209" s="81"/>
      <c r="BF209" s="81"/>
      <c r="BG209" s="81"/>
      <c r="BH209" s="81">
        <v>0</v>
      </c>
      <c r="BI209" s="81">
        <f t="shared" si="596"/>
        <v>0</v>
      </c>
      <c r="BJ209" s="98">
        <f t="shared" si="597"/>
        <v>0</v>
      </c>
      <c r="BK209" s="98"/>
      <c r="BL209" s="98"/>
      <c r="BM209" s="98"/>
      <c r="BN209" s="98"/>
      <c r="BO209" s="98"/>
      <c r="BP209" s="81"/>
      <c r="BQ209" s="81">
        <f t="shared" si="598"/>
        <v>0</v>
      </c>
      <c r="BR209" s="81">
        <f t="shared" si="599"/>
        <v>0</v>
      </c>
      <c r="BS209" s="98"/>
      <c r="BT209" s="98"/>
      <c r="BU209" s="98"/>
      <c r="BV209" s="98"/>
      <c r="BW209" s="98"/>
      <c r="BX209" s="98"/>
      <c r="BY209" s="98"/>
      <c r="BZ209" s="98"/>
      <c r="CA209" s="98"/>
      <c r="CB209" s="98"/>
      <c r="CC209" s="98"/>
      <c r="CD209" s="98"/>
      <c r="CE209" s="82" t="s">
        <v>402</v>
      </c>
      <c r="CF209" s="85"/>
      <c r="CG209" s="24"/>
    </row>
    <row r="210" spans="1:85" ht="24" customHeight="1" x14ac:dyDescent="0.2">
      <c r="A210" s="108">
        <v>90009563202</v>
      </c>
      <c r="B210" s="241" t="s">
        <v>520</v>
      </c>
      <c r="C210" s="285" t="s">
        <v>228</v>
      </c>
      <c r="D210" s="80">
        <f t="shared" si="588"/>
        <v>335953</v>
      </c>
      <c r="E210" s="295">
        <f t="shared" si="589"/>
        <v>354070</v>
      </c>
      <c r="F210" s="81">
        <v>166947</v>
      </c>
      <c r="G210" s="81">
        <f t="shared" si="590"/>
        <v>175519</v>
      </c>
      <c r="H210" s="81">
        <f t="shared" si="591"/>
        <v>8572</v>
      </c>
      <c r="I210" s="81"/>
      <c r="J210" s="81"/>
      <c r="K210" s="81"/>
      <c r="L210" s="81"/>
      <c r="M210" s="81"/>
      <c r="N210" s="81"/>
      <c r="O210" s="81"/>
      <c r="P210" s="81"/>
      <c r="Q210" s="81"/>
      <c r="R210" s="81"/>
      <c r="S210" s="81"/>
      <c r="T210" s="81"/>
      <c r="U210" s="81"/>
      <c r="V210" s="81"/>
      <c r="W210" s="81"/>
      <c r="X210" s="81"/>
      <c r="Y210" s="81"/>
      <c r="Z210" s="81">
        <v>8572</v>
      </c>
      <c r="AA210" s="81"/>
      <c r="AB210" s="81"/>
      <c r="AC210" s="81"/>
      <c r="AD210" s="81"/>
      <c r="AE210" s="81"/>
      <c r="AF210" s="81"/>
      <c r="AG210" s="81">
        <v>168028</v>
      </c>
      <c r="AH210" s="81">
        <f t="shared" si="592"/>
        <v>177573</v>
      </c>
      <c r="AI210" s="81">
        <f t="shared" si="593"/>
        <v>9545</v>
      </c>
      <c r="AJ210" s="81"/>
      <c r="AK210" s="81">
        <f>516+4682</f>
        <v>5198</v>
      </c>
      <c r="AL210" s="81"/>
      <c r="AM210" s="81"/>
      <c r="AN210" s="81"/>
      <c r="AO210" s="81"/>
      <c r="AP210" s="81">
        <v>2135</v>
      </c>
      <c r="AQ210" s="81">
        <v>2212</v>
      </c>
      <c r="AR210" s="81"/>
      <c r="AS210" s="81"/>
      <c r="AT210" s="81">
        <v>978</v>
      </c>
      <c r="AU210" s="81">
        <f t="shared" si="594"/>
        <v>978</v>
      </c>
      <c r="AV210" s="81">
        <f t="shared" si="595"/>
        <v>0</v>
      </c>
      <c r="AW210" s="81"/>
      <c r="AX210" s="81"/>
      <c r="AY210" s="81"/>
      <c r="AZ210" s="81"/>
      <c r="BA210" s="81"/>
      <c r="BB210" s="81"/>
      <c r="BC210" s="81"/>
      <c r="BD210" s="81"/>
      <c r="BE210" s="81"/>
      <c r="BF210" s="81"/>
      <c r="BG210" s="81"/>
      <c r="BH210" s="81">
        <v>0</v>
      </c>
      <c r="BI210" s="81">
        <f t="shared" si="596"/>
        <v>0</v>
      </c>
      <c r="BJ210" s="98">
        <f t="shared" si="597"/>
        <v>0</v>
      </c>
      <c r="BK210" s="98"/>
      <c r="BL210" s="98"/>
      <c r="BM210" s="98"/>
      <c r="BN210" s="98"/>
      <c r="BO210" s="98"/>
      <c r="BP210" s="81"/>
      <c r="BQ210" s="81">
        <f t="shared" si="598"/>
        <v>0</v>
      </c>
      <c r="BR210" s="81">
        <f t="shared" si="599"/>
        <v>0</v>
      </c>
      <c r="BS210" s="98"/>
      <c r="BT210" s="98"/>
      <c r="BU210" s="98"/>
      <c r="BV210" s="98"/>
      <c r="BW210" s="98"/>
      <c r="BX210" s="98"/>
      <c r="BY210" s="98"/>
      <c r="BZ210" s="98"/>
      <c r="CA210" s="98"/>
      <c r="CB210" s="98"/>
      <c r="CC210" s="98"/>
      <c r="CD210" s="98"/>
      <c r="CE210" s="82" t="s">
        <v>403</v>
      </c>
      <c r="CF210" s="85"/>
      <c r="CG210" s="24"/>
    </row>
    <row r="211" spans="1:85" s="169" customFormat="1" x14ac:dyDescent="0.2">
      <c r="A211" s="108"/>
      <c r="B211" s="242"/>
      <c r="C211" s="285" t="s">
        <v>240</v>
      </c>
      <c r="D211" s="80">
        <f t="shared" si="588"/>
        <v>21081</v>
      </c>
      <c r="E211" s="295">
        <f t="shared" si="589"/>
        <v>21081</v>
      </c>
      <c r="F211" s="81">
        <v>21081</v>
      </c>
      <c r="G211" s="81">
        <f t="shared" si="590"/>
        <v>21081</v>
      </c>
      <c r="H211" s="81">
        <f t="shared" si="591"/>
        <v>0</v>
      </c>
      <c r="I211" s="81"/>
      <c r="J211" s="81"/>
      <c r="K211" s="81"/>
      <c r="L211" s="81"/>
      <c r="M211" s="81"/>
      <c r="N211" s="81"/>
      <c r="O211" s="81"/>
      <c r="P211" s="81"/>
      <c r="Q211" s="81"/>
      <c r="R211" s="81"/>
      <c r="S211" s="81"/>
      <c r="T211" s="81"/>
      <c r="U211" s="81"/>
      <c r="V211" s="81"/>
      <c r="W211" s="81"/>
      <c r="X211" s="81"/>
      <c r="Y211" s="81"/>
      <c r="Z211" s="81"/>
      <c r="AA211" s="81"/>
      <c r="AB211" s="81"/>
      <c r="AC211" s="81"/>
      <c r="AD211" s="81"/>
      <c r="AE211" s="81"/>
      <c r="AF211" s="81"/>
      <c r="AG211" s="81">
        <v>0</v>
      </c>
      <c r="AH211" s="81">
        <f t="shared" si="592"/>
        <v>0</v>
      </c>
      <c r="AI211" s="81">
        <f t="shared" si="593"/>
        <v>0</v>
      </c>
      <c r="AJ211" s="81"/>
      <c r="AK211" s="81"/>
      <c r="AL211" s="81"/>
      <c r="AM211" s="81"/>
      <c r="AN211" s="81"/>
      <c r="AO211" s="81"/>
      <c r="AP211" s="81"/>
      <c r="AQ211" s="81"/>
      <c r="AR211" s="81"/>
      <c r="AS211" s="81"/>
      <c r="AT211" s="81">
        <v>0</v>
      </c>
      <c r="AU211" s="81">
        <f t="shared" si="594"/>
        <v>0</v>
      </c>
      <c r="AV211" s="81">
        <f t="shared" si="595"/>
        <v>0</v>
      </c>
      <c r="AW211" s="81"/>
      <c r="AX211" s="81"/>
      <c r="AY211" s="81"/>
      <c r="AZ211" s="81"/>
      <c r="BA211" s="81"/>
      <c r="BB211" s="81"/>
      <c r="BC211" s="81"/>
      <c r="BD211" s="81"/>
      <c r="BE211" s="81"/>
      <c r="BF211" s="81"/>
      <c r="BG211" s="81"/>
      <c r="BH211" s="81">
        <v>0</v>
      </c>
      <c r="BI211" s="81">
        <f t="shared" si="596"/>
        <v>0</v>
      </c>
      <c r="BJ211" s="98">
        <f t="shared" si="597"/>
        <v>0</v>
      </c>
      <c r="BK211" s="98"/>
      <c r="BL211" s="98"/>
      <c r="BM211" s="98"/>
      <c r="BN211" s="98"/>
      <c r="BO211" s="98"/>
      <c r="BP211" s="81"/>
      <c r="BQ211" s="81">
        <f t="shared" si="598"/>
        <v>0</v>
      </c>
      <c r="BR211" s="81">
        <f t="shared" si="599"/>
        <v>0</v>
      </c>
      <c r="BS211" s="98"/>
      <c r="BT211" s="98"/>
      <c r="BU211" s="98"/>
      <c r="BV211" s="98"/>
      <c r="BW211" s="98"/>
      <c r="BX211" s="98"/>
      <c r="BY211" s="98"/>
      <c r="BZ211" s="98"/>
      <c r="CA211" s="98"/>
      <c r="CB211" s="98"/>
      <c r="CC211" s="98"/>
      <c r="CD211" s="98"/>
      <c r="CE211" s="82" t="s">
        <v>497</v>
      </c>
      <c r="CF211" s="85"/>
      <c r="CG211" s="24"/>
    </row>
    <row r="212" spans="1:85" ht="24" customHeight="1" x14ac:dyDescent="0.2">
      <c r="A212" s="108">
        <v>90009249206</v>
      </c>
      <c r="B212" s="241" t="s">
        <v>521</v>
      </c>
      <c r="C212" s="285" t="s">
        <v>228</v>
      </c>
      <c r="D212" s="80">
        <f t="shared" ref="D212:D244" si="708">F212+AG212+AT212+BH212+BP212</f>
        <v>662588</v>
      </c>
      <c r="E212" s="295">
        <f t="shared" ref="E212:E244" si="709">G212+AH212+AU212+BI212+BQ212</f>
        <v>672585</v>
      </c>
      <c r="F212" s="81">
        <v>613785</v>
      </c>
      <c r="G212" s="81">
        <f t="shared" ref="G212:G244" si="710">F212+H212</f>
        <v>613625</v>
      </c>
      <c r="H212" s="81">
        <f t="shared" ref="H212:H244" si="711">SUM(I212:AF212)</f>
        <v>-160</v>
      </c>
      <c r="I212" s="81"/>
      <c r="J212" s="81"/>
      <c r="K212" s="81">
        <v>-160</v>
      </c>
      <c r="L212" s="81"/>
      <c r="M212" s="81"/>
      <c r="N212" s="81"/>
      <c r="O212" s="81"/>
      <c r="P212" s="81"/>
      <c r="Q212" s="81"/>
      <c r="R212" s="81"/>
      <c r="S212" s="81"/>
      <c r="T212" s="81"/>
      <c r="U212" s="81"/>
      <c r="V212" s="81"/>
      <c r="W212" s="81"/>
      <c r="X212" s="81"/>
      <c r="Y212" s="81"/>
      <c r="Z212" s="81"/>
      <c r="AA212" s="81"/>
      <c r="AB212" s="81"/>
      <c r="AC212" s="81"/>
      <c r="AD212" s="81"/>
      <c r="AE212" s="81"/>
      <c r="AF212" s="81"/>
      <c r="AG212" s="81">
        <v>42602</v>
      </c>
      <c r="AH212" s="81">
        <f t="shared" ref="AH212:AH244" si="712">AG212+AI212</f>
        <v>52599</v>
      </c>
      <c r="AI212" s="81">
        <f t="shared" ref="AI212:AI244" si="713">SUM(AJ212:AS212)</f>
        <v>9997</v>
      </c>
      <c r="AJ212" s="81"/>
      <c r="AK212" s="81">
        <v>1051</v>
      </c>
      <c r="AL212" s="81"/>
      <c r="AM212" s="81"/>
      <c r="AN212" s="81"/>
      <c r="AO212" s="81"/>
      <c r="AP212" s="81"/>
      <c r="AQ212" s="81">
        <v>8946</v>
      </c>
      <c r="AR212" s="81"/>
      <c r="AS212" s="81"/>
      <c r="AT212" s="81">
        <v>6201</v>
      </c>
      <c r="AU212" s="81">
        <f t="shared" ref="AU212:AU244" si="714">AT212+AV212</f>
        <v>6361</v>
      </c>
      <c r="AV212" s="81">
        <f t="shared" ref="AV212:AV244" si="715">SUM(AW212:BG212)</f>
        <v>160</v>
      </c>
      <c r="AW212" s="81">
        <v>160</v>
      </c>
      <c r="AX212" s="81"/>
      <c r="AY212" s="81"/>
      <c r="AZ212" s="81"/>
      <c r="BA212" s="81"/>
      <c r="BB212" s="81"/>
      <c r="BC212" s="81"/>
      <c r="BD212" s="81"/>
      <c r="BE212" s="81"/>
      <c r="BF212" s="81"/>
      <c r="BG212" s="81"/>
      <c r="BH212" s="81">
        <v>0</v>
      </c>
      <c r="BI212" s="81">
        <f t="shared" ref="BI212:BI244" si="716">BH212+BJ212</f>
        <v>0</v>
      </c>
      <c r="BJ212" s="98">
        <f t="shared" ref="BJ212:BJ244" si="717">SUM(BK212:BO212)</f>
        <v>0</v>
      </c>
      <c r="BK212" s="98"/>
      <c r="BL212" s="98"/>
      <c r="BM212" s="98"/>
      <c r="BN212" s="98"/>
      <c r="BO212" s="98"/>
      <c r="BP212" s="81"/>
      <c r="BQ212" s="81">
        <f t="shared" ref="BQ212:BQ244" si="718">BP212+BR212</f>
        <v>0</v>
      </c>
      <c r="BR212" s="81">
        <f t="shared" ref="BR212:BR244" si="719">SUM(BS212:CD212)</f>
        <v>0</v>
      </c>
      <c r="BS212" s="98"/>
      <c r="BT212" s="98"/>
      <c r="BU212" s="98"/>
      <c r="BV212" s="98"/>
      <c r="BW212" s="98"/>
      <c r="BX212" s="98"/>
      <c r="BY212" s="98"/>
      <c r="BZ212" s="98"/>
      <c r="CA212" s="98"/>
      <c r="CB212" s="98"/>
      <c r="CC212" s="98"/>
      <c r="CD212" s="98"/>
      <c r="CE212" s="82" t="s">
        <v>404</v>
      </c>
      <c r="CF212" s="85"/>
      <c r="CG212" s="24"/>
    </row>
    <row r="213" spans="1:85" x14ac:dyDescent="0.2">
      <c r="A213" s="108"/>
      <c r="B213" s="242"/>
      <c r="C213" s="285" t="s">
        <v>240</v>
      </c>
      <c r="D213" s="80">
        <f t="shared" si="708"/>
        <v>79884</v>
      </c>
      <c r="E213" s="295">
        <f t="shared" si="709"/>
        <v>79884</v>
      </c>
      <c r="F213" s="81">
        <v>79884</v>
      </c>
      <c r="G213" s="81">
        <f t="shared" si="710"/>
        <v>79884</v>
      </c>
      <c r="H213" s="81">
        <f t="shared" si="711"/>
        <v>0</v>
      </c>
      <c r="I213" s="81"/>
      <c r="J213" s="81"/>
      <c r="K213" s="81"/>
      <c r="L213" s="81"/>
      <c r="M213" s="81"/>
      <c r="N213" s="81"/>
      <c r="O213" s="81"/>
      <c r="P213" s="81"/>
      <c r="Q213" s="81"/>
      <c r="R213" s="81"/>
      <c r="S213" s="81"/>
      <c r="T213" s="81"/>
      <c r="U213" s="81"/>
      <c r="V213" s="81"/>
      <c r="W213" s="81"/>
      <c r="X213" s="81"/>
      <c r="Y213" s="81"/>
      <c r="Z213" s="81"/>
      <c r="AA213" s="81"/>
      <c r="AB213" s="81"/>
      <c r="AC213" s="81"/>
      <c r="AD213" s="81"/>
      <c r="AE213" s="81"/>
      <c r="AF213" s="81"/>
      <c r="AG213" s="81">
        <v>0</v>
      </c>
      <c r="AH213" s="81">
        <f t="shared" si="712"/>
        <v>0</v>
      </c>
      <c r="AI213" s="81">
        <f t="shared" si="713"/>
        <v>0</v>
      </c>
      <c r="AJ213" s="81"/>
      <c r="AK213" s="81"/>
      <c r="AL213" s="81"/>
      <c r="AM213" s="81"/>
      <c r="AN213" s="81"/>
      <c r="AO213" s="81"/>
      <c r="AP213" s="81"/>
      <c r="AQ213" s="81"/>
      <c r="AR213" s="81"/>
      <c r="AS213" s="81"/>
      <c r="AT213" s="81">
        <v>0</v>
      </c>
      <c r="AU213" s="81">
        <f t="shared" si="714"/>
        <v>0</v>
      </c>
      <c r="AV213" s="81">
        <f t="shared" si="715"/>
        <v>0</v>
      </c>
      <c r="AW213" s="81"/>
      <c r="AX213" s="81"/>
      <c r="AY213" s="81"/>
      <c r="AZ213" s="81"/>
      <c r="BA213" s="81"/>
      <c r="BB213" s="81"/>
      <c r="BC213" s="81"/>
      <c r="BD213" s="81"/>
      <c r="BE213" s="81"/>
      <c r="BF213" s="81"/>
      <c r="BG213" s="81"/>
      <c r="BH213" s="81">
        <v>0</v>
      </c>
      <c r="BI213" s="81">
        <f t="shared" si="716"/>
        <v>0</v>
      </c>
      <c r="BJ213" s="98">
        <f t="shared" si="717"/>
        <v>0</v>
      </c>
      <c r="BK213" s="98"/>
      <c r="BL213" s="98"/>
      <c r="BM213" s="98"/>
      <c r="BN213" s="98"/>
      <c r="BO213" s="98"/>
      <c r="BP213" s="81"/>
      <c r="BQ213" s="81">
        <f t="shared" si="718"/>
        <v>0</v>
      </c>
      <c r="BR213" s="81">
        <f t="shared" si="719"/>
        <v>0</v>
      </c>
      <c r="BS213" s="98"/>
      <c r="BT213" s="98"/>
      <c r="BU213" s="98"/>
      <c r="BV213" s="98"/>
      <c r="BW213" s="98"/>
      <c r="BX213" s="98"/>
      <c r="BY213" s="98"/>
      <c r="BZ213" s="98"/>
      <c r="CA213" s="98"/>
      <c r="CB213" s="98"/>
      <c r="CC213" s="98"/>
      <c r="CD213" s="98"/>
      <c r="CE213" s="82" t="s">
        <v>405</v>
      </c>
      <c r="CF213" s="85"/>
      <c r="CG213" s="24"/>
    </row>
    <row r="214" spans="1:85" s="198" customFormat="1" x14ac:dyDescent="0.2">
      <c r="A214" s="108"/>
      <c r="B214" s="242"/>
      <c r="C214" s="401" t="s">
        <v>843</v>
      </c>
      <c r="D214" s="80">
        <f t="shared" si="708"/>
        <v>0</v>
      </c>
      <c r="E214" s="295">
        <f t="shared" si="709"/>
        <v>3151</v>
      </c>
      <c r="F214" s="81"/>
      <c r="G214" s="81">
        <f t="shared" si="710"/>
        <v>3151</v>
      </c>
      <c r="H214" s="81">
        <f t="shared" si="711"/>
        <v>3151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  <c r="V214" s="81"/>
      <c r="W214" s="81"/>
      <c r="X214" s="81"/>
      <c r="Y214" s="81">
        <v>3151</v>
      </c>
      <c r="Z214" s="81"/>
      <c r="AA214" s="81"/>
      <c r="AB214" s="81"/>
      <c r="AC214" s="81"/>
      <c r="AD214" s="81"/>
      <c r="AE214" s="81"/>
      <c r="AF214" s="81"/>
      <c r="AG214" s="81"/>
      <c r="AH214" s="81">
        <f t="shared" si="712"/>
        <v>0</v>
      </c>
      <c r="AI214" s="81">
        <f t="shared" si="713"/>
        <v>0</v>
      </c>
      <c r="AJ214" s="81"/>
      <c r="AK214" s="81"/>
      <c r="AL214" s="81"/>
      <c r="AM214" s="81"/>
      <c r="AN214" s="81"/>
      <c r="AO214" s="81"/>
      <c r="AP214" s="81"/>
      <c r="AQ214" s="81"/>
      <c r="AR214" s="81"/>
      <c r="AS214" s="81"/>
      <c r="AT214" s="81"/>
      <c r="AU214" s="81">
        <f t="shared" si="714"/>
        <v>0</v>
      </c>
      <c r="AV214" s="81">
        <f t="shared" si="715"/>
        <v>0</v>
      </c>
      <c r="AW214" s="81"/>
      <c r="AX214" s="81"/>
      <c r="AY214" s="81"/>
      <c r="AZ214" s="81"/>
      <c r="BA214" s="81"/>
      <c r="BB214" s="81"/>
      <c r="BC214" s="81"/>
      <c r="BD214" s="81"/>
      <c r="BE214" s="81"/>
      <c r="BF214" s="81"/>
      <c r="BG214" s="81"/>
      <c r="BH214" s="81"/>
      <c r="BI214" s="81">
        <f t="shared" si="716"/>
        <v>0</v>
      </c>
      <c r="BJ214" s="98">
        <f t="shared" si="717"/>
        <v>0</v>
      </c>
      <c r="BK214" s="98"/>
      <c r="BL214" s="98"/>
      <c r="BM214" s="98"/>
      <c r="BN214" s="98"/>
      <c r="BO214" s="98"/>
      <c r="BP214" s="81"/>
      <c r="BQ214" s="81">
        <f t="shared" si="718"/>
        <v>0</v>
      </c>
      <c r="BR214" s="81">
        <f t="shared" si="719"/>
        <v>0</v>
      </c>
      <c r="BS214" s="98"/>
      <c r="BT214" s="98"/>
      <c r="BU214" s="98"/>
      <c r="BV214" s="98"/>
      <c r="BW214" s="98"/>
      <c r="BX214" s="98"/>
      <c r="BY214" s="98"/>
      <c r="BZ214" s="98"/>
      <c r="CA214" s="98"/>
      <c r="CB214" s="98"/>
      <c r="CC214" s="98"/>
      <c r="CD214" s="98"/>
      <c r="CE214" s="82" t="s">
        <v>844</v>
      </c>
      <c r="CF214" s="85"/>
      <c r="CG214" s="24"/>
    </row>
    <row r="215" spans="1:85" s="198" customFormat="1" ht="24" x14ac:dyDescent="0.2">
      <c r="A215" s="108"/>
      <c r="B215" s="242"/>
      <c r="C215" s="403" t="s">
        <v>850</v>
      </c>
      <c r="D215" s="80">
        <f t="shared" si="708"/>
        <v>0</v>
      </c>
      <c r="E215" s="295">
        <f t="shared" si="709"/>
        <v>2484</v>
      </c>
      <c r="F215" s="81"/>
      <c r="G215" s="81">
        <f t="shared" si="710"/>
        <v>2484</v>
      </c>
      <c r="H215" s="81">
        <f t="shared" si="711"/>
        <v>2484</v>
      </c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  <c r="V215" s="81"/>
      <c r="W215" s="81"/>
      <c r="X215" s="81"/>
      <c r="Y215" s="81"/>
      <c r="Z215" s="81">
        <v>2484</v>
      </c>
      <c r="AA215" s="81"/>
      <c r="AB215" s="81"/>
      <c r="AC215" s="81"/>
      <c r="AD215" s="81"/>
      <c r="AE215" s="81"/>
      <c r="AF215" s="81"/>
      <c r="AG215" s="81"/>
      <c r="AH215" s="81">
        <f t="shared" si="712"/>
        <v>0</v>
      </c>
      <c r="AI215" s="81">
        <f t="shared" si="713"/>
        <v>0</v>
      </c>
      <c r="AJ215" s="81"/>
      <c r="AK215" s="81"/>
      <c r="AL215" s="81"/>
      <c r="AM215" s="81"/>
      <c r="AN215" s="81"/>
      <c r="AO215" s="81"/>
      <c r="AP215" s="81"/>
      <c r="AQ215" s="81"/>
      <c r="AR215" s="81"/>
      <c r="AS215" s="81"/>
      <c r="AT215" s="81"/>
      <c r="AU215" s="81">
        <f t="shared" ref="AU215" si="720">AT215+AV215</f>
        <v>0</v>
      </c>
      <c r="AV215" s="81">
        <f t="shared" ref="AV215" si="721">SUM(AW215:BG215)</f>
        <v>0</v>
      </c>
      <c r="AW215" s="81"/>
      <c r="AX215" s="81"/>
      <c r="AY215" s="81"/>
      <c r="AZ215" s="81"/>
      <c r="BA215" s="81"/>
      <c r="BB215" s="81"/>
      <c r="BC215" s="81"/>
      <c r="BD215" s="81"/>
      <c r="BE215" s="81"/>
      <c r="BF215" s="81"/>
      <c r="BG215" s="81"/>
      <c r="BH215" s="81"/>
      <c r="BI215" s="81">
        <f t="shared" ref="BI215" si="722">BH215+BJ215</f>
        <v>0</v>
      </c>
      <c r="BJ215" s="98">
        <f t="shared" ref="BJ215" si="723">SUM(BK215:BO215)</f>
        <v>0</v>
      </c>
      <c r="BK215" s="98"/>
      <c r="BL215" s="98"/>
      <c r="BM215" s="98"/>
      <c r="BN215" s="98"/>
      <c r="BO215" s="98"/>
      <c r="BP215" s="81"/>
      <c r="BQ215" s="81">
        <f t="shared" ref="BQ215" si="724">BP215+BR215</f>
        <v>0</v>
      </c>
      <c r="BR215" s="81">
        <f t="shared" ref="BR215" si="725">SUM(BS215:CD215)</f>
        <v>0</v>
      </c>
      <c r="BS215" s="98"/>
      <c r="BT215" s="98"/>
      <c r="BU215" s="98"/>
      <c r="BV215" s="98"/>
      <c r="BW215" s="98"/>
      <c r="BX215" s="98"/>
      <c r="BY215" s="98"/>
      <c r="BZ215" s="98"/>
      <c r="CA215" s="98"/>
      <c r="CB215" s="98"/>
      <c r="CC215" s="98"/>
      <c r="CD215" s="98"/>
      <c r="CE215" s="82" t="s">
        <v>851</v>
      </c>
      <c r="CF215" s="85"/>
      <c r="CG215" s="24"/>
    </row>
    <row r="216" spans="1:85" ht="24" customHeight="1" x14ac:dyDescent="0.2">
      <c r="A216" s="108">
        <v>90009251357</v>
      </c>
      <c r="B216" s="241" t="s">
        <v>522</v>
      </c>
      <c r="C216" s="285" t="s">
        <v>228</v>
      </c>
      <c r="D216" s="80">
        <f t="shared" si="708"/>
        <v>407798</v>
      </c>
      <c r="E216" s="295">
        <f t="shared" si="709"/>
        <v>413008</v>
      </c>
      <c r="F216" s="81">
        <v>375064</v>
      </c>
      <c r="G216" s="81">
        <f t="shared" si="710"/>
        <v>375064</v>
      </c>
      <c r="H216" s="81">
        <f t="shared" si="711"/>
        <v>0</v>
      </c>
      <c r="I216" s="81"/>
      <c r="J216" s="81"/>
      <c r="K216" s="81"/>
      <c r="L216" s="81"/>
      <c r="M216" s="81"/>
      <c r="N216" s="81"/>
      <c r="O216" s="81"/>
      <c r="P216" s="81"/>
      <c r="Q216" s="81"/>
      <c r="R216" s="81"/>
      <c r="S216" s="81"/>
      <c r="T216" s="81"/>
      <c r="U216" s="81"/>
      <c r="V216" s="81"/>
      <c r="W216" s="81"/>
      <c r="X216" s="81"/>
      <c r="Y216" s="81"/>
      <c r="Z216" s="81"/>
      <c r="AA216" s="81"/>
      <c r="AB216" s="81"/>
      <c r="AC216" s="81"/>
      <c r="AD216" s="81"/>
      <c r="AE216" s="81"/>
      <c r="AF216" s="81"/>
      <c r="AG216" s="81">
        <v>30638</v>
      </c>
      <c r="AH216" s="81">
        <f t="shared" si="712"/>
        <v>35848</v>
      </c>
      <c r="AI216" s="81">
        <f t="shared" si="713"/>
        <v>5210</v>
      </c>
      <c r="AJ216" s="81"/>
      <c r="AK216" s="81">
        <v>756</v>
      </c>
      <c r="AL216" s="81"/>
      <c r="AM216" s="81"/>
      <c r="AN216" s="81"/>
      <c r="AO216" s="81"/>
      <c r="AP216" s="81"/>
      <c r="AQ216" s="81">
        <v>4454</v>
      </c>
      <c r="AR216" s="81"/>
      <c r="AS216" s="81"/>
      <c r="AT216" s="81">
        <v>2096</v>
      </c>
      <c r="AU216" s="81">
        <f t="shared" si="714"/>
        <v>2096</v>
      </c>
      <c r="AV216" s="81">
        <f t="shared" si="715"/>
        <v>0</v>
      </c>
      <c r="AW216" s="81"/>
      <c r="AX216" s="81"/>
      <c r="AY216" s="81"/>
      <c r="AZ216" s="81"/>
      <c r="BA216" s="81"/>
      <c r="BB216" s="81"/>
      <c r="BC216" s="81"/>
      <c r="BD216" s="81"/>
      <c r="BE216" s="81"/>
      <c r="BF216" s="81"/>
      <c r="BG216" s="81"/>
      <c r="BH216" s="81">
        <v>0</v>
      </c>
      <c r="BI216" s="81">
        <f t="shared" si="716"/>
        <v>0</v>
      </c>
      <c r="BJ216" s="98">
        <f t="shared" si="717"/>
        <v>0</v>
      </c>
      <c r="BK216" s="98"/>
      <c r="BL216" s="98"/>
      <c r="BM216" s="98"/>
      <c r="BN216" s="98"/>
      <c r="BO216" s="98"/>
      <c r="BP216" s="81"/>
      <c r="BQ216" s="81">
        <f t="shared" si="718"/>
        <v>0</v>
      </c>
      <c r="BR216" s="81">
        <f t="shared" si="719"/>
        <v>0</v>
      </c>
      <c r="BS216" s="98"/>
      <c r="BT216" s="98"/>
      <c r="BU216" s="98"/>
      <c r="BV216" s="98"/>
      <c r="BW216" s="98"/>
      <c r="BX216" s="98"/>
      <c r="BY216" s="98"/>
      <c r="BZ216" s="98"/>
      <c r="CA216" s="98"/>
      <c r="CB216" s="98"/>
      <c r="CC216" s="98"/>
      <c r="CD216" s="98"/>
      <c r="CE216" s="82" t="s">
        <v>406</v>
      </c>
      <c r="CF216" s="85"/>
      <c r="CG216" s="24"/>
    </row>
    <row r="217" spans="1:85" ht="12.75" x14ac:dyDescent="0.2">
      <c r="A217" s="108"/>
      <c r="B217" s="243"/>
      <c r="C217" s="285" t="s">
        <v>240</v>
      </c>
      <c r="D217" s="80">
        <f t="shared" si="708"/>
        <v>49455</v>
      </c>
      <c r="E217" s="295">
        <f t="shared" si="709"/>
        <v>49981</v>
      </c>
      <c r="F217" s="81">
        <v>43641</v>
      </c>
      <c r="G217" s="81">
        <f t="shared" si="710"/>
        <v>43641</v>
      </c>
      <c r="H217" s="81">
        <f t="shared" si="711"/>
        <v>0</v>
      </c>
      <c r="I217" s="81"/>
      <c r="J217" s="81"/>
      <c r="K217" s="81"/>
      <c r="L217" s="81"/>
      <c r="M217" s="81"/>
      <c r="N217" s="81"/>
      <c r="O217" s="81"/>
      <c r="P217" s="81"/>
      <c r="Q217" s="81"/>
      <c r="R217" s="81"/>
      <c r="S217" s="81"/>
      <c r="T217" s="81"/>
      <c r="U217" s="81"/>
      <c r="V217" s="81"/>
      <c r="W217" s="81"/>
      <c r="X217" s="81"/>
      <c r="Y217" s="81"/>
      <c r="Z217" s="81"/>
      <c r="AA217" s="81"/>
      <c r="AB217" s="81"/>
      <c r="AC217" s="81"/>
      <c r="AD217" s="81"/>
      <c r="AE217" s="81"/>
      <c r="AF217" s="81"/>
      <c r="AG217" s="81">
        <v>0</v>
      </c>
      <c r="AH217" s="81">
        <f t="shared" si="712"/>
        <v>0</v>
      </c>
      <c r="AI217" s="81">
        <f t="shared" si="713"/>
        <v>0</v>
      </c>
      <c r="AJ217" s="81"/>
      <c r="AK217" s="81"/>
      <c r="AL217" s="81"/>
      <c r="AM217" s="81"/>
      <c r="AN217" s="81"/>
      <c r="AO217" s="81"/>
      <c r="AP217" s="81"/>
      <c r="AQ217" s="81"/>
      <c r="AR217" s="81"/>
      <c r="AS217" s="81"/>
      <c r="AT217" s="81">
        <v>5814</v>
      </c>
      <c r="AU217" s="81">
        <f t="shared" si="714"/>
        <v>6340</v>
      </c>
      <c r="AV217" s="81">
        <f t="shared" si="715"/>
        <v>526</v>
      </c>
      <c r="AW217" s="81">
        <v>526</v>
      </c>
      <c r="AX217" s="81"/>
      <c r="AY217" s="81"/>
      <c r="AZ217" s="81"/>
      <c r="BA217" s="81"/>
      <c r="BB217" s="81"/>
      <c r="BC217" s="81"/>
      <c r="BD217" s="81"/>
      <c r="BE217" s="81"/>
      <c r="BF217" s="81"/>
      <c r="BG217" s="81"/>
      <c r="BH217" s="81">
        <v>0</v>
      </c>
      <c r="BI217" s="81">
        <f t="shared" si="716"/>
        <v>0</v>
      </c>
      <c r="BJ217" s="98">
        <f t="shared" si="717"/>
        <v>0</v>
      </c>
      <c r="BK217" s="98"/>
      <c r="BL217" s="98"/>
      <c r="BM217" s="98"/>
      <c r="BN217" s="98"/>
      <c r="BO217" s="98"/>
      <c r="BP217" s="81"/>
      <c r="BQ217" s="81">
        <f t="shared" si="718"/>
        <v>0</v>
      </c>
      <c r="BR217" s="81">
        <f t="shared" si="719"/>
        <v>0</v>
      </c>
      <c r="BS217" s="98"/>
      <c r="BT217" s="98"/>
      <c r="BU217" s="98"/>
      <c r="BV217" s="98"/>
      <c r="BW217" s="98"/>
      <c r="BX217" s="98"/>
      <c r="BY217" s="98"/>
      <c r="BZ217" s="98"/>
      <c r="CA217" s="98"/>
      <c r="CB217" s="98"/>
      <c r="CC217" s="98"/>
      <c r="CD217" s="98"/>
      <c r="CE217" s="82" t="s">
        <v>407</v>
      </c>
      <c r="CF217" s="85"/>
      <c r="CG217" s="24"/>
    </row>
    <row r="218" spans="1:85" ht="24" customHeight="1" x14ac:dyDescent="0.2">
      <c r="A218" s="108">
        <v>90000051542</v>
      </c>
      <c r="B218" s="241" t="s">
        <v>20</v>
      </c>
      <c r="C218" s="285" t="s">
        <v>227</v>
      </c>
      <c r="D218" s="80">
        <f t="shared" si="708"/>
        <v>1500893</v>
      </c>
      <c r="E218" s="295">
        <f t="shared" si="709"/>
        <v>1565639</v>
      </c>
      <c r="F218" s="81">
        <v>506018</v>
      </c>
      <c r="G218" s="81">
        <f t="shared" si="710"/>
        <v>508856</v>
      </c>
      <c r="H218" s="81">
        <f t="shared" si="711"/>
        <v>2838</v>
      </c>
      <c r="I218" s="81"/>
      <c r="J218" s="81"/>
      <c r="K218" s="81">
        <v>-8429</v>
      </c>
      <c r="L218" s="81"/>
      <c r="M218" s="81"/>
      <c r="N218" s="81"/>
      <c r="O218" s="81"/>
      <c r="P218" s="81"/>
      <c r="Q218" s="81"/>
      <c r="R218" s="81"/>
      <c r="S218" s="81"/>
      <c r="T218" s="81"/>
      <c r="U218" s="81"/>
      <c r="V218" s="81"/>
      <c r="W218" s="81">
        <v>11267</v>
      </c>
      <c r="X218" s="81"/>
      <c r="Y218" s="81"/>
      <c r="Z218" s="81"/>
      <c r="AA218" s="81"/>
      <c r="AB218" s="81"/>
      <c r="AC218" s="81"/>
      <c r="AD218" s="81"/>
      <c r="AE218" s="81"/>
      <c r="AF218" s="81"/>
      <c r="AG218" s="81">
        <v>962055</v>
      </c>
      <c r="AH218" s="81">
        <f t="shared" si="712"/>
        <v>1015534</v>
      </c>
      <c r="AI218" s="81">
        <f t="shared" si="713"/>
        <v>53479</v>
      </c>
      <c r="AJ218" s="81">
        <f>4130-1291</f>
        <v>2839</v>
      </c>
      <c r="AK218" s="81">
        <f>11580+855+599</f>
        <v>13034</v>
      </c>
      <c r="AL218" s="81"/>
      <c r="AM218" s="81"/>
      <c r="AN218" s="81">
        <v>-894</v>
      </c>
      <c r="AO218" s="81"/>
      <c r="AP218" s="81">
        <v>4130</v>
      </c>
      <c r="AQ218" s="81">
        <f>44435-459+2182-9499-2289</f>
        <v>34370</v>
      </c>
      <c r="AR218" s="81"/>
      <c r="AS218" s="81"/>
      <c r="AT218" s="81">
        <v>32820</v>
      </c>
      <c r="AU218" s="81">
        <f t="shared" si="714"/>
        <v>41249</v>
      </c>
      <c r="AV218" s="81">
        <f t="shared" si="715"/>
        <v>8429</v>
      </c>
      <c r="AW218" s="81">
        <v>8429</v>
      </c>
      <c r="AX218" s="81"/>
      <c r="AY218" s="81"/>
      <c r="AZ218" s="81"/>
      <c r="BA218" s="81"/>
      <c r="BB218" s="81"/>
      <c r="BC218" s="81"/>
      <c r="BD218" s="81"/>
      <c r="BE218" s="81"/>
      <c r="BF218" s="81"/>
      <c r="BG218" s="81"/>
      <c r="BH218" s="81">
        <v>0</v>
      </c>
      <c r="BI218" s="81">
        <f t="shared" si="716"/>
        <v>0</v>
      </c>
      <c r="BJ218" s="98">
        <f t="shared" si="717"/>
        <v>0</v>
      </c>
      <c r="BK218" s="98"/>
      <c r="BL218" s="98"/>
      <c r="BM218" s="98"/>
      <c r="BN218" s="98"/>
      <c r="BO218" s="98"/>
      <c r="BP218" s="81"/>
      <c r="BQ218" s="81">
        <f t="shared" si="718"/>
        <v>0</v>
      </c>
      <c r="BR218" s="81">
        <f t="shared" si="719"/>
        <v>0</v>
      </c>
      <c r="BS218" s="98"/>
      <c r="BT218" s="98"/>
      <c r="BU218" s="98"/>
      <c r="BV218" s="98"/>
      <c r="BW218" s="98"/>
      <c r="BX218" s="98"/>
      <c r="BY218" s="98"/>
      <c r="BZ218" s="98"/>
      <c r="CA218" s="98"/>
      <c r="CB218" s="98"/>
      <c r="CC218" s="98"/>
      <c r="CD218" s="98"/>
      <c r="CE218" s="82" t="s">
        <v>408</v>
      </c>
      <c r="CF218" s="85"/>
      <c r="CG218" s="24"/>
    </row>
    <row r="219" spans="1:85" x14ac:dyDescent="0.2">
      <c r="A219" s="108"/>
      <c r="B219" s="242"/>
      <c r="C219" s="285" t="s">
        <v>240</v>
      </c>
      <c r="D219" s="80">
        <f t="shared" si="708"/>
        <v>171927</v>
      </c>
      <c r="E219" s="295">
        <f t="shared" si="709"/>
        <v>192620</v>
      </c>
      <c r="F219" s="81">
        <v>123908</v>
      </c>
      <c r="G219" s="81">
        <f t="shared" si="710"/>
        <v>143061</v>
      </c>
      <c r="H219" s="81">
        <f t="shared" si="711"/>
        <v>19153</v>
      </c>
      <c r="I219" s="81"/>
      <c r="J219" s="81"/>
      <c r="K219" s="81"/>
      <c r="L219" s="81"/>
      <c r="M219" s="81"/>
      <c r="N219" s="81"/>
      <c r="O219" s="81"/>
      <c r="P219" s="81"/>
      <c r="Q219" s="81"/>
      <c r="R219" s="81"/>
      <c r="S219" s="81"/>
      <c r="T219" s="81"/>
      <c r="U219" s="81"/>
      <c r="V219" s="81"/>
      <c r="W219" s="81"/>
      <c r="X219" s="81"/>
      <c r="Y219" s="81"/>
      <c r="Z219" s="81">
        <v>19153</v>
      </c>
      <c r="AA219" s="81"/>
      <c r="AB219" s="81"/>
      <c r="AC219" s="81"/>
      <c r="AD219" s="81"/>
      <c r="AE219" s="81"/>
      <c r="AF219" s="81"/>
      <c r="AG219" s="81">
        <v>48019</v>
      </c>
      <c r="AH219" s="81">
        <f t="shared" si="712"/>
        <v>49559</v>
      </c>
      <c r="AI219" s="81">
        <f t="shared" si="713"/>
        <v>1540</v>
      </c>
      <c r="AJ219" s="81"/>
      <c r="AK219" s="81"/>
      <c r="AL219" s="81"/>
      <c r="AM219" s="81"/>
      <c r="AN219" s="81"/>
      <c r="AO219" s="81"/>
      <c r="AP219" s="81"/>
      <c r="AQ219" s="81">
        <v>1540</v>
      </c>
      <c r="AR219" s="81"/>
      <c r="AS219" s="81"/>
      <c r="AT219" s="81">
        <v>0</v>
      </c>
      <c r="AU219" s="81">
        <f t="shared" si="714"/>
        <v>0</v>
      </c>
      <c r="AV219" s="81">
        <f t="shared" si="715"/>
        <v>0</v>
      </c>
      <c r="AW219" s="81"/>
      <c r="AX219" s="81"/>
      <c r="AY219" s="81"/>
      <c r="AZ219" s="81"/>
      <c r="BA219" s="81"/>
      <c r="BB219" s="81"/>
      <c r="BC219" s="81"/>
      <c r="BD219" s="81"/>
      <c r="BE219" s="81"/>
      <c r="BF219" s="81"/>
      <c r="BG219" s="81"/>
      <c r="BH219" s="81">
        <v>0</v>
      </c>
      <c r="BI219" s="81">
        <f t="shared" si="716"/>
        <v>0</v>
      </c>
      <c r="BJ219" s="98">
        <f t="shared" si="717"/>
        <v>0</v>
      </c>
      <c r="BK219" s="98"/>
      <c r="BL219" s="98"/>
      <c r="BM219" s="98"/>
      <c r="BN219" s="98"/>
      <c r="BO219" s="98"/>
      <c r="BP219" s="81"/>
      <c r="BQ219" s="81">
        <f t="shared" si="718"/>
        <v>0</v>
      </c>
      <c r="BR219" s="81">
        <f t="shared" si="719"/>
        <v>0</v>
      </c>
      <c r="BS219" s="98"/>
      <c r="BT219" s="98"/>
      <c r="BU219" s="98"/>
      <c r="BV219" s="98"/>
      <c r="BW219" s="98"/>
      <c r="BX219" s="98"/>
      <c r="BY219" s="98"/>
      <c r="BZ219" s="98"/>
      <c r="CA219" s="98"/>
      <c r="CB219" s="98"/>
      <c r="CC219" s="98"/>
      <c r="CD219" s="98"/>
      <c r="CE219" s="82" t="s">
        <v>409</v>
      </c>
      <c r="CF219" s="85"/>
      <c r="CG219" s="24"/>
    </row>
    <row r="220" spans="1:85" s="192" customFormat="1" x14ac:dyDescent="0.2">
      <c r="A220" s="108"/>
      <c r="B220" s="242"/>
      <c r="C220" s="285" t="s">
        <v>539</v>
      </c>
      <c r="D220" s="80">
        <f t="shared" si="708"/>
        <v>0</v>
      </c>
      <c r="E220" s="295">
        <f t="shared" si="709"/>
        <v>0</v>
      </c>
      <c r="F220" s="81">
        <v>1</v>
      </c>
      <c r="G220" s="81">
        <f t="shared" si="710"/>
        <v>0</v>
      </c>
      <c r="H220" s="81">
        <f t="shared" si="711"/>
        <v>-1</v>
      </c>
      <c r="I220" s="81"/>
      <c r="J220" s="81"/>
      <c r="K220" s="81">
        <v>-1</v>
      </c>
      <c r="L220" s="81"/>
      <c r="M220" s="81"/>
      <c r="N220" s="81"/>
      <c r="O220" s="81"/>
      <c r="P220" s="81"/>
      <c r="Q220" s="81"/>
      <c r="R220" s="81"/>
      <c r="S220" s="81"/>
      <c r="T220" s="81"/>
      <c r="U220" s="81"/>
      <c r="V220" s="81"/>
      <c r="W220" s="81"/>
      <c r="X220" s="81"/>
      <c r="Y220" s="81"/>
      <c r="Z220" s="81"/>
      <c r="AA220" s="81"/>
      <c r="AB220" s="81"/>
      <c r="AC220" s="81"/>
      <c r="AD220" s="81"/>
      <c r="AE220" s="81"/>
      <c r="AF220" s="81"/>
      <c r="AG220" s="81">
        <v>0</v>
      </c>
      <c r="AH220" s="81">
        <f t="shared" si="712"/>
        <v>0</v>
      </c>
      <c r="AI220" s="81">
        <f t="shared" si="713"/>
        <v>0</v>
      </c>
      <c r="AJ220" s="81"/>
      <c r="AK220" s="81"/>
      <c r="AL220" s="81"/>
      <c r="AM220" s="81"/>
      <c r="AN220" s="81"/>
      <c r="AO220" s="81"/>
      <c r="AP220" s="81"/>
      <c r="AQ220" s="81"/>
      <c r="AR220" s="81"/>
      <c r="AS220" s="81"/>
      <c r="AT220" s="81">
        <v>0</v>
      </c>
      <c r="AU220" s="81">
        <f t="shared" si="714"/>
        <v>0</v>
      </c>
      <c r="AV220" s="81">
        <f t="shared" si="715"/>
        <v>0</v>
      </c>
      <c r="AW220" s="81"/>
      <c r="AX220" s="81"/>
      <c r="AY220" s="81"/>
      <c r="AZ220" s="81"/>
      <c r="BA220" s="81"/>
      <c r="BB220" s="81"/>
      <c r="BC220" s="81"/>
      <c r="BD220" s="81"/>
      <c r="BE220" s="81"/>
      <c r="BF220" s="81"/>
      <c r="BG220" s="81"/>
      <c r="BH220" s="81">
        <v>0</v>
      </c>
      <c r="BI220" s="81">
        <f t="shared" si="716"/>
        <v>0</v>
      </c>
      <c r="BJ220" s="98">
        <f t="shared" si="717"/>
        <v>0</v>
      </c>
      <c r="BK220" s="98"/>
      <c r="BL220" s="98"/>
      <c r="BM220" s="98"/>
      <c r="BN220" s="98"/>
      <c r="BO220" s="98"/>
      <c r="BP220" s="81">
        <v>-1</v>
      </c>
      <c r="BQ220" s="81">
        <f t="shared" si="718"/>
        <v>0</v>
      </c>
      <c r="BR220" s="81">
        <f t="shared" si="719"/>
        <v>1</v>
      </c>
      <c r="BS220" s="98"/>
      <c r="BT220" s="98">
        <v>1</v>
      </c>
      <c r="BU220" s="98"/>
      <c r="BV220" s="98"/>
      <c r="BW220" s="98"/>
      <c r="BX220" s="98"/>
      <c r="BY220" s="98"/>
      <c r="BZ220" s="98"/>
      <c r="CA220" s="98"/>
      <c r="CB220" s="98"/>
      <c r="CC220" s="98"/>
      <c r="CD220" s="98"/>
      <c r="CE220" s="82" t="s">
        <v>691</v>
      </c>
      <c r="CF220" s="85"/>
      <c r="CG220" s="24"/>
    </row>
    <row r="221" spans="1:85" s="198" customFormat="1" x14ac:dyDescent="0.2">
      <c r="A221" s="108"/>
      <c r="B221" s="242"/>
      <c r="C221" s="285" t="s">
        <v>640</v>
      </c>
      <c r="D221" s="80">
        <f t="shared" si="708"/>
        <v>12640</v>
      </c>
      <c r="E221" s="295">
        <f t="shared" si="709"/>
        <v>12640</v>
      </c>
      <c r="F221" s="81">
        <v>12640</v>
      </c>
      <c r="G221" s="81">
        <f t="shared" si="710"/>
        <v>12640</v>
      </c>
      <c r="H221" s="81">
        <f t="shared" si="711"/>
        <v>0</v>
      </c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81"/>
      <c r="V221" s="81"/>
      <c r="W221" s="81"/>
      <c r="X221" s="81"/>
      <c r="Y221" s="81"/>
      <c r="Z221" s="81"/>
      <c r="AA221" s="81"/>
      <c r="AB221" s="81"/>
      <c r="AC221" s="81"/>
      <c r="AD221" s="81"/>
      <c r="AE221" s="81"/>
      <c r="AF221" s="81"/>
      <c r="AG221" s="81">
        <v>0</v>
      </c>
      <c r="AH221" s="81">
        <f t="shared" si="712"/>
        <v>0</v>
      </c>
      <c r="AI221" s="81">
        <f t="shared" si="713"/>
        <v>0</v>
      </c>
      <c r="AJ221" s="81"/>
      <c r="AK221" s="81"/>
      <c r="AL221" s="81"/>
      <c r="AM221" s="81"/>
      <c r="AN221" s="81"/>
      <c r="AO221" s="81"/>
      <c r="AP221" s="81"/>
      <c r="AQ221" s="81"/>
      <c r="AR221" s="81"/>
      <c r="AS221" s="81"/>
      <c r="AT221" s="81">
        <v>0</v>
      </c>
      <c r="AU221" s="81">
        <f t="shared" si="714"/>
        <v>0</v>
      </c>
      <c r="AV221" s="81">
        <f t="shared" si="715"/>
        <v>0</v>
      </c>
      <c r="AW221" s="81"/>
      <c r="AX221" s="81"/>
      <c r="AY221" s="81"/>
      <c r="AZ221" s="81"/>
      <c r="BA221" s="81"/>
      <c r="BB221" s="81"/>
      <c r="BC221" s="81"/>
      <c r="BD221" s="81"/>
      <c r="BE221" s="81"/>
      <c r="BF221" s="81"/>
      <c r="BG221" s="81"/>
      <c r="BH221" s="81">
        <v>0</v>
      </c>
      <c r="BI221" s="81">
        <f t="shared" si="716"/>
        <v>0</v>
      </c>
      <c r="BJ221" s="98">
        <f t="shared" si="717"/>
        <v>0</v>
      </c>
      <c r="BK221" s="98"/>
      <c r="BL221" s="98"/>
      <c r="BM221" s="98"/>
      <c r="BN221" s="98"/>
      <c r="BO221" s="98"/>
      <c r="BP221" s="81"/>
      <c r="BQ221" s="81">
        <f t="shared" si="718"/>
        <v>0</v>
      </c>
      <c r="BR221" s="81">
        <f t="shared" si="719"/>
        <v>0</v>
      </c>
      <c r="BS221" s="98"/>
      <c r="BT221" s="98"/>
      <c r="BU221" s="98"/>
      <c r="BV221" s="98"/>
      <c r="BW221" s="98"/>
      <c r="BX221" s="98"/>
      <c r="BY221" s="98"/>
      <c r="BZ221" s="98"/>
      <c r="CA221" s="98"/>
      <c r="CB221" s="98"/>
      <c r="CC221" s="98"/>
      <c r="CD221" s="98"/>
      <c r="CE221" s="82" t="s">
        <v>554</v>
      </c>
      <c r="CF221" s="85"/>
      <c r="CG221" s="24"/>
    </row>
    <row r="222" spans="1:85" s="198" customFormat="1" x14ac:dyDescent="0.2">
      <c r="A222" s="108"/>
      <c r="B222" s="242"/>
      <c r="C222" s="391" t="s">
        <v>827</v>
      </c>
      <c r="D222" s="80">
        <f t="shared" si="708"/>
        <v>0</v>
      </c>
      <c r="E222" s="295">
        <f t="shared" si="709"/>
        <v>17000</v>
      </c>
      <c r="F222" s="81"/>
      <c r="G222" s="81">
        <f t="shared" si="710"/>
        <v>17000</v>
      </c>
      <c r="H222" s="81">
        <f t="shared" si="711"/>
        <v>17000</v>
      </c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81">
        <v>17000</v>
      </c>
      <c r="V222" s="81"/>
      <c r="W222" s="81"/>
      <c r="X222" s="81"/>
      <c r="Y222" s="81"/>
      <c r="Z222" s="81"/>
      <c r="AA222" s="81"/>
      <c r="AB222" s="81"/>
      <c r="AC222" s="81"/>
      <c r="AD222" s="81"/>
      <c r="AE222" s="81"/>
      <c r="AF222" s="81"/>
      <c r="AG222" s="81"/>
      <c r="AH222" s="81">
        <f t="shared" si="712"/>
        <v>0</v>
      </c>
      <c r="AI222" s="81">
        <f t="shared" si="713"/>
        <v>0</v>
      </c>
      <c r="AJ222" s="81"/>
      <c r="AK222" s="81"/>
      <c r="AL222" s="81"/>
      <c r="AM222" s="81"/>
      <c r="AN222" s="81"/>
      <c r="AO222" s="81"/>
      <c r="AP222" s="81"/>
      <c r="AQ222" s="81"/>
      <c r="AR222" s="81"/>
      <c r="AS222" s="81"/>
      <c r="AT222" s="81"/>
      <c r="AU222" s="81">
        <f t="shared" si="714"/>
        <v>0</v>
      </c>
      <c r="AV222" s="81">
        <f t="shared" si="715"/>
        <v>0</v>
      </c>
      <c r="AW222" s="81"/>
      <c r="AX222" s="81"/>
      <c r="AY222" s="81"/>
      <c r="AZ222" s="81"/>
      <c r="BA222" s="81"/>
      <c r="BB222" s="81"/>
      <c r="BC222" s="81"/>
      <c r="BD222" s="81"/>
      <c r="BE222" s="81"/>
      <c r="BF222" s="81"/>
      <c r="BG222" s="81"/>
      <c r="BH222" s="81"/>
      <c r="BI222" s="81">
        <f t="shared" si="716"/>
        <v>0</v>
      </c>
      <c r="BJ222" s="98">
        <f t="shared" si="717"/>
        <v>0</v>
      </c>
      <c r="BK222" s="98"/>
      <c r="BL222" s="98"/>
      <c r="BM222" s="98"/>
      <c r="BN222" s="98"/>
      <c r="BO222" s="98"/>
      <c r="BP222" s="81"/>
      <c r="BQ222" s="81">
        <f t="shared" si="718"/>
        <v>0</v>
      </c>
      <c r="BR222" s="81">
        <f t="shared" si="719"/>
        <v>0</v>
      </c>
      <c r="BS222" s="98"/>
      <c r="BT222" s="98"/>
      <c r="BU222" s="98"/>
      <c r="BV222" s="98"/>
      <c r="BW222" s="98"/>
      <c r="BX222" s="98"/>
      <c r="BY222" s="98"/>
      <c r="BZ222" s="98"/>
      <c r="CA222" s="98"/>
      <c r="CB222" s="98"/>
      <c r="CC222" s="98"/>
      <c r="CD222" s="98"/>
      <c r="CE222" s="82" t="s">
        <v>826</v>
      </c>
      <c r="CF222" s="85"/>
      <c r="CG222" s="24"/>
    </row>
    <row r="223" spans="1:85" s="198" customFormat="1" ht="36" x14ac:dyDescent="0.2">
      <c r="A223" s="108"/>
      <c r="B223" s="242"/>
      <c r="C223" s="401" t="s">
        <v>841</v>
      </c>
      <c r="D223" s="80">
        <f t="shared" si="708"/>
        <v>0</v>
      </c>
      <c r="E223" s="295">
        <f t="shared" si="709"/>
        <v>6560</v>
      </c>
      <c r="F223" s="81"/>
      <c r="G223" s="81">
        <f t="shared" si="710"/>
        <v>6560</v>
      </c>
      <c r="H223" s="81">
        <f t="shared" si="711"/>
        <v>6560</v>
      </c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81"/>
      <c r="V223" s="81"/>
      <c r="W223" s="81"/>
      <c r="X223" s="81"/>
      <c r="Y223" s="81">
        <v>6560</v>
      </c>
      <c r="Z223" s="81"/>
      <c r="AA223" s="81"/>
      <c r="AB223" s="81"/>
      <c r="AC223" s="81"/>
      <c r="AD223" s="81"/>
      <c r="AE223" s="81"/>
      <c r="AF223" s="81"/>
      <c r="AG223" s="81"/>
      <c r="AH223" s="81">
        <f t="shared" si="712"/>
        <v>0</v>
      </c>
      <c r="AI223" s="81">
        <f t="shared" si="713"/>
        <v>0</v>
      </c>
      <c r="AJ223" s="81"/>
      <c r="AK223" s="81"/>
      <c r="AL223" s="81"/>
      <c r="AM223" s="81"/>
      <c r="AN223" s="81"/>
      <c r="AO223" s="81"/>
      <c r="AP223" s="81"/>
      <c r="AQ223" s="81"/>
      <c r="AR223" s="81"/>
      <c r="AS223" s="81"/>
      <c r="AT223" s="81"/>
      <c r="AU223" s="81">
        <f t="shared" si="714"/>
        <v>0</v>
      </c>
      <c r="AV223" s="81">
        <f t="shared" si="715"/>
        <v>0</v>
      </c>
      <c r="AW223" s="81"/>
      <c r="AX223" s="81"/>
      <c r="AY223" s="81"/>
      <c r="AZ223" s="81"/>
      <c r="BA223" s="81"/>
      <c r="BB223" s="81"/>
      <c r="BC223" s="81"/>
      <c r="BD223" s="81"/>
      <c r="BE223" s="81"/>
      <c r="BF223" s="81"/>
      <c r="BG223" s="81"/>
      <c r="BH223" s="81"/>
      <c r="BI223" s="81">
        <f t="shared" si="716"/>
        <v>0</v>
      </c>
      <c r="BJ223" s="98">
        <f t="shared" si="717"/>
        <v>0</v>
      </c>
      <c r="BK223" s="98"/>
      <c r="BL223" s="98"/>
      <c r="BM223" s="98"/>
      <c r="BN223" s="98"/>
      <c r="BO223" s="98"/>
      <c r="BP223" s="81"/>
      <c r="BQ223" s="81">
        <f t="shared" si="718"/>
        <v>0</v>
      </c>
      <c r="BR223" s="81">
        <f t="shared" si="719"/>
        <v>0</v>
      </c>
      <c r="BS223" s="98"/>
      <c r="BT223" s="98"/>
      <c r="BU223" s="98"/>
      <c r="BV223" s="98"/>
      <c r="BW223" s="98"/>
      <c r="BX223" s="98"/>
      <c r="BY223" s="98"/>
      <c r="BZ223" s="98"/>
      <c r="CA223" s="98"/>
      <c r="CB223" s="98"/>
      <c r="CC223" s="98"/>
      <c r="CD223" s="98"/>
      <c r="CE223" s="82" t="s">
        <v>842</v>
      </c>
      <c r="CF223" s="85"/>
      <c r="CG223" s="24"/>
    </row>
    <row r="224" spans="1:85" ht="24" customHeight="1" x14ac:dyDescent="0.2">
      <c r="A224" s="108">
        <v>90001175873</v>
      </c>
      <c r="B224" s="241" t="s">
        <v>154</v>
      </c>
      <c r="C224" s="285" t="s">
        <v>227</v>
      </c>
      <c r="D224" s="80">
        <f t="shared" si="708"/>
        <v>733944</v>
      </c>
      <c r="E224" s="295">
        <f t="shared" si="709"/>
        <v>503782</v>
      </c>
      <c r="F224" s="81">
        <v>311113</v>
      </c>
      <c r="G224" s="81">
        <f t="shared" si="710"/>
        <v>221524</v>
      </c>
      <c r="H224" s="81">
        <f t="shared" si="711"/>
        <v>-89589</v>
      </c>
      <c r="I224" s="81"/>
      <c r="J224" s="81"/>
      <c r="K224" s="81">
        <v>-832</v>
      </c>
      <c r="L224" s="81"/>
      <c r="M224" s="81"/>
      <c r="N224" s="81"/>
      <c r="O224" s="81"/>
      <c r="P224" s="81"/>
      <c r="Q224" s="81"/>
      <c r="R224" s="81"/>
      <c r="S224" s="81"/>
      <c r="T224" s="81"/>
      <c r="U224" s="81"/>
      <c r="V224" s="81"/>
      <c r="W224" s="81"/>
      <c r="X224" s="81"/>
      <c r="Y224" s="81">
        <v>-88757</v>
      </c>
      <c r="Z224" s="81"/>
      <c r="AA224" s="81"/>
      <c r="AB224" s="81"/>
      <c r="AC224" s="81"/>
      <c r="AD224" s="81"/>
      <c r="AE224" s="81"/>
      <c r="AF224" s="81"/>
      <c r="AG224" s="81">
        <v>410406</v>
      </c>
      <c r="AH224" s="81">
        <f t="shared" si="712"/>
        <v>276919</v>
      </c>
      <c r="AI224" s="81">
        <f t="shared" si="713"/>
        <v>-133487</v>
      </c>
      <c r="AJ224" s="81">
        <v>2394</v>
      </c>
      <c r="AK224" s="81">
        <v>6306</v>
      </c>
      <c r="AL224" s="81"/>
      <c r="AM224" s="81"/>
      <c r="AN224" s="81">
        <v>-18</v>
      </c>
      <c r="AO224" s="81"/>
      <c r="AP224" s="81">
        <v>-142169</v>
      </c>
      <c r="AQ224" s="81"/>
      <c r="AR224" s="81"/>
      <c r="AS224" s="81"/>
      <c r="AT224" s="81">
        <v>12425</v>
      </c>
      <c r="AU224" s="81">
        <f t="shared" si="714"/>
        <v>5339</v>
      </c>
      <c r="AV224" s="81">
        <f t="shared" si="715"/>
        <v>-7086</v>
      </c>
      <c r="AW224" s="81">
        <v>832</v>
      </c>
      <c r="AX224" s="81"/>
      <c r="AY224" s="81"/>
      <c r="AZ224" s="81"/>
      <c r="BA224" s="81"/>
      <c r="BB224" s="81"/>
      <c r="BC224" s="81"/>
      <c r="BD224" s="81">
        <v>-7918</v>
      </c>
      <c r="BE224" s="81"/>
      <c r="BF224" s="81"/>
      <c r="BG224" s="81"/>
      <c r="BH224" s="81">
        <v>0</v>
      </c>
      <c r="BI224" s="81">
        <f t="shared" si="716"/>
        <v>0</v>
      </c>
      <c r="BJ224" s="98">
        <f t="shared" si="717"/>
        <v>0</v>
      </c>
      <c r="BK224" s="98"/>
      <c r="BL224" s="98"/>
      <c r="BM224" s="98"/>
      <c r="BN224" s="98"/>
      <c r="BO224" s="98"/>
      <c r="BP224" s="81"/>
      <c r="BQ224" s="81">
        <f t="shared" si="718"/>
        <v>0</v>
      </c>
      <c r="BR224" s="81">
        <f t="shared" si="719"/>
        <v>0</v>
      </c>
      <c r="BS224" s="98"/>
      <c r="BT224" s="98"/>
      <c r="BU224" s="98"/>
      <c r="BV224" s="98"/>
      <c r="BW224" s="98"/>
      <c r="BX224" s="98"/>
      <c r="BY224" s="98"/>
      <c r="BZ224" s="98"/>
      <c r="CA224" s="98"/>
      <c r="CB224" s="98"/>
      <c r="CC224" s="98"/>
      <c r="CD224" s="98"/>
      <c r="CE224" s="82" t="s">
        <v>410</v>
      </c>
      <c r="CF224" s="85"/>
      <c r="CG224" s="24"/>
    </row>
    <row r="225" spans="1:85" x14ac:dyDescent="0.2">
      <c r="A225" s="108"/>
      <c r="B225" s="242"/>
      <c r="C225" s="285" t="s">
        <v>240</v>
      </c>
      <c r="D225" s="80">
        <f t="shared" si="708"/>
        <v>89615</v>
      </c>
      <c r="E225" s="295">
        <f t="shared" si="709"/>
        <v>50643</v>
      </c>
      <c r="F225" s="81">
        <v>33816</v>
      </c>
      <c r="G225" s="81">
        <f t="shared" si="710"/>
        <v>18440</v>
      </c>
      <c r="H225" s="81">
        <f t="shared" si="711"/>
        <v>-15376</v>
      </c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81"/>
      <c r="V225" s="81"/>
      <c r="W225" s="81"/>
      <c r="X225" s="81"/>
      <c r="Y225" s="81">
        <v>-15376</v>
      </c>
      <c r="Z225" s="81"/>
      <c r="AA225" s="81"/>
      <c r="AB225" s="81"/>
      <c r="AC225" s="81"/>
      <c r="AD225" s="81"/>
      <c r="AE225" s="81"/>
      <c r="AF225" s="81"/>
      <c r="AG225" s="81">
        <v>55799</v>
      </c>
      <c r="AH225" s="81">
        <f t="shared" si="712"/>
        <v>32203</v>
      </c>
      <c r="AI225" s="81">
        <f t="shared" si="713"/>
        <v>-23596</v>
      </c>
      <c r="AJ225" s="81"/>
      <c r="AK225" s="81">
        <v>4383</v>
      </c>
      <c r="AL225" s="81"/>
      <c r="AM225" s="81"/>
      <c r="AN225" s="81"/>
      <c r="AO225" s="81"/>
      <c r="AP225" s="81">
        <v>-27979</v>
      </c>
      <c r="AQ225" s="81"/>
      <c r="AR225" s="81"/>
      <c r="AS225" s="81"/>
      <c r="AT225" s="81">
        <v>0</v>
      </c>
      <c r="AU225" s="81">
        <f t="shared" si="714"/>
        <v>0</v>
      </c>
      <c r="AV225" s="81">
        <f t="shared" si="715"/>
        <v>0</v>
      </c>
      <c r="AW225" s="81"/>
      <c r="AX225" s="81"/>
      <c r="AY225" s="81"/>
      <c r="AZ225" s="81"/>
      <c r="BA225" s="81"/>
      <c r="BB225" s="81"/>
      <c r="BC225" s="81"/>
      <c r="BD225" s="81"/>
      <c r="BE225" s="81"/>
      <c r="BF225" s="81"/>
      <c r="BG225" s="81"/>
      <c r="BH225" s="81">
        <v>0</v>
      </c>
      <c r="BI225" s="81">
        <f t="shared" si="716"/>
        <v>0</v>
      </c>
      <c r="BJ225" s="98">
        <f t="shared" si="717"/>
        <v>0</v>
      </c>
      <c r="BK225" s="98"/>
      <c r="BL225" s="98"/>
      <c r="BM225" s="98"/>
      <c r="BN225" s="98"/>
      <c r="BO225" s="98"/>
      <c r="BP225" s="81"/>
      <c r="BQ225" s="81">
        <f t="shared" si="718"/>
        <v>0</v>
      </c>
      <c r="BR225" s="81">
        <f t="shared" si="719"/>
        <v>0</v>
      </c>
      <c r="BS225" s="98"/>
      <c r="BT225" s="98"/>
      <c r="BU225" s="98"/>
      <c r="BV225" s="98"/>
      <c r="BW225" s="98"/>
      <c r="BX225" s="98"/>
      <c r="BY225" s="98"/>
      <c r="BZ225" s="98"/>
      <c r="CA225" s="98"/>
      <c r="CB225" s="98"/>
      <c r="CC225" s="98"/>
      <c r="CD225" s="98"/>
      <c r="CE225" s="82" t="s">
        <v>411</v>
      </c>
      <c r="CF225" s="85"/>
      <c r="CG225" s="24"/>
    </row>
    <row r="226" spans="1:85" s="193" customFormat="1" ht="24" x14ac:dyDescent="0.2">
      <c r="A226" s="108"/>
      <c r="B226" s="242"/>
      <c r="C226" s="285" t="s">
        <v>543</v>
      </c>
      <c r="D226" s="80">
        <f t="shared" si="708"/>
        <v>4731</v>
      </c>
      <c r="E226" s="295">
        <f t="shared" si="709"/>
        <v>4451</v>
      </c>
      <c r="F226" s="81">
        <v>4731</v>
      </c>
      <c r="G226" s="81">
        <f t="shared" si="710"/>
        <v>4451</v>
      </c>
      <c r="H226" s="81">
        <f t="shared" si="711"/>
        <v>-280</v>
      </c>
      <c r="I226" s="81"/>
      <c r="J226" s="81"/>
      <c r="K226" s="81">
        <v>1576</v>
      </c>
      <c r="L226" s="81"/>
      <c r="M226" s="81"/>
      <c r="N226" s="81"/>
      <c r="O226" s="81"/>
      <c r="P226" s="81"/>
      <c r="Q226" s="81"/>
      <c r="R226" s="81"/>
      <c r="S226" s="81"/>
      <c r="T226" s="81"/>
      <c r="U226" s="81"/>
      <c r="V226" s="81"/>
      <c r="W226" s="81"/>
      <c r="X226" s="81"/>
      <c r="Y226" s="81"/>
      <c r="Z226" s="81">
        <v>-1856</v>
      </c>
      <c r="AA226" s="81"/>
      <c r="AB226" s="81"/>
      <c r="AC226" s="81"/>
      <c r="AD226" s="81"/>
      <c r="AE226" s="81"/>
      <c r="AF226" s="81"/>
      <c r="AG226" s="81">
        <v>0</v>
      </c>
      <c r="AH226" s="81">
        <f t="shared" si="712"/>
        <v>0</v>
      </c>
      <c r="AI226" s="81">
        <f t="shared" si="713"/>
        <v>0</v>
      </c>
      <c r="AJ226" s="81"/>
      <c r="AK226" s="81"/>
      <c r="AL226" s="81"/>
      <c r="AM226" s="81"/>
      <c r="AN226" s="81"/>
      <c r="AO226" s="81"/>
      <c r="AP226" s="81"/>
      <c r="AQ226" s="81"/>
      <c r="AR226" s="81"/>
      <c r="AS226" s="81"/>
      <c r="AT226" s="81">
        <v>0</v>
      </c>
      <c r="AU226" s="81">
        <f t="shared" si="714"/>
        <v>0</v>
      </c>
      <c r="AV226" s="81">
        <f t="shared" si="715"/>
        <v>0</v>
      </c>
      <c r="AW226" s="81"/>
      <c r="AX226" s="81"/>
      <c r="AY226" s="81"/>
      <c r="AZ226" s="81"/>
      <c r="BA226" s="81"/>
      <c r="BB226" s="81"/>
      <c r="BC226" s="81"/>
      <c r="BD226" s="81"/>
      <c r="BE226" s="81"/>
      <c r="BF226" s="81"/>
      <c r="BG226" s="81"/>
      <c r="BH226" s="81">
        <v>0</v>
      </c>
      <c r="BI226" s="81">
        <f t="shared" si="716"/>
        <v>0</v>
      </c>
      <c r="BJ226" s="98">
        <f t="shared" si="717"/>
        <v>0</v>
      </c>
      <c r="BK226" s="98"/>
      <c r="BL226" s="98"/>
      <c r="BM226" s="98"/>
      <c r="BN226" s="98"/>
      <c r="BO226" s="98"/>
      <c r="BP226" s="81"/>
      <c r="BQ226" s="81">
        <f t="shared" si="718"/>
        <v>0</v>
      </c>
      <c r="BR226" s="81">
        <f t="shared" si="719"/>
        <v>0</v>
      </c>
      <c r="BS226" s="98"/>
      <c r="BT226" s="98"/>
      <c r="BU226" s="98"/>
      <c r="BV226" s="98"/>
      <c r="BW226" s="98"/>
      <c r="BX226" s="98"/>
      <c r="BY226" s="98"/>
      <c r="BZ226" s="98"/>
      <c r="CA226" s="98"/>
      <c r="CB226" s="98"/>
      <c r="CC226" s="98"/>
      <c r="CD226" s="98"/>
      <c r="CE226" s="82" t="s">
        <v>555</v>
      </c>
      <c r="CF226" s="85"/>
      <c r="CG226" s="24"/>
    </row>
    <row r="227" spans="1:85" ht="24" customHeight="1" x14ac:dyDescent="0.2">
      <c r="A227" s="108">
        <v>90009251361</v>
      </c>
      <c r="B227" s="241" t="s">
        <v>199</v>
      </c>
      <c r="C227" s="285" t="s">
        <v>227</v>
      </c>
      <c r="D227" s="80">
        <f t="shared" si="708"/>
        <v>718678</v>
      </c>
      <c r="E227" s="295">
        <f t="shared" si="709"/>
        <v>727047</v>
      </c>
      <c r="F227" s="81">
        <v>529234</v>
      </c>
      <c r="G227" s="81">
        <f t="shared" si="710"/>
        <v>529234</v>
      </c>
      <c r="H227" s="81">
        <f t="shared" si="711"/>
        <v>0</v>
      </c>
      <c r="I227" s="81"/>
      <c r="J227" s="81"/>
      <c r="K227" s="81"/>
      <c r="L227" s="81"/>
      <c r="M227" s="81"/>
      <c r="N227" s="81"/>
      <c r="O227" s="81"/>
      <c r="P227" s="81"/>
      <c r="Q227" s="81"/>
      <c r="R227" s="81"/>
      <c r="S227" s="81"/>
      <c r="T227" s="81"/>
      <c r="U227" s="81"/>
      <c r="V227" s="81"/>
      <c r="W227" s="81"/>
      <c r="X227" s="81"/>
      <c r="Y227" s="81"/>
      <c r="Z227" s="81"/>
      <c r="AA227" s="81"/>
      <c r="AB227" s="81"/>
      <c r="AC227" s="81"/>
      <c r="AD227" s="81"/>
      <c r="AE227" s="81"/>
      <c r="AF227" s="81"/>
      <c r="AG227" s="81">
        <v>170083</v>
      </c>
      <c r="AH227" s="81">
        <f t="shared" si="712"/>
        <v>175674</v>
      </c>
      <c r="AI227" s="81">
        <f t="shared" si="713"/>
        <v>5591</v>
      </c>
      <c r="AJ227" s="81">
        <v>679</v>
      </c>
      <c r="AK227" s="81">
        <v>2969</v>
      </c>
      <c r="AL227" s="81"/>
      <c r="AM227" s="81"/>
      <c r="AN227" s="81">
        <v>-45</v>
      </c>
      <c r="AO227" s="81"/>
      <c r="AP227" s="81"/>
      <c r="AQ227" s="81">
        <f>679+2175+31-897</f>
        <v>1988</v>
      </c>
      <c r="AR227" s="81"/>
      <c r="AS227" s="81"/>
      <c r="AT227" s="81">
        <v>19361</v>
      </c>
      <c r="AU227" s="81">
        <f t="shared" si="714"/>
        <v>22139</v>
      </c>
      <c r="AV227" s="81">
        <f t="shared" si="715"/>
        <v>2778</v>
      </c>
      <c r="AW227" s="81">
        <v>2778</v>
      </c>
      <c r="AX227" s="81"/>
      <c r="AY227" s="81"/>
      <c r="AZ227" s="81"/>
      <c r="BA227" s="81"/>
      <c r="BB227" s="81"/>
      <c r="BC227" s="81"/>
      <c r="BD227" s="81"/>
      <c r="BE227" s="81"/>
      <c r="BF227" s="81"/>
      <c r="BG227" s="81"/>
      <c r="BH227" s="81">
        <v>0</v>
      </c>
      <c r="BI227" s="81">
        <f t="shared" si="716"/>
        <v>0</v>
      </c>
      <c r="BJ227" s="98">
        <f t="shared" si="717"/>
        <v>0</v>
      </c>
      <c r="BK227" s="98"/>
      <c r="BL227" s="98"/>
      <c r="BM227" s="98"/>
      <c r="BN227" s="98"/>
      <c r="BO227" s="98"/>
      <c r="BP227" s="81"/>
      <c r="BQ227" s="81">
        <f t="shared" si="718"/>
        <v>0</v>
      </c>
      <c r="BR227" s="81">
        <f t="shared" si="719"/>
        <v>0</v>
      </c>
      <c r="BS227" s="98"/>
      <c r="BT227" s="98"/>
      <c r="BU227" s="98"/>
      <c r="BV227" s="98"/>
      <c r="BW227" s="98"/>
      <c r="BX227" s="98"/>
      <c r="BY227" s="98"/>
      <c r="BZ227" s="98"/>
      <c r="CA227" s="98"/>
      <c r="CB227" s="98"/>
      <c r="CC227" s="98"/>
      <c r="CD227" s="98"/>
      <c r="CE227" s="82" t="s">
        <v>412</v>
      </c>
      <c r="CF227" s="85"/>
      <c r="CG227" s="24"/>
    </row>
    <row r="228" spans="1:85" x14ac:dyDescent="0.2">
      <c r="A228" s="108"/>
      <c r="B228" s="242"/>
      <c r="C228" s="285" t="s">
        <v>240</v>
      </c>
      <c r="D228" s="80">
        <f t="shared" si="708"/>
        <v>78286</v>
      </c>
      <c r="E228" s="295">
        <f t="shared" si="709"/>
        <v>78286</v>
      </c>
      <c r="F228" s="81">
        <v>54736</v>
      </c>
      <c r="G228" s="81">
        <f t="shared" si="710"/>
        <v>54736</v>
      </c>
      <c r="H228" s="81">
        <f t="shared" si="711"/>
        <v>0</v>
      </c>
      <c r="I228" s="81"/>
      <c r="J228" s="81"/>
      <c r="K228" s="81"/>
      <c r="L228" s="81"/>
      <c r="M228" s="81"/>
      <c r="N228" s="81"/>
      <c r="O228" s="81"/>
      <c r="P228" s="81"/>
      <c r="Q228" s="81"/>
      <c r="R228" s="81"/>
      <c r="S228" s="81"/>
      <c r="T228" s="81"/>
      <c r="U228" s="81"/>
      <c r="V228" s="81"/>
      <c r="W228" s="81"/>
      <c r="X228" s="81"/>
      <c r="Y228" s="81"/>
      <c r="Z228" s="81"/>
      <c r="AA228" s="81"/>
      <c r="AB228" s="81"/>
      <c r="AC228" s="81"/>
      <c r="AD228" s="81"/>
      <c r="AE228" s="81"/>
      <c r="AF228" s="81"/>
      <c r="AG228" s="81">
        <v>23550</v>
      </c>
      <c r="AH228" s="81">
        <f t="shared" si="712"/>
        <v>23550</v>
      </c>
      <c r="AI228" s="81">
        <f t="shared" si="713"/>
        <v>0</v>
      </c>
      <c r="AJ228" s="81"/>
      <c r="AK228" s="81"/>
      <c r="AL228" s="81"/>
      <c r="AM228" s="81"/>
      <c r="AN228" s="81"/>
      <c r="AO228" s="81"/>
      <c r="AP228" s="81"/>
      <c r="AQ228" s="81"/>
      <c r="AR228" s="81"/>
      <c r="AS228" s="81"/>
      <c r="AT228" s="81">
        <v>0</v>
      </c>
      <c r="AU228" s="81">
        <f t="shared" si="714"/>
        <v>0</v>
      </c>
      <c r="AV228" s="81">
        <f t="shared" si="715"/>
        <v>0</v>
      </c>
      <c r="AW228" s="81"/>
      <c r="AX228" s="81"/>
      <c r="AY228" s="81"/>
      <c r="AZ228" s="81"/>
      <c r="BA228" s="81"/>
      <c r="BB228" s="81"/>
      <c r="BC228" s="81"/>
      <c r="BD228" s="81"/>
      <c r="BE228" s="81"/>
      <c r="BF228" s="81"/>
      <c r="BG228" s="81"/>
      <c r="BH228" s="81">
        <v>0</v>
      </c>
      <c r="BI228" s="81">
        <f t="shared" si="716"/>
        <v>0</v>
      </c>
      <c r="BJ228" s="98">
        <f t="shared" si="717"/>
        <v>0</v>
      </c>
      <c r="BK228" s="98"/>
      <c r="BL228" s="98"/>
      <c r="BM228" s="98"/>
      <c r="BN228" s="98"/>
      <c r="BO228" s="98"/>
      <c r="BP228" s="81"/>
      <c r="BQ228" s="81">
        <f t="shared" si="718"/>
        <v>0</v>
      </c>
      <c r="BR228" s="81">
        <f t="shared" si="719"/>
        <v>0</v>
      </c>
      <c r="BS228" s="98"/>
      <c r="BT228" s="98"/>
      <c r="BU228" s="98"/>
      <c r="BV228" s="98"/>
      <c r="BW228" s="98"/>
      <c r="BX228" s="98"/>
      <c r="BY228" s="98"/>
      <c r="BZ228" s="98"/>
      <c r="CA228" s="98"/>
      <c r="CB228" s="98"/>
      <c r="CC228" s="98"/>
      <c r="CD228" s="98"/>
      <c r="CE228" s="82" t="s">
        <v>413</v>
      </c>
      <c r="CF228" s="85"/>
      <c r="CG228" s="24"/>
    </row>
    <row r="229" spans="1:85" ht="24" x14ac:dyDescent="0.2">
      <c r="A229" s="108">
        <v>90000051699</v>
      </c>
      <c r="B229" s="241" t="s">
        <v>200</v>
      </c>
      <c r="C229" s="285" t="s">
        <v>227</v>
      </c>
      <c r="D229" s="80">
        <f t="shared" si="708"/>
        <v>723915</v>
      </c>
      <c r="E229" s="295">
        <f t="shared" si="709"/>
        <v>724282</v>
      </c>
      <c r="F229" s="81">
        <v>481090</v>
      </c>
      <c r="G229" s="81">
        <f t="shared" si="710"/>
        <v>481090</v>
      </c>
      <c r="H229" s="81">
        <f t="shared" si="711"/>
        <v>0</v>
      </c>
      <c r="I229" s="81"/>
      <c r="J229" s="81"/>
      <c r="K229" s="81"/>
      <c r="L229" s="81"/>
      <c r="M229" s="81"/>
      <c r="N229" s="81"/>
      <c r="O229" s="81"/>
      <c r="P229" s="81"/>
      <c r="Q229" s="81"/>
      <c r="R229" s="81"/>
      <c r="S229" s="81"/>
      <c r="T229" s="81"/>
      <c r="U229" s="81"/>
      <c r="V229" s="81"/>
      <c r="W229" s="81"/>
      <c r="X229" s="81"/>
      <c r="Y229" s="81"/>
      <c r="Z229" s="81"/>
      <c r="AA229" s="81"/>
      <c r="AB229" s="81"/>
      <c r="AC229" s="81"/>
      <c r="AD229" s="81"/>
      <c r="AE229" s="81"/>
      <c r="AF229" s="81"/>
      <c r="AG229" s="81">
        <v>214249</v>
      </c>
      <c r="AH229" s="81">
        <f t="shared" si="712"/>
        <v>212600</v>
      </c>
      <c r="AI229" s="81">
        <f t="shared" si="713"/>
        <v>-1649</v>
      </c>
      <c r="AJ229" s="81">
        <v>987</v>
      </c>
      <c r="AK229" s="81">
        <v>3430</v>
      </c>
      <c r="AL229" s="81"/>
      <c r="AM229" s="81"/>
      <c r="AN229" s="81"/>
      <c r="AO229" s="81"/>
      <c r="AP229" s="81"/>
      <c r="AQ229" s="81">
        <f>987-7053</f>
        <v>-6066</v>
      </c>
      <c r="AR229" s="81"/>
      <c r="AS229" s="81"/>
      <c r="AT229" s="81">
        <v>28576</v>
      </c>
      <c r="AU229" s="81">
        <f t="shared" si="714"/>
        <v>30592</v>
      </c>
      <c r="AV229" s="81">
        <f t="shared" si="715"/>
        <v>2016</v>
      </c>
      <c r="AW229" s="81">
        <v>166</v>
      </c>
      <c r="AX229" s="81"/>
      <c r="AY229" s="81"/>
      <c r="AZ229" s="81"/>
      <c r="BA229" s="81"/>
      <c r="BB229" s="81"/>
      <c r="BC229" s="81"/>
      <c r="BD229" s="81"/>
      <c r="BE229" s="81">
        <v>1850</v>
      </c>
      <c r="BF229" s="81"/>
      <c r="BG229" s="81"/>
      <c r="BH229" s="81">
        <v>0</v>
      </c>
      <c r="BI229" s="81">
        <f t="shared" si="716"/>
        <v>0</v>
      </c>
      <c r="BJ229" s="98">
        <f t="shared" si="717"/>
        <v>0</v>
      </c>
      <c r="BK229" s="98"/>
      <c r="BL229" s="98"/>
      <c r="BM229" s="98"/>
      <c r="BN229" s="98"/>
      <c r="BO229" s="98"/>
      <c r="BP229" s="81"/>
      <c r="BQ229" s="81">
        <f t="shared" si="718"/>
        <v>0</v>
      </c>
      <c r="BR229" s="81">
        <f t="shared" si="719"/>
        <v>0</v>
      </c>
      <c r="BS229" s="98"/>
      <c r="BT229" s="98"/>
      <c r="BU229" s="98"/>
      <c r="BV229" s="98"/>
      <c r="BW229" s="98"/>
      <c r="BX229" s="98"/>
      <c r="BY229" s="98"/>
      <c r="BZ229" s="98"/>
      <c r="CA229" s="98"/>
      <c r="CB229" s="98"/>
      <c r="CC229" s="98"/>
      <c r="CD229" s="98"/>
      <c r="CE229" s="82" t="s">
        <v>414</v>
      </c>
      <c r="CF229" s="85"/>
      <c r="CG229" s="24"/>
    </row>
    <row r="230" spans="1:85" x14ac:dyDescent="0.2">
      <c r="A230" s="108"/>
      <c r="B230" s="242"/>
      <c r="C230" s="285" t="s">
        <v>240</v>
      </c>
      <c r="D230" s="80">
        <f t="shared" si="708"/>
        <v>77345</v>
      </c>
      <c r="E230" s="295">
        <f t="shared" si="709"/>
        <v>77345</v>
      </c>
      <c r="F230" s="81">
        <v>54793</v>
      </c>
      <c r="G230" s="81">
        <f t="shared" si="710"/>
        <v>54793</v>
      </c>
      <c r="H230" s="81">
        <f t="shared" si="711"/>
        <v>0</v>
      </c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  <c r="U230" s="81"/>
      <c r="V230" s="81"/>
      <c r="W230" s="81"/>
      <c r="X230" s="81"/>
      <c r="Y230" s="81"/>
      <c r="Z230" s="81"/>
      <c r="AA230" s="81"/>
      <c r="AB230" s="81"/>
      <c r="AC230" s="81"/>
      <c r="AD230" s="81"/>
      <c r="AE230" s="81"/>
      <c r="AF230" s="81"/>
      <c r="AG230" s="81">
        <v>22552</v>
      </c>
      <c r="AH230" s="81">
        <f t="shared" si="712"/>
        <v>22552</v>
      </c>
      <c r="AI230" s="81">
        <f t="shared" si="713"/>
        <v>0</v>
      </c>
      <c r="AJ230" s="81"/>
      <c r="AK230" s="81"/>
      <c r="AL230" s="81"/>
      <c r="AM230" s="81"/>
      <c r="AN230" s="81"/>
      <c r="AO230" s="81"/>
      <c r="AP230" s="81"/>
      <c r="AQ230" s="81"/>
      <c r="AR230" s="81"/>
      <c r="AS230" s="81"/>
      <c r="AT230" s="81">
        <v>0</v>
      </c>
      <c r="AU230" s="81">
        <f t="shared" si="714"/>
        <v>0</v>
      </c>
      <c r="AV230" s="81">
        <f t="shared" si="715"/>
        <v>0</v>
      </c>
      <c r="AW230" s="81"/>
      <c r="AX230" s="81"/>
      <c r="AY230" s="81"/>
      <c r="AZ230" s="81"/>
      <c r="BA230" s="81"/>
      <c r="BB230" s="81"/>
      <c r="BC230" s="81"/>
      <c r="BD230" s="81"/>
      <c r="BE230" s="81"/>
      <c r="BF230" s="81"/>
      <c r="BG230" s="81"/>
      <c r="BH230" s="81">
        <v>0</v>
      </c>
      <c r="BI230" s="81">
        <f t="shared" si="716"/>
        <v>0</v>
      </c>
      <c r="BJ230" s="98">
        <f t="shared" si="717"/>
        <v>0</v>
      </c>
      <c r="BK230" s="98"/>
      <c r="BL230" s="98"/>
      <c r="BM230" s="98"/>
      <c r="BN230" s="98"/>
      <c r="BO230" s="98"/>
      <c r="BP230" s="81"/>
      <c r="BQ230" s="81">
        <f t="shared" si="718"/>
        <v>0</v>
      </c>
      <c r="BR230" s="81">
        <f t="shared" si="719"/>
        <v>0</v>
      </c>
      <c r="BS230" s="98"/>
      <c r="BT230" s="98"/>
      <c r="BU230" s="98"/>
      <c r="BV230" s="98"/>
      <c r="BW230" s="98"/>
      <c r="BX230" s="98"/>
      <c r="BY230" s="98"/>
      <c r="BZ230" s="98"/>
      <c r="CA230" s="98"/>
      <c r="CB230" s="98"/>
      <c r="CC230" s="98"/>
      <c r="CD230" s="98"/>
      <c r="CE230" s="82" t="s">
        <v>415</v>
      </c>
      <c r="CF230" s="85"/>
      <c r="CG230" s="24"/>
    </row>
    <row r="231" spans="1:85" ht="24" x14ac:dyDescent="0.2">
      <c r="A231" s="108">
        <v>90000051612</v>
      </c>
      <c r="B231" s="241" t="s">
        <v>201</v>
      </c>
      <c r="C231" s="285" t="s">
        <v>227</v>
      </c>
      <c r="D231" s="80">
        <f t="shared" si="708"/>
        <v>679780</v>
      </c>
      <c r="E231" s="295">
        <f t="shared" si="709"/>
        <v>695518</v>
      </c>
      <c r="F231" s="81">
        <v>348549</v>
      </c>
      <c r="G231" s="81">
        <f t="shared" si="710"/>
        <v>348549</v>
      </c>
      <c r="H231" s="81">
        <f t="shared" si="711"/>
        <v>0</v>
      </c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  <c r="U231" s="81"/>
      <c r="V231" s="81"/>
      <c r="W231" s="81"/>
      <c r="X231" s="81"/>
      <c r="Y231" s="81"/>
      <c r="Z231" s="81"/>
      <c r="AA231" s="81"/>
      <c r="AB231" s="81"/>
      <c r="AC231" s="81"/>
      <c r="AD231" s="81"/>
      <c r="AE231" s="81"/>
      <c r="AF231" s="81"/>
      <c r="AG231" s="81">
        <v>320525</v>
      </c>
      <c r="AH231" s="81">
        <f t="shared" si="712"/>
        <v>334243</v>
      </c>
      <c r="AI231" s="81">
        <f t="shared" si="713"/>
        <v>13718</v>
      </c>
      <c r="AJ231" s="81">
        <v>1995</v>
      </c>
      <c r="AK231" s="81">
        <f>5255+562</f>
        <v>5817</v>
      </c>
      <c r="AL231" s="81"/>
      <c r="AM231" s="81"/>
      <c r="AN231" s="81">
        <v>-22</v>
      </c>
      <c r="AO231" s="81"/>
      <c r="AP231" s="81"/>
      <c r="AQ231" s="81">
        <f>942+236+1995+2755</f>
        <v>5928</v>
      </c>
      <c r="AR231" s="81"/>
      <c r="AS231" s="81"/>
      <c r="AT231" s="81">
        <v>10706</v>
      </c>
      <c r="AU231" s="81">
        <f t="shared" si="714"/>
        <v>12726</v>
      </c>
      <c r="AV231" s="81">
        <f t="shared" si="715"/>
        <v>2020</v>
      </c>
      <c r="AW231" s="81">
        <v>2020</v>
      </c>
      <c r="AX231" s="81"/>
      <c r="AY231" s="81"/>
      <c r="AZ231" s="81"/>
      <c r="BA231" s="81"/>
      <c r="BB231" s="81"/>
      <c r="BC231" s="81"/>
      <c r="BD231" s="81"/>
      <c r="BE231" s="81"/>
      <c r="BF231" s="81"/>
      <c r="BG231" s="81"/>
      <c r="BH231" s="81">
        <v>0</v>
      </c>
      <c r="BI231" s="81">
        <f t="shared" si="716"/>
        <v>0</v>
      </c>
      <c r="BJ231" s="98">
        <f t="shared" si="717"/>
        <v>0</v>
      </c>
      <c r="BK231" s="98"/>
      <c r="BL231" s="98"/>
      <c r="BM231" s="98"/>
      <c r="BN231" s="98"/>
      <c r="BO231" s="98"/>
      <c r="BP231" s="81"/>
      <c r="BQ231" s="81">
        <f t="shared" si="718"/>
        <v>0</v>
      </c>
      <c r="BR231" s="81">
        <f t="shared" si="719"/>
        <v>0</v>
      </c>
      <c r="BS231" s="98"/>
      <c r="BT231" s="98"/>
      <c r="BU231" s="98"/>
      <c r="BV231" s="98"/>
      <c r="BW231" s="98"/>
      <c r="BX231" s="98"/>
      <c r="BY231" s="98"/>
      <c r="BZ231" s="98"/>
      <c r="CA231" s="98"/>
      <c r="CB231" s="98"/>
      <c r="CC231" s="98"/>
      <c r="CD231" s="98"/>
      <c r="CE231" s="82" t="s">
        <v>416</v>
      </c>
      <c r="CF231" s="85"/>
      <c r="CG231" s="24"/>
    </row>
    <row r="232" spans="1:85" x14ac:dyDescent="0.2">
      <c r="A232" s="108"/>
      <c r="B232" s="242"/>
      <c r="C232" s="285" t="s">
        <v>240</v>
      </c>
      <c r="D232" s="80">
        <f t="shared" si="708"/>
        <v>74836</v>
      </c>
      <c r="E232" s="295">
        <f t="shared" si="709"/>
        <v>78378</v>
      </c>
      <c r="F232" s="81">
        <v>45934</v>
      </c>
      <c r="G232" s="81">
        <f t="shared" si="710"/>
        <v>45934</v>
      </c>
      <c r="H232" s="81">
        <f t="shared" si="711"/>
        <v>0</v>
      </c>
      <c r="I232" s="81"/>
      <c r="J232" s="81"/>
      <c r="K232" s="81"/>
      <c r="L232" s="81"/>
      <c r="M232" s="81"/>
      <c r="N232" s="81"/>
      <c r="O232" s="81"/>
      <c r="P232" s="81"/>
      <c r="Q232" s="81"/>
      <c r="R232" s="81"/>
      <c r="S232" s="81"/>
      <c r="T232" s="81"/>
      <c r="U232" s="81"/>
      <c r="V232" s="81"/>
      <c r="W232" s="81"/>
      <c r="X232" s="81"/>
      <c r="Y232" s="81"/>
      <c r="Z232" s="81"/>
      <c r="AA232" s="81"/>
      <c r="AB232" s="81"/>
      <c r="AC232" s="81"/>
      <c r="AD232" s="81"/>
      <c r="AE232" s="81"/>
      <c r="AF232" s="81"/>
      <c r="AG232" s="81">
        <v>28902</v>
      </c>
      <c r="AH232" s="81">
        <f t="shared" si="712"/>
        <v>32444</v>
      </c>
      <c r="AI232" s="81">
        <f t="shared" si="713"/>
        <v>3542</v>
      </c>
      <c r="AJ232" s="81"/>
      <c r="AK232" s="81">
        <v>3542</v>
      </c>
      <c r="AL232" s="81"/>
      <c r="AM232" s="81"/>
      <c r="AN232" s="81"/>
      <c r="AO232" s="81"/>
      <c r="AP232" s="81"/>
      <c r="AQ232" s="81"/>
      <c r="AR232" s="81"/>
      <c r="AS232" s="81"/>
      <c r="AT232" s="81">
        <v>0</v>
      </c>
      <c r="AU232" s="81">
        <f t="shared" si="714"/>
        <v>0</v>
      </c>
      <c r="AV232" s="81">
        <f t="shared" si="715"/>
        <v>0</v>
      </c>
      <c r="AW232" s="81"/>
      <c r="AX232" s="81"/>
      <c r="AY232" s="81"/>
      <c r="AZ232" s="81"/>
      <c r="BA232" s="81"/>
      <c r="BB232" s="81"/>
      <c r="BC232" s="81"/>
      <c r="BD232" s="81"/>
      <c r="BE232" s="81"/>
      <c r="BF232" s="81"/>
      <c r="BG232" s="81"/>
      <c r="BH232" s="81">
        <v>0</v>
      </c>
      <c r="BI232" s="81">
        <f t="shared" si="716"/>
        <v>0</v>
      </c>
      <c r="BJ232" s="98">
        <f t="shared" si="717"/>
        <v>0</v>
      </c>
      <c r="BK232" s="98"/>
      <c r="BL232" s="98"/>
      <c r="BM232" s="98"/>
      <c r="BN232" s="98"/>
      <c r="BO232" s="98"/>
      <c r="BP232" s="81"/>
      <c r="BQ232" s="81">
        <f t="shared" si="718"/>
        <v>0</v>
      </c>
      <c r="BR232" s="81">
        <f t="shared" si="719"/>
        <v>0</v>
      </c>
      <c r="BS232" s="98"/>
      <c r="BT232" s="98"/>
      <c r="BU232" s="98"/>
      <c r="BV232" s="98"/>
      <c r="BW232" s="98"/>
      <c r="BX232" s="98"/>
      <c r="BY232" s="98"/>
      <c r="BZ232" s="98"/>
      <c r="CA232" s="98"/>
      <c r="CB232" s="98"/>
      <c r="CC232" s="98"/>
      <c r="CD232" s="98"/>
      <c r="CE232" s="82" t="s">
        <v>417</v>
      </c>
      <c r="CF232" s="85"/>
      <c r="CG232" s="24"/>
    </row>
    <row r="233" spans="1:85" s="193" customFormat="1" ht="24" x14ac:dyDescent="0.2">
      <c r="A233" s="108"/>
      <c r="B233" s="242"/>
      <c r="C233" s="285" t="s">
        <v>543</v>
      </c>
      <c r="D233" s="80">
        <f t="shared" si="708"/>
        <v>3937</v>
      </c>
      <c r="E233" s="295">
        <f t="shared" si="709"/>
        <v>5277</v>
      </c>
      <c r="F233" s="81">
        <v>3937</v>
      </c>
      <c r="G233" s="81">
        <f t="shared" si="710"/>
        <v>5277</v>
      </c>
      <c r="H233" s="81">
        <f t="shared" si="711"/>
        <v>1340</v>
      </c>
      <c r="I233" s="81"/>
      <c r="J233" s="81"/>
      <c r="K233" s="81">
        <v>1340</v>
      </c>
      <c r="L233" s="81"/>
      <c r="M233" s="81"/>
      <c r="N233" s="81"/>
      <c r="O233" s="81"/>
      <c r="P233" s="81"/>
      <c r="Q233" s="81"/>
      <c r="R233" s="81"/>
      <c r="S233" s="81"/>
      <c r="T233" s="81"/>
      <c r="U233" s="81"/>
      <c r="V233" s="81"/>
      <c r="W233" s="81"/>
      <c r="X233" s="81"/>
      <c r="Y233" s="81"/>
      <c r="Z233" s="81"/>
      <c r="AA233" s="81"/>
      <c r="AB233" s="81"/>
      <c r="AC233" s="81"/>
      <c r="AD233" s="81"/>
      <c r="AE233" s="81"/>
      <c r="AF233" s="81"/>
      <c r="AG233" s="81">
        <v>0</v>
      </c>
      <c r="AH233" s="81">
        <f t="shared" si="712"/>
        <v>0</v>
      </c>
      <c r="AI233" s="81">
        <f t="shared" si="713"/>
        <v>0</v>
      </c>
      <c r="AJ233" s="81"/>
      <c r="AK233" s="81"/>
      <c r="AL233" s="81"/>
      <c r="AM233" s="81"/>
      <c r="AN233" s="81"/>
      <c r="AO233" s="81"/>
      <c r="AP233" s="81"/>
      <c r="AQ233" s="81"/>
      <c r="AR233" s="81"/>
      <c r="AS233" s="81"/>
      <c r="AT233" s="81">
        <v>0</v>
      </c>
      <c r="AU233" s="81">
        <f t="shared" si="714"/>
        <v>0</v>
      </c>
      <c r="AV233" s="81">
        <f t="shared" si="715"/>
        <v>0</v>
      </c>
      <c r="AW233" s="81"/>
      <c r="AX233" s="81"/>
      <c r="AY233" s="81"/>
      <c r="AZ233" s="81"/>
      <c r="BA233" s="81"/>
      <c r="BB233" s="81"/>
      <c r="BC233" s="81"/>
      <c r="BD233" s="81"/>
      <c r="BE233" s="81"/>
      <c r="BF233" s="81"/>
      <c r="BG233" s="81"/>
      <c r="BH233" s="81">
        <v>0</v>
      </c>
      <c r="BI233" s="81">
        <f t="shared" si="716"/>
        <v>0</v>
      </c>
      <c r="BJ233" s="98">
        <f t="shared" si="717"/>
        <v>0</v>
      </c>
      <c r="BK233" s="98"/>
      <c r="BL233" s="98"/>
      <c r="BM233" s="98"/>
      <c r="BN233" s="98"/>
      <c r="BO233" s="98"/>
      <c r="BP233" s="81"/>
      <c r="BQ233" s="81">
        <f t="shared" si="718"/>
        <v>0</v>
      </c>
      <c r="BR233" s="81">
        <f t="shared" si="719"/>
        <v>0</v>
      </c>
      <c r="BS233" s="98"/>
      <c r="BT233" s="98"/>
      <c r="BU233" s="98"/>
      <c r="BV233" s="98"/>
      <c r="BW233" s="98"/>
      <c r="BX233" s="98"/>
      <c r="BY233" s="98"/>
      <c r="BZ233" s="98"/>
      <c r="CA233" s="98"/>
      <c r="CB233" s="98"/>
      <c r="CC233" s="98"/>
      <c r="CD233" s="98"/>
      <c r="CE233" s="82" t="s">
        <v>556</v>
      </c>
      <c r="CF233" s="85"/>
      <c r="CG233" s="24"/>
    </row>
    <row r="234" spans="1:85" ht="24" x14ac:dyDescent="0.2">
      <c r="A234" s="108">
        <v>90009251342</v>
      </c>
      <c r="B234" s="241" t="s">
        <v>824</v>
      </c>
      <c r="C234" s="285" t="s">
        <v>227</v>
      </c>
      <c r="D234" s="80">
        <f t="shared" si="708"/>
        <v>882099</v>
      </c>
      <c r="E234" s="295">
        <f t="shared" si="709"/>
        <v>890438</v>
      </c>
      <c r="F234" s="81">
        <v>53302</v>
      </c>
      <c r="G234" s="81">
        <f t="shared" si="710"/>
        <v>53302</v>
      </c>
      <c r="H234" s="81">
        <f t="shared" si="711"/>
        <v>0</v>
      </c>
      <c r="I234" s="81"/>
      <c r="J234" s="81"/>
      <c r="K234" s="81"/>
      <c r="L234" s="81"/>
      <c r="M234" s="81"/>
      <c r="N234" s="81"/>
      <c r="O234" s="81"/>
      <c r="P234" s="81"/>
      <c r="Q234" s="81"/>
      <c r="R234" s="81"/>
      <c r="S234" s="81"/>
      <c r="T234" s="81"/>
      <c r="U234" s="81"/>
      <c r="V234" s="81"/>
      <c r="W234" s="81"/>
      <c r="X234" s="81"/>
      <c r="Y234" s="81"/>
      <c r="Z234" s="81"/>
      <c r="AA234" s="81"/>
      <c r="AB234" s="81"/>
      <c r="AC234" s="81"/>
      <c r="AD234" s="81"/>
      <c r="AE234" s="81"/>
      <c r="AF234" s="81"/>
      <c r="AG234" s="81">
        <v>824224</v>
      </c>
      <c r="AH234" s="81">
        <f t="shared" si="712"/>
        <v>832563</v>
      </c>
      <c r="AI234" s="81">
        <f t="shared" si="713"/>
        <v>8339</v>
      </c>
      <c r="AJ234" s="81">
        <v>735</v>
      </c>
      <c r="AK234" s="81">
        <v>1003</v>
      </c>
      <c r="AL234" s="81"/>
      <c r="AM234" s="81"/>
      <c r="AN234" s="81">
        <f>3688-486</f>
        <v>3202</v>
      </c>
      <c r="AO234" s="81"/>
      <c r="AP234" s="81">
        <v>735</v>
      </c>
      <c r="AQ234" s="81">
        <f>3731-1067</f>
        <v>2664</v>
      </c>
      <c r="AR234" s="81"/>
      <c r="AS234" s="81"/>
      <c r="AT234" s="81">
        <v>4573</v>
      </c>
      <c r="AU234" s="81">
        <f t="shared" si="714"/>
        <v>4573</v>
      </c>
      <c r="AV234" s="81">
        <f t="shared" si="715"/>
        <v>0</v>
      </c>
      <c r="AW234" s="81"/>
      <c r="AX234" s="81"/>
      <c r="AY234" s="81"/>
      <c r="AZ234" s="81"/>
      <c r="BA234" s="81"/>
      <c r="BB234" s="81"/>
      <c r="BC234" s="81"/>
      <c r="BD234" s="81"/>
      <c r="BE234" s="81"/>
      <c r="BF234" s="81"/>
      <c r="BG234" s="81"/>
      <c r="BH234" s="81">
        <v>0</v>
      </c>
      <c r="BI234" s="81">
        <f t="shared" si="716"/>
        <v>0</v>
      </c>
      <c r="BJ234" s="98">
        <f t="shared" si="717"/>
        <v>0</v>
      </c>
      <c r="BK234" s="98"/>
      <c r="BL234" s="98"/>
      <c r="BM234" s="98"/>
      <c r="BN234" s="98"/>
      <c r="BO234" s="98"/>
      <c r="BP234" s="81"/>
      <c r="BQ234" s="81">
        <f t="shared" si="718"/>
        <v>0</v>
      </c>
      <c r="BR234" s="81">
        <f t="shared" si="719"/>
        <v>0</v>
      </c>
      <c r="BS234" s="98"/>
      <c r="BT234" s="98"/>
      <c r="BU234" s="98"/>
      <c r="BV234" s="98"/>
      <c r="BW234" s="98"/>
      <c r="BX234" s="98"/>
      <c r="BY234" s="98"/>
      <c r="BZ234" s="98"/>
      <c r="CA234" s="98"/>
      <c r="CB234" s="98"/>
      <c r="CC234" s="98"/>
      <c r="CD234" s="98"/>
      <c r="CE234" s="82" t="s">
        <v>418</v>
      </c>
      <c r="CF234" s="85"/>
      <c r="CG234" s="24"/>
    </row>
    <row r="235" spans="1:85" ht="24" customHeight="1" x14ac:dyDescent="0.2">
      <c r="A235" s="108">
        <v>90009249367</v>
      </c>
      <c r="B235" s="241" t="s">
        <v>283</v>
      </c>
      <c r="C235" s="285" t="s">
        <v>241</v>
      </c>
      <c r="D235" s="80">
        <f t="shared" si="708"/>
        <v>1449676</v>
      </c>
      <c r="E235" s="295">
        <f t="shared" si="709"/>
        <v>1511605</v>
      </c>
      <c r="F235" s="81">
        <v>959808</v>
      </c>
      <c r="G235" s="81">
        <f t="shared" si="710"/>
        <v>1002015</v>
      </c>
      <c r="H235" s="81">
        <f t="shared" si="711"/>
        <v>42207</v>
      </c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81"/>
      <c r="V235" s="81"/>
      <c r="W235" s="81"/>
      <c r="X235" s="81"/>
      <c r="Y235" s="81">
        <v>42207</v>
      </c>
      <c r="Z235" s="81"/>
      <c r="AA235" s="81"/>
      <c r="AB235" s="81"/>
      <c r="AC235" s="81"/>
      <c r="AD235" s="81"/>
      <c r="AE235" s="81"/>
      <c r="AF235" s="81"/>
      <c r="AG235" s="81">
        <v>460786</v>
      </c>
      <c r="AH235" s="81">
        <f t="shared" si="712"/>
        <v>484698</v>
      </c>
      <c r="AI235" s="81">
        <f t="shared" si="713"/>
        <v>23912</v>
      </c>
      <c r="AJ235" s="81"/>
      <c r="AK235" s="81">
        <f>11004+2361</f>
        <v>13365</v>
      </c>
      <c r="AL235" s="81"/>
      <c r="AM235" s="81"/>
      <c r="AN235" s="81"/>
      <c r="AO235" s="81"/>
      <c r="AP235" s="81"/>
      <c r="AQ235" s="81">
        <v>10547</v>
      </c>
      <c r="AR235" s="81"/>
      <c r="AS235" s="81"/>
      <c r="AT235" s="81">
        <v>29082</v>
      </c>
      <c r="AU235" s="81">
        <f t="shared" si="714"/>
        <v>24892</v>
      </c>
      <c r="AV235" s="81">
        <f t="shared" si="715"/>
        <v>-4190</v>
      </c>
      <c r="AW235" s="81">
        <v>822</v>
      </c>
      <c r="AX235" s="81"/>
      <c r="AY235" s="81"/>
      <c r="AZ235" s="81"/>
      <c r="BA235" s="81"/>
      <c r="BB235" s="81"/>
      <c r="BC235" s="81"/>
      <c r="BD235" s="81">
        <v>-10012</v>
      </c>
      <c r="BE235" s="81">
        <v>5000</v>
      </c>
      <c r="BF235" s="81"/>
      <c r="BG235" s="81"/>
      <c r="BH235" s="81">
        <v>0</v>
      </c>
      <c r="BI235" s="81">
        <f t="shared" si="716"/>
        <v>0</v>
      </c>
      <c r="BJ235" s="98">
        <f t="shared" si="717"/>
        <v>0</v>
      </c>
      <c r="BK235" s="98"/>
      <c r="BL235" s="98"/>
      <c r="BM235" s="98"/>
      <c r="BN235" s="98"/>
      <c r="BO235" s="98"/>
      <c r="BP235" s="81"/>
      <c r="BQ235" s="81">
        <f t="shared" si="718"/>
        <v>0</v>
      </c>
      <c r="BR235" s="81">
        <f t="shared" si="719"/>
        <v>0</v>
      </c>
      <c r="BS235" s="98"/>
      <c r="BT235" s="98"/>
      <c r="BU235" s="98"/>
      <c r="BV235" s="98"/>
      <c r="BW235" s="98"/>
      <c r="BX235" s="98"/>
      <c r="BY235" s="98"/>
      <c r="BZ235" s="98"/>
      <c r="CA235" s="98"/>
      <c r="CB235" s="98"/>
      <c r="CC235" s="98"/>
      <c r="CD235" s="98"/>
      <c r="CE235" s="82" t="s">
        <v>419</v>
      </c>
      <c r="CF235" s="85"/>
      <c r="CG235" s="24"/>
    </row>
    <row r="236" spans="1:85" s="104" customFormat="1" x14ac:dyDescent="0.2">
      <c r="A236" s="108"/>
      <c r="B236" s="242"/>
      <c r="C236" s="285" t="s">
        <v>248</v>
      </c>
      <c r="D236" s="80">
        <f t="shared" si="708"/>
        <v>186939</v>
      </c>
      <c r="E236" s="295">
        <f t="shared" si="709"/>
        <v>274767</v>
      </c>
      <c r="F236" s="81">
        <v>186939</v>
      </c>
      <c r="G236" s="81">
        <f t="shared" si="710"/>
        <v>274767</v>
      </c>
      <c r="H236" s="81">
        <f>SUM(I236:AF236)</f>
        <v>87828</v>
      </c>
      <c r="I236" s="81">
        <v>407</v>
      </c>
      <c r="J236" s="81"/>
      <c r="K236" s="81">
        <v>1516</v>
      </c>
      <c r="L236" s="81">
        <v>60780</v>
      </c>
      <c r="M236" s="81"/>
      <c r="N236" s="81">
        <v>2025</v>
      </c>
      <c r="O236" s="81"/>
      <c r="P236" s="81"/>
      <c r="Q236" s="81"/>
      <c r="R236" s="81"/>
      <c r="S236" s="81"/>
      <c r="T236" s="81"/>
      <c r="U236" s="81"/>
      <c r="V236" s="81"/>
      <c r="W236" s="81">
        <v>23100</v>
      </c>
      <c r="X236" s="81"/>
      <c r="Y236" s="81"/>
      <c r="Z236" s="81"/>
      <c r="AA236" s="81"/>
      <c r="AB236" s="81"/>
      <c r="AC236" s="81"/>
      <c r="AD236" s="81"/>
      <c r="AE236" s="81"/>
      <c r="AF236" s="81"/>
      <c r="AG236" s="81">
        <v>0</v>
      </c>
      <c r="AH236" s="81">
        <f t="shared" si="712"/>
        <v>0</v>
      </c>
      <c r="AI236" s="81">
        <f t="shared" si="713"/>
        <v>0</v>
      </c>
      <c r="AJ236" s="81"/>
      <c r="AK236" s="81"/>
      <c r="AL236" s="81"/>
      <c r="AM236" s="81"/>
      <c r="AN236" s="81"/>
      <c r="AO236" s="81"/>
      <c r="AP236" s="81"/>
      <c r="AQ236" s="81"/>
      <c r="AR236" s="81"/>
      <c r="AS236" s="81"/>
      <c r="AT236" s="81">
        <v>0</v>
      </c>
      <c r="AU236" s="81">
        <f t="shared" si="714"/>
        <v>0</v>
      </c>
      <c r="AV236" s="81">
        <f t="shared" si="715"/>
        <v>0</v>
      </c>
      <c r="AW236" s="81"/>
      <c r="AX236" s="81"/>
      <c r="AY236" s="81"/>
      <c r="AZ236" s="81"/>
      <c r="BA236" s="81"/>
      <c r="BB236" s="81"/>
      <c r="BC236" s="81"/>
      <c r="BD236" s="81"/>
      <c r="BE236" s="81"/>
      <c r="BF236" s="81"/>
      <c r="BG236" s="81"/>
      <c r="BH236" s="81">
        <v>0</v>
      </c>
      <c r="BI236" s="81">
        <f t="shared" si="716"/>
        <v>0</v>
      </c>
      <c r="BJ236" s="98">
        <f t="shared" si="717"/>
        <v>0</v>
      </c>
      <c r="BK236" s="98"/>
      <c r="BL236" s="98"/>
      <c r="BM236" s="98"/>
      <c r="BN236" s="98"/>
      <c r="BO236" s="98"/>
      <c r="BP236" s="81"/>
      <c r="BQ236" s="81">
        <f t="shared" si="718"/>
        <v>0</v>
      </c>
      <c r="BR236" s="81">
        <f t="shared" si="719"/>
        <v>0</v>
      </c>
      <c r="BS236" s="98"/>
      <c r="BT236" s="98"/>
      <c r="BU236" s="98"/>
      <c r="BV236" s="98"/>
      <c r="BW236" s="98"/>
      <c r="BX236" s="98"/>
      <c r="BY236" s="98"/>
      <c r="BZ236" s="98"/>
      <c r="CA236" s="98"/>
      <c r="CB236" s="98"/>
      <c r="CC236" s="98"/>
      <c r="CD236" s="98"/>
      <c r="CE236" s="82" t="s">
        <v>420</v>
      </c>
      <c r="CF236" s="85" t="s">
        <v>505</v>
      </c>
      <c r="CG236" s="24"/>
    </row>
    <row r="237" spans="1:85" ht="24" customHeight="1" x14ac:dyDescent="0.2">
      <c r="A237" s="108">
        <v>90000783949</v>
      </c>
      <c r="B237" s="241" t="s">
        <v>19</v>
      </c>
      <c r="C237" s="285" t="s">
        <v>227</v>
      </c>
      <c r="D237" s="80">
        <f t="shared" si="708"/>
        <v>655619</v>
      </c>
      <c r="E237" s="295">
        <f t="shared" si="709"/>
        <v>680965</v>
      </c>
      <c r="F237" s="81">
        <v>317042</v>
      </c>
      <c r="G237" s="81">
        <f t="shared" si="710"/>
        <v>319598</v>
      </c>
      <c r="H237" s="81">
        <f t="shared" si="711"/>
        <v>2556</v>
      </c>
      <c r="I237" s="81"/>
      <c r="J237" s="81"/>
      <c r="K237" s="81"/>
      <c r="L237" s="81"/>
      <c r="M237" s="81"/>
      <c r="N237" s="81"/>
      <c r="O237" s="81"/>
      <c r="P237" s="81"/>
      <c r="Q237" s="81"/>
      <c r="R237" s="81"/>
      <c r="S237" s="81"/>
      <c r="T237" s="81"/>
      <c r="U237" s="81"/>
      <c r="V237" s="81"/>
      <c r="W237" s="81">
        <v>2556</v>
      </c>
      <c r="X237" s="81"/>
      <c r="Y237" s="81"/>
      <c r="Z237" s="81"/>
      <c r="AA237" s="81"/>
      <c r="AB237" s="81"/>
      <c r="AC237" s="81"/>
      <c r="AD237" s="81"/>
      <c r="AE237" s="81"/>
      <c r="AF237" s="81"/>
      <c r="AG237" s="81">
        <v>334942</v>
      </c>
      <c r="AH237" s="81">
        <f t="shared" si="712"/>
        <v>357743</v>
      </c>
      <c r="AI237" s="81">
        <f t="shared" si="713"/>
        <v>22801</v>
      </c>
      <c r="AJ237" s="81">
        <v>1001</v>
      </c>
      <c r="AK237" s="81">
        <f>3061+3+4283</f>
        <v>7347</v>
      </c>
      <c r="AL237" s="81"/>
      <c r="AM237" s="81"/>
      <c r="AN237" s="81"/>
      <c r="AO237" s="81"/>
      <c r="AP237" s="81"/>
      <c r="AQ237" s="81">
        <f>1001+13708-620+364</f>
        <v>14453</v>
      </c>
      <c r="AR237" s="81"/>
      <c r="AS237" s="81"/>
      <c r="AT237" s="81">
        <v>3635</v>
      </c>
      <c r="AU237" s="81">
        <f t="shared" si="714"/>
        <v>3623</v>
      </c>
      <c r="AV237" s="81">
        <f t="shared" si="715"/>
        <v>-12</v>
      </c>
      <c r="AW237" s="81">
        <v>100</v>
      </c>
      <c r="AX237" s="81"/>
      <c r="AY237" s="81"/>
      <c r="AZ237" s="81"/>
      <c r="BA237" s="81"/>
      <c r="BB237" s="81"/>
      <c r="BC237" s="81">
        <v>-112</v>
      </c>
      <c r="BD237" s="81"/>
      <c r="BE237" s="81"/>
      <c r="BF237" s="81"/>
      <c r="BG237" s="81"/>
      <c r="BH237" s="81">
        <v>0</v>
      </c>
      <c r="BI237" s="81">
        <f t="shared" si="716"/>
        <v>1</v>
      </c>
      <c r="BJ237" s="98">
        <f t="shared" si="717"/>
        <v>1</v>
      </c>
      <c r="BK237" s="98">
        <v>1</v>
      </c>
      <c r="BL237" s="98"/>
      <c r="BM237" s="98"/>
      <c r="BN237" s="98"/>
      <c r="BO237" s="98"/>
      <c r="BP237" s="81"/>
      <c r="BQ237" s="81">
        <f t="shared" si="718"/>
        <v>0</v>
      </c>
      <c r="BR237" s="81">
        <f t="shared" si="719"/>
        <v>0</v>
      </c>
      <c r="BS237" s="98"/>
      <c r="BT237" s="98"/>
      <c r="BU237" s="98"/>
      <c r="BV237" s="98"/>
      <c r="BW237" s="98"/>
      <c r="BX237" s="98"/>
      <c r="BY237" s="98"/>
      <c r="BZ237" s="98"/>
      <c r="CA237" s="98"/>
      <c r="CB237" s="98"/>
      <c r="CC237" s="98"/>
      <c r="CD237" s="98"/>
      <c r="CE237" s="82" t="s">
        <v>697</v>
      </c>
      <c r="CF237" s="85"/>
      <c r="CG237" s="24"/>
    </row>
    <row r="238" spans="1:85" ht="12.75" x14ac:dyDescent="0.2">
      <c r="A238" s="108"/>
      <c r="B238" s="243"/>
      <c r="C238" s="285" t="s">
        <v>240</v>
      </c>
      <c r="D238" s="80">
        <f t="shared" si="708"/>
        <v>52319</v>
      </c>
      <c r="E238" s="295">
        <f t="shared" si="709"/>
        <v>52899</v>
      </c>
      <c r="F238" s="81">
        <v>38971</v>
      </c>
      <c r="G238" s="81">
        <f t="shared" si="710"/>
        <v>38971</v>
      </c>
      <c r="H238" s="81">
        <f t="shared" si="711"/>
        <v>0</v>
      </c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81"/>
      <c r="V238" s="81"/>
      <c r="W238" s="81"/>
      <c r="X238" s="81"/>
      <c r="Y238" s="81"/>
      <c r="Z238" s="81"/>
      <c r="AA238" s="81"/>
      <c r="AB238" s="81"/>
      <c r="AC238" s="81"/>
      <c r="AD238" s="81"/>
      <c r="AE238" s="81"/>
      <c r="AF238" s="81"/>
      <c r="AG238" s="81">
        <v>13348</v>
      </c>
      <c r="AH238" s="81">
        <f t="shared" si="712"/>
        <v>13928</v>
      </c>
      <c r="AI238" s="81">
        <f t="shared" si="713"/>
        <v>580</v>
      </c>
      <c r="AJ238" s="81"/>
      <c r="AK238" s="81"/>
      <c r="AL238" s="81"/>
      <c r="AM238" s="81"/>
      <c r="AN238" s="81"/>
      <c r="AO238" s="81"/>
      <c r="AP238" s="81"/>
      <c r="AQ238" s="81">
        <v>580</v>
      </c>
      <c r="AR238" s="81"/>
      <c r="AS238" s="81"/>
      <c r="AT238" s="81">
        <v>0</v>
      </c>
      <c r="AU238" s="81">
        <f t="shared" si="714"/>
        <v>0</v>
      </c>
      <c r="AV238" s="81">
        <f t="shared" si="715"/>
        <v>0</v>
      </c>
      <c r="AW238" s="81"/>
      <c r="AX238" s="81"/>
      <c r="AY238" s="81"/>
      <c r="AZ238" s="81"/>
      <c r="BA238" s="81"/>
      <c r="BB238" s="81"/>
      <c r="BC238" s="81"/>
      <c r="BD238" s="81"/>
      <c r="BE238" s="81"/>
      <c r="BF238" s="81"/>
      <c r="BG238" s="81"/>
      <c r="BH238" s="81">
        <v>0</v>
      </c>
      <c r="BI238" s="81">
        <f t="shared" si="716"/>
        <v>0</v>
      </c>
      <c r="BJ238" s="98">
        <f t="shared" si="717"/>
        <v>0</v>
      </c>
      <c r="BK238" s="98"/>
      <c r="BL238" s="98"/>
      <c r="BM238" s="98"/>
      <c r="BN238" s="98"/>
      <c r="BO238" s="98"/>
      <c r="BP238" s="81"/>
      <c r="BQ238" s="81">
        <f t="shared" si="718"/>
        <v>0</v>
      </c>
      <c r="BR238" s="81">
        <f t="shared" si="719"/>
        <v>0</v>
      </c>
      <c r="BS238" s="98"/>
      <c r="BT238" s="98"/>
      <c r="BU238" s="98"/>
      <c r="BV238" s="98"/>
      <c r="BW238" s="98"/>
      <c r="BX238" s="98"/>
      <c r="BY238" s="98"/>
      <c r="BZ238" s="98"/>
      <c r="CA238" s="98"/>
      <c r="CB238" s="98"/>
      <c r="CC238" s="98"/>
      <c r="CD238" s="98"/>
      <c r="CE238" s="82" t="s">
        <v>698</v>
      </c>
      <c r="CF238" s="85"/>
      <c r="CG238" s="24"/>
    </row>
    <row r="239" spans="1:85" s="192" customFormat="1" ht="36" x14ac:dyDescent="0.2">
      <c r="A239" s="108"/>
      <c r="B239" s="243"/>
      <c r="C239" s="285" t="s">
        <v>540</v>
      </c>
      <c r="D239" s="80">
        <f t="shared" si="708"/>
        <v>13004</v>
      </c>
      <c r="E239" s="295">
        <f t="shared" si="709"/>
        <v>13007</v>
      </c>
      <c r="F239" s="81">
        <v>13004</v>
      </c>
      <c r="G239" s="81">
        <f t="shared" si="710"/>
        <v>13007</v>
      </c>
      <c r="H239" s="81">
        <f t="shared" si="711"/>
        <v>3</v>
      </c>
      <c r="I239" s="81"/>
      <c r="J239" s="81"/>
      <c r="K239" s="81">
        <v>3</v>
      </c>
      <c r="L239" s="81"/>
      <c r="M239" s="81"/>
      <c r="N239" s="81"/>
      <c r="O239" s="81"/>
      <c r="P239" s="81"/>
      <c r="Q239" s="81"/>
      <c r="R239" s="81"/>
      <c r="S239" s="81"/>
      <c r="T239" s="81"/>
      <c r="U239" s="81"/>
      <c r="V239" s="81"/>
      <c r="W239" s="81"/>
      <c r="X239" s="81"/>
      <c r="Y239" s="81"/>
      <c r="Z239" s="81"/>
      <c r="AA239" s="81"/>
      <c r="AB239" s="81"/>
      <c r="AC239" s="81"/>
      <c r="AD239" s="81"/>
      <c r="AE239" s="81"/>
      <c r="AF239" s="81"/>
      <c r="AG239" s="81">
        <v>0</v>
      </c>
      <c r="AH239" s="81">
        <f t="shared" si="712"/>
        <v>0</v>
      </c>
      <c r="AI239" s="81">
        <f t="shared" si="713"/>
        <v>0</v>
      </c>
      <c r="AJ239" s="81"/>
      <c r="AK239" s="81"/>
      <c r="AL239" s="81"/>
      <c r="AM239" s="81"/>
      <c r="AN239" s="81"/>
      <c r="AO239" s="81"/>
      <c r="AP239" s="81"/>
      <c r="AQ239" s="81"/>
      <c r="AR239" s="81"/>
      <c r="AS239" s="81"/>
      <c r="AT239" s="81">
        <v>0</v>
      </c>
      <c r="AU239" s="81">
        <f t="shared" si="714"/>
        <v>0</v>
      </c>
      <c r="AV239" s="81">
        <f t="shared" si="715"/>
        <v>0</v>
      </c>
      <c r="AW239" s="81"/>
      <c r="AX239" s="81"/>
      <c r="AY239" s="81"/>
      <c r="AZ239" s="81"/>
      <c r="BA239" s="81"/>
      <c r="BB239" s="81"/>
      <c r="BC239" s="81"/>
      <c r="BD239" s="81"/>
      <c r="BE239" s="81"/>
      <c r="BF239" s="81"/>
      <c r="BG239" s="81"/>
      <c r="BH239" s="81">
        <v>0</v>
      </c>
      <c r="BI239" s="81">
        <f t="shared" si="716"/>
        <v>0</v>
      </c>
      <c r="BJ239" s="98">
        <f t="shared" si="717"/>
        <v>0</v>
      </c>
      <c r="BK239" s="98"/>
      <c r="BL239" s="98"/>
      <c r="BM239" s="98"/>
      <c r="BN239" s="98"/>
      <c r="BO239" s="98"/>
      <c r="BP239" s="81"/>
      <c r="BQ239" s="81">
        <f t="shared" si="718"/>
        <v>0</v>
      </c>
      <c r="BR239" s="81">
        <f t="shared" si="719"/>
        <v>0</v>
      </c>
      <c r="BS239" s="98"/>
      <c r="BT239" s="98"/>
      <c r="BU239" s="98"/>
      <c r="BV239" s="98"/>
      <c r="BW239" s="98"/>
      <c r="BX239" s="98"/>
      <c r="BY239" s="98"/>
      <c r="BZ239" s="98"/>
      <c r="CA239" s="98"/>
      <c r="CB239" s="98"/>
      <c r="CC239" s="98"/>
      <c r="CD239" s="98"/>
      <c r="CE239" s="82" t="s">
        <v>699</v>
      </c>
      <c r="CF239" s="85"/>
      <c r="CG239" s="24"/>
    </row>
    <row r="240" spans="1:85" s="198" customFormat="1" ht="24" x14ac:dyDescent="0.2">
      <c r="A240" s="108"/>
      <c r="B240" s="243"/>
      <c r="C240" s="334" t="s">
        <v>735</v>
      </c>
      <c r="D240" s="80">
        <f t="shared" ref="D240" si="726">F240+AG240+AT240+BH240+BP240</f>
        <v>0</v>
      </c>
      <c r="E240" s="295">
        <f t="shared" ref="E240" si="727">G240+AH240+AU240+BI240+BQ240</f>
        <v>13592</v>
      </c>
      <c r="F240" s="81"/>
      <c r="G240" s="81">
        <f t="shared" ref="G240:G241" si="728">F240+H240</f>
        <v>13592</v>
      </c>
      <c r="H240" s="81">
        <f t="shared" ref="H240:H241" si="729">SUM(I240:AF240)</f>
        <v>13592</v>
      </c>
      <c r="I240" s="81">
        <v>13592</v>
      </c>
      <c r="J240" s="81"/>
      <c r="K240" s="81"/>
      <c r="L240" s="81"/>
      <c r="M240" s="81"/>
      <c r="N240" s="81"/>
      <c r="O240" s="81"/>
      <c r="P240" s="81"/>
      <c r="Q240" s="81"/>
      <c r="R240" s="81"/>
      <c r="S240" s="81"/>
      <c r="T240" s="81"/>
      <c r="U240" s="81"/>
      <c r="V240" s="81"/>
      <c r="W240" s="81"/>
      <c r="X240" s="81"/>
      <c r="Y240" s="81"/>
      <c r="Z240" s="81"/>
      <c r="AA240" s="81"/>
      <c r="AB240" s="81"/>
      <c r="AC240" s="81"/>
      <c r="AD240" s="81"/>
      <c r="AE240" s="81"/>
      <c r="AF240" s="81"/>
      <c r="AG240" s="81"/>
      <c r="AH240" s="81">
        <f t="shared" ref="AH240" si="730">AG240+AI240</f>
        <v>0</v>
      </c>
      <c r="AI240" s="81">
        <f t="shared" ref="AI240" si="731">SUM(AJ240:AS240)</f>
        <v>0</v>
      </c>
      <c r="AJ240" s="81"/>
      <c r="AK240" s="81"/>
      <c r="AL240" s="81"/>
      <c r="AM240" s="81"/>
      <c r="AN240" s="81"/>
      <c r="AO240" s="81"/>
      <c r="AP240" s="81"/>
      <c r="AQ240" s="81"/>
      <c r="AR240" s="81"/>
      <c r="AS240" s="81"/>
      <c r="AT240" s="81"/>
      <c r="AU240" s="81">
        <f t="shared" ref="AU240" si="732">AT240+AV240</f>
        <v>0</v>
      </c>
      <c r="AV240" s="81">
        <f t="shared" ref="AV240" si="733">SUM(AW240:BG240)</f>
        <v>0</v>
      </c>
      <c r="AW240" s="81"/>
      <c r="AX240" s="81"/>
      <c r="AY240" s="81"/>
      <c r="AZ240" s="81"/>
      <c r="BA240" s="81"/>
      <c r="BB240" s="81"/>
      <c r="BC240" s="81"/>
      <c r="BD240" s="81"/>
      <c r="BE240" s="81"/>
      <c r="BF240" s="81"/>
      <c r="BG240" s="81"/>
      <c r="BH240" s="81"/>
      <c r="BI240" s="81">
        <f t="shared" ref="BI240" si="734">BH240+BJ240</f>
        <v>0</v>
      </c>
      <c r="BJ240" s="98">
        <f t="shared" ref="BJ240" si="735">SUM(BK240:BO240)</f>
        <v>0</v>
      </c>
      <c r="BK240" s="98"/>
      <c r="BL240" s="98"/>
      <c r="BM240" s="98"/>
      <c r="BN240" s="98"/>
      <c r="BO240" s="98"/>
      <c r="BP240" s="81"/>
      <c r="BQ240" s="81">
        <f t="shared" ref="BQ240:BQ241" si="736">BP240+BR240</f>
        <v>0</v>
      </c>
      <c r="BR240" s="81">
        <f t="shared" ref="BR240:BR241" si="737">SUM(BS240:CD240)</f>
        <v>0</v>
      </c>
      <c r="BS240" s="98"/>
      <c r="BT240" s="98"/>
      <c r="BU240" s="98"/>
      <c r="BV240" s="98"/>
      <c r="BW240" s="98"/>
      <c r="BX240" s="98"/>
      <c r="BY240" s="98"/>
      <c r="BZ240" s="98"/>
      <c r="CA240" s="98"/>
      <c r="CB240" s="98"/>
      <c r="CC240" s="98"/>
      <c r="CD240" s="98"/>
      <c r="CE240" s="82" t="s">
        <v>736</v>
      </c>
      <c r="CF240" s="85"/>
      <c r="CG240" s="24"/>
    </row>
    <row r="241" spans="1:85" s="198" customFormat="1" ht="24" x14ac:dyDescent="0.2">
      <c r="A241" s="108"/>
      <c r="B241" s="243"/>
      <c r="C241" s="353" t="s">
        <v>783</v>
      </c>
      <c r="D241" s="80">
        <f t="shared" ref="D241" si="738">F241+AG241+AT241+BH241+BP241</f>
        <v>0</v>
      </c>
      <c r="E241" s="295">
        <f t="shared" ref="E241" si="739">G241+AH241+AU241+BI241+BQ241</f>
        <v>1204</v>
      </c>
      <c r="F241" s="81"/>
      <c r="G241" s="81">
        <f t="shared" si="728"/>
        <v>1204</v>
      </c>
      <c r="H241" s="81">
        <f t="shared" si="729"/>
        <v>1204</v>
      </c>
      <c r="I241" s="81"/>
      <c r="J241" s="81"/>
      <c r="K241" s="81"/>
      <c r="L241" s="81">
        <v>1204</v>
      </c>
      <c r="M241" s="81"/>
      <c r="N241" s="81"/>
      <c r="O241" s="81"/>
      <c r="P241" s="81"/>
      <c r="Q241" s="81"/>
      <c r="R241" s="81"/>
      <c r="S241" s="81"/>
      <c r="T241" s="81"/>
      <c r="U241" s="81"/>
      <c r="V241" s="81"/>
      <c r="W241" s="81"/>
      <c r="X241" s="81"/>
      <c r="Y241" s="81"/>
      <c r="Z241" s="81"/>
      <c r="AA241" s="81"/>
      <c r="AB241" s="81"/>
      <c r="AC241" s="81"/>
      <c r="AD241" s="81"/>
      <c r="AE241" s="81"/>
      <c r="AF241" s="81"/>
      <c r="AG241" s="81"/>
      <c r="AH241" s="81">
        <f t="shared" ref="AH241" si="740">AG241+AI241</f>
        <v>0</v>
      </c>
      <c r="AI241" s="81">
        <f t="shared" ref="AI241" si="741">SUM(AJ241:AS241)</f>
        <v>0</v>
      </c>
      <c r="AJ241" s="81"/>
      <c r="AK241" s="81"/>
      <c r="AL241" s="81"/>
      <c r="AM241" s="81"/>
      <c r="AN241" s="81"/>
      <c r="AO241" s="81"/>
      <c r="AP241" s="81"/>
      <c r="AQ241" s="81"/>
      <c r="AR241" s="81"/>
      <c r="AS241" s="81"/>
      <c r="AT241" s="81"/>
      <c r="AU241" s="81">
        <f t="shared" ref="AU241" si="742">AT241+AV241</f>
        <v>0</v>
      </c>
      <c r="AV241" s="81">
        <f t="shared" ref="AV241" si="743">SUM(AW241:BG241)</f>
        <v>0</v>
      </c>
      <c r="AW241" s="81"/>
      <c r="AX241" s="81"/>
      <c r="AY241" s="81"/>
      <c r="AZ241" s="81"/>
      <c r="BA241" s="81"/>
      <c r="BB241" s="81"/>
      <c r="BC241" s="81"/>
      <c r="BD241" s="81"/>
      <c r="BE241" s="81"/>
      <c r="BF241" s="81"/>
      <c r="BG241" s="81"/>
      <c r="BH241" s="81"/>
      <c r="BI241" s="81">
        <f t="shared" ref="BI241" si="744">BH241+BJ241</f>
        <v>0</v>
      </c>
      <c r="BJ241" s="98">
        <f t="shared" ref="BJ241" si="745">SUM(BK241:BO241)</f>
        <v>0</v>
      </c>
      <c r="BK241" s="98"/>
      <c r="BL241" s="98"/>
      <c r="BM241" s="98"/>
      <c r="BN241" s="98"/>
      <c r="BO241" s="98"/>
      <c r="BP241" s="81"/>
      <c r="BQ241" s="81">
        <f t="shared" si="736"/>
        <v>0</v>
      </c>
      <c r="BR241" s="81">
        <f t="shared" si="737"/>
        <v>0</v>
      </c>
      <c r="BS241" s="98"/>
      <c r="BT241" s="98"/>
      <c r="BU241" s="98"/>
      <c r="BV241" s="98"/>
      <c r="BW241" s="98"/>
      <c r="BX241" s="98"/>
      <c r="BY241" s="98"/>
      <c r="BZ241" s="98"/>
      <c r="CA241" s="98"/>
      <c r="CB241" s="98"/>
      <c r="CC241" s="98"/>
      <c r="CD241" s="98"/>
      <c r="CE241" s="82" t="s">
        <v>784</v>
      </c>
      <c r="CF241" s="85"/>
      <c r="CG241" s="24"/>
    </row>
    <row r="242" spans="1:85" ht="24" customHeight="1" x14ac:dyDescent="0.2">
      <c r="A242" s="108">
        <v>90000051646</v>
      </c>
      <c r="B242" s="241" t="s">
        <v>155</v>
      </c>
      <c r="C242" s="285" t="s">
        <v>227</v>
      </c>
      <c r="D242" s="80">
        <f t="shared" si="708"/>
        <v>247167</v>
      </c>
      <c r="E242" s="295">
        <f t="shared" si="709"/>
        <v>202331</v>
      </c>
      <c r="F242" s="81">
        <v>92620</v>
      </c>
      <c r="G242" s="81">
        <f t="shared" si="710"/>
        <v>74161</v>
      </c>
      <c r="H242" s="81">
        <f t="shared" si="711"/>
        <v>-18459</v>
      </c>
      <c r="I242" s="81"/>
      <c r="J242" s="81"/>
      <c r="K242" s="81">
        <v>4511</v>
      </c>
      <c r="L242" s="81"/>
      <c r="M242" s="81"/>
      <c r="N242" s="81"/>
      <c r="O242" s="81"/>
      <c r="P242" s="81"/>
      <c r="Q242" s="81"/>
      <c r="R242" s="81"/>
      <c r="S242" s="81"/>
      <c r="T242" s="81"/>
      <c r="U242" s="81"/>
      <c r="V242" s="81"/>
      <c r="W242" s="81">
        <v>-22970</v>
      </c>
      <c r="X242" s="81"/>
      <c r="Y242" s="81"/>
      <c r="Z242" s="81"/>
      <c r="AA242" s="81"/>
      <c r="AB242" s="81"/>
      <c r="AC242" s="81"/>
      <c r="AD242" s="81"/>
      <c r="AE242" s="81"/>
      <c r="AF242" s="81"/>
      <c r="AG242" s="81">
        <v>154507</v>
      </c>
      <c r="AH242" s="81">
        <f t="shared" si="712"/>
        <v>128130</v>
      </c>
      <c r="AI242" s="81">
        <f t="shared" si="713"/>
        <v>-26377</v>
      </c>
      <c r="AJ242" s="81">
        <v>210</v>
      </c>
      <c r="AK242" s="81">
        <f>3153-12984</f>
        <v>-9831</v>
      </c>
      <c r="AL242" s="81"/>
      <c r="AM242" s="81"/>
      <c r="AN242" s="81">
        <v>-210</v>
      </c>
      <c r="AO242" s="81">
        <v>-16546</v>
      </c>
      <c r="AP242" s="81"/>
      <c r="AQ242" s="81"/>
      <c r="AR242" s="81"/>
      <c r="AS242" s="81"/>
      <c r="AT242" s="81">
        <v>40</v>
      </c>
      <c r="AU242" s="81">
        <f t="shared" si="714"/>
        <v>40</v>
      </c>
      <c r="AV242" s="81">
        <f t="shared" si="715"/>
        <v>0</v>
      </c>
      <c r="AW242" s="81"/>
      <c r="AX242" s="81"/>
      <c r="AY242" s="81"/>
      <c r="AZ242" s="81"/>
      <c r="BA242" s="81"/>
      <c r="BB242" s="81"/>
      <c r="BC242" s="81"/>
      <c r="BD242" s="81"/>
      <c r="BE242" s="81"/>
      <c r="BF242" s="81"/>
      <c r="BG242" s="81"/>
      <c r="BH242" s="81">
        <v>0</v>
      </c>
      <c r="BI242" s="81">
        <f t="shared" si="716"/>
        <v>0</v>
      </c>
      <c r="BJ242" s="98">
        <f t="shared" si="717"/>
        <v>0</v>
      </c>
      <c r="BK242" s="98"/>
      <c r="BL242" s="98"/>
      <c r="BM242" s="98"/>
      <c r="BN242" s="98"/>
      <c r="BO242" s="98"/>
      <c r="BP242" s="81"/>
      <c r="BQ242" s="81">
        <f t="shared" si="718"/>
        <v>0</v>
      </c>
      <c r="BR242" s="81">
        <f t="shared" si="719"/>
        <v>0</v>
      </c>
      <c r="BS242" s="98"/>
      <c r="BT242" s="98"/>
      <c r="BU242" s="98"/>
      <c r="BV242" s="98"/>
      <c r="BW242" s="98"/>
      <c r="BX242" s="98"/>
      <c r="BY242" s="98"/>
      <c r="BZ242" s="98"/>
      <c r="CA242" s="98"/>
      <c r="CB242" s="98"/>
      <c r="CC242" s="98"/>
      <c r="CD242" s="98"/>
      <c r="CE242" s="82" t="s">
        <v>421</v>
      </c>
      <c r="CF242" s="85"/>
      <c r="CG242" s="24"/>
    </row>
    <row r="243" spans="1:85" s="103" customFormat="1" x14ac:dyDescent="0.2">
      <c r="A243" s="108"/>
      <c r="B243" s="242"/>
      <c r="C243" s="285" t="s">
        <v>240</v>
      </c>
      <c r="D243" s="80">
        <f t="shared" si="708"/>
        <v>45000</v>
      </c>
      <c r="E243" s="295">
        <f t="shared" si="709"/>
        <v>5476</v>
      </c>
      <c r="F243" s="81">
        <v>45000</v>
      </c>
      <c r="G243" s="81">
        <f t="shared" si="710"/>
        <v>5476</v>
      </c>
      <c r="H243" s="81">
        <f t="shared" si="711"/>
        <v>-39524</v>
      </c>
      <c r="I243" s="81"/>
      <c r="J243" s="81"/>
      <c r="K243" s="81"/>
      <c r="L243" s="81"/>
      <c r="M243" s="81"/>
      <c r="N243" s="81"/>
      <c r="O243" s="81"/>
      <c r="P243" s="81"/>
      <c r="Q243" s="81"/>
      <c r="R243" s="81"/>
      <c r="S243" s="81"/>
      <c r="T243" s="81"/>
      <c r="U243" s="81"/>
      <c r="V243" s="81"/>
      <c r="W243" s="81"/>
      <c r="X243" s="81"/>
      <c r="Y243" s="81"/>
      <c r="Z243" s="81">
        <v>-39524</v>
      </c>
      <c r="AA243" s="81"/>
      <c r="AB243" s="81"/>
      <c r="AC243" s="81"/>
      <c r="AD243" s="81"/>
      <c r="AE243" s="81"/>
      <c r="AF243" s="81"/>
      <c r="AG243" s="81">
        <v>0</v>
      </c>
      <c r="AH243" s="81">
        <f t="shared" si="712"/>
        <v>0</v>
      </c>
      <c r="AI243" s="81">
        <f t="shared" si="713"/>
        <v>0</v>
      </c>
      <c r="AJ243" s="81"/>
      <c r="AK243" s="81"/>
      <c r="AL243" s="81"/>
      <c r="AM243" s="81"/>
      <c r="AN243" s="81"/>
      <c r="AO243" s="81"/>
      <c r="AP243" s="81"/>
      <c r="AQ243" s="81"/>
      <c r="AR243" s="81"/>
      <c r="AS243" s="81"/>
      <c r="AT243" s="81">
        <v>0</v>
      </c>
      <c r="AU243" s="81">
        <f t="shared" si="714"/>
        <v>0</v>
      </c>
      <c r="AV243" s="81">
        <f t="shared" si="715"/>
        <v>0</v>
      </c>
      <c r="AW243" s="81"/>
      <c r="AX243" s="81"/>
      <c r="AY243" s="81"/>
      <c r="AZ243" s="81"/>
      <c r="BA243" s="81"/>
      <c r="BB243" s="81"/>
      <c r="BC243" s="81"/>
      <c r="BD243" s="81"/>
      <c r="BE243" s="81"/>
      <c r="BF243" s="81"/>
      <c r="BG243" s="81"/>
      <c r="BH243" s="81">
        <v>0</v>
      </c>
      <c r="BI243" s="81">
        <f t="shared" si="716"/>
        <v>0</v>
      </c>
      <c r="BJ243" s="98">
        <f t="shared" si="717"/>
        <v>0</v>
      </c>
      <c r="BK243" s="98"/>
      <c r="BL243" s="98"/>
      <c r="BM243" s="98"/>
      <c r="BN243" s="98"/>
      <c r="BO243" s="98"/>
      <c r="BP243" s="81"/>
      <c r="BQ243" s="81">
        <f t="shared" si="718"/>
        <v>0</v>
      </c>
      <c r="BR243" s="81">
        <f t="shared" si="719"/>
        <v>0</v>
      </c>
      <c r="BS243" s="98"/>
      <c r="BT243" s="98"/>
      <c r="BU243" s="98"/>
      <c r="BV243" s="98"/>
      <c r="BW243" s="98"/>
      <c r="BX243" s="98"/>
      <c r="BY243" s="98"/>
      <c r="BZ243" s="98"/>
      <c r="CA243" s="98"/>
      <c r="CB243" s="98"/>
      <c r="CC243" s="98"/>
      <c r="CD243" s="98"/>
      <c r="CE243" s="82" t="s">
        <v>422</v>
      </c>
      <c r="CF243" s="85"/>
      <c r="CG243" s="24"/>
    </row>
    <row r="244" spans="1:85" s="107" customFormat="1" ht="24" x14ac:dyDescent="0.2">
      <c r="A244" s="108">
        <v>40008006745</v>
      </c>
      <c r="B244" s="241" t="s">
        <v>304</v>
      </c>
      <c r="C244" s="285" t="s">
        <v>240</v>
      </c>
      <c r="D244" s="80">
        <f t="shared" si="708"/>
        <v>30087</v>
      </c>
      <c r="E244" s="295">
        <f t="shared" si="709"/>
        <v>30087</v>
      </c>
      <c r="F244" s="81">
        <v>0</v>
      </c>
      <c r="G244" s="81">
        <f t="shared" si="710"/>
        <v>0</v>
      </c>
      <c r="H244" s="81">
        <f t="shared" si="711"/>
        <v>0</v>
      </c>
      <c r="I244" s="81"/>
      <c r="J244" s="81"/>
      <c r="K244" s="81"/>
      <c r="L244" s="81"/>
      <c r="M244" s="81"/>
      <c r="N244" s="81"/>
      <c r="O244" s="81"/>
      <c r="P244" s="81"/>
      <c r="Q244" s="81"/>
      <c r="R244" s="81"/>
      <c r="S244" s="81"/>
      <c r="T244" s="81"/>
      <c r="U244" s="81"/>
      <c r="V244" s="81"/>
      <c r="W244" s="81"/>
      <c r="X244" s="81"/>
      <c r="Y244" s="81"/>
      <c r="Z244" s="81"/>
      <c r="AA244" s="81"/>
      <c r="AB244" s="81"/>
      <c r="AC244" s="81"/>
      <c r="AD244" s="81"/>
      <c r="AE244" s="81"/>
      <c r="AF244" s="81"/>
      <c r="AG244" s="81">
        <v>30087</v>
      </c>
      <c r="AH244" s="81">
        <f t="shared" si="712"/>
        <v>30087</v>
      </c>
      <c r="AI244" s="81">
        <f t="shared" si="713"/>
        <v>0</v>
      </c>
      <c r="AJ244" s="81"/>
      <c r="AK244" s="81"/>
      <c r="AL244" s="81"/>
      <c r="AM244" s="81"/>
      <c r="AN244" s="81"/>
      <c r="AO244" s="81"/>
      <c r="AP244" s="81"/>
      <c r="AQ244" s="81"/>
      <c r="AR244" s="81"/>
      <c r="AS244" s="81"/>
      <c r="AT244" s="81">
        <v>0</v>
      </c>
      <c r="AU244" s="81">
        <f t="shared" si="714"/>
        <v>0</v>
      </c>
      <c r="AV244" s="81">
        <f t="shared" si="715"/>
        <v>0</v>
      </c>
      <c r="AW244" s="81"/>
      <c r="AX244" s="81"/>
      <c r="AY244" s="81"/>
      <c r="AZ244" s="81"/>
      <c r="BA244" s="81"/>
      <c r="BB244" s="81"/>
      <c r="BC244" s="81"/>
      <c r="BD244" s="81"/>
      <c r="BE244" s="81"/>
      <c r="BF244" s="81"/>
      <c r="BG244" s="81"/>
      <c r="BH244" s="81">
        <v>0</v>
      </c>
      <c r="BI244" s="81">
        <f t="shared" si="716"/>
        <v>0</v>
      </c>
      <c r="BJ244" s="98">
        <f t="shared" si="717"/>
        <v>0</v>
      </c>
      <c r="BK244" s="98"/>
      <c r="BL244" s="98"/>
      <c r="BM244" s="98"/>
      <c r="BN244" s="98"/>
      <c r="BO244" s="98"/>
      <c r="BP244" s="81"/>
      <c r="BQ244" s="81">
        <f t="shared" si="718"/>
        <v>0</v>
      </c>
      <c r="BR244" s="81">
        <f t="shared" si="719"/>
        <v>0</v>
      </c>
      <c r="BS244" s="98"/>
      <c r="BT244" s="98"/>
      <c r="BU244" s="98"/>
      <c r="BV244" s="98"/>
      <c r="BW244" s="98"/>
      <c r="BX244" s="98"/>
      <c r="BY244" s="98"/>
      <c r="BZ244" s="98"/>
      <c r="CA244" s="98"/>
      <c r="CB244" s="98"/>
      <c r="CC244" s="98"/>
      <c r="CD244" s="98"/>
      <c r="CE244" s="82" t="s">
        <v>423</v>
      </c>
      <c r="CF244" s="85"/>
      <c r="CG244" s="24"/>
    </row>
    <row r="245" spans="1:85" ht="16.5" customHeight="1" thickBot="1" x14ac:dyDescent="0.25">
      <c r="A245" s="368"/>
      <c r="B245" s="217"/>
      <c r="C245" s="369"/>
      <c r="D245" s="370"/>
      <c r="E245" s="371"/>
      <c r="F245" s="372"/>
      <c r="G245" s="372"/>
      <c r="H245" s="372"/>
      <c r="I245" s="372"/>
      <c r="J245" s="372"/>
      <c r="K245" s="372"/>
      <c r="L245" s="372"/>
      <c r="M245" s="372"/>
      <c r="N245" s="372"/>
      <c r="O245" s="372"/>
      <c r="P245" s="372"/>
      <c r="Q245" s="372"/>
      <c r="R245" s="372"/>
      <c r="S245" s="372"/>
      <c r="T245" s="372"/>
      <c r="U245" s="372"/>
      <c r="V245" s="372"/>
      <c r="W245" s="372"/>
      <c r="X245" s="372"/>
      <c r="Y245" s="372"/>
      <c r="Z245" s="372"/>
      <c r="AA245" s="372"/>
      <c r="AB245" s="372"/>
      <c r="AC245" s="372"/>
      <c r="AD245" s="372"/>
      <c r="AE245" s="372"/>
      <c r="AF245" s="372"/>
      <c r="AG245" s="372"/>
      <c r="AH245" s="372"/>
      <c r="AI245" s="372"/>
      <c r="AJ245" s="372"/>
      <c r="AK245" s="372"/>
      <c r="AL245" s="372"/>
      <c r="AM245" s="372"/>
      <c r="AN245" s="372"/>
      <c r="AO245" s="372"/>
      <c r="AP245" s="372"/>
      <c r="AQ245" s="372"/>
      <c r="AR245" s="372"/>
      <c r="AS245" s="372"/>
      <c r="AT245" s="372"/>
      <c r="AU245" s="373"/>
      <c r="AV245" s="373"/>
      <c r="AW245" s="373"/>
      <c r="AX245" s="373"/>
      <c r="AY245" s="373"/>
      <c r="AZ245" s="373"/>
      <c r="BA245" s="373"/>
      <c r="BB245" s="373"/>
      <c r="BC245" s="373"/>
      <c r="BD245" s="373"/>
      <c r="BE245" s="373"/>
      <c r="BF245" s="373"/>
      <c r="BG245" s="373"/>
      <c r="BH245" s="373"/>
      <c r="BI245" s="372"/>
      <c r="BJ245" s="373"/>
      <c r="BK245" s="373"/>
      <c r="BL245" s="373"/>
      <c r="BM245" s="373"/>
      <c r="BN245" s="373"/>
      <c r="BO245" s="373"/>
      <c r="BP245" s="372"/>
      <c r="BQ245" s="374"/>
      <c r="BR245" s="373"/>
      <c r="BS245" s="373"/>
      <c r="BT245" s="373"/>
      <c r="BU245" s="373"/>
      <c r="BV245" s="373"/>
      <c r="BW245" s="373"/>
      <c r="BX245" s="373"/>
      <c r="BY245" s="373"/>
      <c r="BZ245" s="373"/>
      <c r="CA245" s="373"/>
      <c r="CB245" s="373"/>
      <c r="CC245" s="373"/>
      <c r="CD245" s="373"/>
      <c r="CE245" s="375"/>
      <c r="CF245" s="376"/>
      <c r="CG245" s="24"/>
    </row>
    <row r="246" spans="1:85" ht="16.5" customHeight="1" thickBot="1" x14ac:dyDescent="0.25">
      <c r="A246" s="214">
        <v>10</v>
      </c>
      <c r="B246" s="125" t="s">
        <v>21</v>
      </c>
      <c r="C246" s="321"/>
      <c r="D246" s="11">
        <f>SUM(D247:D268)</f>
        <v>8070154</v>
      </c>
      <c r="E246" s="297">
        <f>SUM(E247:E268)</f>
        <v>7892940</v>
      </c>
      <c r="F246" s="9">
        <f>SUM(F247:F268)</f>
        <v>7166248</v>
      </c>
      <c r="G246" s="9">
        <f t="shared" ref="G246:AF246" si="746">SUM(G247:G268)</f>
        <v>6959878</v>
      </c>
      <c r="H246" s="9">
        <f t="shared" si="746"/>
        <v>-206370</v>
      </c>
      <c r="I246" s="9">
        <f t="shared" si="746"/>
        <v>0</v>
      </c>
      <c r="J246" s="9">
        <f t="shared" ref="J246" si="747">SUM(J247:J268)</f>
        <v>0</v>
      </c>
      <c r="K246" s="9">
        <f t="shared" si="746"/>
        <v>71263</v>
      </c>
      <c r="L246" s="9">
        <f t="shared" si="746"/>
        <v>0</v>
      </c>
      <c r="M246" s="9">
        <f t="shared" si="746"/>
        <v>14835</v>
      </c>
      <c r="N246" s="9">
        <f t="shared" si="746"/>
        <v>0</v>
      </c>
      <c r="O246" s="9">
        <f t="shared" si="746"/>
        <v>0</v>
      </c>
      <c r="P246" s="9">
        <f t="shared" si="746"/>
        <v>0</v>
      </c>
      <c r="Q246" s="9">
        <f t="shared" si="746"/>
        <v>4029</v>
      </c>
      <c r="R246" s="9">
        <f t="shared" si="746"/>
        <v>0</v>
      </c>
      <c r="S246" s="9">
        <f t="shared" si="746"/>
        <v>-36075</v>
      </c>
      <c r="T246" s="9"/>
      <c r="U246" s="9">
        <f t="shared" si="746"/>
        <v>0</v>
      </c>
      <c r="V246" s="9"/>
      <c r="W246" s="9">
        <f t="shared" si="746"/>
        <v>-160289</v>
      </c>
      <c r="X246" s="9">
        <f t="shared" ref="X246" si="748">SUM(X247:X268)</f>
        <v>0</v>
      </c>
      <c r="Y246" s="9">
        <f t="shared" si="746"/>
        <v>-95510</v>
      </c>
      <c r="Z246" s="9">
        <f t="shared" ref="Z246:AE246" si="749">SUM(Z247:Z268)</f>
        <v>0</v>
      </c>
      <c r="AA246" s="9">
        <f t="shared" ref="AA246:AD246" si="750">SUM(AA247:AA268)</f>
        <v>0</v>
      </c>
      <c r="AB246" s="9">
        <f t="shared" si="750"/>
        <v>0</v>
      </c>
      <c r="AC246" s="9">
        <f t="shared" si="750"/>
        <v>0</v>
      </c>
      <c r="AD246" s="9">
        <f t="shared" si="750"/>
        <v>0</v>
      </c>
      <c r="AE246" s="9">
        <f t="shared" si="749"/>
        <v>-4623</v>
      </c>
      <c r="AF246" s="9">
        <f t="shared" si="746"/>
        <v>0</v>
      </c>
      <c r="AG246" s="9">
        <f>SUM(AG247:AG268)</f>
        <v>302033</v>
      </c>
      <c r="AH246" s="9">
        <f t="shared" ref="AH246" si="751">SUM(AH247:AH268)</f>
        <v>340269</v>
      </c>
      <c r="AI246" s="9">
        <f t="shared" ref="AI246" si="752">SUM(AI247:AI268)</f>
        <v>38236</v>
      </c>
      <c r="AJ246" s="9">
        <f t="shared" ref="AJ246" si="753">SUM(AJ247:AJ268)</f>
        <v>0</v>
      </c>
      <c r="AK246" s="9">
        <f t="shared" ref="AK246" si="754">SUM(AK247:AK268)</f>
        <v>3196</v>
      </c>
      <c r="AL246" s="9">
        <f t="shared" ref="AL246" si="755">SUM(AL247:AL268)</f>
        <v>0</v>
      </c>
      <c r="AM246" s="9">
        <f t="shared" ref="AM246" si="756">SUM(AM247:AM268)</f>
        <v>0</v>
      </c>
      <c r="AN246" s="9">
        <f t="shared" ref="AN246" si="757">SUM(AN247:AN268)</f>
        <v>0</v>
      </c>
      <c r="AO246" s="9">
        <f t="shared" ref="AO246" si="758">SUM(AO247:AO268)</f>
        <v>35040</v>
      </c>
      <c r="AP246" s="9">
        <f t="shared" ref="AP246" si="759">SUM(AP247:AP268)</f>
        <v>0</v>
      </c>
      <c r="AQ246" s="9">
        <f t="shared" ref="AQ246" si="760">SUM(AQ247:AQ268)</f>
        <v>0</v>
      </c>
      <c r="AR246" s="9">
        <f t="shared" ref="AR246" si="761">SUM(AR247:AR268)</f>
        <v>0</v>
      </c>
      <c r="AS246" s="9">
        <f t="shared" ref="AS246" si="762">SUM(AS247:AS268)</f>
        <v>0</v>
      </c>
      <c r="AT246" s="9">
        <f>SUM(AT247:AT268)</f>
        <v>601335</v>
      </c>
      <c r="AU246" s="96">
        <f t="shared" ref="AU246" si="763">SUM(AU247:AU268)</f>
        <v>618497</v>
      </c>
      <c r="AV246" s="96">
        <f t="shared" ref="AV246" si="764">SUM(AV247:AV268)</f>
        <v>17162</v>
      </c>
      <c r="AW246" s="96">
        <f t="shared" ref="AW246" si="765">SUM(AW247:AW268)</f>
        <v>25255</v>
      </c>
      <c r="AX246" s="96">
        <f t="shared" ref="AX246" si="766">SUM(AX247:AX268)</f>
        <v>0</v>
      </c>
      <c r="AY246" s="96">
        <f t="shared" ref="AY246" si="767">SUM(AY247:AY268)</f>
        <v>111</v>
      </c>
      <c r="AZ246" s="96">
        <f t="shared" ref="AZ246" si="768">SUM(AZ247:AZ268)</f>
        <v>0</v>
      </c>
      <c r="BA246" s="96">
        <f t="shared" ref="BA246" si="769">SUM(BA247:BA268)</f>
        <v>0</v>
      </c>
      <c r="BB246" s="96">
        <f t="shared" ref="BB246" si="770">SUM(BB247:BB268)</f>
        <v>0</v>
      </c>
      <c r="BC246" s="96">
        <f t="shared" ref="BC246" si="771">SUM(BC247:BC268)</f>
        <v>-8205</v>
      </c>
      <c r="BD246" s="96">
        <f t="shared" ref="BD246" si="772">SUM(BD247:BD268)</f>
        <v>0</v>
      </c>
      <c r="BE246" s="96">
        <f t="shared" ref="BE246" si="773">SUM(BE247:BE268)</f>
        <v>1</v>
      </c>
      <c r="BF246" s="96">
        <f t="shared" ref="BF246:BG246" si="774">SUM(BF247:BF268)</f>
        <v>0</v>
      </c>
      <c r="BG246" s="96">
        <f t="shared" si="774"/>
        <v>0</v>
      </c>
      <c r="BH246" s="96">
        <f>SUM(BH247:BH268)</f>
        <v>538</v>
      </c>
      <c r="BI246" s="9">
        <f t="shared" ref="BI246" si="775">SUM(BI247:BI268)</f>
        <v>538</v>
      </c>
      <c r="BJ246" s="96">
        <f t="shared" ref="BJ246" si="776">SUM(BJ247:BJ268)</f>
        <v>0</v>
      </c>
      <c r="BK246" s="96">
        <f t="shared" ref="BK246" si="777">SUM(BK247:BK268)</f>
        <v>0</v>
      </c>
      <c r="BL246" s="96">
        <f t="shared" ref="BL246" si="778">SUM(BL247:BL268)</f>
        <v>0</v>
      </c>
      <c r="BM246" s="96">
        <f t="shared" ref="BM246" si="779">SUM(BM247:BM268)</f>
        <v>0</v>
      </c>
      <c r="BN246" s="96">
        <f t="shared" ref="BN246" si="780">SUM(BN247:BN268)</f>
        <v>0</v>
      </c>
      <c r="BO246" s="96">
        <f t="shared" ref="BO246" si="781">SUM(BO247:BO268)</f>
        <v>0</v>
      </c>
      <c r="BP246" s="9">
        <f>SUM(BP247:BP268)</f>
        <v>0</v>
      </c>
      <c r="BQ246" s="310">
        <f t="shared" ref="BQ246" si="782">SUM(BQ247:BQ268)</f>
        <v>-26242</v>
      </c>
      <c r="BR246" s="96">
        <f t="shared" ref="BR246" si="783">SUM(BR247:BR268)</f>
        <v>-26242</v>
      </c>
      <c r="BS246" s="96">
        <f t="shared" ref="BS246" si="784">SUM(BS247:BS268)</f>
        <v>0</v>
      </c>
      <c r="BT246" s="96">
        <f t="shared" ref="BT246" si="785">SUM(BT247:BT268)</f>
        <v>-25858</v>
      </c>
      <c r="BU246" s="96">
        <f t="shared" ref="BU246" si="786">SUM(BU247:BU268)</f>
        <v>0</v>
      </c>
      <c r="BV246" s="96">
        <f t="shared" ref="BV246" si="787">SUM(BV247:BV268)</f>
        <v>-111</v>
      </c>
      <c r="BW246" s="96">
        <f t="shared" ref="BW246" si="788">SUM(BW247:BW268)</f>
        <v>0</v>
      </c>
      <c r="BX246" s="96">
        <f t="shared" ref="BX246" si="789">SUM(BX247:BX268)</f>
        <v>0</v>
      </c>
      <c r="BY246" s="96">
        <f t="shared" ref="BY246" si="790">SUM(BY247:BY268)</f>
        <v>0</v>
      </c>
      <c r="BZ246" s="96">
        <f t="shared" ref="BZ246" si="791">SUM(BZ247:BZ268)</f>
        <v>-272</v>
      </c>
      <c r="CA246" s="96">
        <f t="shared" ref="CA246" si="792">SUM(CA247:CA268)</f>
        <v>0</v>
      </c>
      <c r="CB246" s="96">
        <f t="shared" ref="CB246:CD246" si="793">SUM(CB247:CB268)</f>
        <v>-1</v>
      </c>
      <c r="CC246" s="96">
        <f t="shared" ref="CC246" si="794">SUM(CC247:CC268)</f>
        <v>0</v>
      </c>
      <c r="CD246" s="96">
        <f t="shared" si="793"/>
        <v>0</v>
      </c>
      <c r="CE246" s="12"/>
      <c r="CF246" s="87"/>
      <c r="CG246" s="24"/>
    </row>
    <row r="247" spans="1:85" s="122" customFormat="1" ht="24.75" customHeight="1" thickTop="1" x14ac:dyDescent="0.2">
      <c r="A247" s="108">
        <v>90000056357</v>
      </c>
      <c r="B247" s="247" t="s">
        <v>5</v>
      </c>
      <c r="C247" s="324" t="s">
        <v>457</v>
      </c>
      <c r="D247" s="80">
        <f t="shared" ref="D247:D267" si="795">F247+AG247+AT247+BH247+BP247</f>
        <v>1040651</v>
      </c>
      <c r="E247" s="295">
        <f t="shared" ref="E247:E267" si="796">G247+AH247+AU247+BI247+BQ247</f>
        <v>917342</v>
      </c>
      <c r="F247" s="170">
        <v>1040651</v>
      </c>
      <c r="G247" s="170">
        <f t="shared" ref="G247:G267" si="797">F247+H247</f>
        <v>917342</v>
      </c>
      <c r="H247" s="170">
        <f t="shared" ref="H247:H267" si="798">SUM(I247:AF247)</f>
        <v>-123309</v>
      </c>
      <c r="I247" s="170"/>
      <c r="J247" s="170"/>
      <c r="K247" s="170">
        <v>8897</v>
      </c>
      <c r="L247" s="170"/>
      <c r="M247" s="170">
        <f>11665+1646</f>
        <v>13311</v>
      </c>
      <c r="N247" s="170"/>
      <c r="O247" s="170"/>
      <c r="P247" s="170"/>
      <c r="Q247" s="170">
        <f>-10479+14508</f>
        <v>4029</v>
      </c>
      <c r="R247" s="170"/>
      <c r="S247" s="170">
        <v>-47775</v>
      </c>
      <c r="T247" s="170"/>
      <c r="U247" s="170"/>
      <c r="V247" s="170"/>
      <c r="W247" s="170">
        <v>-1638</v>
      </c>
      <c r="X247" s="170"/>
      <c r="Y247" s="170">
        <v>-95510</v>
      </c>
      <c r="Z247" s="170"/>
      <c r="AA247" s="170"/>
      <c r="AB247" s="170"/>
      <c r="AC247" s="170"/>
      <c r="AD247" s="170"/>
      <c r="AE247" s="170">
        <v>-4623</v>
      </c>
      <c r="AF247" s="170"/>
      <c r="AG247" s="170">
        <v>0</v>
      </c>
      <c r="AH247" s="170">
        <f t="shared" ref="AH247:AH267" si="799">AG247+AI247</f>
        <v>0</v>
      </c>
      <c r="AI247" s="170">
        <f t="shared" ref="AI247:AI267" si="800">SUM(AJ247:AS247)</f>
        <v>0</v>
      </c>
      <c r="AJ247" s="170"/>
      <c r="AK247" s="170"/>
      <c r="AL247" s="170"/>
      <c r="AM247" s="170"/>
      <c r="AN247" s="170"/>
      <c r="AO247" s="170"/>
      <c r="AP247" s="170"/>
      <c r="AQ247" s="170"/>
      <c r="AR247" s="170"/>
      <c r="AS247" s="170"/>
      <c r="AT247" s="170">
        <v>0</v>
      </c>
      <c r="AU247" s="170">
        <f t="shared" ref="AU247:AU267" si="801">AT247+AV247</f>
        <v>0</v>
      </c>
      <c r="AV247" s="170">
        <f t="shared" ref="AV247:AV267" si="802">SUM(AW247:BG247)</f>
        <v>0</v>
      </c>
      <c r="AW247" s="170"/>
      <c r="AX247" s="170"/>
      <c r="AY247" s="170"/>
      <c r="AZ247" s="170"/>
      <c r="BA247" s="170"/>
      <c r="BB247" s="170"/>
      <c r="BC247" s="170"/>
      <c r="BD247" s="170"/>
      <c r="BE247" s="170"/>
      <c r="BF247" s="170"/>
      <c r="BG247" s="170"/>
      <c r="BH247" s="170">
        <v>0</v>
      </c>
      <c r="BI247" s="81">
        <f t="shared" ref="BI247:BI267" si="803">BH247+BJ247</f>
        <v>0</v>
      </c>
      <c r="BJ247" s="98">
        <f t="shared" ref="BJ247:BJ267" si="804">SUM(BK247:BO247)</f>
        <v>0</v>
      </c>
      <c r="BK247" s="203"/>
      <c r="BL247" s="203"/>
      <c r="BM247" s="203"/>
      <c r="BN247" s="203"/>
      <c r="BO247" s="203"/>
      <c r="BP247" s="170"/>
      <c r="BQ247" s="81">
        <f t="shared" ref="BQ247:BQ267" si="805">BP247+BR247</f>
        <v>0</v>
      </c>
      <c r="BR247" s="81">
        <f t="shared" ref="BR247:BR267" si="806">SUM(BS247:CD247)</f>
        <v>0</v>
      </c>
      <c r="BS247" s="203"/>
      <c r="BT247" s="203"/>
      <c r="BU247" s="203"/>
      <c r="BV247" s="203"/>
      <c r="BW247" s="203"/>
      <c r="BX247" s="203"/>
      <c r="BY247" s="203"/>
      <c r="BZ247" s="203"/>
      <c r="CA247" s="203"/>
      <c r="CB247" s="203"/>
      <c r="CC247" s="203"/>
      <c r="CD247" s="203"/>
      <c r="CE247" s="204" t="s">
        <v>565</v>
      </c>
      <c r="CF247" s="86" t="s">
        <v>672</v>
      </c>
      <c r="CG247" s="24"/>
    </row>
    <row r="248" spans="1:85" ht="25.5" customHeight="1" x14ac:dyDescent="0.2">
      <c r="A248" s="108">
        <v>90000594245</v>
      </c>
      <c r="B248" s="241" t="s">
        <v>524</v>
      </c>
      <c r="C248" s="285" t="s">
        <v>182</v>
      </c>
      <c r="D248" s="80">
        <f t="shared" si="795"/>
        <v>820099</v>
      </c>
      <c r="E248" s="295">
        <f t="shared" si="796"/>
        <v>831799</v>
      </c>
      <c r="F248" s="81">
        <v>815668</v>
      </c>
      <c r="G248" s="81">
        <f t="shared" si="797"/>
        <v>827368</v>
      </c>
      <c r="H248" s="81">
        <f t="shared" si="798"/>
        <v>11700</v>
      </c>
      <c r="I248" s="81"/>
      <c r="J248" s="81"/>
      <c r="K248" s="81"/>
      <c r="L248" s="81"/>
      <c r="M248" s="81"/>
      <c r="N248" s="81"/>
      <c r="O248" s="81"/>
      <c r="P248" s="81"/>
      <c r="Q248" s="81"/>
      <c r="R248" s="81"/>
      <c r="S248" s="81">
        <v>11700</v>
      </c>
      <c r="T248" s="81"/>
      <c r="U248" s="81"/>
      <c r="V248" s="81"/>
      <c r="W248" s="81"/>
      <c r="X248" s="81"/>
      <c r="Y248" s="81"/>
      <c r="Z248" s="81"/>
      <c r="AA248" s="81"/>
      <c r="AB248" s="81"/>
      <c r="AC248" s="81"/>
      <c r="AD248" s="81"/>
      <c r="AE248" s="81"/>
      <c r="AF248" s="81"/>
      <c r="AG248" s="81">
        <v>4371</v>
      </c>
      <c r="AH248" s="81">
        <f t="shared" si="799"/>
        <v>4371</v>
      </c>
      <c r="AI248" s="81">
        <f t="shared" si="800"/>
        <v>0</v>
      </c>
      <c r="AJ248" s="81"/>
      <c r="AK248" s="81"/>
      <c r="AL248" s="81"/>
      <c r="AM248" s="81"/>
      <c r="AN248" s="81"/>
      <c r="AO248" s="81"/>
      <c r="AP248" s="81"/>
      <c r="AQ248" s="81"/>
      <c r="AR248" s="81"/>
      <c r="AS248" s="81"/>
      <c r="AT248" s="81">
        <v>60</v>
      </c>
      <c r="AU248" s="81">
        <f t="shared" si="801"/>
        <v>171</v>
      </c>
      <c r="AV248" s="81">
        <f t="shared" si="802"/>
        <v>111</v>
      </c>
      <c r="AW248" s="81"/>
      <c r="AX248" s="81"/>
      <c r="AY248" s="81">
        <v>111</v>
      </c>
      <c r="AZ248" s="81"/>
      <c r="BA248" s="81"/>
      <c r="BB248" s="81"/>
      <c r="BC248" s="81"/>
      <c r="BD248" s="81"/>
      <c r="BE248" s="81"/>
      <c r="BF248" s="81"/>
      <c r="BG248" s="81"/>
      <c r="BH248" s="81">
        <v>0</v>
      </c>
      <c r="BI248" s="81">
        <f t="shared" si="803"/>
        <v>0</v>
      </c>
      <c r="BJ248" s="98">
        <f t="shared" si="804"/>
        <v>0</v>
      </c>
      <c r="BK248" s="98"/>
      <c r="BL248" s="98"/>
      <c r="BM248" s="98"/>
      <c r="BN248" s="98"/>
      <c r="BO248" s="98"/>
      <c r="BP248" s="81"/>
      <c r="BQ248" s="81">
        <f t="shared" si="805"/>
        <v>-111</v>
      </c>
      <c r="BR248" s="81">
        <f t="shared" si="806"/>
        <v>-111</v>
      </c>
      <c r="BS248" s="98"/>
      <c r="BT248" s="98"/>
      <c r="BU248" s="98"/>
      <c r="BV248" s="98">
        <v>-111</v>
      </c>
      <c r="BW248" s="98"/>
      <c r="BX248" s="98"/>
      <c r="BY248" s="98"/>
      <c r="BZ248" s="98"/>
      <c r="CA248" s="98"/>
      <c r="CB248" s="98"/>
      <c r="CC248" s="98"/>
      <c r="CD248" s="98"/>
      <c r="CE248" s="82" t="s">
        <v>424</v>
      </c>
      <c r="CF248" s="85"/>
      <c r="CG248" s="24"/>
    </row>
    <row r="249" spans="1:85" s="122" customFormat="1" ht="20.25" customHeight="1" x14ac:dyDescent="0.2">
      <c r="A249" s="108"/>
      <c r="B249" s="242"/>
      <c r="C249" s="285" t="s">
        <v>205</v>
      </c>
      <c r="D249" s="80">
        <f t="shared" si="795"/>
        <v>224841</v>
      </c>
      <c r="E249" s="295">
        <f t="shared" si="796"/>
        <v>245320</v>
      </c>
      <c r="F249" s="81">
        <v>13834</v>
      </c>
      <c r="G249" s="81">
        <f t="shared" si="797"/>
        <v>14624</v>
      </c>
      <c r="H249" s="81">
        <f t="shared" si="798"/>
        <v>790</v>
      </c>
      <c r="I249" s="81"/>
      <c r="J249" s="81"/>
      <c r="K249" s="81"/>
      <c r="L249" s="81"/>
      <c r="M249" s="81"/>
      <c r="N249" s="81"/>
      <c r="O249" s="81"/>
      <c r="P249" s="81"/>
      <c r="Q249" s="81"/>
      <c r="R249" s="81"/>
      <c r="S249" s="81"/>
      <c r="T249" s="81"/>
      <c r="U249" s="81"/>
      <c r="V249" s="81"/>
      <c r="W249" s="81">
        <v>790</v>
      </c>
      <c r="X249" s="81"/>
      <c r="Y249" s="81"/>
      <c r="Z249" s="81"/>
      <c r="AA249" s="81"/>
      <c r="AB249" s="81"/>
      <c r="AC249" s="81"/>
      <c r="AD249" s="81"/>
      <c r="AE249" s="81"/>
      <c r="AF249" s="81"/>
      <c r="AG249" s="81">
        <v>211007</v>
      </c>
      <c r="AH249" s="81">
        <f t="shared" si="799"/>
        <v>230696</v>
      </c>
      <c r="AI249" s="81">
        <f t="shared" si="800"/>
        <v>19689</v>
      </c>
      <c r="AJ249" s="81"/>
      <c r="AK249" s="81"/>
      <c r="AL249" s="81"/>
      <c r="AM249" s="81"/>
      <c r="AN249" s="81"/>
      <c r="AO249" s="81">
        <v>19689</v>
      </c>
      <c r="AP249" s="81"/>
      <c r="AQ249" s="81"/>
      <c r="AR249" s="81"/>
      <c r="AS249" s="81"/>
      <c r="AT249" s="81">
        <v>0</v>
      </c>
      <c r="AU249" s="81">
        <f t="shared" si="801"/>
        <v>0</v>
      </c>
      <c r="AV249" s="81">
        <f t="shared" si="802"/>
        <v>0</v>
      </c>
      <c r="AW249" s="81"/>
      <c r="AX249" s="81"/>
      <c r="AY249" s="81"/>
      <c r="AZ249" s="81"/>
      <c r="BA249" s="81"/>
      <c r="BB249" s="81"/>
      <c r="BC249" s="81"/>
      <c r="BD249" s="81"/>
      <c r="BE249" s="81"/>
      <c r="BF249" s="81"/>
      <c r="BG249" s="81"/>
      <c r="BH249" s="81">
        <v>0</v>
      </c>
      <c r="BI249" s="81">
        <f t="shared" si="803"/>
        <v>0</v>
      </c>
      <c r="BJ249" s="98">
        <f t="shared" si="804"/>
        <v>0</v>
      </c>
      <c r="BK249" s="98"/>
      <c r="BL249" s="98"/>
      <c r="BM249" s="98"/>
      <c r="BN249" s="98"/>
      <c r="BO249" s="98"/>
      <c r="BP249" s="81"/>
      <c r="BQ249" s="81">
        <f t="shared" si="805"/>
        <v>0</v>
      </c>
      <c r="BR249" s="81">
        <f t="shared" si="806"/>
        <v>0</v>
      </c>
      <c r="BS249" s="98"/>
      <c r="BT249" s="98"/>
      <c r="BU249" s="98"/>
      <c r="BV249" s="98"/>
      <c r="BW249" s="98"/>
      <c r="BX249" s="98"/>
      <c r="BY249" s="98"/>
      <c r="BZ249" s="98"/>
      <c r="CA249" s="98"/>
      <c r="CB249" s="98"/>
      <c r="CC249" s="98"/>
      <c r="CD249" s="98"/>
      <c r="CE249" s="82" t="s">
        <v>425</v>
      </c>
      <c r="CF249" s="85" t="s">
        <v>693</v>
      </c>
      <c r="CG249" s="24"/>
    </row>
    <row r="250" spans="1:85" ht="18" customHeight="1" x14ac:dyDescent="0.2">
      <c r="A250" s="108"/>
      <c r="B250" s="242"/>
      <c r="C250" s="285" t="s">
        <v>206</v>
      </c>
      <c r="D250" s="80">
        <f t="shared" si="795"/>
        <v>680382</v>
      </c>
      <c r="E250" s="295">
        <f t="shared" si="796"/>
        <v>688032</v>
      </c>
      <c r="F250" s="81">
        <v>676112</v>
      </c>
      <c r="G250" s="81">
        <f t="shared" si="797"/>
        <v>682812</v>
      </c>
      <c r="H250" s="81">
        <f t="shared" si="798"/>
        <v>6700</v>
      </c>
      <c r="I250" s="81"/>
      <c r="J250" s="81"/>
      <c r="K250" s="81"/>
      <c r="L250" s="81"/>
      <c r="M250" s="81"/>
      <c r="N250" s="81"/>
      <c r="O250" s="81"/>
      <c r="P250" s="81"/>
      <c r="Q250" s="81"/>
      <c r="R250" s="81"/>
      <c r="S250" s="81"/>
      <c r="T250" s="81"/>
      <c r="U250" s="81"/>
      <c r="V250" s="81"/>
      <c r="W250" s="81">
        <v>6700</v>
      </c>
      <c r="X250" s="81"/>
      <c r="Y250" s="81"/>
      <c r="Z250" s="81"/>
      <c r="AA250" s="81"/>
      <c r="AB250" s="81"/>
      <c r="AC250" s="81"/>
      <c r="AD250" s="81"/>
      <c r="AE250" s="81"/>
      <c r="AF250" s="81"/>
      <c r="AG250" s="81">
        <v>4270</v>
      </c>
      <c r="AH250" s="81">
        <f t="shared" si="799"/>
        <v>5220</v>
      </c>
      <c r="AI250" s="81">
        <f t="shared" si="800"/>
        <v>950</v>
      </c>
      <c r="AJ250" s="81"/>
      <c r="AK250" s="81"/>
      <c r="AL250" s="81"/>
      <c r="AM250" s="81"/>
      <c r="AN250" s="81"/>
      <c r="AO250" s="81">
        <v>950</v>
      </c>
      <c r="AP250" s="81"/>
      <c r="AQ250" s="81"/>
      <c r="AR250" s="81"/>
      <c r="AS250" s="81"/>
      <c r="AT250" s="81">
        <v>0</v>
      </c>
      <c r="AU250" s="81">
        <f t="shared" si="801"/>
        <v>0</v>
      </c>
      <c r="AV250" s="81">
        <f t="shared" si="802"/>
        <v>0</v>
      </c>
      <c r="AW250" s="81"/>
      <c r="AX250" s="81"/>
      <c r="AY250" s="81"/>
      <c r="AZ250" s="81"/>
      <c r="BA250" s="81"/>
      <c r="BB250" s="81"/>
      <c r="BC250" s="81"/>
      <c r="BD250" s="81"/>
      <c r="BE250" s="81"/>
      <c r="BF250" s="81"/>
      <c r="BG250" s="81"/>
      <c r="BH250" s="81">
        <v>0</v>
      </c>
      <c r="BI250" s="81">
        <f t="shared" si="803"/>
        <v>0</v>
      </c>
      <c r="BJ250" s="98">
        <f t="shared" si="804"/>
        <v>0</v>
      </c>
      <c r="BK250" s="98"/>
      <c r="BL250" s="98"/>
      <c r="BM250" s="98"/>
      <c r="BN250" s="98"/>
      <c r="BO250" s="98"/>
      <c r="BP250" s="81"/>
      <c r="BQ250" s="81">
        <f t="shared" si="805"/>
        <v>0</v>
      </c>
      <c r="BR250" s="81">
        <f t="shared" si="806"/>
        <v>0</v>
      </c>
      <c r="BS250" s="98"/>
      <c r="BT250" s="98"/>
      <c r="BU250" s="98"/>
      <c r="BV250" s="98"/>
      <c r="BW250" s="98"/>
      <c r="BX250" s="98"/>
      <c r="BY250" s="98"/>
      <c r="BZ250" s="98"/>
      <c r="CA250" s="98"/>
      <c r="CB250" s="98"/>
      <c r="CC250" s="98"/>
      <c r="CD250" s="98"/>
      <c r="CE250" s="82" t="s">
        <v>426</v>
      </c>
      <c r="CF250" s="85" t="s">
        <v>693</v>
      </c>
      <c r="CG250" s="24"/>
    </row>
    <row r="251" spans="1:85" ht="19.5" customHeight="1" x14ac:dyDescent="0.2">
      <c r="A251" s="108"/>
      <c r="B251" s="242"/>
      <c r="C251" s="285" t="s">
        <v>207</v>
      </c>
      <c r="D251" s="80">
        <f t="shared" si="795"/>
        <v>464770</v>
      </c>
      <c r="E251" s="295">
        <f t="shared" si="796"/>
        <v>446624</v>
      </c>
      <c r="F251" s="81">
        <v>462492</v>
      </c>
      <c r="G251" s="81">
        <f t="shared" si="797"/>
        <v>444346</v>
      </c>
      <c r="H251" s="81">
        <f t="shared" si="798"/>
        <v>-18146</v>
      </c>
      <c r="I251" s="81"/>
      <c r="J251" s="81"/>
      <c r="K251" s="81"/>
      <c r="L251" s="81"/>
      <c r="M251" s="81"/>
      <c r="N251" s="81"/>
      <c r="O251" s="81"/>
      <c r="P251" s="81"/>
      <c r="Q251" s="81"/>
      <c r="R251" s="81"/>
      <c r="S251" s="81"/>
      <c r="T251" s="81"/>
      <c r="U251" s="81"/>
      <c r="V251" s="81"/>
      <c r="W251" s="81">
        <v>-18146</v>
      </c>
      <c r="X251" s="81"/>
      <c r="Y251" s="81"/>
      <c r="Z251" s="81"/>
      <c r="AA251" s="81"/>
      <c r="AB251" s="81"/>
      <c r="AC251" s="81"/>
      <c r="AD251" s="81"/>
      <c r="AE251" s="81"/>
      <c r="AF251" s="81"/>
      <c r="AG251" s="81">
        <v>0</v>
      </c>
      <c r="AH251" s="81">
        <f t="shared" si="799"/>
        <v>0</v>
      </c>
      <c r="AI251" s="81">
        <f t="shared" si="800"/>
        <v>0</v>
      </c>
      <c r="AJ251" s="81"/>
      <c r="AK251" s="81"/>
      <c r="AL251" s="81"/>
      <c r="AM251" s="81"/>
      <c r="AN251" s="81"/>
      <c r="AO251" s="81"/>
      <c r="AP251" s="81"/>
      <c r="AQ251" s="81"/>
      <c r="AR251" s="81"/>
      <c r="AS251" s="81"/>
      <c r="AT251" s="81">
        <v>2278</v>
      </c>
      <c r="AU251" s="81">
        <f t="shared" si="801"/>
        <v>2278</v>
      </c>
      <c r="AV251" s="81">
        <f t="shared" si="802"/>
        <v>0</v>
      </c>
      <c r="AW251" s="81"/>
      <c r="AX251" s="81"/>
      <c r="AY251" s="81"/>
      <c r="AZ251" s="81"/>
      <c r="BA251" s="81"/>
      <c r="BB251" s="81"/>
      <c r="BC251" s="81"/>
      <c r="BD251" s="81"/>
      <c r="BE251" s="81"/>
      <c r="BF251" s="81"/>
      <c r="BG251" s="81"/>
      <c r="BH251" s="81">
        <v>0</v>
      </c>
      <c r="BI251" s="81">
        <f t="shared" si="803"/>
        <v>0</v>
      </c>
      <c r="BJ251" s="98">
        <f t="shared" si="804"/>
        <v>0</v>
      </c>
      <c r="BK251" s="98"/>
      <c r="BL251" s="98"/>
      <c r="BM251" s="98"/>
      <c r="BN251" s="98"/>
      <c r="BO251" s="98"/>
      <c r="BP251" s="81"/>
      <c r="BQ251" s="81">
        <f t="shared" si="805"/>
        <v>0</v>
      </c>
      <c r="BR251" s="81">
        <f t="shared" si="806"/>
        <v>0</v>
      </c>
      <c r="BS251" s="98"/>
      <c r="BT251" s="98"/>
      <c r="BU251" s="98"/>
      <c r="BV251" s="98"/>
      <c r="BW251" s="98"/>
      <c r="BX251" s="98"/>
      <c r="BY251" s="98"/>
      <c r="BZ251" s="98"/>
      <c r="CA251" s="98"/>
      <c r="CB251" s="98"/>
      <c r="CC251" s="98"/>
      <c r="CD251" s="98"/>
      <c r="CE251" s="82" t="s">
        <v>427</v>
      </c>
      <c r="CF251" s="85" t="s">
        <v>694</v>
      </c>
      <c r="CG251" s="24"/>
    </row>
    <row r="252" spans="1:85" ht="24" x14ac:dyDescent="0.2">
      <c r="A252" s="108"/>
      <c r="B252" s="242"/>
      <c r="C252" s="285" t="s">
        <v>208</v>
      </c>
      <c r="D252" s="80">
        <f t="shared" si="795"/>
        <v>283800</v>
      </c>
      <c r="E252" s="295">
        <f t="shared" si="796"/>
        <v>293874</v>
      </c>
      <c r="F252" s="81">
        <v>283800</v>
      </c>
      <c r="G252" s="81">
        <f t="shared" si="797"/>
        <v>293874</v>
      </c>
      <c r="H252" s="81">
        <f t="shared" si="798"/>
        <v>10074</v>
      </c>
      <c r="I252" s="81"/>
      <c r="J252" s="81"/>
      <c r="K252" s="81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1">
        <v>10074</v>
      </c>
      <c r="X252" s="81"/>
      <c r="Y252" s="81"/>
      <c r="Z252" s="81"/>
      <c r="AA252" s="81"/>
      <c r="AB252" s="81"/>
      <c r="AC252" s="81"/>
      <c r="AD252" s="81"/>
      <c r="AE252" s="81"/>
      <c r="AF252" s="81"/>
      <c r="AG252" s="81">
        <v>0</v>
      </c>
      <c r="AH252" s="81">
        <f t="shared" si="799"/>
        <v>0</v>
      </c>
      <c r="AI252" s="81">
        <f t="shared" si="800"/>
        <v>0</v>
      </c>
      <c r="AJ252" s="81"/>
      <c r="AK252" s="81"/>
      <c r="AL252" s="81"/>
      <c r="AM252" s="81"/>
      <c r="AN252" s="81"/>
      <c r="AO252" s="81"/>
      <c r="AP252" s="81"/>
      <c r="AQ252" s="81"/>
      <c r="AR252" s="81"/>
      <c r="AS252" s="81"/>
      <c r="AT252" s="81">
        <v>0</v>
      </c>
      <c r="AU252" s="81">
        <f t="shared" si="801"/>
        <v>0</v>
      </c>
      <c r="AV252" s="81">
        <f t="shared" si="802"/>
        <v>0</v>
      </c>
      <c r="AW252" s="81"/>
      <c r="AX252" s="81"/>
      <c r="AY252" s="81"/>
      <c r="AZ252" s="81"/>
      <c r="BA252" s="81"/>
      <c r="BB252" s="81"/>
      <c r="BC252" s="81"/>
      <c r="BD252" s="81"/>
      <c r="BE252" s="81"/>
      <c r="BF252" s="81"/>
      <c r="BG252" s="81"/>
      <c r="BH252" s="81">
        <v>0</v>
      </c>
      <c r="BI252" s="81">
        <f t="shared" si="803"/>
        <v>0</v>
      </c>
      <c r="BJ252" s="98">
        <f t="shared" si="804"/>
        <v>0</v>
      </c>
      <c r="BK252" s="98"/>
      <c r="BL252" s="98"/>
      <c r="BM252" s="98"/>
      <c r="BN252" s="98"/>
      <c r="BO252" s="98"/>
      <c r="BP252" s="81"/>
      <c r="BQ252" s="81">
        <f t="shared" si="805"/>
        <v>0</v>
      </c>
      <c r="BR252" s="81">
        <f t="shared" si="806"/>
        <v>0</v>
      </c>
      <c r="BS252" s="98"/>
      <c r="BT252" s="98"/>
      <c r="BU252" s="98"/>
      <c r="BV252" s="98"/>
      <c r="BW252" s="98"/>
      <c r="BX252" s="98"/>
      <c r="BY252" s="98"/>
      <c r="BZ252" s="98"/>
      <c r="CA252" s="98"/>
      <c r="CB252" s="98"/>
      <c r="CC252" s="98"/>
      <c r="CD252" s="98"/>
      <c r="CE252" s="82" t="s">
        <v>428</v>
      </c>
      <c r="CF252" s="85" t="s">
        <v>695</v>
      </c>
      <c r="CG252" s="24"/>
    </row>
    <row r="253" spans="1:85" ht="27.75" customHeight="1" x14ac:dyDescent="0.2">
      <c r="A253" s="108"/>
      <c r="B253" s="242"/>
      <c r="C253" s="285" t="s">
        <v>273</v>
      </c>
      <c r="D253" s="80">
        <f t="shared" si="795"/>
        <v>341522</v>
      </c>
      <c r="E253" s="295">
        <f t="shared" si="796"/>
        <v>339337</v>
      </c>
      <c r="F253" s="81">
        <v>341522</v>
      </c>
      <c r="G253" s="81">
        <f t="shared" si="797"/>
        <v>339337</v>
      </c>
      <c r="H253" s="81">
        <f t="shared" si="798"/>
        <v>-2185</v>
      </c>
      <c r="I253" s="81"/>
      <c r="J253" s="81"/>
      <c r="K253" s="81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1">
        <v>-2185</v>
      </c>
      <c r="X253" s="81"/>
      <c r="Y253" s="81"/>
      <c r="Z253" s="81"/>
      <c r="AA253" s="81"/>
      <c r="AB253" s="81"/>
      <c r="AC253" s="81"/>
      <c r="AD253" s="81"/>
      <c r="AE253" s="81"/>
      <c r="AF253" s="81"/>
      <c r="AG253" s="81">
        <v>0</v>
      </c>
      <c r="AH253" s="81">
        <f t="shared" si="799"/>
        <v>0</v>
      </c>
      <c r="AI253" s="81">
        <f t="shared" si="800"/>
        <v>0</v>
      </c>
      <c r="AJ253" s="81"/>
      <c r="AK253" s="81"/>
      <c r="AL253" s="81"/>
      <c r="AM253" s="81"/>
      <c r="AN253" s="81"/>
      <c r="AO253" s="81"/>
      <c r="AP253" s="81"/>
      <c r="AQ253" s="81"/>
      <c r="AR253" s="81"/>
      <c r="AS253" s="81"/>
      <c r="AT253" s="81">
        <v>0</v>
      </c>
      <c r="AU253" s="81">
        <f t="shared" si="801"/>
        <v>0</v>
      </c>
      <c r="AV253" s="81">
        <f t="shared" si="802"/>
        <v>0</v>
      </c>
      <c r="AW253" s="81"/>
      <c r="AX253" s="81"/>
      <c r="AY253" s="81"/>
      <c r="AZ253" s="81"/>
      <c r="BA253" s="81"/>
      <c r="BB253" s="81"/>
      <c r="BC253" s="81"/>
      <c r="BD253" s="81"/>
      <c r="BE253" s="81"/>
      <c r="BF253" s="81"/>
      <c r="BG253" s="81"/>
      <c r="BH253" s="81">
        <v>0</v>
      </c>
      <c r="BI253" s="81">
        <f t="shared" si="803"/>
        <v>0</v>
      </c>
      <c r="BJ253" s="98">
        <f t="shared" si="804"/>
        <v>0</v>
      </c>
      <c r="BK253" s="98"/>
      <c r="BL253" s="98"/>
      <c r="BM253" s="98"/>
      <c r="BN253" s="98"/>
      <c r="BO253" s="98"/>
      <c r="BP253" s="81"/>
      <c r="BQ253" s="81">
        <f t="shared" si="805"/>
        <v>0</v>
      </c>
      <c r="BR253" s="81">
        <f t="shared" si="806"/>
        <v>0</v>
      </c>
      <c r="BS253" s="98"/>
      <c r="BT253" s="98"/>
      <c r="BU253" s="98"/>
      <c r="BV253" s="98"/>
      <c r="BW253" s="98"/>
      <c r="BX253" s="98"/>
      <c r="BY253" s="98"/>
      <c r="BZ253" s="98"/>
      <c r="CA253" s="98"/>
      <c r="CB253" s="98"/>
      <c r="CC253" s="98"/>
      <c r="CD253" s="98"/>
      <c r="CE253" s="82" t="s">
        <v>429</v>
      </c>
      <c r="CF253" s="85" t="s">
        <v>512</v>
      </c>
      <c r="CG253" s="24"/>
    </row>
    <row r="254" spans="1:85" s="122" customFormat="1" ht="25.5" customHeight="1" x14ac:dyDescent="0.2">
      <c r="A254" s="108"/>
      <c r="B254" s="242"/>
      <c r="C254" s="285" t="s">
        <v>272</v>
      </c>
      <c r="D254" s="80">
        <f t="shared" si="795"/>
        <v>608322</v>
      </c>
      <c r="E254" s="295">
        <f t="shared" si="796"/>
        <v>605050</v>
      </c>
      <c r="F254" s="81">
        <v>606562</v>
      </c>
      <c r="G254" s="81">
        <f t="shared" si="797"/>
        <v>603290</v>
      </c>
      <c r="H254" s="81">
        <f t="shared" si="798"/>
        <v>-3272</v>
      </c>
      <c r="I254" s="81"/>
      <c r="J254" s="81"/>
      <c r="K254" s="81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1">
        <v>-3272</v>
      </c>
      <c r="X254" s="81"/>
      <c r="Y254" s="81"/>
      <c r="Z254" s="81"/>
      <c r="AA254" s="81"/>
      <c r="AB254" s="81"/>
      <c r="AC254" s="81"/>
      <c r="AD254" s="81"/>
      <c r="AE254" s="81"/>
      <c r="AF254" s="81"/>
      <c r="AG254" s="81">
        <v>1760</v>
      </c>
      <c r="AH254" s="81">
        <f t="shared" si="799"/>
        <v>1760</v>
      </c>
      <c r="AI254" s="81">
        <f t="shared" si="800"/>
        <v>0</v>
      </c>
      <c r="AJ254" s="81"/>
      <c r="AK254" s="81"/>
      <c r="AL254" s="81"/>
      <c r="AM254" s="81"/>
      <c r="AN254" s="81"/>
      <c r="AO254" s="81"/>
      <c r="AP254" s="81"/>
      <c r="AQ254" s="81"/>
      <c r="AR254" s="81"/>
      <c r="AS254" s="81"/>
      <c r="AT254" s="81">
        <v>0</v>
      </c>
      <c r="AU254" s="81">
        <f t="shared" si="801"/>
        <v>0</v>
      </c>
      <c r="AV254" s="81">
        <f t="shared" si="802"/>
        <v>0</v>
      </c>
      <c r="AW254" s="81"/>
      <c r="AX254" s="81"/>
      <c r="AY254" s="81"/>
      <c r="AZ254" s="81"/>
      <c r="BA254" s="81"/>
      <c r="BB254" s="81"/>
      <c r="BC254" s="81"/>
      <c r="BD254" s="81"/>
      <c r="BE254" s="81"/>
      <c r="BF254" s="81"/>
      <c r="BG254" s="81"/>
      <c r="BH254" s="81">
        <v>0</v>
      </c>
      <c r="BI254" s="81">
        <f t="shared" si="803"/>
        <v>0</v>
      </c>
      <c r="BJ254" s="98">
        <f t="shared" si="804"/>
        <v>0</v>
      </c>
      <c r="BK254" s="98"/>
      <c r="BL254" s="98"/>
      <c r="BM254" s="98"/>
      <c r="BN254" s="98"/>
      <c r="BO254" s="98"/>
      <c r="BP254" s="81"/>
      <c r="BQ254" s="81">
        <f t="shared" si="805"/>
        <v>0</v>
      </c>
      <c r="BR254" s="81">
        <f t="shared" si="806"/>
        <v>0</v>
      </c>
      <c r="BS254" s="98"/>
      <c r="BT254" s="98"/>
      <c r="BU254" s="98"/>
      <c r="BV254" s="98"/>
      <c r="BW254" s="98"/>
      <c r="BX254" s="98"/>
      <c r="BY254" s="98"/>
      <c r="BZ254" s="98"/>
      <c r="CA254" s="98"/>
      <c r="CB254" s="98"/>
      <c r="CC254" s="98"/>
      <c r="CD254" s="98"/>
      <c r="CE254" s="82" t="s">
        <v>430</v>
      </c>
      <c r="CF254" s="85" t="s">
        <v>695</v>
      </c>
      <c r="CG254" s="24"/>
    </row>
    <row r="255" spans="1:85" ht="24" x14ac:dyDescent="0.2">
      <c r="A255" s="108"/>
      <c r="B255" s="242"/>
      <c r="C255" s="285" t="s">
        <v>486</v>
      </c>
      <c r="D255" s="80">
        <f t="shared" si="795"/>
        <v>122402</v>
      </c>
      <c r="E255" s="295">
        <f t="shared" si="796"/>
        <v>126256</v>
      </c>
      <c r="F255" s="81">
        <v>122402</v>
      </c>
      <c r="G255" s="81">
        <f t="shared" si="797"/>
        <v>126256</v>
      </c>
      <c r="H255" s="81">
        <f t="shared" si="798"/>
        <v>3854</v>
      </c>
      <c r="I255" s="81"/>
      <c r="J255" s="81"/>
      <c r="K255" s="81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1">
        <v>3854</v>
      </c>
      <c r="X255" s="81"/>
      <c r="Y255" s="81"/>
      <c r="Z255" s="81"/>
      <c r="AA255" s="81"/>
      <c r="AB255" s="81"/>
      <c r="AC255" s="81"/>
      <c r="AD255" s="81"/>
      <c r="AE255" s="81"/>
      <c r="AF255" s="81"/>
      <c r="AG255" s="81">
        <v>0</v>
      </c>
      <c r="AH255" s="81">
        <f t="shared" si="799"/>
        <v>0</v>
      </c>
      <c r="AI255" s="81">
        <f t="shared" si="800"/>
        <v>0</v>
      </c>
      <c r="AJ255" s="81"/>
      <c r="AK255" s="81"/>
      <c r="AL255" s="81"/>
      <c r="AM255" s="81"/>
      <c r="AN255" s="81"/>
      <c r="AO255" s="81"/>
      <c r="AP255" s="81"/>
      <c r="AQ255" s="81"/>
      <c r="AR255" s="81"/>
      <c r="AS255" s="81"/>
      <c r="AT255" s="81">
        <v>0</v>
      </c>
      <c r="AU255" s="81">
        <f t="shared" si="801"/>
        <v>0</v>
      </c>
      <c r="AV255" s="81">
        <f t="shared" si="802"/>
        <v>0</v>
      </c>
      <c r="AW255" s="81"/>
      <c r="AX255" s="81"/>
      <c r="AY255" s="81"/>
      <c r="AZ255" s="81"/>
      <c r="BA255" s="81"/>
      <c r="BB255" s="81"/>
      <c r="BC255" s="81"/>
      <c r="BD255" s="81"/>
      <c r="BE255" s="81"/>
      <c r="BF255" s="81"/>
      <c r="BG255" s="81"/>
      <c r="BH255" s="81">
        <v>0</v>
      </c>
      <c r="BI255" s="81">
        <f t="shared" si="803"/>
        <v>0</v>
      </c>
      <c r="BJ255" s="98">
        <f t="shared" si="804"/>
        <v>0</v>
      </c>
      <c r="BK255" s="98"/>
      <c r="BL255" s="98"/>
      <c r="BM255" s="98"/>
      <c r="BN255" s="98"/>
      <c r="BO255" s="98"/>
      <c r="BP255" s="81"/>
      <c r="BQ255" s="81">
        <f t="shared" si="805"/>
        <v>0</v>
      </c>
      <c r="BR255" s="81">
        <f t="shared" si="806"/>
        <v>0</v>
      </c>
      <c r="BS255" s="98"/>
      <c r="BT255" s="98"/>
      <c r="BU255" s="98"/>
      <c r="BV255" s="98"/>
      <c r="BW255" s="98"/>
      <c r="BX255" s="98"/>
      <c r="BY255" s="98"/>
      <c r="BZ255" s="98"/>
      <c r="CA255" s="98"/>
      <c r="CB255" s="98"/>
      <c r="CC255" s="98"/>
      <c r="CD255" s="98"/>
      <c r="CE255" s="82" t="s">
        <v>431</v>
      </c>
      <c r="CF255" s="85"/>
      <c r="CG255" s="24"/>
    </row>
    <row r="256" spans="1:85" s="192" customFormat="1" ht="28.5" customHeight="1" x14ac:dyDescent="0.2">
      <c r="A256" s="108"/>
      <c r="B256" s="242"/>
      <c r="C256" s="285" t="s">
        <v>541</v>
      </c>
      <c r="D256" s="80">
        <f t="shared" si="795"/>
        <v>267228</v>
      </c>
      <c r="E256" s="295">
        <f t="shared" si="796"/>
        <v>114770</v>
      </c>
      <c r="F256" s="81">
        <v>267228</v>
      </c>
      <c r="G256" s="81">
        <f t="shared" si="797"/>
        <v>114770</v>
      </c>
      <c r="H256" s="81">
        <f t="shared" si="798"/>
        <v>-152458</v>
      </c>
      <c r="I256" s="81"/>
      <c r="J256" s="81"/>
      <c r="K256" s="81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1">
        <v>-152458</v>
      </c>
      <c r="X256" s="81"/>
      <c r="Y256" s="81"/>
      <c r="Z256" s="81"/>
      <c r="AA256" s="81"/>
      <c r="AB256" s="81"/>
      <c r="AC256" s="81"/>
      <c r="AD256" s="81"/>
      <c r="AE256" s="81"/>
      <c r="AF256" s="81"/>
      <c r="AG256" s="81">
        <v>0</v>
      </c>
      <c r="AH256" s="81">
        <f t="shared" si="799"/>
        <v>0</v>
      </c>
      <c r="AI256" s="81">
        <f t="shared" si="800"/>
        <v>0</v>
      </c>
      <c r="AJ256" s="81"/>
      <c r="AK256" s="81"/>
      <c r="AL256" s="81"/>
      <c r="AM256" s="81"/>
      <c r="AN256" s="81"/>
      <c r="AO256" s="81"/>
      <c r="AP256" s="81"/>
      <c r="AQ256" s="81"/>
      <c r="AR256" s="81"/>
      <c r="AS256" s="81"/>
      <c r="AT256" s="81">
        <v>0</v>
      </c>
      <c r="AU256" s="81">
        <f t="shared" si="801"/>
        <v>0</v>
      </c>
      <c r="AV256" s="81">
        <f t="shared" si="802"/>
        <v>0</v>
      </c>
      <c r="AW256" s="81"/>
      <c r="AX256" s="81"/>
      <c r="AY256" s="81"/>
      <c r="AZ256" s="81"/>
      <c r="BA256" s="81"/>
      <c r="BB256" s="81"/>
      <c r="BC256" s="81"/>
      <c r="BD256" s="81"/>
      <c r="BE256" s="81"/>
      <c r="BF256" s="81"/>
      <c r="BG256" s="81"/>
      <c r="BH256" s="81">
        <v>0</v>
      </c>
      <c r="BI256" s="81">
        <f t="shared" si="803"/>
        <v>0</v>
      </c>
      <c r="BJ256" s="98">
        <f t="shared" si="804"/>
        <v>0</v>
      </c>
      <c r="BK256" s="98"/>
      <c r="BL256" s="98"/>
      <c r="BM256" s="98"/>
      <c r="BN256" s="98"/>
      <c r="BO256" s="98"/>
      <c r="BP256" s="81"/>
      <c r="BQ256" s="81">
        <f t="shared" si="805"/>
        <v>0</v>
      </c>
      <c r="BR256" s="81">
        <f t="shared" si="806"/>
        <v>0</v>
      </c>
      <c r="BS256" s="98"/>
      <c r="BT256" s="98"/>
      <c r="BU256" s="98"/>
      <c r="BV256" s="98"/>
      <c r="BW256" s="98"/>
      <c r="BX256" s="98"/>
      <c r="BY256" s="98"/>
      <c r="BZ256" s="98"/>
      <c r="CA256" s="98"/>
      <c r="CB256" s="98"/>
      <c r="CC256" s="98"/>
      <c r="CD256" s="98"/>
      <c r="CE256" s="82" t="s">
        <v>503</v>
      </c>
      <c r="CF256" s="85"/>
      <c r="CG256" s="24"/>
    </row>
    <row r="257" spans="1:85" s="192" customFormat="1" ht="27" customHeight="1" x14ac:dyDescent="0.2">
      <c r="A257" s="108"/>
      <c r="B257" s="242"/>
      <c r="C257" s="285" t="s">
        <v>542</v>
      </c>
      <c r="D257" s="80">
        <f t="shared" si="795"/>
        <v>12753</v>
      </c>
      <c r="E257" s="295">
        <f t="shared" si="796"/>
        <v>12526</v>
      </c>
      <c r="F257" s="81">
        <v>12753</v>
      </c>
      <c r="G257" s="81">
        <f t="shared" si="797"/>
        <v>12526</v>
      </c>
      <c r="H257" s="81">
        <f t="shared" si="798"/>
        <v>-227</v>
      </c>
      <c r="I257" s="81"/>
      <c r="J257" s="81"/>
      <c r="K257" s="81">
        <v>-227</v>
      </c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1"/>
      <c r="X257" s="81"/>
      <c r="Y257" s="81"/>
      <c r="Z257" s="81"/>
      <c r="AA257" s="81"/>
      <c r="AB257" s="81"/>
      <c r="AC257" s="81"/>
      <c r="AD257" s="81"/>
      <c r="AE257" s="81"/>
      <c r="AF257" s="81"/>
      <c r="AG257" s="81">
        <v>0</v>
      </c>
      <c r="AH257" s="81">
        <f t="shared" si="799"/>
        <v>0</v>
      </c>
      <c r="AI257" s="81">
        <f t="shared" si="800"/>
        <v>0</v>
      </c>
      <c r="AJ257" s="81"/>
      <c r="AK257" s="81"/>
      <c r="AL257" s="81"/>
      <c r="AM257" s="81"/>
      <c r="AN257" s="81"/>
      <c r="AO257" s="81"/>
      <c r="AP257" s="81"/>
      <c r="AQ257" s="81"/>
      <c r="AR257" s="81"/>
      <c r="AS257" s="81"/>
      <c r="AT257" s="81">
        <v>0</v>
      </c>
      <c r="AU257" s="81">
        <f t="shared" si="801"/>
        <v>0</v>
      </c>
      <c r="AV257" s="81">
        <f t="shared" si="802"/>
        <v>0</v>
      </c>
      <c r="AW257" s="81"/>
      <c r="AX257" s="81"/>
      <c r="AY257" s="81"/>
      <c r="AZ257" s="81"/>
      <c r="BA257" s="81"/>
      <c r="BB257" s="81"/>
      <c r="BC257" s="81"/>
      <c r="BD257" s="81"/>
      <c r="BE257" s="81"/>
      <c r="BF257" s="81"/>
      <c r="BG257" s="81"/>
      <c r="BH257" s="81">
        <v>0</v>
      </c>
      <c r="BI257" s="81">
        <f t="shared" si="803"/>
        <v>0</v>
      </c>
      <c r="BJ257" s="98">
        <f t="shared" si="804"/>
        <v>0</v>
      </c>
      <c r="BK257" s="98"/>
      <c r="BL257" s="98"/>
      <c r="BM257" s="98"/>
      <c r="BN257" s="98"/>
      <c r="BO257" s="98"/>
      <c r="BP257" s="81"/>
      <c r="BQ257" s="81">
        <f t="shared" si="805"/>
        <v>0</v>
      </c>
      <c r="BR257" s="81">
        <f t="shared" si="806"/>
        <v>0</v>
      </c>
      <c r="BS257" s="98"/>
      <c r="BT257" s="98"/>
      <c r="BU257" s="98"/>
      <c r="BV257" s="98"/>
      <c r="BW257" s="98"/>
      <c r="BX257" s="98"/>
      <c r="BY257" s="98"/>
      <c r="BZ257" s="98"/>
      <c r="CA257" s="98"/>
      <c r="CB257" s="98"/>
      <c r="CC257" s="98"/>
      <c r="CD257" s="98"/>
      <c r="CE257" s="82" t="s">
        <v>692</v>
      </c>
      <c r="CF257" s="85"/>
      <c r="CG257" s="24"/>
    </row>
    <row r="258" spans="1:85" s="198" customFormat="1" x14ac:dyDescent="0.2">
      <c r="A258" s="108"/>
      <c r="B258" s="242"/>
      <c r="C258" s="340" t="s">
        <v>761</v>
      </c>
      <c r="D258" s="80">
        <f t="shared" ref="D258" si="807">F258+AG258+AT258+BH258+BP258</f>
        <v>0</v>
      </c>
      <c r="E258" s="295">
        <f t="shared" ref="E258" si="808">G258+AH258+AU258+BI258+BQ258</f>
        <v>358</v>
      </c>
      <c r="F258" s="81"/>
      <c r="G258" s="81">
        <f t="shared" ref="G258" si="809">F258+H258</f>
        <v>26203</v>
      </c>
      <c r="H258" s="81">
        <f t="shared" ref="H258" si="810">SUM(I258:AF258)</f>
        <v>26203</v>
      </c>
      <c r="I258" s="81"/>
      <c r="J258" s="81"/>
      <c r="K258" s="81">
        <v>26203</v>
      </c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1"/>
      <c r="X258" s="81"/>
      <c r="Y258" s="81"/>
      <c r="Z258" s="81"/>
      <c r="AA258" s="81"/>
      <c r="AB258" s="81"/>
      <c r="AC258" s="81"/>
      <c r="AD258" s="81"/>
      <c r="AE258" s="81"/>
      <c r="AF258" s="81"/>
      <c r="AG258" s="81"/>
      <c r="AH258" s="81">
        <f t="shared" ref="AH258" si="811">AG258+AI258</f>
        <v>0</v>
      </c>
      <c r="AI258" s="81">
        <f t="shared" ref="AI258" si="812">SUM(AJ258:AS258)</f>
        <v>0</v>
      </c>
      <c r="AJ258" s="81"/>
      <c r="AK258" s="81"/>
      <c r="AL258" s="81"/>
      <c r="AM258" s="81"/>
      <c r="AN258" s="81"/>
      <c r="AO258" s="81"/>
      <c r="AP258" s="81"/>
      <c r="AQ258" s="81"/>
      <c r="AR258" s="81"/>
      <c r="AS258" s="81"/>
      <c r="AT258" s="81"/>
      <c r="AU258" s="81">
        <f t="shared" ref="AU258" si="813">AT258+AV258</f>
        <v>0</v>
      </c>
      <c r="AV258" s="81">
        <f t="shared" ref="AV258" si="814">SUM(AW258:BG258)</f>
        <v>0</v>
      </c>
      <c r="AW258" s="81"/>
      <c r="AX258" s="81"/>
      <c r="AY258" s="81"/>
      <c r="AZ258" s="81"/>
      <c r="BA258" s="81"/>
      <c r="BB258" s="81"/>
      <c r="BC258" s="81"/>
      <c r="BD258" s="81"/>
      <c r="BE258" s="81"/>
      <c r="BF258" s="81"/>
      <c r="BG258" s="81"/>
      <c r="BH258" s="81"/>
      <c r="BI258" s="81">
        <f t="shared" ref="BI258" si="815">BH258+BJ258</f>
        <v>0</v>
      </c>
      <c r="BJ258" s="98">
        <f t="shared" ref="BJ258" si="816">SUM(BK258:BO258)</f>
        <v>0</v>
      </c>
      <c r="BK258" s="98"/>
      <c r="BL258" s="98"/>
      <c r="BM258" s="98"/>
      <c r="BN258" s="98"/>
      <c r="BO258" s="98"/>
      <c r="BP258" s="81"/>
      <c r="BQ258" s="81">
        <f t="shared" ref="BQ258" si="817">BP258+BR258</f>
        <v>-25845</v>
      </c>
      <c r="BR258" s="81">
        <f t="shared" ref="BR258" si="818">SUM(BS258:CD258)</f>
        <v>-25845</v>
      </c>
      <c r="BS258" s="98"/>
      <c r="BT258" s="98">
        <v>-25845</v>
      </c>
      <c r="BU258" s="98"/>
      <c r="BV258" s="98"/>
      <c r="BW258" s="98"/>
      <c r="BX258" s="98"/>
      <c r="BY258" s="98"/>
      <c r="BZ258" s="98"/>
      <c r="CA258" s="98"/>
      <c r="CB258" s="98"/>
      <c r="CC258" s="98"/>
      <c r="CD258" s="98"/>
      <c r="CE258" s="82" t="s">
        <v>762</v>
      </c>
      <c r="CF258" s="85"/>
      <c r="CG258" s="24"/>
    </row>
    <row r="259" spans="1:85" ht="48" x14ac:dyDescent="0.2">
      <c r="A259" s="108">
        <v>90010991438</v>
      </c>
      <c r="B259" s="241" t="s">
        <v>472</v>
      </c>
      <c r="C259" s="285" t="s">
        <v>210</v>
      </c>
      <c r="D259" s="80">
        <f t="shared" si="795"/>
        <v>1431668</v>
      </c>
      <c r="E259" s="295">
        <f t="shared" si="796"/>
        <v>1447496</v>
      </c>
      <c r="F259" s="81">
        <v>766939</v>
      </c>
      <c r="G259" s="81">
        <f t="shared" si="797"/>
        <v>748405</v>
      </c>
      <c r="H259" s="81">
        <f t="shared" si="798"/>
        <v>-18534</v>
      </c>
      <c r="I259" s="81"/>
      <c r="J259" s="81"/>
      <c r="K259" s="81">
        <v>-12610</v>
      </c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1">
        <v>-5924</v>
      </c>
      <c r="X259" s="81"/>
      <c r="Y259" s="81"/>
      <c r="Z259" s="81"/>
      <c r="AA259" s="81"/>
      <c r="AB259" s="81"/>
      <c r="AC259" s="81"/>
      <c r="AD259" s="81"/>
      <c r="AE259" s="81"/>
      <c r="AF259" s="81"/>
      <c r="AG259" s="81">
        <v>80625</v>
      </c>
      <c r="AH259" s="81">
        <f t="shared" si="799"/>
        <v>98222</v>
      </c>
      <c r="AI259" s="81">
        <f t="shared" si="800"/>
        <v>17597</v>
      </c>
      <c r="AJ259" s="81"/>
      <c r="AK259" s="81">
        <v>3196</v>
      </c>
      <c r="AL259" s="81"/>
      <c r="AM259" s="81"/>
      <c r="AN259" s="81"/>
      <c r="AO259" s="81">
        <v>14401</v>
      </c>
      <c r="AP259" s="81"/>
      <c r="AQ259" s="81"/>
      <c r="AR259" s="81"/>
      <c r="AS259" s="81"/>
      <c r="AT259" s="81">
        <v>584104</v>
      </c>
      <c r="AU259" s="81">
        <f t="shared" si="801"/>
        <v>600869</v>
      </c>
      <c r="AV259" s="81">
        <f t="shared" si="802"/>
        <v>16765</v>
      </c>
      <c r="AW259" s="81">
        <v>25242</v>
      </c>
      <c r="AX259" s="81"/>
      <c r="AY259" s="81"/>
      <c r="AZ259" s="81"/>
      <c r="BA259" s="81"/>
      <c r="BB259" s="81"/>
      <c r="BC259" s="81">
        <v>-8477</v>
      </c>
      <c r="BD259" s="81"/>
      <c r="BE259" s="81"/>
      <c r="BF259" s="81"/>
      <c r="BG259" s="81"/>
      <c r="BH259" s="81">
        <v>0</v>
      </c>
      <c r="BI259" s="81">
        <f t="shared" si="803"/>
        <v>0</v>
      </c>
      <c r="BJ259" s="98">
        <f t="shared" si="804"/>
        <v>0</v>
      </c>
      <c r="BK259" s="98"/>
      <c r="BL259" s="98"/>
      <c r="BM259" s="98"/>
      <c r="BN259" s="98"/>
      <c r="BO259" s="98"/>
      <c r="BP259" s="81"/>
      <c r="BQ259" s="81">
        <f t="shared" si="805"/>
        <v>0</v>
      </c>
      <c r="BR259" s="81">
        <f t="shared" si="806"/>
        <v>0</v>
      </c>
      <c r="BS259" s="98"/>
      <c r="BT259" s="98"/>
      <c r="BU259" s="98"/>
      <c r="BV259" s="98"/>
      <c r="BW259" s="98"/>
      <c r="BX259" s="98"/>
      <c r="BY259" s="98"/>
      <c r="BZ259" s="98"/>
      <c r="CA259" s="98"/>
      <c r="CB259" s="98"/>
      <c r="CC259" s="98"/>
      <c r="CD259" s="98"/>
      <c r="CE259" s="82" t="s">
        <v>558</v>
      </c>
      <c r="CF259" s="85"/>
      <c r="CG259" s="24"/>
    </row>
    <row r="260" spans="1:85" ht="24" x14ac:dyDescent="0.2">
      <c r="A260" s="108"/>
      <c r="B260" s="243"/>
      <c r="C260" s="285" t="s">
        <v>487</v>
      </c>
      <c r="D260" s="80">
        <f t="shared" si="795"/>
        <v>46530</v>
      </c>
      <c r="E260" s="295">
        <f t="shared" si="796"/>
        <v>46962</v>
      </c>
      <c r="F260" s="81">
        <v>46530</v>
      </c>
      <c r="G260" s="81">
        <f t="shared" si="797"/>
        <v>46962</v>
      </c>
      <c r="H260" s="81">
        <f t="shared" si="798"/>
        <v>432</v>
      </c>
      <c r="I260" s="81"/>
      <c r="J260" s="81"/>
      <c r="K260" s="81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1">
        <v>432</v>
      </c>
      <c r="X260" s="81"/>
      <c r="Y260" s="81"/>
      <c r="Z260" s="81"/>
      <c r="AA260" s="81"/>
      <c r="AB260" s="81"/>
      <c r="AC260" s="81"/>
      <c r="AD260" s="81"/>
      <c r="AE260" s="81"/>
      <c r="AF260" s="81"/>
      <c r="AG260" s="81">
        <v>0</v>
      </c>
      <c r="AH260" s="81">
        <f t="shared" si="799"/>
        <v>0</v>
      </c>
      <c r="AI260" s="81">
        <f t="shared" si="800"/>
        <v>0</v>
      </c>
      <c r="AJ260" s="81"/>
      <c r="AK260" s="81"/>
      <c r="AL260" s="81"/>
      <c r="AM260" s="81"/>
      <c r="AN260" s="81"/>
      <c r="AO260" s="81"/>
      <c r="AP260" s="81"/>
      <c r="AQ260" s="81"/>
      <c r="AR260" s="81"/>
      <c r="AS260" s="81"/>
      <c r="AT260" s="81">
        <v>0</v>
      </c>
      <c r="AU260" s="81">
        <f t="shared" si="801"/>
        <v>0</v>
      </c>
      <c r="AV260" s="81">
        <f t="shared" si="802"/>
        <v>0</v>
      </c>
      <c r="AW260" s="81"/>
      <c r="AX260" s="81"/>
      <c r="AY260" s="81"/>
      <c r="AZ260" s="81"/>
      <c r="BA260" s="81"/>
      <c r="BB260" s="81"/>
      <c r="BC260" s="81"/>
      <c r="BD260" s="81"/>
      <c r="BE260" s="81"/>
      <c r="BF260" s="81"/>
      <c r="BG260" s="81"/>
      <c r="BH260" s="81">
        <v>0</v>
      </c>
      <c r="BI260" s="81">
        <f t="shared" si="803"/>
        <v>0</v>
      </c>
      <c r="BJ260" s="98">
        <f t="shared" si="804"/>
        <v>0</v>
      </c>
      <c r="BK260" s="98"/>
      <c r="BL260" s="98"/>
      <c r="BM260" s="98"/>
      <c r="BN260" s="98"/>
      <c r="BO260" s="98"/>
      <c r="BP260" s="81"/>
      <c r="BQ260" s="81">
        <f t="shared" si="805"/>
        <v>0</v>
      </c>
      <c r="BR260" s="81">
        <f t="shared" si="806"/>
        <v>0</v>
      </c>
      <c r="BS260" s="98"/>
      <c r="BT260" s="98"/>
      <c r="BU260" s="98"/>
      <c r="BV260" s="98"/>
      <c r="BW260" s="98"/>
      <c r="BX260" s="98"/>
      <c r="BY260" s="98"/>
      <c r="BZ260" s="98"/>
      <c r="CA260" s="98"/>
      <c r="CB260" s="98"/>
      <c r="CC260" s="98"/>
      <c r="CD260" s="98"/>
      <c r="CE260" s="82" t="s">
        <v>504</v>
      </c>
      <c r="CF260" s="85"/>
      <c r="CG260" s="24"/>
    </row>
    <row r="261" spans="1:85" ht="12.75" x14ac:dyDescent="0.2">
      <c r="A261" s="108"/>
      <c r="B261" s="243"/>
      <c r="C261" s="285" t="s">
        <v>212</v>
      </c>
      <c r="D261" s="80">
        <f t="shared" si="795"/>
        <v>3544</v>
      </c>
      <c r="E261" s="295">
        <f t="shared" si="796"/>
        <v>3544</v>
      </c>
      <c r="F261" s="81">
        <v>3544</v>
      </c>
      <c r="G261" s="81">
        <f t="shared" si="797"/>
        <v>3544</v>
      </c>
      <c r="H261" s="81">
        <f t="shared" si="798"/>
        <v>0</v>
      </c>
      <c r="I261" s="81"/>
      <c r="J261" s="81"/>
      <c r="K261" s="81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1"/>
      <c r="X261" s="81"/>
      <c r="Y261" s="81"/>
      <c r="Z261" s="81"/>
      <c r="AA261" s="81"/>
      <c r="AB261" s="81"/>
      <c r="AC261" s="81"/>
      <c r="AD261" s="81"/>
      <c r="AE261" s="81"/>
      <c r="AF261" s="81"/>
      <c r="AG261" s="81">
        <v>0</v>
      </c>
      <c r="AH261" s="81">
        <f t="shared" si="799"/>
        <v>0</v>
      </c>
      <c r="AI261" s="81">
        <f t="shared" si="800"/>
        <v>0</v>
      </c>
      <c r="AJ261" s="81"/>
      <c r="AK261" s="81"/>
      <c r="AL261" s="81"/>
      <c r="AM261" s="81"/>
      <c r="AN261" s="81"/>
      <c r="AO261" s="81"/>
      <c r="AP261" s="81"/>
      <c r="AQ261" s="81"/>
      <c r="AR261" s="81"/>
      <c r="AS261" s="81"/>
      <c r="AT261" s="81">
        <v>0</v>
      </c>
      <c r="AU261" s="81">
        <f t="shared" si="801"/>
        <v>0</v>
      </c>
      <c r="AV261" s="81">
        <f t="shared" si="802"/>
        <v>0</v>
      </c>
      <c r="AW261" s="81"/>
      <c r="AX261" s="81"/>
      <c r="AY261" s="81"/>
      <c r="AZ261" s="81"/>
      <c r="BA261" s="81"/>
      <c r="BB261" s="81"/>
      <c r="BC261" s="81"/>
      <c r="BD261" s="81"/>
      <c r="BE261" s="81"/>
      <c r="BF261" s="81"/>
      <c r="BG261" s="81"/>
      <c r="BH261" s="81">
        <v>0</v>
      </c>
      <c r="BI261" s="81">
        <f t="shared" si="803"/>
        <v>0</v>
      </c>
      <c r="BJ261" s="98">
        <f t="shared" si="804"/>
        <v>0</v>
      </c>
      <c r="BK261" s="98"/>
      <c r="BL261" s="98"/>
      <c r="BM261" s="98"/>
      <c r="BN261" s="98"/>
      <c r="BO261" s="98"/>
      <c r="BP261" s="81"/>
      <c r="BQ261" s="81">
        <f t="shared" si="805"/>
        <v>0</v>
      </c>
      <c r="BR261" s="81">
        <f t="shared" si="806"/>
        <v>0</v>
      </c>
      <c r="BS261" s="98"/>
      <c r="BT261" s="98"/>
      <c r="BU261" s="98"/>
      <c r="BV261" s="98"/>
      <c r="BW261" s="98"/>
      <c r="BX261" s="98"/>
      <c r="BY261" s="98"/>
      <c r="BZ261" s="98"/>
      <c r="CA261" s="98"/>
      <c r="CB261" s="98"/>
      <c r="CC261" s="98"/>
      <c r="CD261" s="98"/>
      <c r="CE261" s="82" t="s">
        <v>432</v>
      </c>
      <c r="CF261" s="85"/>
      <c r="CG261" s="24"/>
    </row>
    <row r="262" spans="1:85" ht="12.75" x14ac:dyDescent="0.2">
      <c r="A262" s="108"/>
      <c r="B262" s="243"/>
      <c r="C262" s="285" t="s">
        <v>211</v>
      </c>
      <c r="D262" s="80">
        <f t="shared" si="795"/>
        <v>125141</v>
      </c>
      <c r="E262" s="295">
        <f t="shared" si="796"/>
        <v>125141</v>
      </c>
      <c r="F262" s="81">
        <v>125141</v>
      </c>
      <c r="G262" s="81">
        <f t="shared" si="797"/>
        <v>125141</v>
      </c>
      <c r="H262" s="81">
        <f t="shared" si="798"/>
        <v>0</v>
      </c>
      <c r="I262" s="81"/>
      <c r="J262" s="81"/>
      <c r="K262" s="81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1"/>
      <c r="X262" s="81"/>
      <c r="Y262" s="81"/>
      <c r="Z262" s="81"/>
      <c r="AA262" s="81"/>
      <c r="AB262" s="81"/>
      <c r="AC262" s="81"/>
      <c r="AD262" s="81"/>
      <c r="AE262" s="81"/>
      <c r="AF262" s="81"/>
      <c r="AG262" s="81">
        <v>0</v>
      </c>
      <c r="AH262" s="81">
        <f t="shared" si="799"/>
        <v>0</v>
      </c>
      <c r="AI262" s="81">
        <f t="shared" si="800"/>
        <v>0</v>
      </c>
      <c r="AJ262" s="81"/>
      <c r="AK262" s="81"/>
      <c r="AL262" s="81"/>
      <c r="AM262" s="81"/>
      <c r="AN262" s="81"/>
      <c r="AO262" s="81"/>
      <c r="AP262" s="81"/>
      <c r="AQ262" s="81"/>
      <c r="AR262" s="81"/>
      <c r="AS262" s="81"/>
      <c r="AT262" s="81">
        <v>0</v>
      </c>
      <c r="AU262" s="81">
        <f t="shared" si="801"/>
        <v>0</v>
      </c>
      <c r="AV262" s="81">
        <f t="shared" si="802"/>
        <v>0</v>
      </c>
      <c r="AW262" s="81"/>
      <c r="AX262" s="81"/>
      <c r="AY262" s="81"/>
      <c r="AZ262" s="81"/>
      <c r="BA262" s="81"/>
      <c r="BB262" s="81"/>
      <c r="BC262" s="81"/>
      <c r="BD262" s="81"/>
      <c r="BE262" s="81"/>
      <c r="BF262" s="81"/>
      <c r="BG262" s="81"/>
      <c r="BH262" s="81">
        <v>0</v>
      </c>
      <c r="BI262" s="81">
        <f t="shared" si="803"/>
        <v>0</v>
      </c>
      <c r="BJ262" s="98">
        <f t="shared" si="804"/>
        <v>0</v>
      </c>
      <c r="BK262" s="98"/>
      <c r="BL262" s="98"/>
      <c r="BM262" s="98"/>
      <c r="BN262" s="98"/>
      <c r="BO262" s="98"/>
      <c r="BP262" s="81"/>
      <c r="BQ262" s="81">
        <f t="shared" si="805"/>
        <v>0</v>
      </c>
      <c r="BR262" s="81">
        <f t="shared" si="806"/>
        <v>0</v>
      </c>
      <c r="BS262" s="98"/>
      <c r="BT262" s="98"/>
      <c r="BU262" s="98"/>
      <c r="BV262" s="98"/>
      <c r="BW262" s="98"/>
      <c r="BX262" s="98"/>
      <c r="BY262" s="98"/>
      <c r="BZ262" s="98"/>
      <c r="CA262" s="98"/>
      <c r="CB262" s="98"/>
      <c r="CC262" s="98"/>
      <c r="CD262" s="98"/>
      <c r="CE262" s="82" t="s">
        <v>433</v>
      </c>
      <c r="CF262" s="85"/>
      <c r="CG262" s="24"/>
    </row>
    <row r="263" spans="1:85" ht="25.5" customHeight="1" x14ac:dyDescent="0.2">
      <c r="A263" s="108"/>
      <c r="B263" s="243"/>
      <c r="C263" s="285" t="s">
        <v>276</v>
      </c>
      <c r="D263" s="80">
        <f t="shared" si="795"/>
        <v>415036</v>
      </c>
      <c r="E263" s="295">
        <f t="shared" si="796"/>
        <v>415036</v>
      </c>
      <c r="F263" s="81">
        <v>401771</v>
      </c>
      <c r="G263" s="81">
        <f t="shared" si="797"/>
        <v>401771</v>
      </c>
      <c r="H263" s="81">
        <f t="shared" si="798"/>
        <v>0</v>
      </c>
      <c r="I263" s="81"/>
      <c r="J263" s="81"/>
      <c r="K263" s="81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1"/>
      <c r="X263" s="81"/>
      <c r="Y263" s="81"/>
      <c r="Z263" s="81"/>
      <c r="AA263" s="81"/>
      <c r="AB263" s="81"/>
      <c r="AC263" s="81"/>
      <c r="AD263" s="81"/>
      <c r="AE263" s="81"/>
      <c r="AF263" s="81"/>
      <c r="AG263" s="81">
        <v>0</v>
      </c>
      <c r="AH263" s="81">
        <f t="shared" si="799"/>
        <v>0</v>
      </c>
      <c r="AI263" s="81">
        <f t="shared" si="800"/>
        <v>0</v>
      </c>
      <c r="AJ263" s="81"/>
      <c r="AK263" s="81"/>
      <c r="AL263" s="81"/>
      <c r="AM263" s="81"/>
      <c r="AN263" s="81"/>
      <c r="AO263" s="81"/>
      <c r="AP263" s="81"/>
      <c r="AQ263" s="81"/>
      <c r="AR263" s="81"/>
      <c r="AS263" s="81"/>
      <c r="AT263" s="81">
        <v>13265</v>
      </c>
      <c r="AU263" s="81">
        <f t="shared" si="801"/>
        <v>13265</v>
      </c>
      <c r="AV263" s="81">
        <f t="shared" si="802"/>
        <v>0</v>
      </c>
      <c r="AW263" s="81"/>
      <c r="AX263" s="81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>
        <v>0</v>
      </c>
      <c r="BI263" s="81">
        <f t="shared" si="803"/>
        <v>0</v>
      </c>
      <c r="BJ263" s="98">
        <f t="shared" si="804"/>
        <v>0</v>
      </c>
      <c r="BK263" s="98"/>
      <c r="BL263" s="98"/>
      <c r="BM263" s="98"/>
      <c r="BN263" s="98"/>
      <c r="BO263" s="98"/>
      <c r="BP263" s="81"/>
      <c r="BQ263" s="81">
        <f t="shared" si="805"/>
        <v>0</v>
      </c>
      <c r="BR263" s="81">
        <f t="shared" si="806"/>
        <v>0</v>
      </c>
      <c r="BS263" s="98"/>
      <c r="BT263" s="98"/>
      <c r="BU263" s="98"/>
      <c r="BV263" s="98"/>
      <c r="BW263" s="98"/>
      <c r="BX263" s="98"/>
      <c r="BY263" s="98"/>
      <c r="BZ263" s="98"/>
      <c r="CA263" s="98"/>
      <c r="CB263" s="98"/>
      <c r="CC263" s="98"/>
      <c r="CD263" s="98"/>
      <c r="CE263" s="82" t="s">
        <v>434</v>
      </c>
      <c r="CF263" s="85"/>
      <c r="CG263" s="24"/>
    </row>
    <row r="264" spans="1:85" ht="12.75" x14ac:dyDescent="0.2">
      <c r="A264" s="108"/>
      <c r="B264" s="243"/>
      <c r="C264" s="285" t="s">
        <v>488</v>
      </c>
      <c r="D264" s="80">
        <f t="shared" si="795"/>
        <v>67046</v>
      </c>
      <c r="E264" s="295">
        <f t="shared" si="796"/>
        <v>117570</v>
      </c>
      <c r="F264" s="81">
        <v>67046</v>
      </c>
      <c r="G264" s="81">
        <f t="shared" si="797"/>
        <v>117570</v>
      </c>
      <c r="H264" s="81">
        <f t="shared" si="798"/>
        <v>50524</v>
      </c>
      <c r="I264" s="81"/>
      <c r="J264" s="81"/>
      <c r="K264" s="81">
        <v>49000</v>
      </c>
      <c r="L264" s="81"/>
      <c r="M264" s="81">
        <v>1524</v>
      </c>
      <c r="N264" s="81"/>
      <c r="O264" s="81"/>
      <c r="P264" s="81"/>
      <c r="Q264" s="81"/>
      <c r="R264" s="81"/>
      <c r="S264" s="81"/>
      <c r="T264" s="81"/>
      <c r="U264" s="81"/>
      <c r="V264" s="81"/>
      <c r="W264" s="81"/>
      <c r="X264" s="81"/>
      <c r="Y264" s="81"/>
      <c r="Z264" s="81"/>
      <c r="AA264" s="81"/>
      <c r="AB264" s="81"/>
      <c r="AC264" s="81"/>
      <c r="AD264" s="81"/>
      <c r="AE264" s="81"/>
      <c r="AF264" s="81"/>
      <c r="AG264" s="81">
        <v>0</v>
      </c>
      <c r="AH264" s="81">
        <f t="shared" si="799"/>
        <v>0</v>
      </c>
      <c r="AI264" s="81">
        <f t="shared" si="800"/>
        <v>0</v>
      </c>
      <c r="AJ264" s="81"/>
      <c r="AK264" s="81"/>
      <c r="AL264" s="81"/>
      <c r="AM264" s="81"/>
      <c r="AN264" s="81"/>
      <c r="AO264" s="81"/>
      <c r="AP264" s="81"/>
      <c r="AQ264" s="81"/>
      <c r="AR264" s="81"/>
      <c r="AS264" s="81"/>
      <c r="AT264" s="81">
        <v>0</v>
      </c>
      <c r="AU264" s="81">
        <f t="shared" si="801"/>
        <v>0</v>
      </c>
      <c r="AV264" s="81">
        <f t="shared" si="802"/>
        <v>0</v>
      </c>
      <c r="AW264" s="81"/>
      <c r="AX264" s="81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>
        <v>0</v>
      </c>
      <c r="BI264" s="81">
        <f t="shared" si="803"/>
        <v>0</v>
      </c>
      <c r="BJ264" s="98">
        <f t="shared" si="804"/>
        <v>0</v>
      </c>
      <c r="BK264" s="98"/>
      <c r="BL264" s="98"/>
      <c r="BM264" s="98"/>
      <c r="BN264" s="98"/>
      <c r="BO264" s="98"/>
      <c r="BP264" s="81"/>
      <c r="BQ264" s="81">
        <f t="shared" si="805"/>
        <v>0</v>
      </c>
      <c r="BR264" s="81">
        <f t="shared" si="806"/>
        <v>0</v>
      </c>
      <c r="BS264" s="98"/>
      <c r="BT264" s="98"/>
      <c r="BU264" s="98"/>
      <c r="BV264" s="98"/>
      <c r="BW264" s="98"/>
      <c r="BX264" s="98"/>
      <c r="BY264" s="98"/>
      <c r="BZ264" s="98"/>
      <c r="CA264" s="98"/>
      <c r="CB264" s="98"/>
      <c r="CC264" s="98"/>
      <c r="CD264" s="98"/>
      <c r="CE264" s="82" t="s">
        <v>435</v>
      </c>
      <c r="CF264" s="85"/>
      <c r="CG264" s="24"/>
    </row>
    <row r="265" spans="1:85" s="105" customFormat="1" ht="26.25" customHeight="1" x14ac:dyDescent="0.2">
      <c r="A265" s="108"/>
      <c r="B265" s="243"/>
      <c r="C265" s="285" t="s">
        <v>509</v>
      </c>
      <c r="D265" s="80">
        <f t="shared" si="795"/>
        <v>360284</v>
      </c>
      <c r="E265" s="295">
        <f t="shared" si="796"/>
        <v>360284</v>
      </c>
      <c r="F265" s="81">
        <v>360284</v>
      </c>
      <c r="G265" s="81">
        <f t="shared" si="797"/>
        <v>360284</v>
      </c>
      <c r="H265" s="81">
        <f t="shared" si="798"/>
        <v>0</v>
      </c>
      <c r="I265" s="81"/>
      <c r="J265" s="81"/>
      <c r="K265" s="81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1"/>
      <c r="X265" s="81"/>
      <c r="Y265" s="81"/>
      <c r="Z265" s="81"/>
      <c r="AA265" s="81"/>
      <c r="AB265" s="81"/>
      <c r="AC265" s="81"/>
      <c r="AD265" s="81"/>
      <c r="AE265" s="81"/>
      <c r="AF265" s="81"/>
      <c r="AG265" s="81">
        <v>0</v>
      </c>
      <c r="AH265" s="81">
        <f t="shared" si="799"/>
        <v>0</v>
      </c>
      <c r="AI265" s="81">
        <f t="shared" si="800"/>
        <v>0</v>
      </c>
      <c r="AJ265" s="81"/>
      <c r="AK265" s="81"/>
      <c r="AL265" s="81"/>
      <c r="AM265" s="81"/>
      <c r="AN265" s="81"/>
      <c r="AO265" s="81"/>
      <c r="AP265" s="81"/>
      <c r="AQ265" s="81"/>
      <c r="AR265" s="81"/>
      <c r="AS265" s="81"/>
      <c r="AT265" s="81">
        <v>0</v>
      </c>
      <c r="AU265" s="81">
        <f t="shared" si="801"/>
        <v>0</v>
      </c>
      <c r="AV265" s="81">
        <f t="shared" si="802"/>
        <v>0</v>
      </c>
      <c r="AW265" s="81"/>
      <c r="AX265" s="81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>
        <v>0</v>
      </c>
      <c r="BI265" s="81">
        <f t="shared" si="803"/>
        <v>0</v>
      </c>
      <c r="BJ265" s="98">
        <f t="shared" si="804"/>
        <v>0</v>
      </c>
      <c r="BK265" s="98"/>
      <c r="BL265" s="98"/>
      <c r="BM265" s="98"/>
      <c r="BN265" s="98"/>
      <c r="BO265" s="98"/>
      <c r="BP265" s="81"/>
      <c r="BQ265" s="81">
        <f t="shared" si="805"/>
        <v>0</v>
      </c>
      <c r="BR265" s="81">
        <f t="shared" si="806"/>
        <v>0</v>
      </c>
      <c r="BS265" s="98"/>
      <c r="BT265" s="98"/>
      <c r="BU265" s="98"/>
      <c r="BV265" s="98"/>
      <c r="BW265" s="98"/>
      <c r="BX265" s="98"/>
      <c r="BY265" s="98"/>
      <c r="BZ265" s="98"/>
      <c r="CA265" s="98"/>
      <c r="CB265" s="98"/>
      <c r="CC265" s="98"/>
      <c r="CD265" s="98"/>
      <c r="CE265" s="82" t="s">
        <v>557</v>
      </c>
      <c r="CF265" s="85"/>
      <c r="CG265" s="24"/>
    </row>
    <row r="266" spans="1:85" ht="26.25" customHeight="1" x14ac:dyDescent="0.2">
      <c r="A266" s="108">
        <v>90001868844</v>
      </c>
      <c r="B266" s="241" t="s">
        <v>305</v>
      </c>
      <c r="C266" s="285" t="s">
        <v>190</v>
      </c>
      <c r="D266" s="80">
        <f t="shared" si="795"/>
        <v>583593</v>
      </c>
      <c r="E266" s="295">
        <f t="shared" si="796"/>
        <v>585077</v>
      </c>
      <c r="F266" s="81">
        <v>581435</v>
      </c>
      <c r="G266" s="81">
        <f t="shared" si="797"/>
        <v>582919</v>
      </c>
      <c r="H266" s="81">
        <f t="shared" si="798"/>
        <v>1484</v>
      </c>
      <c r="I266" s="81"/>
      <c r="J266" s="81"/>
      <c r="K266" s="81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1">
        <v>1484</v>
      </c>
      <c r="X266" s="81"/>
      <c r="Y266" s="81"/>
      <c r="Z266" s="81"/>
      <c r="AA266" s="81"/>
      <c r="AB266" s="81"/>
      <c r="AC266" s="81"/>
      <c r="AD266" s="81"/>
      <c r="AE266" s="81"/>
      <c r="AF266" s="81"/>
      <c r="AG266" s="81">
        <v>0</v>
      </c>
      <c r="AH266" s="81">
        <f t="shared" si="799"/>
        <v>0</v>
      </c>
      <c r="AI266" s="81">
        <f t="shared" si="800"/>
        <v>0</v>
      </c>
      <c r="AJ266" s="81"/>
      <c r="AK266" s="81"/>
      <c r="AL266" s="81"/>
      <c r="AM266" s="81"/>
      <c r="AN266" s="81"/>
      <c r="AO266" s="81"/>
      <c r="AP266" s="81"/>
      <c r="AQ266" s="81"/>
      <c r="AR266" s="81"/>
      <c r="AS266" s="81"/>
      <c r="AT266" s="81">
        <v>1620</v>
      </c>
      <c r="AU266" s="81">
        <f t="shared" si="801"/>
        <v>1620</v>
      </c>
      <c r="AV266" s="81">
        <f t="shared" si="802"/>
        <v>0</v>
      </c>
      <c r="AW266" s="81"/>
      <c r="AX266" s="81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>
        <v>538</v>
      </c>
      <c r="BI266" s="81">
        <f t="shared" si="803"/>
        <v>538</v>
      </c>
      <c r="BJ266" s="98">
        <f t="shared" si="804"/>
        <v>0</v>
      </c>
      <c r="BK266" s="98"/>
      <c r="BL266" s="98"/>
      <c r="BM266" s="98"/>
      <c r="BN266" s="98"/>
      <c r="BO266" s="98"/>
      <c r="BP266" s="81"/>
      <c r="BQ266" s="81">
        <f t="shared" si="805"/>
        <v>0</v>
      </c>
      <c r="BR266" s="81">
        <f t="shared" si="806"/>
        <v>0</v>
      </c>
      <c r="BS266" s="98"/>
      <c r="BT266" s="98"/>
      <c r="BU266" s="98"/>
      <c r="BV266" s="98"/>
      <c r="BW266" s="98"/>
      <c r="BX266" s="98"/>
      <c r="BY266" s="98"/>
      <c r="BZ266" s="98"/>
      <c r="CA266" s="98"/>
      <c r="CB266" s="98"/>
      <c r="CC266" s="98"/>
      <c r="CD266" s="98"/>
      <c r="CE266" s="82" t="s">
        <v>436</v>
      </c>
      <c r="CF266" s="85"/>
      <c r="CG266" s="24"/>
    </row>
    <row r="267" spans="1:85" ht="12" customHeight="1" x14ac:dyDescent="0.2">
      <c r="A267" s="108">
        <v>90000091456</v>
      </c>
      <c r="B267" s="241" t="s">
        <v>197</v>
      </c>
      <c r="C267" s="285" t="s">
        <v>191</v>
      </c>
      <c r="D267" s="80">
        <f t="shared" si="795"/>
        <v>170542</v>
      </c>
      <c r="E267" s="295">
        <f t="shared" si="796"/>
        <v>170542</v>
      </c>
      <c r="F267" s="81">
        <v>170534</v>
      </c>
      <c r="G267" s="81">
        <f t="shared" si="797"/>
        <v>170534</v>
      </c>
      <c r="H267" s="81">
        <f t="shared" si="798"/>
        <v>0</v>
      </c>
      <c r="I267" s="81"/>
      <c r="J267" s="81"/>
      <c r="K267" s="81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1"/>
      <c r="X267" s="81"/>
      <c r="Y267" s="81"/>
      <c r="Z267" s="81"/>
      <c r="AA267" s="81"/>
      <c r="AB267" s="81"/>
      <c r="AC267" s="81"/>
      <c r="AD267" s="81"/>
      <c r="AE267" s="81"/>
      <c r="AF267" s="81"/>
      <c r="AG267" s="81">
        <v>0</v>
      </c>
      <c r="AH267" s="81">
        <f t="shared" si="799"/>
        <v>0</v>
      </c>
      <c r="AI267" s="81">
        <f t="shared" si="800"/>
        <v>0</v>
      </c>
      <c r="AJ267" s="81"/>
      <c r="AK267" s="81"/>
      <c r="AL267" s="81"/>
      <c r="AM267" s="81"/>
      <c r="AN267" s="81"/>
      <c r="AO267" s="81"/>
      <c r="AP267" s="81"/>
      <c r="AQ267" s="81"/>
      <c r="AR267" s="81"/>
      <c r="AS267" s="81"/>
      <c r="AT267" s="81">
        <v>8</v>
      </c>
      <c r="AU267" s="81">
        <f t="shared" si="801"/>
        <v>294</v>
      </c>
      <c r="AV267" s="81">
        <f t="shared" si="802"/>
        <v>286</v>
      </c>
      <c r="AW267" s="81">
        <v>13</v>
      </c>
      <c r="AX267" s="81"/>
      <c r="AY267" s="81"/>
      <c r="AZ267" s="81"/>
      <c r="BA267" s="81"/>
      <c r="BB267" s="81"/>
      <c r="BC267" s="81">
        <v>272</v>
      </c>
      <c r="BD267" s="81"/>
      <c r="BE267" s="81">
        <v>1</v>
      </c>
      <c r="BF267" s="81"/>
      <c r="BG267" s="81"/>
      <c r="BH267" s="81">
        <v>0</v>
      </c>
      <c r="BI267" s="81">
        <f t="shared" si="803"/>
        <v>0</v>
      </c>
      <c r="BJ267" s="98">
        <f t="shared" si="804"/>
        <v>0</v>
      </c>
      <c r="BK267" s="98"/>
      <c r="BL267" s="98"/>
      <c r="BM267" s="98"/>
      <c r="BN267" s="98"/>
      <c r="BO267" s="98"/>
      <c r="BP267" s="81"/>
      <c r="BQ267" s="81">
        <f t="shared" si="805"/>
        <v>-286</v>
      </c>
      <c r="BR267" s="81">
        <f t="shared" si="806"/>
        <v>-286</v>
      </c>
      <c r="BS267" s="98"/>
      <c r="BT267" s="98">
        <v>-13</v>
      </c>
      <c r="BU267" s="98"/>
      <c r="BV267" s="98"/>
      <c r="BW267" s="98"/>
      <c r="BX267" s="98"/>
      <c r="BY267" s="98"/>
      <c r="BZ267" s="98">
        <v>-272</v>
      </c>
      <c r="CA267" s="98"/>
      <c r="CB267" s="98">
        <v>-1</v>
      </c>
      <c r="CC267" s="98"/>
      <c r="CD267" s="98"/>
      <c r="CE267" s="82" t="s">
        <v>437</v>
      </c>
      <c r="CF267" s="85"/>
      <c r="CG267" s="24"/>
    </row>
    <row r="268" spans="1:85" ht="14.25" customHeight="1" thickBot="1" x14ac:dyDescent="0.25">
      <c r="A268" s="102"/>
      <c r="B268" s="218"/>
      <c r="C268" s="323"/>
      <c r="D268" s="71"/>
      <c r="E268" s="296"/>
      <c r="F268" s="72"/>
      <c r="G268" s="72"/>
      <c r="H268" s="72"/>
      <c r="I268" s="72"/>
      <c r="J268" s="72"/>
      <c r="K268" s="72"/>
      <c r="L268" s="72"/>
      <c r="M268" s="72"/>
      <c r="N268" s="72"/>
      <c r="O268" s="72"/>
      <c r="P268" s="72"/>
      <c r="Q268" s="72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  <c r="AL268" s="72"/>
      <c r="AM268" s="72"/>
      <c r="AN268" s="72"/>
      <c r="AO268" s="72"/>
      <c r="AP268" s="72"/>
      <c r="AQ268" s="72"/>
      <c r="AR268" s="72"/>
      <c r="AS268" s="72"/>
      <c r="AT268" s="72"/>
      <c r="AU268" s="97"/>
      <c r="AV268" s="97"/>
      <c r="AW268" s="97"/>
      <c r="AX268" s="97"/>
      <c r="AY268" s="97"/>
      <c r="AZ268" s="97"/>
      <c r="BA268" s="97"/>
      <c r="BB268" s="97"/>
      <c r="BC268" s="97"/>
      <c r="BD268" s="97"/>
      <c r="BE268" s="97"/>
      <c r="BF268" s="97"/>
      <c r="BG268" s="97"/>
      <c r="BH268" s="97"/>
      <c r="BI268" s="72"/>
      <c r="BJ268" s="97"/>
      <c r="BK268" s="97"/>
      <c r="BL268" s="97"/>
      <c r="BM268" s="97"/>
      <c r="BN268" s="97"/>
      <c r="BO268" s="97"/>
      <c r="BP268" s="72"/>
      <c r="BQ268" s="264"/>
      <c r="BR268" s="97"/>
      <c r="BS268" s="97"/>
      <c r="BT268" s="97"/>
      <c r="BU268" s="97"/>
      <c r="BV268" s="97"/>
      <c r="BW268" s="97"/>
      <c r="BX268" s="97"/>
      <c r="BY268" s="97"/>
      <c r="BZ268" s="97"/>
      <c r="CA268" s="97"/>
      <c r="CB268" s="97"/>
      <c r="CC268" s="97"/>
      <c r="CD268" s="97"/>
      <c r="CE268" s="73"/>
      <c r="CF268" s="202"/>
    </row>
    <row r="269" spans="1:85" s="194" customFormat="1" ht="30" customHeight="1" thickTop="1" thickBot="1" x14ac:dyDescent="0.25">
      <c r="A269" s="219"/>
      <c r="B269" s="434" t="s">
        <v>602</v>
      </c>
      <c r="C269" s="435"/>
      <c r="D269" s="14">
        <f t="shared" ref="D269:AV269" si="819">D11+D28+D36+D65+D75+D87+D94+D136+D246</f>
        <v>103094119</v>
      </c>
      <c r="E269" s="300">
        <f t="shared" si="819"/>
        <v>105021950</v>
      </c>
      <c r="F269" s="210">
        <f t="shared" si="819"/>
        <v>90502352</v>
      </c>
      <c r="G269" s="210">
        <f t="shared" si="819"/>
        <v>91818918</v>
      </c>
      <c r="H269" s="210">
        <f t="shared" si="819"/>
        <v>1316566</v>
      </c>
      <c r="I269" s="210">
        <f t="shared" si="819"/>
        <v>69591</v>
      </c>
      <c r="J269" s="210">
        <f t="shared" si="819"/>
        <v>0</v>
      </c>
      <c r="K269" s="210">
        <f t="shared" si="819"/>
        <v>4368942</v>
      </c>
      <c r="L269" s="210">
        <f t="shared" si="819"/>
        <v>817244</v>
      </c>
      <c r="M269" s="210">
        <f t="shared" si="819"/>
        <v>517943</v>
      </c>
      <c r="N269" s="210">
        <f t="shared" si="819"/>
        <v>4781</v>
      </c>
      <c r="O269" s="210">
        <f t="shared" si="819"/>
        <v>121283</v>
      </c>
      <c r="P269" s="210">
        <f t="shared" si="819"/>
        <v>0</v>
      </c>
      <c r="Q269" s="210">
        <f t="shared" si="819"/>
        <v>-245485</v>
      </c>
      <c r="R269" s="210">
        <f t="shared" si="819"/>
        <v>0</v>
      </c>
      <c r="S269" s="210">
        <f t="shared" si="819"/>
        <v>-5310734</v>
      </c>
      <c r="T269" s="210"/>
      <c r="U269" s="210">
        <f t="shared" si="819"/>
        <v>1861091</v>
      </c>
      <c r="V269" s="210"/>
      <c r="W269" s="210">
        <f>W11+W28+W36+W65+W75+W87+W94+W136+W246</f>
        <v>-1084421</v>
      </c>
      <c r="X269" s="210">
        <f t="shared" ref="X269" si="820">X11+X28+X36+X65+X75+X87+X94+X136+X246</f>
        <v>0</v>
      </c>
      <c r="Y269" s="210">
        <f t="shared" si="819"/>
        <v>22688</v>
      </c>
      <c r="Z269" s="210">
        <f t="shared" ref="Z269:AE269" si="821">Z11+Z28+Z36+Z65+Z75+Z87+Z94+Z136+Z246</f>
        <v>-10194</v>
      </c>
      <c r="AA269" s="210">
        <f t="shared" ref="AA269:AD269" si="822">AA11+AA28+AA36+AA65+AA75+AA87+AA94+AA136+AA246</f>
        <v>0</v>
      </c>
      <c r="AB269" s="210">
        <f t="shared" si="822"/>
        <v>0</v>
      </c>
      <c r="AC269" s="210">
        <f t="shared" si="822"/>
        <v>31132</v>
      </c>
      <c r="AD269" s="210">
        <f t="shared" si="822"/>
        <v>0</v>
      </c>
      <c r="AE269" s="210">
        <f t="shared" si="821"/>
        <v>152705</v>
      </c>
      <c r="AF269" s="210">
        <f t="shared" si="819"/>
        <v>0</v>
      </c>
      <c r="AG269" s="210">
        <f t="shared" si="819"/>
        <v>10871636</v>
      </c>
      <c r="AH269" s="210">
        <f t="shared" si="819"/>
        <v>11486358</v>
      </c>
      <c r="AI269" s="210">
        <f t="shared" si="819"/>
        <v>614722</v>
      </c>
      <c r="AJ269" s="210">
        <f t="shared" si="819"/>
        <v>30354</v>
      </c>
      <c r="AK269" s="210">
        <f t="shared" si="819"/>
        <v>237791</v>
      </c>
      <c r="AL269" s="210">
        <f t="shared" si="819"/>
        <v>41239</v>
      </c>
      <c r="AM269" s="210">
        <f t="shared" si="819"/>
        <v>27633</v>
      </c>
      <c r="AN269" s="210">
        <f t="shared" si="819"/>
        <v>1798</v>
      </c>
      <c r="AO269" s="210">
        <f t="shared" si="819"/>
        <v>73151</v>
      </c>
      <c r="AP269" s="210">
        <f t="shared" si="819"/>
        <v>23307</v>
      </c>
      <c r="AQ269" s="210">
        <f t="shared" si="819"/>
        <v>179449</v>
      </c>
      <c r="AR269" s="210">
        <f t="shared" si="819"/>
        <v>0</v>
      </c>
      <c r="AS269" s="210">
        <f t="shared" si="819"/>
        <v>0</v>
      </c>
      <c r="AT269" s="210">
        <f t="shared" si="819"/>
        <v>1744907</v>
      </c>
      <c r="AU269" s="211">
        <f t="shared" si="819"/>
        <v>1837717</v>
      </c>
      <c r="AV269" s="211">
        <f t="shared" si="819"/>
        <v>92810</v>
      </c>
      <c r="AW269" s="211">
        <f t="shared" ref="AW269:CD269" si="823">AW11+AW28+AW36+AW65+AW75+AW87+AW94+AW136+AW246</f>
        <v>159230</v>
      </c>
      <c r="AX269" s="211">
        <f t="shared" si="823"/>
        <v>-99908</v>
      </c>
      <c r="AY269" s="211">
        <f t="shared" si="823"/>
        <v>111</v>
      </c>
      <c r="AZ269" s="211">
        <f t="shared" si="823"/>
        <v>2875</v>
      </c>
      <c r="BA269" s="211">
        <f t="shared" si="823"/>
        <v>100</v>
      </c>
      <c r="BB269" s="211">
        <f t="shared" si="823"/>
        <v>1514</v>
      </c>
      <c r="BC269" s="211">
        <f t="shared" si="823"/>
        <v>-5105</v>
      </c>
      <c r="BD269" s="211">
        <f t="shared" si="823"/>
        <v>2006</v>
      </c>
      <c r="BE269" s="211">
        <f t="shared" si="823"/>
        <v>31987</v>
      </c>
      <c r="BF269" s="211">
        <f t="shared" ref="BF269" si="824">BF11+BF28+BF36+BF65+BF75+BF87+BF94+BF136+BF246</f>
        <v>0</v>
      </c>
      <c r="BG269" s="211">
        <f t="shared" si="823"/>
        <v>0</v>
      </c>
      <c r="BH269" s="211">
        <f t="shared" si="823"/>
        <v>538</v>
      </c>
      <c r="BI269" s="210">
        <f t="shared" si="823"/>
        <v>569</v>
      </c>
      <c r="BJ269" s="211">
        <f t="shared" si="823"/>
        <v>31</v>
      </c>
      <c r="BK269" s="211">
        <f t="shared" si="823"/>
        <v>31</v>
      </c>
      <c r="BL269" s="211">
        <f t="shared" si="823"/>
        <v>0</v>
      </c>
      <c r="BM269" s="211">
        <f t="shared" si="823"/>
        <v>0</v>
      </c>
      <c r="BN269" s="211">
        <f t="shared" si="823"/>
        <v>0</v>
      </c>
      <c r="BO269" s="211">
        <f t="shared" si="823"/>
        <v>0</v>
      </c>
      <c r="BP269" s="210">
        <f t="shared" si="823"/>
        <v>-25314</v>
      </c>
      <c r="BQ269" s="312">
        <f t="shared" si="823"/>
        <v>-121612</v>
      </c>
      <c r="BR269" s="211">
        <f t="shared" si="823"/>
        <v>-96298</v>
      </c>
      <c r="BS269" s="211">
        <f t="shared" si="823"/>
        <v>0</v>
      </c>
      <c r="BT269" s="211">
        <f t="shared" si="823"/>
        <v>-93670</v>
      </c>
      <c r="BU269" s="211">
        <f t="shared" si="823"/>
        <v>-1038</v>
      </c>
      <c r="BV269" s="211">
        <f t="shared" si="823"/>
        <v>-111</v>
      </c>
      <c r="BW269" s="211">
        <f t="shared" si="823"/>
        <v>0</v>
      </c>
      <c r="BX269" s="211">
        <f t="shared" si="823"/>
        <v>0</v>
      </c>
      <c r="BY269" s="211">
        <f t="shared" si="823"/>
        <v>0</v>
      </c>
      <c r="BZ269" s="211">
        <f t="shared" si="823"/>
        <v>-335</v>
      </c>
      <c r="CA269" s="211">
        <f t="shared" si="823"/>
        <v>0</v>
      </c>
      <c r="CB269" s="211">
        <f t="shared" ref="CB269:CC269" si="825">CB11+CB28+CB36+CB65+CB75+CB87+CB94+CB136+CB246</f>
        <v>-1144</v>
      </c>
      <c r="CC269" s="211">
        <f t="shared" si="825"/>
        <v>0</v>
      </c>
      <c r="CD269" s="211">
        <f t="shared" si="823"/>
        <v>0</v>
      </c>
      <c r="CE269" s="15"/>
      <c r="CF269" s="90"/>
    </row>
    <row r="270" spans="1:85" ht="13.5" customHeight="1" thickTop="1" thickBot="1" x14ac:dyDescent="0.25">
      <c r="A270" s="129" t="s">
        <v>605</v>
      </c>
      <c r="B270" s="221" t="s">
        <v>125</v>
      </c>
      <c r="C270" s="222"/>
      <c r="D270" s="207">
        <f t="shared" ref="D270:S270" si="826">SUM(D271:D299)</f>
        <v>507869</v>
      </c>
      <c r="E270" s="301">
        <f t="shared" si="826"/>
        <v>3199180</v>
      </c>
      <c r="F270" s="208">
        <f t="shared" si="826"/>
        <v>1476869</v>
      </c>
      <c r="G270" s="208">
        <f t="shared" si="826"/>
        <v>4311702</v>
      </c>
      <c r="H270" s="208">
        <f t="shared" si="826"/>
        <v>2834833</v>
      </c>
      <c r="I270" s="208">
        <f t="shared" si="826"/>
        <v>22973</v>
      </c>
      <c r="J270" s="208">
        <f t="shared" si="826"/>
        <v>0</v>
      </c>
      <c r="K270" s="208">
        <f t="shared" si="826"/>
        <v>1701293</v>
      </c>
      <c r="L270" s="208">
        <f t="shared" si="826"/>
        <v>-154648</v>
      </c>
      <c r="M270" s="208">
        <f t="shared" si="826"/>
        <v>38700</v>
      </c>
      <c r="N270" s="208">
        <f t="shared" si="826"/>
        <v>-4781</v>
      </c>
      <c r="O270" s="208">
        <f t="shared" si="826"/>
        <v>-121283</v>
      </c>
      <c r="P270" s="208">
        <f t="shared" si="826"/>
        <v>0</v>
      </c>
      <c r="Q270" s="208">
        <f t="shared" si="826"/>
        <v>-252982</v>
      </c>
      <c r="R270" s="208">
        <f t="shared" si="826"/>
        <v>0</v>
      </c>
      <c r="S270" s="208">
        <f t="shared" si="826"/>
        <v>-617773</v>
      </c>
      <c r="T270" s="208"/>
      <c r="U270" s="208">
        <f>SUM(U271:U299)</f>
        <v>1667295</v>
      </c>
      <c r="V270" s="208"/>
      <c r="W270" s="208">
        <f t="shared" ref="W270:BH270" si="827">SUM(W271:W299)</f>
        <v>336767</v>
      </c>
      <c r="X270" s="208">
        <f t="shared" si="827"/>
        <v>0</v>
      </c>
      <c r="Y270" s="208">
        <f t="shared" si="827"/>
        <v>-25565</v>
      </c>
      <c r="Z270" s="208">
        <f t="shared" si="827"/>
        <v>98435</v>
      </c>
      <c r="AA270" s="208">
        <f t="shared" si="827"/>
        <v>0</v>
      </c>
      <c r="AB270" s="208">
        <f t="shared" ref="AB270:AE270" si="828">SUM(AB271:AB299)</f>
        <v>0</v>
      </c>
      <c r="AC270" s="208">
        <f t="shared" ref="AC270:AD270" si="829">SUM(AC271:AC299)</f>
        <v>299112</v>
      </c>
      <c r="AD270" s="208">
        <f t="shared" si="829"/>
        <v>0</v>
      </c>
      <c r="AE270" s="208">
        <f t="shared" si="828"/>
        <v>-152710</v>
      </c>
      <c r="AF270" s="208">
        <f t="shared" si="827"/>
        <v>0</v>
      </c>
      <c r="AG270" s="208">
        <f t="shared" si="827"/>
        <v>51272</v>
      </c>
      <c r="AH270" s="208">
        <f t="shared" si="827"/>
        <v>7184</v>
      </c>
      <c r="AI270" s="208">
        <f t="shared" si="827"/>
        <v>-44088</v>
      </c>
      <c r="AJ270" s="208">
        <f t="shared" si="827"/>
        <v>-86</v>
      </c>
      <c r="AK270" s="208">
        <f t="shared" si="827"/>
        <v>144776</v>
      </c>
      <c r="AL270" s="208">
        <f t="shared" si="827"/>
        <v>0</v>
      </c>
      <c r="AM270" s="208">
        <f t="shared" si="827"/>
        <v>0</v>
      </c>
      <c r="AN270" s="208">
        <f t="shared" si="827"/>
        <v>3775</v>
      </c>
      <c r="AO270" s="208">
        <f t="shared" si="827"/>
        <v>-40008</v>
      </c>
      <c r="AP270" s="208">
        <f t="shared" si="827"/>
        <v>15456</v>
      </c>
      <c r="AQ270" s="208">
        <f t="shared" si="827"/>
        <v>-168001</v>
      </c>
      <c r="AR270" s="208">
        <f t="shared" si="827"/>
        <v>0</v>
      </c>
      <c r="AS270" s="208">
        <f t="shared" si="827"/>
        <v>0</v>
      </c>
      <c r="AT270" s="208">
        <f t="shared" si="827"/>
        <v>1642</v>
      </c>
      <c r="AU270" s="209">
        <f t="shared" si="827"/>
        <v>20072</v>
      </c>
      <c r="AV270" s="209">
        <f t="shared" si="827"/>
        <v>18430</v>
      </c>
      <c r="AW270" s="209">
        <f t="shared" si="827"/>
        <v>240</v>
      </c>
      <c r="AX270" s="209">
        <f t="shared" si="827"/>
        <v>0</v>
      </c>
      <c r="AY270" s="209">
        <f t="shared" si="827"/>
        <v>0</v>
      </c>
      <c r="AZ270" s="209">
        <f t="shared" si="827"/>
        <v>0</v>
      </c>
      <c r="BA270" s="209">
        <f t="shared" si="827"/>
        <v>0</v>
      </c>
      <c r="BB270" s="209">
        <f t="shared" si="827"/>
        <v>0</v>
      </c>
      <c r="BC270" s="209">
        <f t="shared" si="827"/>
        <v>11086</v>
      </c>
      <c r="BD270" s="209">
        <f t="shared" si="827"/>
        <v>1604</v>
      </c>
      <c r="BE270" s="209">
        <f t="shared" si="827"/>
        <v>5500</v>
      </c>
      <c r="BF270" s="209">
        <f t="shared" ref="BF270" si="830">SUM(BF271:BF299)</f>
        <v>0</v>
      </c>
      <c r="BG270" s="209">
        <f t="shared" si="827"/>
        <v>0</v>
      </c>
      <c r="BH270" s="209">
        <f t="shared" si="827"/>
        <v>0</v>
      </c>
      <c r="BI270" s="208">
        <f t="shared" ref="BI270:CD270" si="831">SUM(BI271:BI299)</f>
        <v>0</v>
      </c>
      <c r="BJ270" s="209">
        <f t="shared" si="831"/>
        <v>0</v>
      </c>
      <c r="BK270" s="209">
        <f t="shared" si="831"/>
        <v>0</v>
      </c>
      <c r="BL270" s="209">
        <f t="shared" si="831"/>
        <v>0</v>
      </c>
      <c r="BM270" s="209">
        <f t="shared" si="831"/>
        <v>0</v>
      </c>
      <c r="BN270" s="209">
        <f t="shared" si="831"/>
        <v>0</v>
      </c>
      <c r="BO270" s="209">
        <f t="shared" si="831"/>
        <v>0</v>
      </c>
      <c r="BP270" s="208">
        <f t="shared" si="831"/>
        <v>-1021914</v>
      </c>
      <c r="BQ270" s="313">
        <f t="shared" si="831"/>
        <v>-1139778</v>
      </c>
      <c r="BR270" s="209">
        <f t="shared" si="831"/>
        <v>-117864</v>
      </c>
      <c r="BS270" s="209">
        <f t="shared" si="831"/>
        <v>-11045</v>
      </c>
      <c r="BT270" s="209">
        <f t="shared" si="831"/>
        <v>-112853</v>
      </c>
      <c r="BU270" s="209">
        <f t="shared" si="831"/>
        <v>-17640</v>
      </c>
      <c r="BV270" s="209">
        <f t="shared" si="831"/>
        <v>45269</v>
      </c>
      <c r="BW270" s="209">
        <f t="shared" si="831"/>
        <v>-7681</v>
      </c>
      <c r="BX270" s="209">
        <f t="shared" si="831"/>
        <v>20825</v>
      </c>
      <c r="BY270" s="209">
        <f t="shared" si="831"/>
        <v>-1738</v>
      </c>
      <c r="BZ270" s="209">
        <f t="shared" si="831"/>
        <v>-1</v>
      </c>
      <c r="CA270" s="209">
        <f t="shared" si="831"/>
        <v>-32196</v>
      </c>
      <c r="CB270" s="209">
        <f t="shared" si="831"/>
        <v>-801</v>
      </c>
      <c r="CC270" s="209">
        <f t="shared" ref="CC270" si="832">SUM(CC271:CC299)</f>
        <v>-3</v>
      </c>
      <c r="CD270" s="209">
        <f t="shared" si="831"/>
        <v>0</v>
      </c>
      <c r="CE270" s="223"/>
      <c r="CF270" s="206"/>
    </row>
    <row r="271" spans="1:85" s="194" customFormat="1" hidden="1" outlineLevel="1" x14ac:dyDescent="0.2">
      <c r="A271" s="137"/>
      <c r="B271" s="448" t="s">
        <v>577</v>
      </c>
      <c r="C271" s="449"/>
      <c r="D271" s="80">
        <f t="shared" ref="D271:D298" si="833">F271+AG271+AT271+BH271+BP271</f>
        <v>194000</v>
      </c>
      <c r="E271" s="295">
        <f t="shared" ref="E271:E298" si="834">G271+AH271+AU271+BI271+BQ271</f>
        <v>194000</v>
      </c>
      <c r="F271" s="163">
        <v>194000</v>
      </c>
      <c r="G271" s="163">
        <f t="shared" ref="G271:G298" si="835">F271+H271</f>
        <v>194000</v>
      </c>
      <c r="H271" s="163">
        <f t="shared" ref="H271:H298" si="836">SUM(I271:AF271)</f>
        <v>0</v>
      </c>
      <c r="I271" s="163"/>
      <c r="J271" s="163"/>
      <c r="K271" s="163"/>
      <c r="L271" s="163"/>
      <c r="M271" s="163"/>
      <c r="N271" s="163"/>
      <c r="O271" s="163"/>
      <c r="P271" s="163"/>
      <c r="Q271" s="163"/>
      <c r="R271" s="163"/>
      <c r="S271" s="163"/>
      <c r="T271" s="163"/>
      <c r="U271" s="163"/>
      <c r="V271" s="163"/>
      <c r="W271" s="163"/>
      <c r="X271" s="163"/>
      <c r="Y271" s="163"/>
      <c r="Z271" s="163"/>
      <c r="AA271" s="163"/>
      <c r="AB271" s="163"/>
      <c r="AC271" s="163"/>
      <c r="AD271" s="163"/>
      <c r="AE271" s="163"/>
      <c r="AF271" s="163"/>
      <c r="AG271" s="163"/>
      <c r="AH271" s="163">
        <f t="shared" ref="AH271:AH298" si="837">AG271+AI271</f>
        <v>0</v>
      </c>
      <c r="AI271" s="163">
        <f t="shared" ref="AI271:AI298" si="838">SUM(AJ271:AS271)</f>
        <v>0</v>
      </c>
      <c r="AJ271" s="163"/>
      <c r="AK271" s="163"/>
      <c r="AL271" s="163"/>
      <c r="AM271" s="163"/>
      <c r="AN271" s="163"/>
      <c r="AO271" s="163"/>
      <c r="AP271" s="163"/>
      <c r="AQ271" s="163"/>
      <c r="AR271" s="163"/>
      <c r="AS271" s="163"/>
      <c r="AT271" s="163"/>
      <c r="AU271" s="199">
        <f t="shared" ref="AU271:AU299" si="839">AT271+AV271</f>
        <v>0</v>
      </c>
      <c r="AV271" s="199">
        <f t="shared" ref="AV271:AV299" si="840">SUM(AW271:BG271)</f>
        <v>0</v>
      </c>
      <c r="AW271" s="199"/>
      <c r="AX271" s="199"/>
      <c r="AY271" s="199"/>
      <c r="AZ271" s="199"/>
      <c r="BA271" s="199"/>
      <c r="BB271" s="199"/>
      <c r="BC271" s="199"/>
      <c r="BD271" s="199"/>
      <c r="BE271" s="199"/>
      <c r="BF271" s="199"/>
      <c r="BG271" s="199"/>
      <c r="BH271" s="199"/>
      <c r="BI271" s="81">
        <f t="shared" ref="BI271:BI298" si="841">BH271+BJ271</f>
        <v>0</v>
      </c>
      <c r="BJ271" s="98">
        <f>SUM(BK271:BO271)</f>
        <v>0</v>
      </c>
      <c r="BK271" s="199"/>
      <c r="BL271" s="199"/>
      <c r="BM271" s="199"/>
      <c r="BN271" s="199"/>
      <c r="BO271" s="199"/>
      <c r="BP271" s="163"/>
      <c r="BQ271" s="81">
        <f t="shared" ref="BQ271:BQ298" si="842">BP271+BR271</f>
        <v>0</v>
      </c>
      <c r="BR271" s="81">
        <f t="shared" ref="BR271:BR298" si="843">SUM(BS271:CD271)</f>
        <v>0</v>
      </c>
      <c r="BS271" s="199"/>
      <c r="BT271" s="199"/>
      <c r="BU271" s="199"/>
      <c r="BV271" s="199"/>
      <c r="BW271" s="199"/>
      <c r="BX271" s="199"/>
      <c r="BY271" s="199"/>
      <c r="BZ271" s="199"/>
      <c r="CA271" s="199"/>
      <c r="CB271" s="199"/>
      <c r="CC271" s="199"/>
      <c r="CD271" s="199"/>
      <c r="CE271" s="220"/>
      <c r="CF271" s="200"/>
    </row>
    <row r="272" spans="1:85" s="194" customFormat="1" hidden="1" outlineLevel="1" x14ac:dyDescent="0.2">
      <c r="A272" s="137"/>
      <c r="B272" s="421" t="s">
        <v>463</v>
      </c>
      <c r="C272" s="420"/>
      <c r="D272" s="80">
        <f t="shared" si="833"/>
        <v>185314</v>
      </c>
      <c r="E272" s="295">
        <f t="shared" si="834"/>
        <v>1356616</v>
      </c>
      <c r="F272" s="81">
        <f>324000+25314-164000</f>
        <v>185314</v>
      </c>
      <c r="G272" s="81">
        <f t="shared" si="835"/>
        <v>1356616</v>
      </c>
      <c r="H272" s="81">
        <f>SUM(I272:AF272)</f>
        <v>1171302</v>
      </c>
      <c r="I272" s="81">
        <f>6</f>
        <v>6</v>
      </c>
      <c r="J272" s="81"/>
      <c r="K272" s="81">
        <f>-61396-25000+5760+1583+10066+1510-4511+8429-69281-1516-55134+5401+4761+832+76+40+160+565-72130-2400-8457-83277-710+1222-13063-5107-3582-8897+12610-49000+1689958+10268+623+2751-150000+40075-1132-6169-8852-132+132</f>
        <v>1167076</v>
      </c>
      <c r="L272" s="81">
        <f>-29999-100-81409-60780</f>
        <v>-172288</v>
      </c>
      <c r="M272" s="81">
        <f>-13785-1357-12541-1524-33254-1714-284-56180-11665-1646-50000-10804-19100-1280+8591-14158+5567-568+7489</f>
        <v>-208213</v>
      </c>
      <c r="N272" s="81">
        <f>-2025-2756+5000-5000</f>
        <v>-4781</v>
      </c>
      <c r="O272" s="81">
        <v>-121283</v>
      </c>
      <c r="P272" s="81">
        <f>-544+544</f>
        <v>0</v>
      </c>
      <c r="Q272" s="81">
        <f>-107022-1278-740+10479-180983</f>
        <v>-279544</v>
      </c>
      <c r="R272" s="81">
        <f>2104-2104</f>
        <v>0</v>
      </c>
      <c r="S272" s="81">
        <f>-5000+5000+347000+30000+10000-49244-282993-261116-31711-1209375+140000-327994+2000000-11700+20825+18599+9489+169645-88045+27398-16500-10268-1148816-66663-140778+93059+60196-407685-20075-2550+300000+20075+2550+67375+19000+13400+7910</f>
        <v>-718992</v>
      </c>
      <c r="T272" s="81"/>
      <c r="U272" s="81">
        <f>261116+31711+1209375-7000-2200+2200+428-7+3-12193+12193+965-965+5549-5549-27844-3</f>
        <v>1467779</v>
      </c>
      <c r="V272" s="81">
        <f>3185-3185</f>
        <v>0</v>
      </c>
      <c r="W272" s="81">
        <f>5924-432-185-2000+400-400-790-6700+18146-10074+2185+3272-3854-1484-11267-2556-32024-1200+59-4555-1954+1500-23100-196+18000-5241-4826-34920+432+17677-17257+22970-10000+20000+6500-2000-14500-2915+1277+1638-773-37949+364488+7157+14336+4879+15121-20000+350-350+1307+1857+1057-4221+489288-489288</f>
        <v>272809</v>
      </c>
      <c r="X272" s="81">
        <f>5100-5100</f>
        <v>0</v>
      </c>
      <c r="Y272" s="81">
        <f>-3610-42207+11459-11459+6888+37195-55845+18650+95510-95510-8133-7558-41065-20480-13-1-4-1876</f>
        <v>-118059</v>
      </c>
      <c r="Z272" s="81">
        <f>127000+3991-3991-15069+2000-4580+4580+36608-14460-19153-8572+5918-8266-3852+11316+4740+9688+1856-1830-26+3-4693-83700</f>
        <v>39508</v>
      </c>
      <c r="AA272" s="81">
        <f>3199-3199</f>
        <v>0</v>
      </c>
      <c r="AB272" s="81">
        <f>-46+46</f>
        <v>0</v>
      </c>
      <c r="AC272" s="81"/>
      <c r="AD272" s="81">
        <f>2573-2573</f>
        <v>0</v>
      </c>
      <c r="AE272" s="81">
        <f>-9241-141000-2475</f>
        <v>-152716</v>
      </c>
      <c r="AF272" s="81"/>
      <c r="AG272" s="81"/>
      <c r="AH272" s="81">
        <f t="shared" si="837"/>
        <v>0</v>
      </c>
      <c r="AI272" s="81">
        <f t="shared" si="838"/>
        <v>0</v>
      </c>
      <c r="AJ272" s="81"/>
      <c r="AK272" s="81"/>
      <c r="AL272" s="81"/>
      <c r="AM272" s="81"/>
      <c r="AN272" s="81"/>
      <c r="AO272" s="81"/>
      <c r="AP272" s="81"/>
      <c r="AQ272" s="81"/>
      <c r="AR272" s="81"/>
      <c r="AS272" s="81"/>
      <c r="AT272" s="81"/>
      <c r="AU272" s="98">
        <f t="shared" si="839"/>
        <v>2750</v>
      </c>
      <c r="AV272" s="98">
        <f t="shared" si="840"/>
        <v>2750</v>
      </c>
      <c r="AW272" s="98"/>
      <c r="AX272" s="98"/>
      <c r="AY272" s="98"/>
      <c r="AZ272" s="98"/>
      <c r="BA272" s="98"/>
      <c r="BB272" s="98"/>
      <c r="BC272" s="98"/>
      <c r="BD272" s="98"/>
      <c r="BE272" s="98">
        <f>2000+100+650</f>
        <v>2750</v>
      </c>
      <c r="BF272" s="98"/>
      <c r="BG272" s="98"/>
      <c r="BH272" s="98"/>
      <c r="BI272" s="81">
        <f>BH272+BJ272</f>
        <v>0</v>
      </c>
      <c r="BJ272" s="98">
        <f t="shared" ref="BJ272:BJ298" si="844">SUM(BK272:BO272)</f>
        <v>0</v>
      </c>
      <c r="BK272" s="98"/>
      <c r="BL272" s="98"/>
      <c r="BM272" s="98"/>
      <c r="BN272" s="98"/>
      <c r="BO272" s="98"/>
      <c r="BP272" s="81"/>
      <c r="BQ272" s="81">
        <f>BP272+BR272</f>
        <v>-2750</v>
      </c>
      <c r="BR272" s="81">
        <f t="shared" si="843"/>
        <v>-2750</v>
      </c>
      <c r="BS272" s="98"/>
      <c r="BT272" s="98"/>
      <c r="BU272" s="98"/>
      <c r="BV272" s="98"/>
      <c r="BW272" s="98"/>
      <c r="BX272" s="98"/>
      <c r="BY272" s="98"/>
      <c r="BZ272" s="98"/>
      <c r="CA272" s="98"/>
      <c r="CB272" s="98">
        <f>-2000-100-650</f>
        <v>-2750</v>
      </c>
      <c r="CC272" s="98"/>
      <c r="CD272" s="98"/>
      <c r="CE272" s="82"/>
      <c r="CF272" s="85"/>
    </row>
    <row r="273" spans="1:84" s="198" customFormat="1" ht="12.75" hidden="1" customHeight="1" outlineLevel="1" x14ac:dyDescent="0.2">
      <c r="A273" s="137"/>
      <c r="B273" s="419" t="s">
        <v>734</v>
      </c>
      <c r="C273" s="420"/>
      <c r="D273" s="80">
        <f>F273+AG273+AT273+BH273+BP273</f>
        <v>0</v>
      </c>
      <c r="E273" s="295">
        <f>G273+AH273+AU273+BI273+BQ273</f>
        <v>185554</v>
      </c>
      <c r="F273" s="81"/>
      <c r="G273" s="81">
        <f>F273+H273</f>
        <v>182804</v>
      </c>
      <c r="H273" s="81">
        <f>SUM(I273:AF273)</f>
        <v>182804</v>
      </c>
      <c r="I273" s="81">
        <f>750+2719+7576</f>
        <v>11045</v>
      </c>
      <c r="J273" s="81"/>
      <c r="K273" s="81">
        <f>1-1+101+6450-2088-1447-1339-1576+37949+1+13+25845+3777+4897+85145+113+19033+23199</f>
        <v>200073</v>
      </c>
      <c r="L273" s="81"/>
      <c r="M273" s="81">
        <f>21968-7251-59986</f>
        <v>-45269</v>
      </c>
      <c r="N273" s="81"/>
      <c r="O273" s="81"/>
      <c r="P273" s="81"/>
      <c r="Q273" s="81">
        <v>7681</v>
      </c>
      <c r="R273" s="81"/>
      <c r="S273" s="81">
        <v>-20825</v>
      </c>
      <c r="T273" s="81"/>
      <c r="U273" s="81">
        <v>-151</v>
      </c>
      <c r="V273" s="81"/>
      <c r="W273" s="81"/>
      <c r="X273" s="81"/>
      <c r="Y273" s="81">
        <v>32196</v>
      </c>
      <c r="Z273" s="81">
        <f>-5621+214+3458+1143-1143</f>
        <v>-1949</v>
      </c>
      <c r="AA273" s="81"/>
      <c r="AB273" s="81"/>
      <c r="AC273" s="81"/>
      <c r="AD273" s="81"/>
      <c r="AE273" s="81">
        <v>3</v>
      </c>
      <c r="AF273" s="81"/>
      <c r="AG273" s="81"/>
      <c r="AH273" s="81">
        <f>AG273+AI273</f>
        <v>1889</v>
      </c>
      <c r="AI273" s="81">
        <f>SUM(AJ273:AS273)</f>
        <v>1889</v>
      </c>
      <c r="AJ273" s="81"/>
      <c r="AK273" s="81"/>
      <c r="AL273" s="81"/>
      <c r="AM273" s="81"/>
      <c r="AN273" s="81">
        <f>22+486+895+4+64+138+210+1+5+19+45</f>
        <v>1889</v>
      </c>
      <c r="AO273" s="81"/>
      <c r="AP273" s="81"/>
      <c r="AQ273" s="81"/>
      <c r="AR273" s="81"/>
      <c r="AS273" s="81"/>
      <c r="AT273" s="81"/>
      <c r="AU273" s="98">
        <f>AT273+AV273</f>
        <v>2750</v>
      </c>
      <c r="AV273" s="98">
        <f>SUM(AW273:BG273)</f>
        <v>2750</v>
      </c>
      <c r="AW273" s="98"/>
      <c r="AX273" s="98"/>
      <c r="AY273" s="98"/>
      <c r="AZ273" s="98"/>
      <c r="BA273" s="98"/>
      <c r="BB273" s="98"/>
      <c r="BC273" s="98"/>
      <c r="BD273" s="98"/>
      <c r="BE273" s="98">
        <f>2000+100+650</f>
        <v>2750</v>
      </c>
      <c r="BF273" s="98"/>
      <c r="BG273" s="98"/>
      <c r="BH273" s="98"/>
      <c r="BI273" s="81">
        <f>BH273+BJ273</f>
        <v>0</v>
      </c>
      <c r="BJ273" s="98">
        <f>SUM(BK273:BO273)</f>
        <v>0</v>
      </c>
      <c r="BK273" s="98"/>
      <c r="BL273" s="98"/>
      <c r="BM273" s="98"/>
      <c r="BN273" s="98"/>
      <c r="BO273" s="98"/>
      <c r="BP273" s="81"/>
      <c r="BQ273" s="81">
        <f>BP273+BR273</f>
        <v>-1889</v>
      </c>
      <c r="BR273" s="81">
        <f>SUM(BS273:CD273)</f>
        <v>-1889</v>
      </c>
      <c r="BS273" s="98"/>
      <c r="BT273" s="98"/>
      <c r="BU273" s="98"/>
      <c r="BV273" s="98"/>
      <c r="BW273" s="98"/>
      <c r="BX273" s="98"/>
      <c r="BY273" s="98">
        <f>-22-486-895-4-64-138-210-1-5-19-45</f>
        <v>-1889</v>
      </c>
      <c r="BZ273" s="98"/>
      <c r="CA273" s="98"/>
      <c r="CB273" s="98"/>
      <c r="CC273" s="98"/>
      <c r="CD273" s="98"/>
      <c r="CE273" s="82"/>
      <c r="CF273" s="85"/>
    </row>
    <row r="274" spans="1:84" s="198" customFormat="1" ht="12.75" hidden="1" customHeight="1" outlineLevel="1" x14ac:dyDescent="0.2">
      <c r="A274" s="137"/>
      <c r="B274" s="419" t="s">
        <v>752</v>
      </c>
      <c r="C274" s="420"/>
      <c r="D274" s="80">
        <f t="shared" ref="D274:D275" si="845">F274+AG274+AT274+BH274+BP274</f>
        <v>0</v>
      </c>
      <c r="E274" s="295">
        <f t="shared" ref="E274:E275" si="846">G274+AH274+AU274+BI274+BQ274</f>
        <v>0</v>
      </c>
      <c r="F274" s="81">
        <v>995567</v>
      </c>
      <c r="G274" s="81">
        <f t="shared" ref="G274:G276" si="847">F274+H274</f>
        <v>1091155</v>
      </c>
      <c r="H274" s="81">
        <f t="shared" ref="H274:H276" si="848">SUM(I274:AF274)</f>
        <v>95588</v>
      </c>
      <c r="I274" s="81">
        <f>750+7576</f>
        <v>8326</v>
      </c>
      <c r="J274" s="81"/>
      <c r="K274" s="81">
        <f>4897+85145+19033</f>
        <v>109075</v>
      </c>
      <c r="L274" s="81">
        <v>17640</v>
      </c>
      <c r="M274" s="81">
        <f>-7251+21968-59986</f>
        <v>-45269</v>
      </c>
      <c r="N274" s="81"/>
      <c r="O274" s="81"/>
      <c r="P274" s="81"/>
      <c r="Q274" s="81"/>
      <c r="R274" s="81"/>
      <c r="S274" s="81">
        <v>-20825</v>
      </c>
      <c r="T274" s="81"/>
      <c r="U274" s="81">
        <v>-151</v>
      </c>
      <c r="V274" s="81"/>
      <c r="W274" s="81"/>
      <c r="X274" s="81"/>
      <c r="Y274" s="81">
        <v>32196</v>
      </c>
      <c r="Z274" s="81">
        <f>-5621+214</f>
        <v>-5407</v>
      </c>
      <c r="AA274" s="81"/>
      <c r="AB274" s="81"/>
      <c r="AC274" s="81"/>
      <c r="AD274" s="81"/>
      <c r="AE274" s="81">
        <v>3</v>
      </c>
      <c r="AF274" s="81"/>
      <c r="AG274" s="81"/>
      <c r="AH274" s="81">
        <f t="shared" ref="AH274:AH275" si="849">AG274+AI274</f>
        <v>0</v>
      </c>
      <c r="AI274" s="81">
        <f t="shared" ref="AI274:AI275" si="850">SUM(AJ274:AS274)</f>
        <v>0</v>
      </c>
      <c r="AJ274" s="81"/>
      <c r="AK274" s="81"/>
      <c r="AL274" s="81"/>
      <c r="AM274" s="81"/>
      <c r="AN274" s="81"/>
      <c r="AO274" s="81"/>
      <c r="AP274" s="81"/>
      <c r="AQ274" s="81"/>
      <c r="AR274" s="81"/>
      <c r="AS274" s="81"/>
      <c r="AT274" s="81"/>
      <c r="AU274" s="98">
        <f t="shared" ref="AU274:AU275" si="851">AT274+AV274</f>
        <v>0</v>
      </c>
      <c r="AV274" s="98">
        <f t="shared" ref="AV274:AV275" si="852">SUM(AW274:BG274)</f>
        <v>0</v>
      </c>
      <c r="AW274" s="98"/>
      <c r="AX274" s="98"/>
      <c r="AY274" s="98"/>
      <c r="AZ274" s="98"/>
      <c r="BA274" s="98"/>
      <c r="BB274" s="98"/>
      <c r="BC274" s="98"/>
      <c r="BD274" s="98"/>
      <c r="BE274" s="98"/>
      <c r="BF274" s="98"/>
      <c r="BG274" s="98"/>
      <c r="BH274" s="98"/>
      <c r="BI274" s="81">
        <f t="shared" ref="BI274:BI275" si="853">BH274+BJ274</f>
        <v>0</v>
      </c>
      <c r="BJ274" s="98">
        <f t="shared" ref="BJ274:BJ275" si="854">SUM(BK274:BO274)</f>
        <v>0</v>
      </c>
      <c r="BK274" s="98"/>
      <c r="BL274" s="98"/>
      <c r="BM274" s="98"/>
      <c r="BN274" s="98"/>
      <c r="BO274" s="98"/>
      <c r="BP274" s="81">
        <v>-995567</v>
      </c>
      <c r="BQ274" s="81">
        <f t="shared" ref="BQ274:BQ275" si="855">BP274+BR274</f>
        <v>-1091155</v>
      </c>
      <c r="BR274" s="81">
        <f t="shared" ref="BR274:BR275" si="856">SUM(BS274:CD274)</f>
        <v>-95588</v>
      </c>
      <c r="BS274" s="98">
        <f>-750-7576</f>
        <v>-8326</v>
      </c>
      <c r="BT274" s="98">
        <f>-4897-85145-19033</f>
        <v>-109075</v>
      </c>
      <c r="BU274" s="98">
        <v>-17640</v>
      </c>
      <c r="BV274" s="98">
        <f>7251-21968+59986</f>
        <v>45269</v>
      </c>
      <c r="BW274" s="98"/>
      <c r="BX274" s="98">
        <v>20825</v>
      </c>
      <c r="BY274" s="98">
        <v>151</v>
      </c>
      <c r="BZ274" s="98"/>
      <c r="CA274" s="98">
        <v>-32196</v>
      </c>
      <c r="CB274" s="98">
        <f>5621-214</f>
        <v>5407</v>
      </c>
      <c r="CC274" s="98">
        <v>-3</v>
      </c>
      <c r="CD274" s="98"/>
      <c r="CE274" s="82"/>
      <c r="CF274" s="85"/>
    </row>
    <row r="275" spans="1:84" s="198" customFormat="1" ht="12.75" hidden="1" customHeight="1" outlineLevel="1" x14ac:dyDescent="0.2">
      <c r="A275" s="137"/>
      <c r="B275" s="419" t="s">
        <v>753</v>
      </c>
      <c r="C275" s="420"/>
      <c r="D275" s="80">
        <f t="shared" si="845"/>
        <v>0</v>
      </c>
      <c r="E275" s="295">
        <f t="shared" si="846"/>
        <v>0</v>
      </c>
      <c r="F275" s="81">
        <v>26347</v>
      </c>
      <c r="G275" s="81">
        <f t="shared" si="847"/>
        <v>43984</v>
      </c>
      <c r="H275" s="81">
        <f t="shared" si="848"/>
        <v>17637</v>
      </c>
      <c r="I275" s="81">
        <v>2719</v>
      </c>
      <c r="J275" s="81"/>
      <c r="K275" s="81">
        <f>1+3777</f>
        <v>3778</v>
      </c>
      <c r="L275" s="81"/>
      <c r="M275" s="81"/>
      <c r="N275" s="81"/>
      <c r="O275" s="81"/>
      <c r="P275" s="81"/>
      <c r="Q275" s="81">
        <v>7681</v>
      </c>
      <c r="R275" s="81"/>
      <c r="S275" s="81"/>
      <c r="T275" s="81"/>
      <c r="U275" s="81"/>
      <c r="V275" s="81"/>
      <c r="W275" s="81">
        <v>1</v>
      </c>
      <c r="X275" s="81"/>
      <c r="Y275" s="81"/>
      <c r="Z275" s="81">
        <f>3458</f>
        <v>3458</v>
      </c>
      <c r="AA275" s="81"/>
      <c r="AB275" s="81"/>
      <c r="AC275" s="81"/>
      <c r="AD275" s="81"/>
      <c r="AE275" s="81"/>
      <c r="AF275" s="81"/>
      <c r="AG275" s="81"/>
      <c r="AH275" s="81">
        <f t="shared" si="849"/>
        <v>0</v>
      </c>
      <c r="AI275" s="81">
        <f t="shared" si="850"/>
        <v>0</v>
      </c>
      <c r="AJ275" s="81"/>
      <c r="AK275" s="81"/>
      <c r="AL275" s="81"/>
      <c r="AM275" s="81"/>
      <c r="AN275" s="81"/>
      <c r="AO275" s="81"/>
      <c r="AP275" s="81"/>
      <c r="AQ275" s="81"/>
      <c r="AR275" s="81"/>
      <c r="AS275" s="81"/>
      <c r="AT275" s="81"/>
      <c r="AU275" s="98">
        <f t="shared" si="851"/>
        <v>0</v>
      </c>
      <c r="AV275" s="98">
        <f t="shared" si="852"/>
        <v>0</v>
      </c>
      <c r="AW275" s="98"/>
      <c r="AX275" s="98"/>
      <c r="AY275" s="98"/>
      <c r="AZ275" s="98"/>
      <c r="BA275" s="98"/>
      <c r="BB275" s="98"/>
      <c r="BC275" s="98"/>
      <c r="BD275" s="98"/>
      <c r="BE275" s="98"/>
      <c r="BF275" s="98"/>
      <c r="BG275" s="98"/>
      <c r="BH275" s="98"/>
      <c r="BI275" s="81">
        <f t="shared" si="853"/>
        <v>0</v>
      </c>
      <c r="BJ275" s="98">
        <f t="shared" si="854"/>
        <v>0</v>
      </c>
      <c r="BK275" s="98"/>
      <c r="BL275" s="98"/>
      <c r="BM275" s="98"/>
      <c r="BN275" s="98"/>
      <c r="BO275" s="98"/>
      <c r="BP275" s="81">
        <v>-26347</v>
      </c>
      <c r="BQ275" s="81">
        <f t="shared" si="855"/>
        <v>-43984</v>
      </c>
      <c r="BR275" s="81">
        <f t="shared" si="856"/>
        <v>-17637</v>
      </c>
      <c r="BS275" s="98">
        <v>-2719</v>
      </c>
      <c r="BT275" s="98">
        <f>-1-3777</f>
        <v>-3778</v>
      </c>
      <c r="BU275" s="98"/>
      <c r="BV275" s="98"/>
      <c r="BW275" s="98">
        <v>-7681</v>
      </c>
      <c r="BX275" s="98"/>
      <c r="BY275" s="98"/>
      <c r="BZ275" s="98">
        <v>-1</v>
      </c>
      <c r="CA275" s="98"/>
      <c r="CB275" s="98">
        <f>-3458</f>
        <v>-3458</v>
      </c>
      <c r="CC275" s="98"/>
      <c r="CD275" s="98"/>
      <c r="CE275" s="82"/>
      <c r="CF275" s="85"/>
    </row>
    <row r="276" spans="1:84" s="198" customFormat="1" ht="12.75" hidden="1" customHeight="1" outlineLevel="1" x14ac:dyDescent="0.2">
      <c r="A276" s="137"/>
      <c r="B276" s="419" t="s">
        <v>821</v>
      </c>
      <c r="C276" s="420"/>
      <c r="D276" s="80">
        <f t="shared" ref="D276" si="857">F276+AG276+AT276+BH276+BP276</f>
        <v>0</v>
      </c>
      <c r="E276" s="295">
        <f t="shared" ref="E276" si="858">G276+AH276+AU276+BI276+BQ276</f>
        <v>160212</v>
      </c>
      <c r="F276" s="81"/>
      <c r="G276" s="81">
        <f t="shared" si="847"/>
        <v>160212</v>
      </c>
      <c r="H276" s="81">
        <f t="shared" si="848"/>
        <v>160212</v>
      </c>
      <c r="I276" s="81"/>
      <c r="J276" s="81"/>
      <c r="K276" s="81"/>
      <c r="L276" s="81"/>
      <c r="M276" s="81"/>
      <c r="N276" s="81"/>
      <c r="O276" s="81"/>
      <c r="P276" s="81"/>
      <c r="Q276" s="81"/>
      <c r="R276" s="81"/>
      <c r="S276" s="81">
        <f>16200+20377+88045</f>
        <v>124622</v>
      </c>
      <c r="T276" s="81"/>
      <c r="U276" s="81"/>
      <c r="V276" s="81"/>
      <c r="W276" s="81">
        <f>233+4130+1227+30000</f>
        <v>35590</v>
      </c>
      <c r="X276" s="81"/>
      <c r="Y276" s="81"/>
      <c r="Z276" s="81"/>
      <c r="AA276" s="81"/>
      <c r="AB276" s="81"/>
      <c r="AC276" s="81"/>
      <c r="AD276" s="81"/>
      <c r="AE276" s="81"/>
      <c r="AF276" s="81"/>
      <c r="AG276" s="81"/>
      <c r="AH276" s="81">
        <f t="shared" ref="AH276" si="859">AG276+AI276</f>
        <v>0</v>
      </c>
      <c r="AI276" s="81">
        <f t="shared" ref="AI276" si="860">SUM(AJ276:AS276)</f>
        <v>0</v>
      </c>
      <c r="AJ276" s="81"/>
      <c r="AK276" s="81"/>
      <c r="AL276" s="81"/>
      <c r="AM276" s="81"/>
      <c r="AN276" s="81"/>
      <c r="AO276" s="81"/>
      <c r="AP276" s="81"/>
      <c r="AQ276" s="81"/>
      <c r="AR276" s="81"/>
      <c r="AS276" s="81"/>
      <c r="AT276" s="81"/>
      <c r="AU276" s="98">
        <f t="shared" ref="AU276" si="861">AT276+AV276</f>
        <v>0</v>
      </c>
      <c r="AV276" s="98">
        <f t="shared" ref="AV276" si="862">SUM(AW276:BG276)</f>
        <v>0</v>
      </c>
      <c r="AW276" s="98"/>
      <c r="AX276" s="98"/>
      <c r="AY276" s="98"/>
      <c r="AZ276" s="98"/>
      <c r="BA276" s="98"/>
      <c r="BB276" s="98"/>
      <c r="BC276" s="98"/>
      <c r="BD276" s="98"/>
      <c r="BE276" s="98"/>
      <c r="BF276" s="98"/>
      <c r="BG276" s="98"/>
      <c r="BH276" s="98"/>
      <c r="BI276" s="81">
        <f t="shared" ref="BI276" si="863">BH276+BJ276</f>
        <v>0</v>
      </c>
      <c r="BJ276" s="98">
        <f t="shared" ref="BJ276" si="864">SUM(BK276:BO276)</f>
        <v>0</v>
      </c>
      <c r="BK276" s="98"/>
      <c r="BL276" s="98"/>
      <c r="BM276" s="98"/>
      <c r="BN276" s="98"/>
      <c r="BO276" s="98"/>
      <c r="BP276" s="81"/>
      <c r="BQ276" s="81">
        <f t="shared" ref="BQ276" si="865">BP276+BR276</f>
        <v>0</v>
      </c>
      <c r="BR276" s="81">
        <f t="shared" ref="BR276" si="866">SUM(BS276:CD276)</f>
        <v>0</v>
      </c>
      <c r="BS276" s="98"/>
      <c r="BT276" s="98"/>
      <c r="BU276" s="98"/>
      <c r="BV276" s="98"/>
      <c r="BW276" s="98"/>
      <c r="BX276" s="98"/>
      <c r="BY276" s="98"/>
      <c r="BZ276" s="98"/>
      <c r="CA276" s="98"/>
      <c r="CB276" s="98"/>
      <c r="CC276" s="98"/>
      <c r="CD276" s="98"/>
      <c r="CE276" s="82"/>
      <c r="CF276" s="85"/>
    </row>
    <row r="277" spans="1:84" s="194" customFormat="1" hidden="1" outlineLevel="1" x14ac:dyDescent="0.2">
      <c r="A277" s="137"/>
      <c r="B277" s="421" t="s">
        <v>578</v>
      </c>
      <c r="C277" s="420"/>
      <c r="D277" s="80">
        <f t="shared" si="833"/>
        <v>62204</v>
      </c>
      <c r="E277" s="295">
        <f>G277+AH277+AU277+BI277+BQ277</f>
        <v>1036374</v>
      </c>
      <c r="F277" s="81">
        <v>62204</v>
      </c>
      <c r="G277" s="81">
        <f>F277+H277</f>
        <v>1036374</v>
      </c>
      <c r="H277" s="81">
        <f t="shared" si="836"/>
        <v>974170</v>
      </c>
      <c r="I277" s="81">
        <f>877</f>
        <v>877</v>
      </c>
      <c r="J277" s="81"/>
      <c r="K277" s="81">
        <f>2352-12169+5351+22638+235-243+147145+53792</f>
        <v>219101</v>
      </c>
      <c r="L277" s="81"/>
      <c r="M277" s="81">
        <v>337451</v>
      </c>
      <c r="N277" s="81"/>
      <c r="O277" s="81"/>
      <c r="P277" s="81"/>
      <c r="Q277" s="81">
        <f>-147145-22638</f>
        <v>-169783</v>
      </c>
      <c r="R277" s="81"/>
      <c r="S277" s="81">
        <f>30597-53792+91780</f>
        <v>68585</v>
      </c>
      <c r="T277" s="81"/>
      <c r="U277" s="81">
        <f>185947+1210</f>
        <v>187157</v>
      </c>
      <c r="V277" s="81"/>
      <c r="W277" s="81">
        <f>371+1405</f>
        <v>1776</v>
      </c>
      <c r="X277" s="81"/>
      <c r="Y277" s="81"/>
      <c r="Z277" s="81">
        <f>-5077+686+34285</f>
        <v>29894</v>
      </c>
      <c r="AA277" s="81"/>
      <c r="AB277" s="81"/>
      <c r="AC277" s="81">
        <v>299112</v>
      </c>
      <c r="AD277" s="81"/>
      <c r="AE277" s="81"/>
      <c r="AF277" s="81"/>
      <c r="AG277" s="81"/>
      <c r="AH277" s="81">
        <f t="shared" si="837"/>
        <v>0</v>
      </c>
      <c r="AI277" s="81">
        <f t="shared" si="838"/>
        <v>0</v>
      </c>
      <c r="AJ277" s="81"/>
      <c r="AK277" s="81"/>
      <c r="AL277" s="81"/>
      <c r="AM277" s="81"/>
      <c r="AN277" s="81"/>
      <c r="AO277" s="81"/>
      <c r="AP277" s="81"/>
      <c r="AQ277" s="81"/>
      <c r="AR277" s="81"/>
      <c r="AS277" s="81"/>
      <c r="AT277" s="81"/>
      <c r="AU277" s="98">
        <f t="shared" si="839"/>
        <v>0</v>
      </c>
      <c r="AV277" s="98">
        <f t="shared" si="840"/>
        <v>0</v>
      </c>
      <c r="AW277" s="98"/>
      <c r="AX277" s="98"/>
      <c r="AY277" s="98"/>
      <c r="AZ277" s="98"/>
      <c r="BA277" s="98"/>
      <c r="BB277" s="98"/>
      <c r="BC277" s="98"/>
      <c r="BD277" s="98"/>
      <c r="BE277" s="98"/>
      <c r="BF277" s="98"/>
      <c r="BG277" s="98"/>
      <c r="BH277" s="98"/>
      <c r="BI277" s="81">
        <f t="shared" ref="BI277" si="867">BH277+BJ277</f>
        <v>0</v>
      </c>
      <c r="BJ277" s="98">
        <f t="shared" si="844"/>
        <v>0</v>
      </c>
      <c r="BK277" s="98"/>
      <c r="BL277" s="98"/>
      <c r="BM277" s="98"/>
      <c r="BN277" s="98"/>
      <c r="BO277" s="98"/>
      <c r="BP277" s="81"/>
      <c r="BQ277" s="81">
        <f t="shared" si="842"/>
        <v>0</v>
      </c>
      <c r="BR277" s="81">
        <f t="shared" si="843"/>
        <v>0</v>
      </c>
      <c r="BS277" s="98"/>
      <c r="BT277" s="98"/>
      <c r="BU277" s="98"/>
      <c r="BV277" s="98"/>
      <c r="BW277" s="98"/>
      <c r="BX277" s="98"/>
      <c r="BY277" s="98"/>
      <c r="BZ277" s="98"/>
      <c r="CA277" s="98"/>
      <c r="CB277" s="98"/>
      <c r="CC277" s="98"/>
      <c r="CD277" s="98"/>
      <c r="CE277" s="82"/>
      <c r="CF277" s="85"/>
    </row>
    <row r="278" spans="1:84" s="194" customFormat="1" hidden="1" outlineLevel="1" x14ac:dyDescent="0.2">
      <c r="A278" s="137"/>
      <c r="B278" s="421" t="s">
        <v>579</v>
      </c>
      <c r="C278" s="420"/>
      <c r="D278" s="80">
        <f t="shared" si="833"/>
        <v>13437</v>
      </c>
      <c r="E278" s="295">
        <f t="shared" si="834"/>
        <v>107514</v>
      </c>
      <c r="F278" s="81">
        <v>13437</v>
      </c>
      <c r="G278" s="81">
        <f t="shared" si="835"/>
        <v>107514</v>
      </c>
      <c r="H278" s="81">
        <f t="shared" si="836"/>
        <v>94077</v>
      </c>
      <c r="I278" s="81"/>
      <c r="J278" s="81"/>
      <c r="K278" s="81">
        <f>-3454-2751</f>
        <v>-6205</v>
      </c>
      <c r="L278" s="81"/>
      <c r="M278" s="81"/>
      <c r="N278" s="81"/>
      <c r="O278" s="81"/>
      <c r="P278" s="81"/>
      <c r="Q278" s="81"/>
      <c r="R278" s="81"/>
      <c r="S278" s="81"/>
      <c r="T278" s="81"/>
      <c r="U278" s="81">
        <f>13291-633</f>
        <v>12658</v>
      </c>
      <c r="V278" s="81"/>
      <c r="W278" s="81">
        <v>26591</v>
      </c>
      <c r="X278" s="81"/>
      <c r="Y278" s="81">
        <f>16176+8385+3541</f>
        <v>28102</v>
      </c>
      <c r="Z278" s="81">
        <f>10708+22223</f>
        <v>32931</v>
      </c>
      <c r="AA278" s="81"/>
      <c r="AB278" s="81"/>
      <c r="AC278" s="81"/>
      <c r="AD278" s="81"/>
      <c r="AE278" s="81"/>
      <c r="AF278" s="81"/>
      <c r="AG278" s="81"/>
      <c r="AH278" s="81">
        <f t="shared" si="837"/>
        <v>0</v>
      </c>
      <c r="AI278" s="81">
        <f t="shared" si="838"/>
        <v>0</v>
      </c>
      <c r="AJ278" s="81"/>
      <c r="AK278" s="81"/>
      <c r="AL278" s="81"/>
      <c r="AM278" s="81"/>
      <c r="AN278" s="81"/>
      <c r="AO278" s="81"/>
      <c r="AP278" s="81"/>
      <c r="AQ278" s="81"/>
      <c r="AR278" s="81"/>
      <c r="AS278" s="81"/>
      <c r="AT278" s="81"/>
      <c r="AU278" s="98">
        <f t="shared" si="839"/>
        <v>0</v>
      </c>
      <c r="AV278" s="98">
        <f t="shared" si="840"/>
        <v>0</v>
      </c>
      <c r="AW278" s="98"/>
      <c r="AX278" s="98"/>
      <c r="AY278" s="98"/>
      <c r="AZ278" s="98"/>
      <c r="BA278" s="98"/>
      <c r="BB278" s="98"/>
      <c r="BC278" s="98"/>
      <c r="BD278" s="98"/>
      <c r="BE278" s="98"/>
      <c r="BF278" s="98"/>
      <c r="BG278" s="98"/>
      <c r="BH278" s="98"/>
      <c r="BI278" s="81">
        <f t="shared" si="841"/>
        <v>0</v>
      </c>
      <c r="BJ278" s="98">
        <f t="shared" si="844"/>
        <v>0</v>
      </c>
      <c r="BK278" s="98"/>
      <c r="BL278" s="98"/>
      <c r="BM278" s="98"/>
      <c r="BN278" s="98"/>
      <c r="BO278" s="98"/>
      <c r="BP278" s="81"/>
      <c r="BQ278" s="81">
        <f>BP278+BR278</f>
        <v>0</v>
      </c>
      <c r="BR278" s="81">
        <f t="shared" si="843"/>
        <v>0</v>
      </c>
      <c r="BS278" s="98"/>
      <c r="BT278" s="98"/>
      <c r="BU278" s="98"/>
      <c r="BV278" s="98"/>
      <c r="BW278" s="98"/>
      <c r="BX278" s="98"/>
      <c r="BY278" s="98"/>
      <c r="BZ278" s="98"/>
      <c r="CA278" s="98"/>
      <c r="CB278" s="98"/>
      <c r="CC278" s="98"/>
      <c r="CD278" s="98"/>
      <c r="CE278" s="82"/>
      <c r="CF278" s="85"/>
    </row>
    <row r="279" spans="1:84" s="194" customFormat="1" hidden="1" outlineLevel="1" x14ac:dyDescent="0.2">
      <c r="A279" s="137"/>
      <c r="B279" s="421" t="s">
        <v>580</v>
      </c>
      <c r="C279" s="420"/>
      <c r="D279" s="80">
        <f t="shared" si="833"/>
        <v>0</v>
      </c>
      <c r="E279" s="295">
        <f t="shared" si="834"/>
        <v>11336</v>
      </c>
      <c r="F279" s="81"/>
      <c r="G279" s="81">
        <f t="shared" si="835"/>
        <v>0</v>
      </c>
      <c r="H279" s="81">
        <f t="shared" si="836"/>
        <v>0</v>
      </c>
      <c r="I279" s="81"/>
      <c r="J279" s="81"/>
      <c r="K279" s="81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1"/>
      <c r="X279" s="81"/>
      <c r="Y279" s="81"/>
      <c r="Z279" s="81"/>
      <c r="AA279" s="81"/>
      <c r="AB279" s="81"/>
      <c r="AC279" s="81"/>
      <c r="AD279" s="81"/>
      <c r="AE279" s="81"/>
      <c r="AF279" s="81"/>
      <c r="AG279" s="81"/>
      <c r="AH279" s="81">
        <f t="shared" si="837"/>
        <v>0</v>
      </c>
      <c r="AI279" s="81">
        <f t="shared" si="838"/>
        <v>0</v>
      </c>
      <c r="AJ279" s="81"/>
      <c r="AK279" s="81"/>
      <c r="AL279" s="81"/>
      <c r="AM279" s="81"/>
      <c r="AN279" s="81"/>
      <c r="AO279" s="81"/>
      <c r="AP279" s="81"/>
      <c r="AQ279" s="81"/>
      <c r="AR279" s="81"/>
      <c r="AS279" s="81"/>
      <c r="AT279" s="81">
        <v>0</v>
      </c>
      <c r="AU279" s="98">
        <f t="shared" si="839"/>
        <v>11336</v>
      </c>
      <c r="AV279" s="98">
        <f t="shared" si="840"/>
        <v>11336</v>
      </c>
      <c r="AW279" s="98">
        <v>250</v>
      </c>
      <c r="AX279" s="98"/>
      <c r="AY279" s="98"/>
      <c r="AZ279" s="98"/>
      <c r="BA279" s="98"/>
      <c r="BB279" s="98"/>
      <c r="BC279" s="98">
        <v>11086</v>
      </c>
      <c r="BD279" s="98"/>
      <c r="BE279" s="98"/>
      <c r="BF279" s="98"/>
      <c r="BG279" s="98"/>
      <c r="BH279" s="98"/>
      <c r="BI279" s="81">
        <f t="shared" si="841"/>
        <v>0</v>
      </c>
      <c r="BJ279" s="98">
        <f t="shared" si="844"/>
        <v>0</v>
      </c>
      <c r="BK279" s="98"/>
      <c r="BL279" s="98"/>
      <c r="BM279" s="98"/>
      <c r="BN279" s="98"/>
      <c r="BO279" s="98"/>
      <c r="BP279" s="81"/>
      <c r="BQ279" s="81">
        <f t="shared" si="842"/>
        <v>0</v>
      </c>
      <c r="BR279" s="81">
        <f t="shared" si="843"/>
        <v>0</v>
      </c>
      <c r="BS279" s="98"/>
      <c r="BT279" s="98"/>
      <c r="BU279" s="98"/>
      <c r="BV279" s="98"/>
      <c r="BW279" s="98"/>
      <c r="BX279" s="98"/>
      <c r="BY279" s="98"/>
      <c r="BZ279" s="98"/>
      <c r="CA279" s="98"/>
      <c r="CB279" s="98"/>
      <c r="CC279" s="98"/>
      <c r="CD279" s="98"/>
      <c r="CE279" s="82"/>
      <c r="CF279" s="85"/>
    </row>
    <row r="280" spans="1:84" s="194" customFormat="1" hidden="1" outlineLevel="1" x14ac:dyDescent="0.2">
      <c r="A280" s="137"/>
      <c r="B280" s="421" t="s">
        <v>581</v>
      </c>
      <c r="C280" s="420"/>
      <c r="D280" s="80">
        <f t="shared" si="833"/>
        <v>1642</v>
      </c>
      <c r="E280" s="295">
        <f t="shared" si="834"/>
        <v>3236</v>
      </c>
      <c r="F280" s="81"/>
      <c r="G280" s="81">
        <f t="shared" si="835"/>
        <v>0</v>
      </c>
      <c r="H280" s="81">
        <f t="shared" si="836"/>
        <v>0</v>
      </c>
      <c r="I280" s="81"/>
      <c r="J280" s="81"/>
      <c r="K280" s="81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1"/>
      <c r="X280" s="81"/>
      <c r="Y280" s="81"/>
      <c r="Z280" s="81"/>
      <c r="AA280" s="81"/>
      <c r="AB280" s="81"/>
      <c r="AC280" s="81"/>
      <c r="AD280" s="81"/>
      <c r="AE280" s="81"/>
      <c r="AF280" s="81"/>
      <c r="AG280" s="81"/>
      <c r="AH280" s="81">
        <f t="shared" si="837"/>
        <v>0</v>
      </c>
      <c r="AI280" s="81">
        <f t="shared" si="838"/>
        <v>0</v>
      </c>
      <c r="AJ280" s="81"/>
      <c r="AK280" s="81"/>
      <c r="AL280" s="81"/>
      <c r="AM280" s="81"/>
      <c r="AN280" s="81"/>
      <c r="AO280" s="81"/>
      <c r="AP280" s="81"/>
      <c r="AQ280" s="81"/>
      <c r="AR280" s="81"/>
      <c r="AS280" s="81"/>
      <c r="AT280" s="81">
        <v>1642</v>
      </c>
      <c r="AU280" s="98">
        <f t="shared" si="839"/>
        <v>3236</v>
      </c>
      <c r="AV280" s="98">
        <f t="shared" si="840"/>
        <v>1594</v>
      </c>
      <c r="AW280" s="98">
        <v>-10</v>
      </c>
      <c r="AX280" s="98"/>
      <c r="AY280" s="98"/>
      <c r="AZ280" s="98"/>
      <c r="BA280" s="98"/>
      <c r="BB280" s="98"/>
      <c r="BC280" s="98"/>
      <c r="BD280" s="98">
        <v>1604</v>
      </c>
      <c r="BE280" s="98"/>
      <c r="BF280" s="98"/>
      <c r="BG280" s="98"/>
      <c r="BH280" s="98"/>
      <c r="BI280" s="81">
        <f t="shared" si="841"/>
        <v>0</v>
      </c>
      <c r="BJ280" s="98">
        <f t="shared" si="844"/>
        <v>0</v>
      </c>
      <c r="BK280" s="98"/>
      <c r="BL280" s="98"/>
      <c r="BM280" s="98"/>
      <c r="BN280" s="98"/>
      <c r="BO280" s="98"/>
      <c r="BP280" s="81"/>
      <c r="BQ280" s="81">
        <f t="shared" si="842"/>
        <v>0</v>
      </c>
      <c r="BR280" s="81">
        <f t="shared" si="843"/>
        <v>0</v>
      </c>
      <c r="BS280" s="98"/>
      <c r="BT280" s="98"/>
      <c r="BU280" s="98"/>
      <c r="BV280" s="98"/>
      <c r="BW280" s="98"/>
      <c r="BX280" s="98"/>
      <c r="BY280" s="98"/>
      <c r="BZ280" s="98"/>
      <c r="CA280" s="98"/>
      <c r="CB280" s="98"/>
      <c r="CC280" s="98"/>
      <c r="CD280" s="98"/>
      <c r="CE280" s="82"/>
      <c r="CF280" s="85"/>
    </row>
    <row r="281" spans="1:84" s="194" customFormat="1" hidden="1" outlineLevel="1" x14ac:dyDescent="0.2">
      <c r="A281" s="137"/>
      <c r="B281" s="421" t="s">
        <v>54</v>
      </c>
      <c r="C281" s="420"/>
      <c r="D281" s="80">
        <f t="shared" si="833"/>
        <v>0</v>
      </c>
      <c r="E281" s="295">
        <f t="shared" si="834"/>
        <v>0</v>
      </c>
      <c r="F281" s="81"/>
      <c r="G281" s="81">
        <f t="shared" si="835"/>
        <v>0</v>
      </c>
      <c r="H281" s="81">
        <f t="shared" si="836"/>
        <v>0</v>
      </c>
      <c r="I281" s="81"/>
      <c r="J281" s="81"/>
      <c r="K281" s="81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1"/>
      <c r="X281" s="81"/>
      <c r="Y281" s="81"/>
      <c r="Z281" s="81"/>
      <c r="AA281" s="81"/>
      <c r="AB281" s="81"/>
      <c r="AC281" s="81"/>
      <c r="AD281" s="81"/>
      <c r="AE281" s="81"/>
      <c r="AF281" s="81"/>
      <c r="AG281" s="81"/>
      <c r="AH281" s="81">
        <f t="shared" si="837"/>
        <v>0</v>
      </c>
      <c r="AI281" s="81">
        <f t="shared" si="838"/>
        <v>0</v>
      </c>
      <c r="AJ281" s="81"/>
      <c r="AK281" s="81"/>
      <c r="AL281" s="81"/>
      <c r="AM281" s="81"/>
      <c r="AN281" s="81"/>
      <c r="AO281" s="81"/>
      <c r="AP281" s="81"/>
      <c r="AQ281" s="81"/>
      <c r="AR281" s="81"/>
      <c r="AS281" s="81"/>
      <c r="AT281" s="81"/>
      <c r="AU281" s="98">
        <f t="shared" si="839"/>
        <v>0</v>
      </c>
      <c r="AV281" s="98">
        <f t="shared" si="840"/>
        <v>0</v>
      </c>
      <c r="AW281" s="98"/>
      <c r="AX281" s="98"/>
      <c r="AY281" s="98"/>
      <c r="AZ281" s="98"/>
      <c r="BA281" s="98"/>
      <c r="BB281" s="98"/>
      <c r="BC281" s="98"/>
      <c r="BD281" s="98"/>
      <c r="BE281" s="98"/>
      <c r="BF281" s="98"/>
      <c r="BG281" s="98"/>
      <c r="BH281" s="98"/>
      <c r="BI281" s="81">
        <f t="shared" si="841"/>
        <v>0</v>
      </c>
      <c r="BJ281" s="98">
        <f t="shared" si="844"/>
        <v>0</v>
      </c>
      <c r="BK281" s="98"/>
      <c r="BL281" s="98"/>
      <c r="BM281" s="98"/>
      <c r="BN281" s="98"/>
      <c r="BO281" s="98"/>
      <c r="BP281" s="81"/>
      <c r="BQ281" s="81">
        <f t="shared" si="842"/>
        <v>0</v>
      </c>
      <c r="BR281" s="81">
        <f t="shared" si="843"/>
        <v>0</v>
      </c>
      <c r="BS281" s="98"/>
      <c r="BT281" s="98"/>
      <c r="BU281" s="98"/>
      <c r="BV281" s="98"/>
      <c r="BW281" s="98"/>
      <c r="BX281" s="98"/>
      <c r="BY281" s="98"/>
      <c r="BZ281" s="98"/>
      <c r="CA281" s="98"/>
      <c r="CB281" s="98"/>
      <c r="CC281" s="98"/>
      <c r="CD281" s="98"/>
      <c r="CE281" s="82"/>
      <c r="CF281" s="85"/>
    </row>
    <row r="282" spans="1:84" s="194" customFormat="1" hidden="1" outlineLevel="1" x14ac:dyDescent="0.2">
      <c r="A282" s="137"/>
      <c r="B282" s="421" t="s">
        <v>582</v>
      </c>
      <c r="C282" s="420"/>
      <c r="D282" s="80">
        <f t="shared" si="833"/>
        <v>0</v>
      </c>
      <c r="E282" s="295">
        <f t="shared" si="834"/>
        <v>0</v>
      </c>
      <c r="F282" s="81"/>
      <c r="G282" s="81">
        <f t="shared" si="835"/>
        <v>0</v>
      </c>
      <c r="H282" s="81">
        <f t="shared" si="836"/>
        <v>0</v>
      </c>
      <c r="I282" s="81"/>
      <c r="J282" s="81"/>
      <c r="K282" s="81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1"/>
      <c r="X282" s="81"/>
      <c r="Y282" s="81"/>
      <c r="Z282" s="81"/>
      <c r="AA282" s="81"/>
      <c r="AB282" s="81"/>
      <c r="AC282" s="81"/>
      <c r="AD282" s="81"/>
      <c r="AE282" s="81"/>
      <c r="AF282" s="81"/>
      <c r="AG282" s="81"/>
      <c r="AH282" s="81">
        <f t="shared" si="837"/>
        <v>0</v>
      </c>
      <c r="AI282" s="81">
        <f t="shared" si="838"/>
        <v>0</v>
      </c>
      <c r="AJ282" s="81"/>
      <c r="AK282" s="81"/>
      <c r="AL282" s="81"/>
      <c r="AM282" s="81"/>
      <c r="AN282" s="81"/>
      <c r="AO282" s="81"/>
      <c r="AP282" s="81"/>
      <c r="AQ282" s="81"/>
      <c r="AR282" s="81"/>
      <c r="AS282" s="81"/>
      <c r="AT282" s="81"/>
      <c r="AU282" s="98">
        <f t="shared" si="839"/>
        <v>0</v>
      </c>
      <c r="AV282" s="98">
        <f t="shared" si="840"/>
        <v>0</v>
      </c>
      <c r="AW282" s="98"/>
      <c r="AX282" s="98"/>
      <c r="AY282" s="98"/>
      <c r="AZ282" s="98"/>
      <c r="BA282" s="98"/>
      <c r="BB282" s="98"/>
      <c r="BC282" s="98"/>
      <c r="BD282" s="98"/>
      <c r="BE282" s="98"/>
      <c r="BF282" s="98"/>
      <c r="BG282" s="98"/>
      <c r="BH282" s="98"/>
      <c r="BI282" s="81">
        <f t="shared" si="841"/>
        <v>0</v>
      </c>
      <c r="BJ282" s="98">
        <f t="shared" si="844"/>
        <v>0</v>
      </c>
      <c r="BK282" s="98"/>
      <c r="BL282" s="98"/>
      <c r="BM282" s="98"/>
      <c r="BN282" s="98"/>
      <c r="BO282" s="98"/>
      <c r="BP282" s="81"/>
      <c r="BQ282" s="81">
        <f t="shared" si="842"/>
        <v>0</v>
      </c>
      <c r="BR282" s="81">
        <f t="shared" si="843"/>
        <v>0</v>
      </c>
      <c r="BS282" s="98"/>
      <c r="BT282" s="98"/>
      <c r="BU282" s="98"/>
      <c r="BV282" s="98"/>
      <c r="BW282" s="98"/>
      <c r="BX282" s="98"/>
      <c r="BY282" s="98"/>
      <c r="BZ282" s="98"/>
      <c r="CA282" s="98"/>
      <c r="CB282" s="98"/>
      <c r="CC282" s="98"/>
      <c r="CD282" s="98"/>
      <c r="CE282" s="82"/>
      <c r="CF282" s="85"/>
    </row>
    <row r="283" spans="1:84" s="198" customFormat="1" hidden="1" outlineLevel="1" x14ac:dyDescent="0.2">
      <c r="A283" s="137"/>
      <c r="B283" s="419" t="s">
        <v>825</v>
      </c>
      <c r="C283" s="420"/>
      <c r="D283" s="80">
        <f t="shared" si="833"/>
        <v>0</v>
      </c>
      <c r="E283" s="295">
        <f t="shared" si="834"/>
        <v>3</v>
      </c>
      <c r="F283" s="81"/>
      <c r="G283" s="81">
        <f t="shared" si="835"/>
        <v>3</v>
      </c>
      <c r="H283" s="81">
        <f t="shared" si="836"/>
        <v>3</v>
      </c>
      <c r="I283" s="81"/>
      <c r="J283" s="81"/>
      <c r="K283" s="81"/>
      <c r="L283" s="81"/>
      <c r="M283" s="81"/>
      <c r="N283" s="81"/>
      <c r="O283" s="81"/>
      <c r="P283" s="81"/>
      <c r="Q283" s="81"/>
      <c r="R283" s="81"/>
      <c r="S283" s="81"/>
      <c r="T283" s="81"/>
      <c r="U283" s="81">
        <v>3</v>
      </c>
      <c r="V283" s="81"/>
      <c r="W283" s="81"/>
      <c r="X283" s="81"/>
      <c r="Y283" s="81"/>
      <c r="Z283" s="81"/>
      <c r="AA283" s="81"/>
      <c r="AB283" s="81"/>
      <c r="AC283" s="81"/>
      <c r="AD283" s="81"/>
      <c r="AE283" s="81"/>
      <c r="AF283" s="81"/>
      <c r="AG283" s="81"/>
      <c r="AH283" s="81">
        <f t="shared" si="837"/>
        <v>0</v>
      </c>
      <c r="AI283" s="81">
        <f t="shared" si="838"/>
        <v>0</v>
      </c>
      <c r="AJ283" s="81"/>
      <c r="AK283" s="81"/>
      <c r="AL283" s="81"/>
      <c r="AM283" s="81"/>
      <c r="AN283" s="81">
        <f>22+486+895+4+64+138+210+1+5+19+45-3</f>
        <v>1886</v>
      </c>
      <c r="AO283" s="81">
        <v>-1886</v>
      </c>
      <c r="AP283" s="81"/>
      <c r="AQ283" s="81"/>
      <c r="AR283" s="81"/>
      <c r="AS283" s="81"/>
      <c r="AT283" s="81"/>
      <c r="AU283" s="98">
        <f t="shared" si="839"/>
        <v>0</v>
      </c>
      <c r="AV283" s="98">
        <f t="shared" si="840"/>
        <v>0</v>
      </c>
      <c r="AW283" s="98"/>
      <c r="AX283" s="98"/>
      <c r="AY283" s="98"/>
      <c r="AZ283" s="98"/>
      <c r="BA283" s="98"/>
      <c r="BB283" s="98"/>
      <c r="BC283" s="98"/>
      <c r="BD283" s="98"/>
      <c r="BE283" s="98"/>
      <c r="BF283" s="98"/>
      <c r="BG283" s="98"/>
      <c r="BH283" s="98"/>
      <c r="BI283" s="81">
        <f t="shared" si="841"/>
        <v>0</v>
      </c>
      <c r="BJ283" s="98">
        <f t="shared" si="844"/>
        <v>0</v>
      </c>
      <c r="BK283" s="98"/>
      <c r="BL283" s="98"/>
      <c r="BM283" s="98"/>
      <c r="BN283" s="98"/>
      <c r="BO283" s="98"/>
      <c r="BP283" s="81"/>
      <c r="BQ283" s="81">
        <f t="shared" si="842"/>
        <v>0</v>
      </c>
      <c r="BR283" s="81">
        <f t="shared" si="843"/>
        <v>0</v>
      </c>
      <c r="BS283" s="98"/>
      <c r="BT283" s="98"/>
      <c r="BU283" s="98"/>
      <c r="BV283" s="98"/>
      <c r="BW283" s="98"/>
      <c r="BX283" s="98"/>
      <c r="BY283" s="98"/>
      <c r="BZ283" s="98"/>
      <c r="CA283" s="98"/>
      <c r="CB283" s="98"/>
      <c r="CC283" s="98"/>
      <c r="CD283" s="98"/>
      <c r="CE283" s="82"/>
      <c r="CF283" s="85"/>
    </row>
    <row r="284" spans="1:84" s="198" customFormat="1" ht="12.75" hidden="1" customHeight="1" outlineLevel="1" x14ac:dyDescent="0.2">
      <c r="A284" s="137"/>
      <c r="B284" s="436" t="s">
        <v>848</v>
      </c>
      <c r="C284" s="427"/>
      <c r="D284" s="80">
        <f t="shared" si="833"/>
        <v>0</v>
      </c>
      <c r="E284" s="295">
        <f t="shared" si="834"/>
        <v>0</v>
      </c>
      <c r="F284" s="81"/>
      <c r="G284" s="81">
        <f t="shared" si="835"/>
        <v>0</v>
      </c>
      <c r="H284" s="81">
        <f t="shared" si="836"/>
        <v>0</v>
      </c>
      <c r="I284" s="81"/>
      <c r="J284" s="81"/>
      <c r="K284" s="81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1"/>
      <c r="X284" s="81"/>
      <c r="Y284" s="81"/>
      <c r="Z284" s="81"/>
      <c r="AA284" s="81"/>
      <c r="AB284" s="81"/>
      <c r="AC284" s="81"/>
      <c r="AD284" s="81"/>
      <c r="AE284" s="81"/>
      <c r="AF284" s="81"/>
      <c r="AG284" s="81"/>
      <c r="AH284" s="81">
        <f t="shared" si="837"/>
        <v>0</v>
      </c>
      <c r="AI284" s="81">
        <f t="shared" si="838"/>
        <v>0</v>
      </c>
      <c r="AJ284" s="81"/>
      <c r="AK284" s="81"/>
      <c r="AL284" s="81"/>
      <c r="AM284" s="81"/>
      <c r="AN284" s="81"/>
      <c r="AO284" s="81"/>
      <c r="AP284" s="81">
        <f>30268-4536-4620-735-791-4130</f>
        <v>15456</v>
      </c>
      <c r="AQ284" s="81">
        <f>-3178-987-3213-973-2247-1001-1995-679-1183</f>
        <v>-15456</v>
      </c>
      <c r="AR284" s="81"/>
      <c r="AS284" s="81"/>
      <c r="AT284" s="81"/>
      <c r="AU284" s="98">
        <f t="shared" si="839"/>
        <v>0</v>
      </c>
      <c r="AV284" s="98">
        <f t="shared" si="840"/>
        <v>0</v>
      </c>
      <c r="AW284" s="98"/>
      <c r="AX284" s="98"/>
      <c r="AY284" s="98"/>
      <c r="AZ284" s="98"/>
      <c r="BA284" s="98"/>
      <c r="BB284" s="98"/>
      <c r="BC284" s="98"/>
      <c r="BD284" s="98"/>
      <c r="BE284" s="98"/>
      <c r="BF284" s="98"/>
      <c r="BG284" s="98"/>
      <c r="BH284" s="98"/>
      <c r="BI284" s="81">
        <f t="shared" si="841"/>
        <v>0</v>
      </c>
      <c r="BJ284" s="98">
        <f t="shared" si="844"/>
        <v>0</v>
      </c>
      <c r="BK284" s="98"/>
      <c r="BL284" s="98"/>
      <c r="BM284" s="98"/>
      <c r="BN284" s="98"/>
      <c r="BO284" s="98"/>
      <c r="BP284" s="81"/>
      <c r="BQ284" s="81">
        <f t="shared" si="842"/>
        <v>0</v>
      </c>
      <c r="BR284" s="81">
        <f t="shared" si="843"/>
        <v>0</v>
      </c>
      <c r="BS284" s="98"/>
      <c r="BT284" s="98"/>
      <c r="BU284" s="98"/>
      <c r="BV284" s="98"/>
      <c r="BW284" s="98"/>
      <c r="BX284" s="98"/>
      <c r="BY284" s="98"/>
      <c r="BZ284" s="98"/>
      <c r="CA284" s="98"/>
      <c r="CB284" s="98"/>
      <c r="CC284" s="98"/>
      <c r="CD284" s="98"/>
      <c r="CE284" s="82"/>
      <c r="CF284" s="85"/>
    </row>
    <row r="285" spans="1:84" s="194" customFormat="1" hidden="1" outlineLevel="1" x14ac:dyDescent="0.2">
      <c r="A285" s="137"/>
      <c r="B285" s="421" t="s">
        <v>583</v>
      </c>
      <c r="C285" s="420"/>
      <c r="D285" s="80">
        <f t="shared" si="833"/>
        <v>41531</v>
      </c>
      <c r="E285" s="295">
        <f t="shared" si="834"/>
        <v>5091</v>
      </c>
      <c r="F285" s="81"/>
      <c r="G285" s="81">
        <f t="shared" si="835"/>
        <v>0</v>
      </c>
      <c r="H285" s="81">
        <f t="shared" si="836"/>
        <v>0</v>
      </c>
      <c r="I285" s="81"/>
      <c r="J285" s="81"/>
      <c r="K285" s="81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1"/>
      <c r="X285" s="81"/>
      <c r="Y285" s="81"/>
      <c r="Z285" s="81"/>
      <c r="AA285" s="81"/>
      <c r="AB285" s="81"/>
      <c r="AC285" s="81"/>
      <c r="AD285" s="81"/>
      <c r="AE285" s="81"/>
      <c r="AF285" s="81"/>
      <c r="AG285" s="81">
        <v>41531</v>
      </c>
      <c r="AH285" s="81">
        <f t="shared" si="837"/>
        <v>5091</v>
      </c>
      <c r="AI285" s="81">
        <f t="shared" si="838"/>
        <v>-36440</v>
      </c>
      <c r="AJ285" s="81">
        <v>-86</v>
      </c>
      <c r="AK285" s="81">
        <f>12984+84722-287</f>
        <v>97419</v>
      </c>
      <c r="AL285" s="81"/>
      <c r="AM285" s="81"/>
      <c r="AN285" s="81"/>
      <c r="AO285" s="81">
        <v>-38122</v>
      </c>
      <c r="AP285" s="81"/>
      <c r="AQ285" s="81">
        <f>-2755-846-5495-5931-4370+11788-3000-88736+3694</f>
        <v>-95651</v>
      </c>
      <c r="AR285" s="81"/>
      <c r="AS285" s="81"/>
      <c r="AT285" s="81"/>
      <c r="AU285" s="98">
        <f t="shared" si="839"/>
        <v>0</v>
      </c>
      <c r="AV285" s="98">
        <f t="shared" si="840"/>
        <v>0</v>
      </c>
      <c r="AW285" s="98"/>
      <c r="AX285" s="98"/>
      <c r="AY285" s="98"/>
      <c r="AZ285" s="98"/>
      <c r="BA285" s="98"/>
      <c r="BB285" s="98"/>
      <c r="BC285" s="98"/>
      <c r="BD285" s="98"/>
      <c r="BE285" s="98"/>
      <c r="BF285" s="98"/>
      <c r="BG285" s="98"/>
      <c r="BH285" s="98"/>
      <c r="BI285" s="81">
        <f t="shared" si="841"/>
        <v>0</v>
      </c>
      <c r="BJ285" s="98">
        <f t="shared" si="844"/>
        <v>0</v>
      </c>
      <c r="BK285" s="98"/>
      <c r="BL285" s="98"/>
      <c r="BM285" s="98"/>
      <c r="BN285" s="98"/>
      <c r="BO285" s="98"/>
      <c r="BP285" s="81"/>
      <c r="BQ285" s="81">
        <f t="shared" si="842"/>
        <v>0</v>
      </c>
      <c r="BR285" s="81">
        <f t="shared" si="843"/>
        <v>0</v>
      </c>
      <c r="BS285" s="98"/>
      <c r="BT285" s="98"/>
      <c r="BU285" s="98"/>
      <c r="BV285" s="98"/>
      <c r="BW285" s="98"/>
      <c r="BX285" s="98"/>
      <c r="BY285" s="98"/>
      <c r="BZ285" s="98"/>
      <c r="CA285" s="98"/>
      <c r="CB285" s="98"/>
      <c r="CC285" s="98"/>
      <c r="CD285" s="98"/>
      <c r="CE285" s="82"/>
      <c r="CF285" s="85"/>
    </row>
    <row r="286" spans="1:84" s="194" customFormat="1" hidden="1" outlineLevel="1" x14ac:dyDescent="0.2">
      <c r="A286" s="137"/>
      <c r="B286" s="430" t="s">
        <v>584</v>
      </c>
      <c r="C286" s="431"/>
      <c r="D286" s="80">
        <f t="shared" si="833"/>
        <v>9691</v>
      </c>
      <c r="E286" s="295">
        <f t="shared" si="834"/>
        <v>204</v>
      </c>
      <c r="F286" s="81"/>
      <c r="G286" s="81">
        <f t="shared" si="835"/>
        <v>0</v>
      </c>
      <c r="H286" s="81">
        <f t="shared" si="836"/>
        <v>0</v>
      </c>
      <c r="I286" s="81"/>
      <c r="J286" s="81"/>
      <c r="K286" s="81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1"/>
      <c r="X286" s="81"/>
      <c r="Y286" s="81"/>
      <c r="Z286" s="81"/>
      <c r="AA286" s="81"/>
      <c r="AB286" s="81"/>
      <c r="AC286" s="81"/>
      <c r="AD286" s="81"/>
      <c r="AE286" s="81"/>
      <c r="AF286" s="81"/>
      <c r="AG286" s="81">
        <v>9691</v>
      </c>
      <c r="AH286" s="81">
        <f t="shared" si="837"/>
        <v>204</v>
      </c>
      <c r="AI286" s="81">
        <f t="shared" si="838"/>
        <v>-9487</v>
      </c>
      <c r="AJ286" s="81"/>
      <c r="AK286" s="81">
        <f>-1315+31806+287</f>
        <v>30778</v>
      </c>
      <c r="AL286" s="81"/>
      <c r="AM286" s="81"/>
      <c r="AN286" s="81"/>
      <c r="AO286" s="81"/>
      <c r="AP286" s="81"/>
      <c r="AQ286" s="81">
        <f>-36571-3694</f>
        <v>-40265</v>
      </c>
      <c r="AR286" s="81"/>
      <c r="AS286" s="81"/>
      <c r="AT286" s="81"/>
      <c r="AU286" s="98">
        <f t="shared" si="839"/>
        <v>0</v>
      </c>
      <c r="AV286" s="98">
        <f t="shared" si="840"/>
        <v>0</v>
      </c>
      <c r="AW286" s="98"/>
      <c r="AX286" s="98"/>
      <c r="AY286" s="98"/>
      <c r="AZ286" s="98"/>
      <c r="BA286" s="98"/>
      <c r="BB286" s="98"/>
      <c r="BC286" s="98"/>
      <c r="BD286" s="98"/>
      <c r="BE286" s="98"/>
      <c r="BF286" s="98"/>
      <c r="BG286" s="98"/>
      <c r="BH286" s="98"/>
      <c r="BI286" s="81">
        <f t="shared" si="841"/>
        <v>0</v>
      </c>
      <c r="BJ286" s="98">
        <f t="shared" si="844"/>
        <v>0</v>
      </c>
      <c r="BK286" s="98"/>
      <c r="BL286" s="98"/>
      <c r="BM286" s="98"/>
      <c r="BN286" s="98"/>
      <c r="BO286" s="98"/>
      <c r="BP286" s="81"/>
      <c r="BQ286" s="81">
        <f t="shared" si="842"/>
        <v>0</v>
      </c>
      <c r="BR286" s="81">
        <f t="shared" si="843"/>
        <v>0</v>
      </c>
      <c r="BS286" s="98"/>
      <c r="BT286" s="98"/>
      <c r="BU286" s="98"/>
      <c r="BV286" s="98"/>
      <c r="BW286" s="98"/>
      <c r="BX286" s="98"/>
      <c r="BY286" s="98"/>
      <c r="BZ286" s="98"/>
      <c r="CA286" s="98"/>
      <c r="CB286" s="98"/>
      <c r="CC286" s="98"/>
      <c r="CD286" s="98"/>
      <c r="CE286" s="82"/>
      <c r="CF286" s="85"/>
    </row>
    <row r="287" spans="1:84" s="194" customFormat="1" hidden="1" outlineLevel="1" x14ac:dyDescent="0.2">
      <c r="A287" s="137"/>
      <c r="B287" s="421" t="s">
        <v>585</v>
      </c>
      <c r="C287" s="420"/>
      <c r="D287" s="80">
        <f t="shared" si="833"/>
        <v>50</v>
      </c>
      <c r="E287" s="295">
        <f t="shared" si="834"/>
        <v>0</v>
      </c>
      <c r="F287" s="81"/>
      <c r="G287" s="81">
        <f t="shared" si="835"/>
        <v>0</v>
      </c>
      <c r="H287" s="81">
        <f t="shared" si="836"/>
        <v>0</v>
      </c>
      <c r="I287" s="81"/>
      <c r="J287" s="81"/>
      <c r="K287" s="81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1"/>
      <c r="X287" s="81"/>
      <c r="Y287" s="81"/>
      <c r="Z287" s="81"/>
      <c r="AA287" s="81"/>
      <c r="AB287" s="81"/>
      <c r="AC287" s="81"/>
      <c r="AD287" s="81"/>
      <c r="AE287" s="81"/>
      <c r="AF287" s="81"/>
      <c r="AG287" s="81">
        <v>50</v>
      </c>
      <c r="AH287" s="81">
        <f t="shared" si="837"/>
        <v>0</v>
      </c>
      <c r="AI287" s="81">
        <f t="shared" si="838"/>
        <v>-50</v>
      </c>
      <c r="AJ287" s="81"/>
      <c r="AK287" s="81">
        <v>16579</v>
      </c>
      <c r="AL287" s="81"/>
      <c r="AM287" s="81"/>
      <c r="AN287" s="81"/>
      <c r="AO287" s="81"/>
      <c r="AP287" s="81"/>
      <c r="AQ287" s="81">
        <f>-1530-736-4454-8946-963</f>
        <v>-16629</v>
      </c>
      <c r="AR287" s="81"/>
      <c r="AS287" s="81"/>
      <c r="AT287" s="81"/>
      <c r="AU287" s="98">
        <f t="shared" si="839"/>
        <v>0</v>
      </c>
      <c r="AV287" s="98">
        <f t="shared" si="840"/>
        <v>0</v>
      </c>
      <c r="AW287" s="98"/>
      <c r="AX287" s="98"/>
      <c r="AY287" s="98"/>
      <c r="AZ287" s="98"/>
      <c r="BA287" s="98"/>
      <c r="BB287" s="98"/>
      <c r="BC287" s="98"/>
      <c r="BD287" s="98"/>
      <c r="BE287" s="98"/>
      <c r="BF287" s="98"/>
      <c r="BG287" s="98"/>
      <c r="BH287" s="98"/>
      <c r="BI287" s="81">
        <f t="shared" si="841"/>
        <v>0</v>
      </c>
      <c r="BJ287" s="98">
        <f t="shared" si="844"/>
        <v>0</v>
      </c>
      <c r="BK287" s="98"/>
      <c r="BL287" s="98"/>
      <c r="BM287" s="98"/>
      <c r="BN287" s="98"/>
      <c r="BO287" s="98"/>
      <c r="BP287" s="81"/>
      <c r="BQ287" s="81">
        <f t="shared" si="842"/>
        <v>0</v>
      </c>
      <c r="BR287" s="81">
        <f t="shared" si="843"/>
        <v>0</v>
      </c>
      <c r="BS287" s="98"/>
      <c r="BT287" s="98"/>
      <c r="BU287" s="98"/>
      <c r="BV287" s="98"/>
      <c r="BW287" s="98"/>
      <c r="BX287" s="98"/>
      <c r="BY287" s="98"/>
      <c r="BZ287" s="98"/>
      <c r="CA287" s="98"/>
      <c r="CB287" s="98"/>
      <c r="CC287" s="98"/>
      <c r="CD287" s="98"/>
      <c r="CE287" s="82"/>
      <c r="CF287" s="85"/>
    </row>
    <row r="288" spans="1:84" s="194" customFormat="1" hidden="1" outlineLevel="1" x14ac:dyDescent="0.2">
      <c r="A288" s="137"/>
      <c r="B288" s="421" t="s">
        <v>586</v>
      </c>
      <c r="C288" s="420"/>
      <c r="D288" s="80">
        <f t="shared" si="833"/>
        <v>0</v>
      </c>
      <c r="E288" s="295">
        <f t="shared" si="834"/>
        <v>0</v>
      </c>
      <c r="F288" s="81"/>
      <c r="G288" s="81">
        <f t="shared" si="835"/>
        <v>0</v>
      </c>
      <c r="H288" s="81">
        <f t="shared" si="836"/>
        <v>0</v>
      </c>
      <c r="I288" s="81"/>
      <c r="J288" s="81"/>
      <c r="K288" s="81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1"/>
      <c r="X288" s="81"/>
      <c r="Y288" s="81"/>
      <c r="Z288" s="81"/>
      <c r="AA288" s="81"/>
      <c r="AB288" s="81"/>
      <c r="AC288" s="81"/>
      <c r="AD288" s="81"/>
      <c r="AE288" s="81"/>
      <c r="AF288" s="81"/>
      <c r="AG288" s="81"/>
      <c r="AH288" s="81">
        <f t="shared" si="837"/>
        <v>0</v>
      </c>
      <c r="AI288" s="81">
        <f t="shared" si="838"/>
        <v>0</v>
      </c>
      <c r="AJ288" s="81"/>
      <c r="AK288" s="81"/>
      <c r="AL288" s="81"/>
      <c r="AM288" s="81"/>
      <c r="AN288" s="81"/>
      <c r="AO288" s="81"/>
      <c r="AP288" s="81"/>
      <c r="AQ288" s="81"/>
      <c r="AR288" s="81"/>
      <c r="AS288" s="81"/>
      <c r="AT288" s="81"/>
      <c r="AU288" s="98">
        <f t="shared" si="839"/>
        <v>0</v>
      </c>
      <c r="AV288" s="98">
        <f t="shared" si="840"/>
        <v>0</v>
      </c>
      <c r="AW288" s="98"/>
      <c r="AX288" s="98"/>
      <c r="AY288" s="98"/>
      <c r="AZ288" s="98"/>
      <c r="BA288" s="98"/>
      <c r="BB288" s="98"/>
      <c r="BC288" s="98"/>
      <c r="BD288" s="98"/>
      <c r="BE288" s="98"/>
      <c r="BF288" s="98"/>
      <c r="BG288" s="98"/>
      <c r="BH288" s="98"/>
      <c r="BI288" s="81">
        <f t="shared" si="841"/>
        <v>0</v>
      </c>
      <c r="BJ288" s="98">
        <f t="shared" si="844"/>
        <v>0</v>
      </c>
      <c r="BK288" s="98"/>
      <c r="BL288" s="98"/>
      <c r="BM288" s="98"/>
      <c r="BN288" s="98"/>
      <c r="BO288" s="98"/>
      <c r="BP288" s="81"/>
      <c r="BQ288" s="81">
        <f t="shared" si="842"/>
        <v>0</v>
      </c>
      <c r="BR288" s="81">
        <f t="shared" si="843"/>
        <v>0</v>
      </c>
      <c r="BS288" s="98"/>
      <c r="BT288" s="98"/>
      <c r="BU288" s="98"/>
      <c r="BV288" s="98"/>
      <c r="BW288" s="98"/>
      <c r="BX288" s="98"/>
      <c r="BY288" s="98"/>
      <c r="BZ288" s="98"/>
      <c r="CA288" s="98"/>
      <c r="CB288" s="98"/>
      <c r="CC288" s="98"/>
      <c r="CD288" s="98"/>
      <c r="CE288" s="82"/>
      <c r="CF288" s="85"/>
    </row>
    <row r="289" spans="1:84" s="194" customFormat="1" hidden="1" outlineLevel="1" x14ac:dyDescent="0.2">
      <c r="A289" s="137"/>
      <c r="B289" s="421" t="s">
        <v>587</v>
      </c>
      <c r="C289" s="420"/>
      <c r="D289" s="80">
        <f t="shared" si="833"/>
        <v>0</v>
      </c>
      <c r="E289" s="295">
        <f t="shared" si="834"/>
        <v>0</v>
      </c>
      <c r="F289" s="81"/>
      <c r="G289" s="81">
        <f t="shared" si="835"/>
        <v>0</v>
      </c>
      <c r="H289" s="81">
        <f t="shared" si="836"/>
        <v>0</v>
      </c>
      <c r="I289" s="81"/>
      <c r="J289" s="81"/>
      <c r="K289" s="81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1"/>
      <c r="X289" s="81"/>
      <c r="Y289" s="81"/>
      <c r="Z289" s="81"/>
      <c r="AA289" s="81"/>
      <c r="AB289" s="81"/>
      <c r="AC289" s="81"/>
      <c r="AD289" s="81"/>
      <c r="AE289" s="81"/>
      <c r="AF289" s="81"/>
      <c r="AG289" s="81"/>
      <c r="AH289" s="81">
        <f t="shared" si="837"/>
        <v>0</v>
      </c>
      <c r="AI289" s="81">
        <f t="shared" si="838"/>
        <v>0</v>
      </c>
      <c r="AJ289" s="81"/>
      <c r="AK289" s="81"/>
      <c r="AL289" s="81"/>
      <c r="AM289" s="81"/>
      <c r="AN289" s="81"/>
      <c r="AO289" s="81"/>
      <c r="AP289" s="81"/>
      <c r="AQ289" s="81"/>
      <c r="AR289" s="81"/>
      <c r="AS289" s="81"/>
      <c r="AT289" s="81"/>
      <c r="AU289" s="98">
        <f t="shared" si="839"/>
        <v>0</v>
      </c>
      <c r="AV289" s="98">
        <f t="shared" si="840"/>
        <v>0</v>
      </c>
      <c r="AW289" s="98"/>
      <c r="AX289" s="98"/>
      <c r="AY289" s="98"/>
      <c r="AZ289" s="98"/>
      <c r="BA289" s="98"/>
      <c r="BB289" s="98"/>
      <c r="BC289" s="98"/>
      <c r="BD289" s="98"/>
      <c r="BE289" s="98"/>
      <c r="BF289" s="98"/>
      <c r="BG289" s="98"/>
      <c r="BH289" s="98"/>
      <c r="BI289" s="81">
        <f t="shared" si="841"/>
        <v>0</v>
      </c>
      <c r="BJ289" s="98">
        <f t="shared" si="844"/>
        <v>0</v>
      </c>
      <c r="BK289" s="98"/>
      <c r="BL289" s="98"/>
      <c r="BM289" s="98"/>
      <c r="BN289" s="98"/>
      <c r="BO289" s="98"/>
      <c r="BP289" s="81"/>
      <c r="BQ289" s="81">
        <f t="shared" si="842"/>
        <v>0</v>
      </c>
      <c r="BR289" s="81">
        <f t="shared" si="843"/>
        <v>0</v>
      </c>
      <c r="BS289" s="98"/>
      <c r="BT289" s="98"/>
      <c r="BU289" s="98"/>
      <c r="BV289" s="98"/>
      <c r="BW289" s="98"/>
      <c r="BX289" s="98"/>
      <c r="BY289" s="98"/>
      <c r="BZ289" s="98"/>
      <c r="CA289" s="98"/>
      <c r="CB289" s="98"/>
      <c r="CC289" s="98"/>
      <c r="CD289" s="98"/>
      <c r="CE289" s="82"/>
      <c r="CF289" s="85"/>
    </row>
    <row r="290" spans="1:84" s="194" customFormat="1" hidden="1" outlineLevel="1" x14ac:dyDescent="0.2">
      <c r="A290" s="137"/>
      <c r="B290" s="421" t="s">
        <v>588</v>
      </c>
      <c r="C290" s="420"/>
      <c r="D290" s="80">
        <f t="shared" si="833"/>
        <v>0</v>
      </c>
      <c r="E290" s="295">
        <f t="shared" si="834"/>
        <v>0</v>
      </c>
      <c r="F290" s="81"/>
      <c r="G290" s="81">
        <f t="shared" si="835"/>
        <v>0</v>
      </c>
      <c r="H290" s="81">
        <f t="shared" si="836"/>
        <v>0</v>
      </c>
      <c r="I290" s="81"/>
      <c r="J290" s="81"/>
      <c r="K290" s="81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1"/>
      <c r="X290" s="81"/>
      <c r="Y290" s="81"/>
      <c r="Z290" s="81"/>
      <c r="AA290" s="81"/>
      <c r="AB290" s="81"/>
      <c r="AC290" s="81"/>
      <c r="AD290" s="81"/>
      <c r="AE290" s="81"/>
      <c r="AF290" s="81"/>
      <c r="AG290" s="81"/>
      <c r="AH290" s="81">
        <f t="shared" si="837"/>
        <v>0</v>
      </c>
      <c r="AI290" s="81">
        <f t="shared" si="838"/>
        <v>0</v>
      </c>
      <c r="AJ290" s="81"/>
      <c r="AK290" s="81"/>
      <c r="AL290" s="81"/>
      <c r="AM290" s="81"/>
      <c r="AN290" s="81"/>
      <c r="AO290" s="81"/>
      <c r="AP290" s="81"/>
      <c r="AQ290" s="81"/>
      <c r="AR290" s="81"/>
      <c r="AS290" s="81"/>
      <c r="AT290" s="81"/>
      <c r="AU290" s="98">
        <f t="shared" si="839"/>
        <v>0</v>
      </c>
      <c r="AV290" s="98">
        <f t="shared" si="840"/>
        <v>0</v>
      </c>
      <c r="AW290" s="98"/>
      <c r="AX290" s="98"/>
      <c r="AY290" s="98"/>
      <c r="AZ290" s="98"/>
      <c r="BA290" s="98"/>
      <c r="BB290" s="98"/>
      <c r="BC290" s="98"/>
      <c r="BD290" s="98"/>
      <c r="BE290" s="98"/>
      <c r="BF290" s="98"/>
      <c r="BG290" s="98"/>
      <c r="BH290" s="98"/>
      <c r="BI290" s="81">
        <f t="shared" si="841"/>
        <v>0</v>
      </c>
      <c r="BJ290" s="98">
        <f t="shared" si="844"/>
        <v>0</v>
      </c>
      <c r="BK290" s="98"/>
      <c r="BL290" s="98"/>
      <c r="BM290" s="98"/>
      <c r="BN290" s="98"/>
      <c r="BO290" s="98"/>
      <c r="BP290" s="81"/>
      <c r="BQ290" s="81">
        <f t="shared" si="842"/>
        <v>0</v>
      </c>
      <c r="BR290" s="81">
        <f t="shared" si="843"/>
        <v>0</v>
      </c>
      <c r="BS290" s="98"/>
      <c r="BT290" s="98"/>
      <c r="BU290" s="98"/>
      <c r="BV290" s="98"/>
      <c r="BW290" s="98"/>
      <c r="BX290" s="98"/>
      <c r="BY290" s="98"/>
      <c r="BZ290" s="98"/>
      <c r="CA290" s="98"/>
      <c r="CB290" s="98"/>
      <c r="CC290" s="98"/>
      <c r="CD290" s="98"/>
      <c r="CE290" s="82"/>
      <c r="CF290" s="85"/>
    </row>
    <row r="291" spans="1:84" s="194" customFormat="1" hidden="1" outlineLevel="1" x14ac:dyDescent="0.2">
      <c r="A291" s="137"/>
      <c r="B291" s="421" t="s">
        <v>589</v>
      </c>
      <c r="C291" s="420"/>
      <c r="D291" s="80">
        <f t="shared" si="833"/>
        <v>0</v>
      </c>
      <c r="E291" s="295">
        <f t="shared" si="834"/>
        <v>0</v>
      </c>
      <c r="F291" s="81"/>
      <c r="G291" s="81">
        <f t="shared" si="835"/>
        <v>0</v>
      </c>
      <c r="H291" s="81">
        <f t="shared" si="836"/>
        <v>0</v>
      </c>
      <c r="I291" s="81"/>
      <c r="J291" s="81"/>
      <c r="K291" s="81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1"/>
      <c r="X291" s="81"/>
      <c r="Y291" s="81"/>
      <c r="Z291" s="81"/>
      <c r="AA291" s="81"/>
      <c r="AB291" s="81"/>
      <c r="AC291" s="81"/>
      <c r="AD291" s="81"/>
      <c r="AE291" s="81"/>
      <c r="AF291" s="81"/>
      <c r="AG291" s="81"/>
      <c r="AH291" s="81">
        <f t="shared" si="837"/>
        <v>0</v>
      </c>
      <c r="AI291" s="81">
        <f t="shared" si="838"/>
        <v>0</v>
      </c>
      <c r="AJ291" s="81"/>
      <c r="AK291" s="81"/>
      <c r="AL291" s="81"/>
      <c r="AM291" s="81"/>
      <c r="AN291" s="81"/>
      <c r="AO291" s="81"/>
      <c r="AP291" s="81"/>
      <c r="AQ291" s="81"/>
      <c r="AR291" s="81"/>
      <c r="AS291" s="81"/>
      <c r="AT291" s="81"/>
      <c r="AU291" s="98">
        <f t="shared" si="839"/>
        <v>0</v>
      </c>
      <c r="AV291" s="98">
        <f t="shared" si="840"/>
        <v>0</v>
      </c>
      <c r="AW291" s="98"/>
      <c r="AX291" s="98"/>
      <c r="AY291" s="98"/>
      <c r="AZ291" s="98"/>
      <c r="BA291" s="98"/>
      <c r="BB291" s="98"/>
      <c r="BC291" s="98"/>
      <c r="BD291" s="98"/>
      <c r="BE291" s="98"/>
      <c r="BF291" s="98"/>
      <c r="BG291" s="98"/>
      <c r="BH291" s="98"/>
      <c r="BI291" s="81">
        <f t="shared" si="841"/>
        <v>0</v>
      </c>
      <c r="BJ291" s="98">
        <f t="shared" si="844"/>
        <v>0</v>
      </c>
      <c r="BK291" s="98"/>
      <c r="BL291" s="98"/>
      <c r="BM291" s="98"/>
      <c r="BN291" s="98"/>
      <c r="BO291" s="98"/>
      <c r="BP291" s="81"/>
      <c r="BQ291" s="81">
        <f t="shared" si="842"/>
        <v>0</v>
      </c>
      <c r="BR291" s="81">
        <f t="shared" si="843"/>
        <v>0</v>
      </c>
      <c r="BS291" s="98"/>
      <c r="BT291" s="98"/>
      <c r="BU291" s="98"/>
      <c r="BV291" s="98"/>
      <c r="BW291" s="98"/>
      <c r="BX291" s="98"/>
      <c r="BY291" s="98"/>
      <c r="BZ291" s="98"/>
      <c r="CA291" s="98"/>
      <c r="CB291" s="98"/>
      <c r="CC291" s="98"/>
      <c r="CD291" s="98"/>
      <c r="CE291" s="82"/>
      <c r="CF291" s="85"/>
    </row>
    <row r="292" spans="1:84" s="198" customFormat="1" ht="12.75" hidden="1" customHeight="1" outlineLevel="1" x14ac:dyDescent="0.2">
      <c r="A292" s="137"/>
      <c r="B292" s="419" t="s">
        <v>816</v>
      </c>
      <c r="C292" s="420"/>
      <c r="D292" s="80">
        <f t="shared" ref="D292" si="868">F292+AG292+AT292+BH292+BP292</f>
        <v>0</v>
      </c>
      <c r="E292" s="295">
        <f t="shared" ref="E292" si="869">G292+AH292+AU292+BI292+BQ292</f>
        <v>137371</v>
      </c>
      <c r="F292" s="81"/>
      <c r="G292" s="81">
        <f t="shared" ref="G292" si="870">F292+H292</f>
        <v>137371</v>
      </c>
      <c r="H292" s="81">
        <f t="shared" ref="H292" si="871">SUM(I292:AF292)</f>
        <v>137371</v>
      </c>
      <c r="I292" s="81"/>
      <c r="J292" s="81"/>
      <c r="K292" s="81">
        <f>6726+132-132</f>
        <v>6726</v>
      </c>
      <c r="L292" s="81"/>
      <c r="M292" s="81"/>
      <c r="N292" s="81"/>
      <c r="O292" s="81"/>
      <c r="P292" s="81"/>
      <c r="Q292" s="81">
        <v>180983</v>
      </c>
      <c r="R292" s="81"/>
      <c r="S292" s="81">
        <v>-50338</v>
      </c>
      <c r="T292" s="81"/>
      <c r="U292" s="81"/>
      <c r="V292" s="81"/>
      <c r="W292" s="81"/>
      <c r="X292" s="81"/>
      <c r="Y292" s="81"/>
      <c r="Z292" s="81"/>
      <c r="AA292" s="81"/>
      <c r="AB292" s="81"/>
      <c r="AC292" s="81"/>
      <c r="AD292" s="81"/>
      <c r="AE292" s="81"/>
      <c r="AF292" s="81"/>
      <c r="AG292" s="81"/>
      <c r="AH292" s="81">
        <f t="shared" si="837"/>
        <v>0</v>
      </c>
      <c r="AI292" s="81">
        <f t="shared" si="838"/>
        <v>0</v>
      </c>
      <c r="AJ292" s="81"/>
      <c r="AK292" s="81"/>
      <c r="AL292" s="81"/>
      <c r="AM292" s="81"/>
      <c r="AN292" s="81"/>
      <c r="AO292" s="81"/>
      <c r="AP292" s="81"/>
      <c r="AQ292" s="81"/>
      <c r="AR292" s="81"/>
      <c r="AS292" s="81"/>
      <c r="AT292" s="81"/>
      <c r="AU292" s="98">
        <f t="shared" si="839"/>
        <v>0</v>
      </c>
      <c r="AV292" s="98">
        <f t="shared" si="840"/>
        <v>0</v>
      </c>
      <c r="AW292" s="98"/>
      <c r="AX292" s="98"/>
      <c r="AY292" s="98"/>
      <c r="AZ292" s="98"/>
      <c r="BA292" s="98"/>
      <c r="BB292" s="98"/>
      <c r="BC292" s="98"/>
      <c r="BD292" s="98"/>
      <c r="BE292" s="98"/>
      <c r="BF292" s="98"/>
      <c r="BG292" s="98"/>
      <c r="BH292" s="98"/>
      <c r="BI292" s="81">
        <f t="shared" si="841"/>
        <v>0</v>
      </c>
      <c r="BJ292" s="98">
        <f t="shared" si="844"/>
        <v>0</v>
      </c>
      <c r="BK292" s="98"/>
      <c r="BL292" s="98"/>
      <c r="BM292" s="98"/>
      <c r="BN292" s="98"/>
      <c r="BO292" s="98"/>
      <c r="BP292" s="81"/>
      <c r="BQ292" s="81">
        <f t="shared" si="842"/>
        <v>0</v>
      </c>
      <c r="BR292" s="81">
        <f t="shared" si="843"/>
        <v>0</v>
      </c>
      <c r="BS292" s="98"/>
      <c r="BT292" s="98"/>
      <c r="BU292" s="98"/>
      <c r="BV292" s="98"/>
      <c r="BW292" s="98"/>
      <c r="BX292" s="98"/>
      <c r="BY292" s="98"/>
      <c r="BZ292" s="98"/>
      <c r="CA292" s="98"/>
      <c r="CB292" s="98"/>
      <c r="CC292" s="98"/>
      <c r="CD292" s="98"/>
      <c r="CE292" s="82"/>
      <c r="CF292" s="85"/>
    </row>
    <row r="293" spans="1:84" s="194" customFormat="1" hidden="1" outlineLevel="1" x14ac:dyDescent="0.2">
      <c r="A293" s="137"/>
      <c r="B293" s="421" t="s">
        <v>590</v>
      </c>
      <c r="C293" s="420"/>
      <c r="D293" s="80">
        <f t="shared" si="833"/>
        <v>0</v>
      </c>
      <c r="E293" s="295">
        <f t="shared" si="834"/>
        <v>0</v>
      </c>
      <c r="F293" s="81"/>
      <c r="G293" s="81">
        <f t="shared" si="835"/>
        <v>0</v>
      </c>
      <c r="H293" s="81">
        <f t="shared" si="836"/>
        <v>0</v>
      </c>
      <c r="I293" s="81"/>
      <c r="J293" s="81"/>
      <c r="K293" s="81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1"/>
      <c r="X293" s="81"/>
      <c r="Y293" s="81"/>
      <c r="Z293" s="81"/>
      <c r="AA293" s="81"/>
      <c r="AB293" s="81"/>
      <c r="AC293" s="81"/>
      <c r="AD293" s="81"/>
      <c r="AE293" s="81"/>
      <c r="AF293" s="81"/>
      <c r="AG293" s="81"/>
      <c r="AH293" s="81">
        <f t="shared" si="837"/>
        <v>0</v>
      </c>
      <c r="AI293" s="81">
        <f t="shared" si="838"/>
        <v>0</v>
      </c>
      <c r="AJ293" s="81"/>
      <c r="AK293" s="81"/>
      <c r="AL293" s="81"/>
      <c r="AM293" s="81"/>
      <c r="AN293" s="81"/>
      <c r="AO293" s="81"/>
      <c r="AP293" s="81"/>
      <c r="AQ293" s="81"/>
      <c r="AR293" s="81"/>
      <c r="AS293" s="81"/>
      <c r="AT293" s="81"/>
      <c r="AU293" s="98">
        <f t="shared" si="839"/>
        <v>0</v>
      </c>
      <c r="AV293" s="98">
        <f t="shared" si="840"/>
        <v>0</v>
      </c>
      <c r="AW293" s="98"/>
      <c r="AX293" s="98"/>
      <c r="AY293" s="98"/>
      <c r="AZ293" s="98"/>
      <c r="BA293" s="98"/>
      <c r="BB293" s="98"/>
      <c r="BC293" s="98"/>
      <c r="BD293" s="98"/>
      <c r="BE293" s="98"/>
      <c r="BF293" s="98"/>
      <c r="BG293" s="98"/>
      <c r="BH293" s="98"/>
      <c r="BI293" s="81">
        <f t="shared" si="841"/>
        <v>0</v>
      </c>
      <c r="BJ293" s="98">
        <f t="shared" si="844"/>
        <v>0</v>
      </c>
      <c r="BK293" s="98"/>
      <c r="BL293" s="98"/>
      <c r="BM293" s="98"/>
      <c r="BN293" s="98"/>
      <c r="BO293" s="98"/>
      <c r="BP293" s="81"/>
      <c r="BQ293" s="81">
        <f t="shared" si="842"/>
        <v>0</v>
      </c>
      <c r="BR293" s="81">
        <f t="shared" si="843"/>
        <v>0</v>
      </c>
      <c r="BS293" s="98"/>
      <c r="BT293" s="98"/>
      <c r="BU293" s="98"/>
      <c r="BV293" s="98"/>
      <c r="BW293" s="98"/>
      <c r="BX293" s="98"/>
      <c r="BY293" s="98"/>
      <c r="BZ293" s="98"/>
      <c r="CA293" s="98"/>
      <c r="CB293" s="98"/>
      <c r="CC293" s="98"/>
      <c r="CD293" s="98"/>
      <c r="CE293" s="82"/>
      <c r="CF293" s="85"/>
    </row>
    <row r="294" spans="1:84" s="194" customFormat="1" hidden="1" outlineLevel="1" x14ac:dyDescent="0.2">
      <c r="A294" s="137"/>
      <c r="B294" s="421" t="s">
        <v>491</v>
      </c>
      <c r="C294" s="420"/>
      <c r="D294" s="80">
        <f t="shared" si="833"/>
        <v>0</v>
      </c>
      <c r="E294" s="295">
        <f t="shared" si="834"/>
        <v>0</v>
      </c>
      <c r="F294" s="81"/>
      <c r="G294" s="81">
        <f t="shared" si="835"/>
        <v>0</v>
      </c>
      <c r="H294" s="81">
        <f t="shared" si="836"/>
        <v>0</v>
      </c>
      <c r="I294" s="81"/>
      <c r="J294" s="81"/>
      <c r="K294" s="81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1"/>
      <c r="X294" s="81"/>
      <c r="Y294" s="81"/>
      <c r="Z294" s="81"/>
      <c r="AA294" s="81"/>
      <c r="AB294" s="81"/>
      <c r="AC294" s="81"/>
      <c r="AD294" s="81"/>
      <c r="AE294" s="81"/>
      <c r="AF294" s="81"/>
      <c r="AG294" s="81"/>
      <c r="AH294" s="81">
        <f t="shared" si="837"/>
        <v>0</v>
      </c>
      <c r="AI294" s="81">
        <f t="shared" si="838"/>
        <v>0</v>
      </c>
      <c r="AJ294" s="81"/>
      <c r="AK294" s="81"/>
      <c r="AL294" s="81"/>
      <c r="AM294" s="81"/>
      <c r="AN294" s="81"/>
      <c r="AO294" s="81"/>
      <c r="AP294" s="81"/>
      <c r="AQ294" s="81"/>
      <c r="AR294" s="81"/>
      <c r="AS294" s="81"/>
      <c r="AT294" s="81"/>
      <c r="AU294" s="98">
        <f t="shared" si="839"/>
        <v>0</v>
      </c>
      <c r="AV294" s="98">
        <f t="shared" si="840"/>
        <v>0</v>
      </c>
      <c r="AW294" s="98"/>
      <c r="AX294" s="98"/>
      <c r="AY294" s="98"/>
      <c r="AZ294" s="98"/>
      <c r="BA294" s="98"/>
      <c r="BB294" s="98"/>
      <c r="BC294" s="98"/>
      <c r="BD294" s="98"/>
      <c r="BE294" s="98"/>
      <c r="BF294" s="98"/>
      <c r="BG294" s="98"/>
      <c r="BH294" s="98"/>
      <c r="BI294" s="81">
        <f t="shared" si="841"/>
        <v>0</v>
      </c>
      <c r="BJ294" s="98">
        <f t="shared" si="844"/>
        <v>0</v>
      </c>
      <c r="BK294" s="98"/>
      <c r="BL294" s="98"/>
      <c r="BM294" s="98"/>
      <c r="BN294" s="98"/>
      <c r="BO294" s="98"/>
      <c r="BP294" s="81"/>
      <c r="BQ294" s="81">
        <f t="shared" si="842"/>
        <v>0</v>
      </c>
      <c r="BR294" s="81">
        <f t="shared" si="843"/>
        <v>0</v>
      </c>
      <c r="BS294" s="98"/>
      <c r="BT294" s="98"/>
      <c r="BU294" s="98"/>
      <c r="BV294" s="98"/>
      <c r="BW294" s="98"/>
      <c r="BX294" s="98"/>
      <c r="BY294" s="98"/>
      <c r="BZ294" s="98"/>
      <c r="CA294" s="98"/>
      <c r="CB294" s="98"/>
      <c r="CC294" s="98"/>
      <c r="CD294" s="98"/>
      <c r="CE294" s="82"/>
      <c r="CF294" s="85"/>
    </row>
    <row r="295" spans="1:84" s="194" customFormat="1" hidden="1" outlineLevel="1" x14ac:dyDescent="0.2">
      <c r="A295" s="137"/>
      <c r="B295" s="421" t="s">
        <v>591</v>
      </c>
      <c r="C295" s="420"/>
      <c r="D295" s="80">
        <f t="shared" si="833"/>
        <v>0</v>
      </c>
      <c r="E295" s="295">
        <f t="shared" si="834"/>
        <v>0</v>
      </c>
      <c r="F295" s="81"/>
      <c r="G295" s="81">
        <f t="shared" si="835"/>
        <v>0</v>
      </c>
      <c r="H295" s="81">
        <f t="shared" si="836"/>
        <v>0</v>
      </c>
      <c r="I295" s="81"/>
      <c r="J295" s="81"/>
      <c r="K295" s="81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1"/>
      <c r="X295" s="81"/>
      <c r="Y295" s="81"/>
      <c r="Z295" s="81"/>
      <c r="AA295" s="81"/>
      <c r="AB295" s="81"/>
      <c r="AC295" s="81"/>
      <c r="AD295" s="81"/>
      <c r="AE295" s="81"/>
      <c r="AF295" s="81"/>
      <c r="AG295" s="81"/>
      <c r="AH295" s="81">
        <f t="shared" si="837"/>
        <v>0</v>
      </c>
      <c r="AI295" s="81">
        <f t="shared" si="838"/>
        <v>0</v>
      </c>
      <c r="AJ295" s="81"/>
      <c r="AK295" s="81"/>
      <c r="AL295" s="81"/>
      <c r="AM295" s="81">
        <f>93059-93059</f>
        <v>0</v>
      </c>
      <c r="AN295" s="81"/>
      <c r="AO295" s="81"/>
      <c r="AP295" s="81"/>
      <c r="AQ295" s="81"/>
      <c r="AR295" s="81"/>
      <c r="AS295" s="81"/>
      <c r="AT295" s="81"/>
      <c r="AU295" s="98">
        <f t="shared" si="839"/>
        <v>0</v>
      </c>
      <c r="AV295" s="98">
        <f t="shared" si="840"/>
        <v>0</v>
      </c>
      <c r="AW295" s="98"/>
      <c r="AX295" s="98"/>
      <c r="AY295" s="98"/>
      <c r="AZ295" s="98"/>
      <c r="BA295" s="98"/>
      <c r="BB295" s="98"/>
      <c r="BC295" s="98"/>
      <c r="BD295" s="98"/>
      <c r="BE295" s="98"/>
      <c r="BF295" s="98"/>
      <c r="BG295" s="98"/>
      <c r="BH295" s="98"/>
      <c r="BI295" s="81">
        <f t="shared" si="841"/>
        <v>0</v>
      </c>
      <c r="BJ295" s="98">
        <f t="shared" si="844"/>
        <v>0</v>
      </c>
      <c r="BK295" s="98"/>
      <c r="BL295" s="98"/>
      <c r="BM295" s="98"/>
      <c r="BN295" s="98"/>
      <c r="BO295" s="98"/>
      <c r="BP295" s="81"/>
      <c r="BQ295" s="81">
        <f t="shared" si="842"/>
        <v>0</v>
      </c>
      <c r="BR295" s="81">
        <f t="shared" si="843"/>
        <v>0</v>
      </c>
      <c r="BS295" s="98"/>
      <c r="BT295" s="98"/>
      <c r="BU295" s="98"/>
      <c r="BV295" s="98"/>
      <c r="BW295" s="98"/>
      <c r="BX295" s="98"/>
      <c r="BY295" s="98"/>
      <c r="BZ295" s="98"/>
      <c r="CA295" s="98"/>
      <c r="CB295" s="98"/>
      <c r="CC295" s="98"/>
      <c r="CD295" s="98"/>
      <c r="CE295" s="82"/>
      <c r="CF295" s="85"/>
    </row>
    <row r="296" spans="1:84" s="194" customFormat="1" hidden="1" outlineLevel="1" x14ac:dyDescent="0.2">
      <c r="A296" s="137"/>
      <c r="B296" s="421" t="s">
        <v>147</v>
      </c>
      <c r="C296" s="420"/>
      <c r="D296" s="80">
        <f t="shared" si="833"/>
        <v>0</v>
      </c>
      <c r="E296" s="295">
        <f t="shared" si="834"/>
        <v>0</v>
      </c>
      <c r="F296" s="81"/>
      <c r="G296" s="81">
        <f t="shared" si="835"/>
        <v>0</v>
      </c>
      <c r="H296" s="81">
        <f t="shared" si="836"/>
        <v>0</v>
      </c>
      <c r="I296" s="81"/>
      <c r="J296" s="81"/>
      <c r="K296" s="81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1"/>
      <c r="X296" s="81"/>
      <c r="Y296" s="81"/>
      <c r="Z296" s="81"/>
      <c r="AA296" s="81"/>
      <c r="AB296" s="81"/>
      <c r="AC296" s="81"/>
      <c r="AD296" s="81"/>
      <c r="AE296" s="81"/>
      <c r="AF296" s="81"/>
      <c r="AG296" s="81"/>
      <c r="AH296" s="81">
        <f t="shared" si="837"/>
        <v>0</v>
      </c>
      <c r="AI296" s="81">
        <f t="shared" si="838"/>
        <v>0</v>
      </c>
      <c r="AJ296" s="81"/>
      <c r="AK296" s="81"/>
      <c r="AL296" s="81"/>
      <c r="AM296" s="81"/>
      <c r="AN296" s="81"/>
      <c r="AO296" s="81"/>
      <c r="AP296" s="81"/>
      <c r="AQ296" s="81"/>
      <c r="AR296" s="81"/>
      <c r="AS296" s="81"/>
      <c r="AT296" s="81"/>
      <c r="AU296" s="98">
        <f t="shared" si="839"/>
        <v>0</v>
      </c>
      <c r="AV296" s="98">
        <f t="shared" si="840"/>
        <v>0</v>
      </c>
      <c r="AW296" s="98"/>
      <c r="AX296" s="98"/>
      <c r="AY296" s="98"/>
      <c r="AZ296" s="98"/>
      <c r="BA296" s="98"/>
      <c r="BB296" s="98"/>
      <c r="BC296" s="98"/>
      <c r="BD296" s="98"/>
      <c r="BE296" s="98"/>
      <c r="BF296" s="98"/>
      <c r="BG296" s="98"/>
      <c r="BH296" s="98"/>
      <c r="BI296" s="81">
        <f t="shared" si="841"/>
        <v>0</v>
      </c>
      <c r="BJ296" s="98">
        <f t="shared" si="844"/>
        <v>0</v>
      </c>
      <c r="BK296" s="98"/>
      <c r="BL296" s="98"/>
      <c r="BM296" s="98"/>
      <c r="BN296" s="98"/>
      <c r="BO296" s="98"/>
      <c r="BP296" s="81"/>
      <c r="BQ296" s="81">
        <f t="shared" si="842"/>
        <v>0</v>
      </c>
      <c r="BR296" s="81">
        <f t="shared" si="843"/>
        <v>0</v>
      </c>
      <c r="BS296" s="98"/>
      <c r="BT296" s="98"/>
      <c r="BU296" s="98"/>
      <c r="BV296" s="98"/>
      <c r="BW296" s="98"/>
      <c r="BX296" s="98"/>
      <c r="BY296" s="98"/>
      <c r="BZ296" s="98"/>
      <c r="CA296" s="98"/>
      <c r="CB296" s="98"/>
      <c r="CC296" s="98"/>
      <c r="CD296" s="98"/>
      <c r="CE296" s="82"/>
      <c r="CF296" s="85"/>
    </row>
    <row r="297" spans="1:84" s="194" customFormat="1" hidden="1" outlineLevel="1" x14ac:dyDescent="0.2">
      <c r="A297" s="137"/>
      <c r="B297" s="421" t="s">
        <v>143</v>
      </c>
      <c r="C297" s="420"/>
      <c r="D297" s="80">
        <f t="shared" si="833"/>
        <v>0</v>
      </c>
      <c r="E297" s="295">
        <f t="shared" si="834"/>
        <v>0</v>
      </c>
      <c r="F297" s="81"/>
      <c r="G297" s="81">
        <f t="shared" si="835"/>
        <v>0</v>
      </c>
      <c r="H297" s="81">
        <f t="shared" si="836"/>
        <v>0</v>
      </c>
      <c r="I297" s="81"/>
      <c r="J297" s="81"/>
      <c r="K297" s="81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1"/>
      <c r="X297" s="81"/>
      <c r="Y297" s="81"/>
      <c r="Z297" s="81"/>
      <c r="AA297" s="81"/>
      <c r="AB297" s="81"/>
      <c r="AC297" s="81"/>
      <c r="AD297" s="81"/>
      <c r="AE297" s="81"/>
      <c r="AF297" s="81"/>
      <c r="AG297" s="81"/>
      <c r="AH297" s="81">
        <f t="shared" si="837"/>
        <v>0</v>
      </c>
      <c r="AI297" s="81">
        <f t="shared" si="838"/>
        <v>0</v>
      </c>
      <c r="AJ297" s="81"/>
      <c r="AK297" s="81"/>
      <c r="AL297" s="81"/>
      <c r="AM297" s="81"/>
      <c r="AN297" s="81"/>
      <c r="AO297" s="81"/>
      <c r="AP297" s="81"/>
      <c r="AQ297" s="81"/>
      <c r="AR297" s="81"/>
      <c r="AS297" s="81"/>
      <c r="AT297" s="81"/>
      <c r="AU297" s="98">
        <f t="shared" si="839"/>
        <v>0</v>
      </c>
      <c r="AV297" s="98">
        <f t="shared" si="840"/>
        <v>0</v>
      </c>
      <c r="AW297" s="98"/>
      <c r="AX297" s="98"/>
      <c r="AY297" s="98"/>
      <c r="AZ297" s="98"/>
      <c r="BA297" s="98"/>
      <c r="BB297" s="98"/>
      <c r="BC297" s="98"/>
      <c r="BD297" s="98"/>
      <c r="BE297" s="98"/>
      <c r="BF297" s="98"/>
      <c r="BG297" s="98"/>
      <c r="BH297" s="98"/>
      <c r="BI297" s="81">
        <f t="shared" si="841"/>
        <v>0</v>
      </c>
      <c r="BJ297" s="98">
        <f t="shared" si="844"/>
        <v>0</v>
      </c>
      <c r="BK297" s="98"/>
      <c r="BL297" s="98"/>
      <c r="BM297" s="98"/>
      <c r="BN297" s="98"/>
      <c r="BO297" s="98"/>
      <c r="BP297" s="81"/>
      <c r="BQ297" s="81">
        <f t="shared" si="842"/>
        <v>0</v>
      </c>
      <c r="BR297" s="81">
        <f t="shared" si="843"/>
        <v>0</v>
      </c>
      <c r="BS297" s="98"/>
      <c r="BT297" s="98"/>
      <c r="BU297" s="98"/>
      <c r="BV297" s="98"/>
      <c r="BW297" s="98"/>
      <c r="BX297" s="98"/>
      <c r="BY297" s="98"/>
      <c r="BZ297" s="98"/>
      <c r="CA297" s="98"/>
      <c r="CB297" s="98"/>
      <c r="CC297" s="98"/>
      <c r="CD297" s="98"/>
      <c r="CE297" s="82"/>
      <c r="CF297" s="85"/>
    </row>
    <row r="298" spans="1:84" s="194" customFormat="1" hidden="1" outlineLevel="1" x14ac:dyDescent="0.2">
      <c r="A298" s="137"/>
      <c r="B298" s="421" t="s">
        <v>169</v>
      </c>
      <c r="C298" s="420"/>
      <c r="D298" s="80">
        <f t="shared" si="833"/>
        <v>0</v>
      </c>
      <c r="E298" s="295">
        <f t="shared" si="834"/>
        <v>1669</v>
      </c>
      <c r="F298" s="81"/>
      <c r="G298" s="81">
        <f t="shared" si="835"/>
        <v>1669</v>
      </c>
      <c r="H298" s="81">
        <f t="shared" si="836"/>
        <v>1669</v>
      </c>
      <c r="I298" s="81"/>
      <c r="J298" s="81"/>
      <c r="K298" s="81">
        <v>1669</v>
      </c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1"/>
      <c r="X298" s="81"/>
      <c r="Y298" s="81"/>
      <c r="Z298" s="81"/>
      <c r="AA298" s="81"/>
      <c r="AB298" s="81"/>
      <c r="AC298" s="81"/>
      <c r="AD298" s="81"/>
      <c r="AE298" s="81"/>
      <c r="AF298" s="81"/>
      <c r="AG298" s="81"/>
      <c r="AH298" s="81">
        <f t="shared" si="837"/>
        <v>0</v>
      </c>
      <c r="AI298" s="81">
        <f t="shared" si="838"/>
        <v>0</v>
      </c>
      <c r="AJ298" s="81"/>
      <c r="AK298" s="81"/>
      <c r="AL298" s="81"/>
      <c r="AM298" s="81"/>
      <c r="AN298" s="81"/>
      <c r="AO298" s="81"/>
      <c r="AP298" s="81"/>
      <c r="AQ298" s="81"/>
      <c r="AR298" s="81"/>
      <c r="AS298" s="81"/>
      <c r="AT298" s="81"/>
      <c r="AU298" s="98">
        <f t="shared" si="839"/>
        <v>0</v>
      </c>
      <c r="AV298" s="98">
        <f t="shared" si="840"/>
        <v>0</v>
      </c>
      <c r="AW298" s="98"/>
      <c r="AX298" s="98"/>
      <c r="AY298" s="98"/>
      <c r="AZ298" s="98"/>
      <c r="BA298" s="98"/>
      <c r="BB298" s="98"/>
      <c r="BC298" s="98"/>
      <c r="BD298" s="98"/>
      <c r="BE298" s="98"/>
      <c r="BF298" s="98"/>
      <c r="BG298" s="98"/>
      <c r="BH298" s="98"/>
      <c r="BI298" s="81">
        <f t="shared" si="841"/>
        <v>0</v>
      </c>
      <c r="BJ298" s="98">
        <f t="shared" si="844"/>
        <v>0</v>
      </c>
      <c r="BK298" s="98"/>
      <c r="BL298" s="98"/>
      <c r="BM298" s="98"/>
      <c r="BN298" s="98"/>
      <c r="BO298" s="98"/>
      <c r="BP298" s="81"/>
      <c r="BQ298" s="81">
        <f t="shared" si="842"/>
        <v>0</v>
      </c>
      <c r="BR298" s="81">
        <f t="shared" si="843"/>
        <v>0</v>
      </c>
      <c r="BS298" s="98"/>
      <c r="BT298" s="98"/>
      <c r="BU298" s="98"/>
      <c r="BV298" s="98"/>
      <c r="BW298" s="98"/>
      <c r="BX298" s="98"/>
      <c r="BY298" s="98"/>
      <c r="BZ298" s="98"/>
      <c r="CA298" s="98"/>
      <c r="CB298" s="98"/>
      <c r="CC298" s="98"/>
      <c r="CD298" s="98"/>
      <c r="CE298" s="82"/>
      <c r="CF298" s="85"/>
    </row>
    <row r="299" spans="1:84" s="194" customFormat="1" ht="13.5" hidden="1" outlineLevel="1" thickBot="1" x14ac:dyDescent="0.25">
      <c r="A299" s="137"/>
      <c r="B299" s="413"/>
      <c r="C299" s="414"/>
      <c r="D299" s="139"/>
      <c r="E299" s="299"/>
      <c r="F299" s="170"/>
      <c r="G299" s="170"/>
      <c r="H299" s="170"/>
      <c r="I299" s="170"/>
      <c r="J299" s="170"/>
      <c r="K299" s="170"/>
      <c r="L299" s="170"/>
      <c r="M299" s="170"/>
      <c r="N299" s="170"/>
      <c r="O299" s="170"/>
      <c r="P299" s="170"/>
      <c r="Q299" s="170"/>
      <c r="R299" s="170"/>
      <c r="S299" s="170"/>
      <c r="T299" s="170"/>
      <c r="U299" s="170"/>
      <c r="V299" s="170"/>
      <c r="W299" s="170"/>
      <c r="X299" s="170"/>
      <c r="Y299" s="170"/>
      <c r="Z299" s="170"/>
      <c r="AA299" s="170"/>
      <c r="AB299" s="170"/>
      <c r="AC299" s="170"/>
      <c r="AD299" s="170"/>
      <c r="AE299" s="170"/>
      <c r="AF299" s="170"/>
      <c r="AG299" s="170"/>
      <c r="AH299" s="170"/>
      <c r="AI299" s="170"/>
      <c r="AJ299" s="170"/>
      <c r="AK299" s="170"/>
      <c r="AL299" s="170"/>
      <c r="AM299" s="170"/>
      <c r="AN299" s="170"/>
      <c r="AO299" s="170"/>
      <c r="AP299" s="170"/>
      <c r="AQ299" s="170"/>
      <c r="AR299" s="170"/>
      <c r="AS299" s="170"/>
      <c r="AT299" s="170"/>
      <c r="AU299" s="203">
        <f t="shared" si="839"/>
        <v>0</v>
      </c>
      <c r="AV299" s="203">
        <f t="shared" si="840"/>
        <v>0</v>
      </c>
      <c r="AW299" s="203"/>
      <c r="AX299" s="203"/>
      <c r="AY299" s="203"/>
      <c r="AZ299" s="203"/>
      <c r="BA299" s="203"/>
      <c r="BB299" s="203"/>
      <c r="BC299" s="203"/>
      <c r="BD299" s="203"/>
      <c r="BE299" s="203"/>
      <c r="BF299" s="203"/>
      <c r="BG299" s="203"/>
      <c r="BH299" s="203"/>
      <c r="BI299" s="170"/>
      <c r="BJ299" s="203"/>
      <c r="BK299" s="203"/>
      <c r="BL299" s="203"/>
      <c r="BM299" s="203"/>
      <c r="BN299" s="203"/>
      <c r="BO299" s="203"/>
      <c r="BP299" s="170"/>
      <c r="BQ299" s="311"/>
      <c r="BR299" s="203"/>
      <c r="BS299" s="203"/>
      <c r="BT299" s="203"/>
      <c r="BU299" s="203"/>
      <c r="BV299" s="203"/>
      <c r="BW299" s="203"/>
      <c r="BX299" s="203"/>
      <c r="BY299" s="203"/>
      <c r="BZ299" s="203"/>
      <c r="CA299" s="203"/>
      <c r="CB299" s="203"/>
      <c r="CC299" s="203"/>
      <c r="CD299" s="203"/>
      <c r="CE299" s="204"/>
      <c r="CF299" s="88"/>
    </row>
    <row r="300" spans="1:84" s="194" customFormat="1" ht="13.5" customHeight="1" collapsed="1" thickTop="1" x14ac:dyDescent="0.2">
      <c r="A300" s="224" t="s">
        <v>606</v>
      </c>
      <c r="B300" s="225" t="s">
        <v>607</v>
      </c>
      <c r="C300" s="328"/>
      <c r="D300" s="226">
        <f t="shared" ref="D300:E300" si="872">D301+D303+D308+D312+D316</f>
        <v>5245096</v>
      </c>
      <c r="E300" s="302">
        <f t="shared" si="872"/>
        <v>5283045</v>
      </c>
      <c r="F300" s="227">
        <f t="shared" ref="F300:CD300" si="873">F301+F303+F308+F312+F316</f>
        <v>5010096</v>
      </c>
      <c r="G300" s="227">
        <f t="shared" si="873"/>
        <v>5048045</v>
      </c>
      <c r="H300" s="227">
        <f t="shared" ref="H300" si="874">H301+H303+H308+H312+H316</f>
        <v>37949</v>
      </c>
      <c r="I300" s="227">
        <f t="shared" si="873"/>
        <v>0</v>
      </c>
      <c r="J300" s="227">
        <f t="shared" ref="J300" si="875">J301+J303+J308+J312+J316</f>
        <v>0</v>
      </c>
      <c r="K300" s="227">
        <f t="shared" si="873"/>
        <v>0</v>
      </c>
      <c r="L300" s="227">
        <f t="shared" si="873"/>
        <v>0</v>
      </c>
      <c r="M300" s="227">
        <f t="shared" si="873"/>
        <v>0</v>
      </c>
      <c r="N300" s="227">
        <f t="shared" si="873"/>
        <v>0</v>
      </c>
      <c r="O300" s="227">
        <f t="shared" si="873"/>
        <v>0</v>
      </c>
      <c r="P300" s="227">
        <f t="shared" si="873"/>
        <v>0</v>
      </c>
      <c r="Q300" s="227">
        <f t="shared" si="873"/>
        <v>0</v>
      </c>
      <c r="R300" s="227">
        <f t="shared" si="873"/>
        <v>0</v>
      </c>
      <c r="S300" s="227">
        <f t="shared" si="873"/>
        <v>0</v>
      </c>
      <c r="T300" s="227"/>
      <c r="U300" s="227">
        <f t="shared" si="873"/>
        <v>0</v>
      </c>
      <c r="V300" s="227"/>
      <c r="W300" s="227">
        <f t="shared" si="873"/>
        <v>37949</v>
      </c>
      <c r="X300" s="227">
        <f t="shared" ref="X300" si="876">X301+X303+X308+X312+X316</f>
        <v>0</v>
      </c>
      <c r="Y300" s="227">
        <f t="shared" si="873"/>
        <v>0</v>
      </c>
      <c r="Z300" s="227">
        <f t="shared" ref="Z300:AE300" si="877">Z301+Z303+Z308+Z312+Z316</f>
        <v>0</v>
      </c>
      <c r="AA300" s="227">
        <f t="shared" ref="AA300:AD300" si="878">AA301+AA303+AA308+AA312+AA316</f>
        <v>0</v>
      </c>
      <c r="AB300" s="227">
        <f t="shared" si="878"/>
        <v>0</v>
      </c>
      <c r="AC300" s="227">
        <f t="shared" si="878"/>
        <v>0</v>
      </c>
      <c r="AD300" s="227">
        <f t="shared" si="878"/>
        <v>0</v>
      </c>
      <c r="AE300" s="227">
        <f t="shared" si="877"/>
        <v>0</v>
      </c>
      <c r="AF300" s="227">
        <f t="shared" si="873"/>
        <v>0</v>
      </c>
      <c r="AG300" s="227">
        <f t="shared" si="873"/>
        <v>235000</v>
      </c>
      <c r="AH300" s="227">
        <f t="shared" ref="AH300:AS300" si="879">AH301+AH303+AH308+AH312+AH316</f>
        <v>235000</v>
      </c>
      <c r="AI300" s="227">
        <f t="shared" si="879"/>
        <v>0</v>
      </c>
      <c r="AJ300" s="227">
        <f t="shared" si="879"/>
        <v>0</v>
      </c>
      <c r="AK300" s="227">
        <f t="shared" si="879"/>
        <v>0</v>
      </c>
      <c r="AL300" s="227">
        <f t="shared" si="879"/>
        <v>0</v>
      </c>
      <c r="AM300" s="227">
        <f t="shared" si="879"/>
        <v>0</v>
      </c>
      <c r="AN300" s="227">
        <f t="shared" si="879"/>
        <v>0</v>
      </c>
      <c r="AO300" s="227">
        <f t="shared" si="879"/>
        <v>0</v>
      </c>
      <c r="AP300" s="227">
        <f t="shared" si="879"/>
        <v>0</v>
      </c>
      <c r="AQ300" s="227">
        <f t="shared" si="879"/>
        <v>0</v>
      </c>
      <c r="AR300" s="227">
        <f t="shared" si="879"/>
        <v>0</v>
      </c>
      <c r="AS300" s="227">
        <f t="shared" si="879"/>
        <v>0</v>
      </c>
      <c r="AT300" s="227">
        <f t="shared" si="873"/>
        <v>0</v>
      </c>
      <c r="AU300" s="228">
        <f t="shared" si="873"/>
        <v>0</v>
      </c>
      <c r="AV300" s="228">
        <f t="shared" si="873"/>
        <v>0</v>
      </c>
      <c r="AW300" s="228">
        <f t="shared" si="873"/>
        <v>0</v>
      </c>
      <c r="AX300" s="228">
        <f t="shared" si="873"/>
        <v>0</v>
      </c>
      <c r="AY300" s="228">
        <f t="shared" si="873"/>
        <v>0</v>
      </c>
      <c r="AZ300" s="228">
        <f t="shared" si="873"/>
        <v>0</v>
      </c>
      <c r="BA300" s="228">
        <f t="shared" si="873"/>
        <v>0</v>
      </c>
      <c r="BB300" s="228">
        <f t="shared" si="873"/>
        <v>0</v>
      </c>
      <c r="BC300" s="228">
        <f t="shared" si="873"/>
        <v>0</v>
      </c>
      <c r="BD300" s="228">
        <f t="shared" si="873"/>
        <v>0</v>
      </c>
      <c r="BE300" s="228">
        <f t="shared" si="873"/>
        <v>0</v>
      </c>
      <c r="BF300" s="228">
        <f t="shared" ref="BF300" si="880">BF301+BF303+BF308+BF312+BF316</f>
        <v>0</v>
      </c>
      <c r="BG300" s="228">
        <f t="shared" si="873"/>
        <v>0</v>
      </c>
      <c r="BH300" s="228">
        <f t="shared" si="873"/>
        <v>0</v>
      </c>
      <c r="BI300" s="227">
        <f t="shared" ref="BI300:BO300" si="881">BI301+BI303+BI308+BI312+BI316</f>
        <v>0</v>
      </c>
      <c r="BJ300" s="228">
        <f t="shared" si="881"/>
        <v>0</v>
      </c>
      <c r="BK300" s="228">
        <f t="shared" si="881"/>
        <v>0</v>
      </c>
      <c r="BL300" s="228">
        <f t="shared" si="881"/>
        <v>0</v>
      </c>
      <c r="BM300" s="228">
        <f t="shared" si="881"/>
        <v>0</v>
      </c>
      <c r="BN300" s="228">
        <f t="shared" si="881"/>
        <v>0</v>
      </c>
      <c r="BO300" s="228">
        <f t="shared" si="881"/>
        <v>0</v>
      </c>
      <c r="BP300" s="227">
        <f t="shared" si="873"/>
        <v>0</v>
      </c>
      <c r="BQ300" s="314">
        <f t="shared" si="873"/>
        <v>0</v>
      </c>
      <c r="BR300" s="228">
        <f t="shared" si="873"/>
        <v>0</v>
      </c>
      <c r="BS300" s="228">
        <f t="shared" si="873"/>
        <v>0</v>
      </c>
      <c r="BT300" s="228">
        <f t="shared" si="873"/>
        <v>0</v>
      </c>
      <c r="BU300" s="228">
        <f t="shared" si="873"/>
        <v>0</v>
      </c>
      <c r="BV300" s="228">
        <f t="shared" si="873"/>
        <v>0</v>
      </c>
      <c r="BW300" s="228">
        <f t="shared" si="873"/>
        <v>0</v>
      </c>
      <c r="BX300" s="228">
        <f t="shared" si="873"/>
        <v>0</v>
      </c>
      <c r="BY300" s="228">
        <f t="shared" si="873"/>
        <v>0</v>
      </c>
      <c r="BZ300" s="228">
        <f t="shared" si="873"/>
        <v>0</v>
      </c>
      <c r="CA300" s="228">
        <f t="shared" si="873"/>
        <v>0</v>
      </c>
      <c r="CB300" s="228">
        <f t="shared" ref="CB300:CC300" si="882">CB301+CB303+CB308+CB312+CB316</f>
        <v>0</v>
      </c>
      <c r="CC300" s="228">
        <f t="shared" si="882"/>
        <v>0</v>
      </c>
      <c r="CD300" s="228">
        <f t="shared" si="873"/>
        <v>0</v>
      </c>
      <c r="CE300" s="229"/>
      <c r="CF300" s="230"/>
    </row>
    <row r="301" spans="1:84" s="198" customFormat="1" ht="13.5" customHeight="1" x14ac:dyDescent="0.2">
      <c r="A301" s="237" t="s">
        <v>7</v>
      </c>
      <c r="B301" s="231" t="s">
        <v>8</v>
      </c>
      <c r="C301" s="329"/>
      <c r="D301" s="232">
        <f t="shared" ref="D301:CD301" si="883">SUM(D302:D302)</f>
        <v>808099</v>
      </c>
      <c r="E301" s="303">
        <f t="shared" si="883"/>
        <v>808099</v>
      </c>
      <c r="F301" s="233">
        <f t="shared" si="883"/>
        <v>573099</v>
      </c>
      <c r="G301" s="233">
        <f t="shared" si="883"/>
        <v>573099</v>
      </c>
      <c r="H301" s="233">
        <f t="shared" si="883"/>
        <v>0</v>
      </c>
      <c r="I301" s="233">
        <f t="shared" si="883"/>
        <v>0</v>
      </c>
      <c r="J301" s="233">
        <f t="shared" si="883"/>
        <v>0</v>
      </c>
      <c r="K301" s="233">
        <f t="shared" si="883"/>
        <v>0</v>
      </c>
      <c r="L301" s="233">
        <f t="shared" si="883"/>
        <v>0</v>
      </c>
      <c r="M301" s="233">
        <f t="shared" si="883"/>
        <v>0</v>
      </c>
      <c r="N301" s="233">
        <f t="shared" si="883"/>
        <v>0</v>
      </c>
      <c r="O301" s="233">
        <f t="shared" si="883"/>
        <v>0</v>
      </c>
      <c r="P301" s="233">
        <f t="shared" si="883"/>
        <v>0</v>
      </c>
      <c r="Q301" s="233">
        <f t="shared" si="883"/>
        <v>0</v>
      </c>
      <c r="R301" s="233">
        <f t="shared" si="883"/>
        <v>0</v>
      </c>
      <c r="S301" s="233">
        <f t="shared" si="883"/>
        <v>0</v>
      </c>
      <c r="T301" s="233"/>
      <c r="U301" s="233">
        <f t="shared" si="883"/>
        <v>0</v>
      </c>
      <c r="V301" s="233"/>
      <c r="W301" s="233">
        <f t="shared" si="883"/>
        <v>0</v>
      </c>
      <c r="X301" s="233">
        <f t="shared" si="883"/>
        <v>0</v>
      </c>
      <c r="Y301" s="233">
        <f t="shared" si="883"/>
        <v>0</v>
      </c>
      <c r="Z301" s="233">
        <f t="shared" si="883"/>
        <v>0</v>
      </c>
      <c r="AA301" s="233">
        <f t="shared" si="883"/>
        <v>0</v>
      </c>
      <c r="AB301" s="233">
        <f t="shared" si="883"/>
        <v>0</v>
      </c>
      <c r="AC301" s="233">
        <f t="shared" si="883"/>
        <v>0</v>
      </c>
      <c r="AD301" s="233">
        <f t="shared" si="883"/>
        <v>0</v>
      </c>
      <c r="AE301" s="233">
        <f t="shared" si="883"/>
        <v>0</v>
      </c>
      <c r="AF301" s="233">
        <f t="shared" si="883"/>
        <v>0</v>
      </c>
      <c r="AG301" s="233">
        <f t="shared" si="883"/>
        <v>235000</v>
      </c>
      <c r="AH301" s="233">
        <f t="shared" si="883"/>
        <v>235000</v>
      </c>
      <c r="AI301" s="233">
        <f t="shared" si="883"/>
        <v>0</v>
      </c>
      <c r="AJ301" s="233">
        <f t="shared" si="883"/>
        <v>0</v>
      </c>
      <c r="AK301" s="233">
        <f t="shared" si="883"/>
        <v>0</v>
      </c>
      <c r="AL301" s="233">
        <f t="shared" si="883"/>
        <v>0</v>
      </c>
      <c r="AM301" s="233">
        <f t="shared" si="883"/>
        <v>0</v>
      </c>
      <c r="AN301" s="233">
        <f t="shared" si="883"/>
        <v>0</v>
      </c>
      <c r="AO301" s="233">
        <f t="shared" si="883"/>
        <v>0</v>
      </c>
      <c r="AP301" s="233">
        <f t="shared" si="883"/>
        <v>0</v>
      </c>
      <c r="AQ301" s="233">
        <f t="shared" si="883"/>
        <v>0</v>
      </c>
      <c r="AR301" s="233">
        <f t="shared" si="883"/>
        <v>0</v>
      </c>
      <c r="AS301" s="233">
        <f t="shared" si="883"/>
        <v>0</v>
      </c>
      <c r="AT301" s="233">
        <f t="shared" si="883"/>
        <v>0</v>
      </c>
      <c r="AU301" s="234">
        <f t="shared" si="883"/>
        <v>0</v>
      </c>
      <c r="AV301" s="234">
        <f t="shared" si="883"/>
        <v>0</v>
      </c>
      <c r="AW301" s="234">
        <f t="shared" si="883"/>
        <v>0</v>
      </c>
      <c r="AX301" s="234">
        <f t="shared" si="883"/>
        <v>0</v>
      </c>
      <c r="AY301" s="234">
        <f t="shared" si="883"/>
        <v>0</v>
      </c>
      <c r="AZ301" s="234">
        <f t="shared" si="883"/>
        <v>0</v>
      </c>
      <c r="BA301" s="234">
        <f t="shared" si="883"/>
        <v>0</v>
      </c>
      <c r="BB301" s="234">
        <f t="shared" si="883"/>
        <v>0</v>
      </c>
      <c r="BC301" s="234">
        <f t="shared" si="883"/>
        <v>0</v>
      </c>
      <c r="BD301" s="234">
        <f t="shared" si="883"/>
        <v>0</v>
      </c>
      <c r="BE301" s="234">
        <f t="shared" si="883"/>
        <v>0</v>
      </c>
      <c r="BF301" s="234">
        <f t="shared" si="883"/>
        <v>0</v>
      </c>
      <c r="BG301" s="234">
        <f t="shared" si="883"/>
        <v>0</v>
      </c>
      <c r="BH301" s="234">
        <f t="shared" si="883"/>
        <v>0</v>
      </c>
      <c r="BI301" s="233">
        <f t="shared" si="883"/>
        <v>0</v>
      </c>
      <c r="BJ301" s="234">
        <f t="shared" si="883"/>
        <v>0</v>
      </c>
      <c r="BK301" s="234">
        <f t="shared" si="883"/>
        <v>0</v>
      </c>
      <c r="BL301" s="234">
        <f t="shared" si="883"/>
        <v>0</v>
      </c>
      <c r="BM301" s="234">
        <f t="shared" si="883"/>
        <v>0</v>
      </c>
      <c r="BN301" s="234">
        <f t="shared" si="883"/>
        <v>0</v>
      </c>
      <c r="BO301" s="234">
        <f t="shared" si="883"/>
        <v>0</v>
      </c>
      <c r="BP301" s="233">
        <f t="shared" si="883"/>
        <v>0</v>
      </c>
      <c r="BQ301" s="315">
        <f t="shared" si="883"/>
        <v>0</v>
      </c>
      <c r="BR301" s="234">
        <f t="shared" si="883"/>
        <v>0</v>
      </c>
      <c r="BS301" s="234">
        <f t="shared" si="883"/>
        <v>0</v>
      </c>
      <c r="BT301" s="234">
        <f t="shared" si="883"/>
        <v>0</v>
      </c>
      <c r="BU301" s="234">
        <f t="shared" si="883"/>
        <v>0</v>
      </c>
      <c r="BV301" s="234">
        <f t="shared" si="883"/>
        <v>0</v>
      </c>
      <c r="BW301" s="234">
        <f t="shared" si="883"/>
        <v>0</v>
      </c>
      <c r="BX301" s="234">
        <f t="shared" si="883"/>
        <v>0</v>
      </c>
      <c r="BY301" s="234">
        <f t="shared" si="883"/>
        <v>0</v>
      </c>
      <c r="BZ301" s="234">
        <f t="shared" si="883"/>
        <v>0</v>
      </c>
      <c r="CA301" s="234">
        <f t="shared" si="883"/>
        <v>0</v>
      </c>
      <c r="CB301" s="234">
        <f t="shared" si="883"/>
        <v>0</v>
      </c>
      <c r="CC301" s="234">
        <f t="shared" si="883"/>
        <v>0</v>
      </c>
      <c r="CD301" s="234">
        <f t="shared" si="883"/>
        <v>0</v>
      </c>
      <c r="CE301" s="235"/>
      <c r="CF301" s="236"/>
    </row>
    <row r="302" spans="1:84" s="194" customFormat="1" ht="13.5" customHeight="1" x14ac:dyDescent="0.2">
      <c r="A302" s="108"/>
      <c r="B302" s="426" t="s">
        <v>592</v>
      </c>
      <c r="C302" s="427"/>
      <c r="D302" s="80">
        <f>F302+AG302+AT302+BH302+BP302</f>
        <v>808099</v>
      </c>
      <c r="E302" s="295">
        <f>G302+AH302+AU302+BI302+BQ302</f>
        <v>808099</v>
      </c>
      <c r="F302" s="81">
        <v>573099</v>
      </c>
      <c r="G302" s="81">
        <f>F302+H302</f>
        <v>573099</v>
      </c>
      <c r="H302" s="81">
        <f>SUM(I302:AF302)</f>
        <v>0</v>
      </c>
      <c r="I302" s="81"/>
      <c r="J302" s="81"/>
      <c r="K302" s="81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1"/>
      <c r="X302" s="81"/>
      <c r="Y302" s="81"/>
      <c r="Z302" s="81"/>
      <c r="AA302" s="81"/>
      <c r="AB302" s="81"/>
      <c r="AC302" s="81"/>
      <c r="AD302" s="81"/>
      <c r="AE302" s="81"/>
      <c r="AF302" s="81"/>
      <c r="AG302" s="81">
        <v>235000</v>
      </c>
      <c r="AH302" s="81">
        <f>AG302+AI302</f>
        <v>235000</v>
      </c>
      <c r="AI302" s="81">
        <f>SUM(AJ302:AS302)</f>
        <v>0</v>
      </c>
      <c r="AJ302" s="81"/>
      <c r="AK302" s="81"/>
      <c r="AL302" s="81"/>
      <c r="AM302" s="81"/>
      <c r="AN302" s="81"/>
      <c r="AO302" s="81"/>
      <c r="AP302" s="81"/>
      <c r="AQ302" s="81"/>
      <c r="AR302" s="81"/>
      <c r="AS302" s="81"/>
      <c r="AT302" s="81"/>
      <c r="AU302" s="98">
        <f>AT302+AV302</f>
        <v>0</v>
      </c>
      <c r="AV302" s="98">
        <f>SUM(AW302:BG302)</f>
        <v>0</v>
      </c>
      <c r="AW302" s="98"/>
      <c r="AX302" s="98"/>
      <c r="AY302" s="98"/>
      <c r="AZ302" s="98"/>
      <c r="BA302" s="98"/>
      <c r="BB302" s="98"/>
      <c r="BC302" s="98"/>
      <c r="BD302" s="98"/>
      <c r="BE302" s="98"/>
      <c r="BF302" s="98"/>
      <c r="BG302" s="98"/>
      <c r="BH302" s="98"/>
      <c r="BI302" s="81">
        <f>BH302+BJ302</f>
        <v>0</v>
      </c>
      <c r="BJ302" s="98">
        <f>SUM(BK302:BO302)</f>
        <v>0</v>
      </c>
      <c r="BK302" s="98"/>
      <c r="BL302" s="98"/>
      <c r="BM302" s="98"/>
      <c r="BN302" s="98"/>
      <c r="BO302" s="98"/>
      <c r="BP302" s="81"/>
      <c r="BQ302" s="309">
        <f>BP302+BR302</f>
        <v>0</v>
      </c>
      <c r="BR302" s="98">
        <f>SUM(BS302:CD302)</f>
        <v>0</v>
      </c>
      <c r="BS302" s="98"/>
      <c r="BT302" s="98"/>
      <c r="BU302" s="98"/>
      <c r="BV302" s="98"/>
      <c r="BW302" s="98"/>
      <c r="BX302" s="98"/>
      <c r="BY302" s="98"/>
      <c r="BZ302" s="98"/>
      <c r="CA302" s="98"/>
      <c r="CB302" s="98"/>
      <c r="CC302" s="98"/>
      <c r="CD302" s="98"/>
      <c r="CE302" s="82"/>
      <c r="CF302" s="85"/>
    </row>
    <row r="303" spans="1:84" s="198" customFormat="1" ht="14.25" customHeight="1" x14ac:dyDescent="0.2">
      <c r="A303" s="237" t="s">
        <v>11</v>
      </c>
      <c r="B303" s="231" t="s">
        <v>166</v>
      </c>
      <c r="C303" s="329"/>
      <c r="D303" s="232">
        <f t="shared" ref="D303:E303" si="884">SUM(D304:D307)</f>
        <v>1719081</v>
      </c>
      <c r="E303" s="303">
        <f t="shared" si="884"/>
        <v>1757030</v>
      </c>
      <c r="F303" s="233">
        <f t="shared" ref="F303:CD303" si="885">SUM(F304:F307)</f>
        <v>1719081</v>
      </c>
      <c r="G303" s="233">
        <f t="shared" si="885"/>
        <v>1757030</v>
      </c>
      <c r="H303" s="233">
        <f t="shared" ref="H303" si="886">SUM(H304:H307)</f>
        <v>37949</v>
      </c>
      <c r="I303" s="233">
        <f t="shared" si="885"/>
        <v>0</v>
      </c>
      <c r="J303" s="233">
        <f t="shared" ref="J303" si="887">SUM(J304:J307)</f>
        <v>0</v>
      </c>
      <c r="K303" s="233">
        <f t="shared" si="885"/>
        <v>0</v>
      </c>
      <c r="L303" s="233">
        <f t="shared" si="885"/>
        <v>0</v>
      </c>
      <c r="M303" s="233">
        <f t="shared" si="885"/>
        <v>0</v>
      </c>
      <c r="N303" s="233">
        <f t="shared" si="885"/>
        <v>0</v>
      </c>
      <c r="O303" s="233">
        <f t="shared" si="885"/>
        <v>0</v>
      </c>
      <c r="P303" s="233">
        <f t="shared" si="885"/>
        <v>0</v>
      </c>
      <c r="Q303" s="233">
        <f t="shared" si="885"/>
        <v>0</v>
      </c>
      <c r="R303" s="233">
        <f t="shared" si="885"/>
        <v>0</v>
      </c>
      <c r="S303" s="233">
        <f t="shared" si="885"/>
        <v>0</v>
      </c>
      <c r="T303" s="233"/>
      <c r="U303" s="233">
        <f t="shared" si="885"/>
        <v>0</v>
      </c>
      <c r="V303" s="233"/>
      <c r="W303" s="233">
        <f t="shared" si="885"/>
        <v>37949</v>
      </c>
      <c r="X303" s="233">
        <f t="shared" ref="X303" si="888">SUM(X304:X307)</f>
        <v>0</v>
      </c>
      <c r="Y303" s="233">
        <f t="shared" si="885"/>
        <v>0</v>
      </c>
      <c r="Z303" s="233">
        <f t="shared" ref="Z303:AE303" si="889">SUM(Z304:Z307)</f>
        <v>0</v>
      </c>
      <c r="AA303" s="233">
        <f t="shared" ref="AA303:AD303" si="890">SUM(AA304:AA307)</f>
        <v>0</v>
      </c>
      <c r="AB303" s="233">
        <f t="shared" si="890"/>
        <v>0</v>
      </c>
      <c r="AC303" s="233">
        <f t="shared" si="890"/>
        <v>0</v>
      </c>
      <c r="AD303" s="233">
        <f t="shared" si="890"/>
        <v>0</v>
      </c>
      <c r="AE303" s="233">
        <f t="shared" si="889"/>
        <v>0</v>
      </c>
      <c r="AF303" s="233">
        <f t="shared" si="885"/>
        <v>0</v>
      </c>
      <c r="AG303" s="233">
        <f t="shared" si="885"/>
        <v>0</v>
      </c>
      <c r="AH303" s="233">
        <f t="shared" ref="AH303:AS303" si="891">SUM(AH304:AH307)</f>
        <v>0</v>
      </c>
      <c r="AI303" s="233">
        <f t="shared" si="891"/>
        <v>0</v>
      </c>
      <c r="AJ303" s="233">
        <f t="shared" si="891"/>
        <v>0</v>
      </c>
      <c r="AK303" s="233">
        <f t="shared" si="891"/>
        <v>0</v>
      </c>
      <c r="AL303" s="233">
        <f t="shared" si="891"/>
        <v>0</v>
      </c>
      <c r="AM303" s="233">
        <f t="shared" si="891"/>
        <v>0</v>
      </c>
      <c r="AN303" s="233">
        <f t="shared" si="891"/>
        <v>0</v>
      </c>
      <c r="AO303" s="233">
        <f t="shared" si="891"/>
        <v>0</v>
      </c>
      <c r="AP303" s="233">
        <f t="shared" si="891"/>
        <v>0</v>
      </c>
      <c r="AQ303" s="233">
        <f t="shared" si="891"/>
        <v>0</v>
      </c>
      <c r="AR303" s="233">
        <f t="shared" si="891"/>
        <v>0</v>
      </c>
      <c r="AS303" s="233">
        <f t="shared" si="891"/>
        <v>0</v>
      </c>
      <c r="AT303" s="233">
        <f t="shared" si="885"/>
        <v>0</v>
      </c>
      <c r="AU303" s="234">
        <f t="shared" si="885"/>
        <v>0</v>
      </c>
      <c r="AV303" s="234">
        <f t="shared" si="885"/>
        <v>0</v>
      </c>
      <c r="AW303" s="234">
        <f t="shared" si="885"/>
        <v>0</v>
      </c>
      <c r="AX303" s="234">
        <f t="shared" si="885"/>
        <v>0</v>
      </c>
      <c r="AY303" s="234">
        <f t="shared" si="885"/>
        <v>0</v>
      </c>
      <c r="AZ303" s="234">
        <f t="shared" si="885"/>
        <v>0</v>
      </c>
      <c r="BA303" s="234">
        <f t="shared" si="885"/>
        <v>0</v>
      </c>
      <c r="BB303" s="234">
        <f t="shared" si="885"/>
        <v>0</v>
      </c>
      <c r="BC303" s="234">
        <f t="shared" si="885"/>
        <v>0</v>
      </c>
      <c r="BD303" s="234">
        <f t="shared" si="885"/>
        <v>0</v>
      </c>
      <c r="BE303" s="234">
        <f t="shared" si="885"/>
        <v>0</v>
      </c>
      <c r="BF303" s="234">
        <f t="shared" ref="BF303" si="892">SUM(BF304:BF307)</f>
        <v>0</v>
      </c>
      <c r="BG303" s="234">
        <f t="shared" si="885"/>
        <v>0</v>
      </c>
      <c r="BH303" s="234">
        <f t="shared" si="885"/>
        <v>0</v>
      </c>
      <c r="BI303" s="233">
        <f t="shared" ref="BI303:BO303" si="893">SUM(BI304:BI307)</f>
        <v>0</v>
      </c>
      <c r="BJ303" s="234">
        <f t="shared" si="893"/>
        <v>0</v>
      </c>
      <c r="BK303" s="234">
        <f t="shared" si="893"/>
        <v>0</v>
      </c>
      <c r="BL303" s="234">
        <f t="shared" si="893"/>
        <v>0</v>
      </c>
      <c r="BM303" s="234">
        <f t="shared" si="893"/>
        <v>0</v>
      </c>
      <c r="BN303" s="234">
        <f t="shared" si="893"/>
        <v>0</v>
      </c>
      <c r="BO303" s="234">
        <f t="shared" si="893"/>
        <v>0</v>
      </c>
      <c r="BP303" s="233">
        <f t="shared" si="885"/>
        <v>0</v>
      </c>
      <c r="BQ303" s="315">
        <f t="shared" si="885"/>
        <v>0</v>
      </c>
      <c r="BR303" s="234">
        <f t="shared" si="885"/>
        <v>0</v>
      </c>
      <c r="BS303" s="234">
        <f t="shared" si="885"/>
        <v>0</v>
      </c>
      <c r="BT303" s="234">
        <f t="shared" si="885"/>
        <v>0</v>
      </c>
      <c r="BU303" s="234">
        <f t="shared" si="885"/>
        <v>0</v>
      </c>
      <c r="BV303" s="234">
        <f t="shared" si="885"/>
        <v>0</v>
      </c>
      <c r="BW303" s="234">
        <f t="shared" si="885"/>
        <v>0</v>
      </c>
      <c r="BX303" s="234">
        <f t="shared" si="885"/>
        <v>0</v>
      </c>
      <c r="BY303" s="234">
        <f t="shared" si="885"/>
        <v>0</v>
      </c>
      <c r="BZ303" s="234">
        <f t="shared" si="885"/>
        <v>0</v>
      </c>
      <c r="CA303" s="234">
        <f t="shared" si="885"/>
        <v>0</v>
      </c>
      <c r="CB303" s="234">
        <f t="shared" ref="CB303:CC303" si="894">SUM(CB304:CB307)</f>
        <v>0</v>
      </c>
      <c r="CC303" s="234">
        <f t="shared" si="894"/>
        <v>0</v>
      </c>
      <c r="CD303" s="234">
        <f t="shared" si="885"/>
        <v>0</v>
      </c>
      <c r="CE303" s="235"/>
      <c r="CF303" s="236"/>
    </row>
    <row r="304" spans="1:84" s="194" customFormat="1" ht="27.75" customHeight="1" x14ac:dyDescent="0.2">
      <c r="A304" s="108"/>
      <c r="B304" s="426" t="s">
        <v>593</v>
      </c>
      <c r="C304" s="427"/>
      <c r="D304" s="80">
        <f t="shared" ref="D304:D307" si="895">F304+AG304+AT304+BH304+BP304</f>
        <v>650000</v>
      </c>
      <c r="E304" s="295">
        <f t="shared" ref="E304:E307" si="896">G304+AH304+AU304+BI304+BQ304</f>
        <v>650000</v>
      </c>
      <c r="F304" s="81">
        <v>650000</v>
      </c>
      <c r="G304" s="81">
        <f t="shared" ref="G304:G307" si="897">F304+H304</f>
        <v>650000</v>
      </c>
      <c r="H304" s="81">
        <f t="shared" ref="H304:H307" si="898">SUM(I304:AF304)</f>
        <v>0</v>
      </c>
      <c r="I304" s="81"/>
      <c r="J304" s="81"/>
      <c r="K304" s="81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1"/>
      <c r="X304" s="81"/>
      <c r="Y304" s="81"/>
      <c r="Z304" s="81"/>
      <c r="AA304" s="81"/>
      <c r="AB304" s="81"/>
      <c r="AC304" s="81"/>
      <c r="AD304" s="81"/>
      <c r="AE304" s="81"/>
      <c r="AF304" s="81"/>
      <c r="AG304" s="81"/>
      <c r="AH304" s="81">
        <f t="shared" ref="AH304:AH307" si="899">AG304+AI304</f>
        <v>0</v>
      </c>
      <c r="AI304" s="81">
        <f t="shared" ref="AI304:AI307" si="900">SUM(AJ304:AS304)</f>
        <v>0</v>
      </c>
      <c r="AJ304" s="81"/>
      <c r="AK304" s="81"/>
      <c r="AL304" s="81"/>
      <c r="AM304" s="81"/>
      <c r="AN304" s="81"/>
      <c r="AO304" s="81"/>
      <c r="AP304" s="81"/>
      <c r="AQ304" s="81"/>
      <c r="AR304" s="81"/>
      <c r="AS304" s="81"/>
      <c r="AT304" s="81"/>
      <c r="AU304" s="98">
        <f t="shared" ref="AU304:AU307" si="901">AT304+AV304</f>
        <v>0</v>
      </c>
      <c r="AV304" s="98">
        <f t="shared" ref="AV304:AV307" si="902">SUM(AW304:BG304)</f>
        <v>0</v>
      </c>
      <c r="AW304" s="98"/>
      <c r="AX304" s="98"/>
      <c r="AY304" s="98"/>
      <c r="AZ304" s="98"/>
      <c r="BA304" s="98"/>
      <c r="BB304" s="98"/>
      <c r="BC304" s="98"/>
      <c r="BD304" s="98"/>
      <c r="BE304" s="98"/>
      <c r="BF304" s="98"/>
      <c r="BG304" s="98"/>
      <c r="BH304" s="98"/>
      <c r="BI304" s="81">
        <f t="shared" ref="BI304:BI307" si="903">BH304+BJ304</f>
        <v>0</v>
      </c>
      <c r="BJ304" s="98">
        <f t="shared" ref="BJ304:BJ307" si="904">SUM(BK304:BO304)</f>
        <v>0</v>
      </c>
      <c r="BK304" s="98"/>
      <c r="BL304" s="98"/>
      <c r="BM304" s="98"/>
      <c r="BN304" s="98"/>
      <c r="BO304" s="98"/>
      <c r="BP304" s="81"/>
      <c r="BQ304" s="309">
        <f t="shared" ref="BQ304:BQ307" si="905">BP304+BR304</f>
        <v>0</v>
      </c>
      <c r="BR304" s="98">
        <f t="shared" ref="BR304:BR307" si="906">SUM(BS304:CD304)</f>
        <v>0</v>
      </c>
      <c r="BS304" s="98"/>
      <c r="BT304" s="98"/>
      <c r="BU304" s="98"/>
      <c r="BV304" s="98"/>
      <c r="BW304" s="98"/>
      <c r="BX304" s="98"/>
      <c r="BY304" s="98"/>
      <c r="BZ304" s="98"/>
      <c r="CA304" s="98"/>
      <c r="CB304" s="98"/>
      <c r="CC304" s="98"/>
      <c r="CD304" s="98"/>
      <c r="CE304" s="82"/>
      <c r="CF304" s="85"/>
    </row>
    <row r="305" spans="1:84" s="194" customFormat="1" ht="27.75" customHeight="1" x14ac:dyDescent="0.2">
      <c r="A305" s="108"/>
      <c r="B305" s="426" t="s">
        <v>594</v>
      </c>
      <c r="C305" s="427"/>
      <c r="D305" s="80">
        <f t="shared" si="895"/>
        <v>320500</v>
      </c>
      <c r="E305" s="295">
        <f t="shared" si="896"/>
        <v>320500</v>
      </c>
      <c r="F305" s="81">
        <v>320500</v>
      </c>
      <c r="G305" s="81">
        <f t="shared" si="897"/>
        <v>320500</v>
      </c>
      <c r="H305" s="81">
        <f t="shared" si="898"/>
        <v>0</v>
      </c>
      <c r="I305" s="81"/>
      <c r="J305" s="81"/>
      <c r="K305" s="81"/>
      <c r="L305" s="81"/>
      <c r="M305" s="81"/>
      <c r="N305" s="81"/>
      <c r="O305" s="81"/>
      <c r="P305" s="81"/>
      <c r="Q305" s="81"/>
      <c r="R305" s="81"/>
      <c r="S305" s="81"/>
      <c r="T305" s="81"/>
      <c r="U305" s="81"/>
      <c r="V305" s="81"/>
      <c r="W305" s="81"/>
      <c r="X305" s="81"/>
      <c r="Y305" s="81"/>
      <c r="Z305" s="81"/>
      <c r="AA305" s="81"/>
      <c r="AB305" s="81"/>
      <c r="AC305" s="81"/>
      <c r="AD305" s="81"/>
      <c r="AE305" s="81"/>
      <c r="AF305" s="81"/>
      <c r="AG305" s="81"/>
      <c r="AH305" s="81">
        <f t="shared" si="899"/>
        <v>0</v>
      </c>
      <c r="AI305" s="81">
        <f t="shared" si="900"/>
        <v>0</v>
      </c>
      <c r="AJ305" s="81"/>
      <c r="AK305" s="81"/>
      <c r="AL305" s="81"/>
      <c r="AM305" s="81"/>
      <c r="AN305" s="81"/>
      <c r="AO305" s="81"/>
      <c r="AP305" s="81"/>
      <c r="AQ305" s="81"/>
      <c r="AR305" s="81"/>
      <c r="AS305" s="81"/>
      <c r="AT305" s="81"/>
      <c r="AU305" s="98">
        <f t="shared" si="901"/>
        <v>0</v>
      </c>
      <c r="AV305" s="98">
        <f t="shared" si="902"/>
        <v>0</v>
      </c>
      <c r="AW305" s="98"/>
      <c r="AX305" s="98"/>
      <c r="AY305" s="98"/>
      <c r="AZ305" s="98"/>
      <c r="BA305" s="98"/>
      <c r="BB305" s="98"/>
      <c r="BC305" s="98"/>
      <c r="BD305" s="98"/>
      <c r="BE305" s="98"/>
      <c r="BF305" s="98"/>
      <c r="BG305" s="98"/>
      <c r="BH305" s="98"/>
      <c r="BI305" s="81">
        <f t="shared" si="903"/>
        <v>0</v>
      </c>
      <c r="BJ305" s="98">
        <f t="shared" si="904"/>
        <v>0</v>
      </c>
      <c r="BK305" s="98"/>
      <c r="BL305" s="98"/>
      <c r="BM305" s="98"/>
      <c r="BN305" s="98"/>
      <c r="BO305" s="98"/>
      <c r="BP305" s="81"/>
      <c r="BQ305" s="309">
        <f t="shared" si="905"/>
        <v>0</v>
      </c>
      <c r="BR305" s="98">
        <f t="shared" si="906"/>
        <v>0</v>
      </c>
      <c r="BS305" s="98"/>
      <c r="BT305" s="98"/>
      <c r="BU305" s="98"/>
      <c r="BV305" s="98"/>
      <c r="BW305" s="98"/>
      <c r="BX305" s="98"/>
      <c r="BY305" s="98"/>
      <c r="BZ305" s="98"/>
      <c r="CA305" s="98"/>
      <c r="CB305" s="98"/>
      <c r="CC305" s="98"/>
      <c r="CD305" s="98"/>
      <c r="CE305" s="82"/>
      <c r="CF305" s="85"/>
    </row>
    <row r="306" spans="1:84" s="194" customFormat="1" ht="37.5" customHeight="1" x14ac:dyDescent="0.2">
      <c r="A306" s="108"/>
      <c r="B306" s="426" t="s">
        <v>595</v>
      </c>
      <c r="C306" s="427"/>
      <c r="D306" s="80">
        <f t="shared" si="895"/>
        <v>202540</v>
      </c>
      <c r="E306" s="295">
        <f t="shared" si="896"/>
        <v>202540</v>
      </c>
      <c r="F306" s="81">
        <v>202540</v>
      </c>
      <c r="G306" s="81">
        <f t="shared" si="897"/>
        <v>202540</v>
      </c>
      <c r="H306" s="81">
        <f t="shared" si="898"/>
        <v>0</v>
      </c>
      <c r="I306" s="81"/>
      <c r="J306" s="81"/>
      <c r="K306" s="81"/>
      <c r="L306" s="81"/>
      <c r="M306" s="81"/>
      <c r="N306" s="81"/>
      <c r="O306" s="81"/>
      <c r="P306" s="81"/>
      <c r="Q306" s="81"/>
      <c r="R306" s="81"/>
      <c r="S306" s="81"/>
      <c r="T306" s="81"/>
      <c r="U306" s="81"/>
      <c r="V306" s="81"/>
      <c r="W306" s="81"/>
      <c r="X306" s="81"/>
      <c r="Y306" s="81"/>
      <c r="Z306" s="81"/>
      <c r="AA306" s="81"/>
      <c r="AB306" s="81"/>
      <c r="AC306" s="81"/>
      <c r="AD306" s="81"/>
      <c r="AE306" s="81"/>
      <c r="AF306" s="81"/>
      <c r="AG306" s="81"/>
      <c r="AH306" s="81">
        <f t="shared" si="899"/>
        <v>0</v>
      </c>
      <c r="AI306" s="81">
        <f t="shared" si="900"/>
        <v>0</v>
      </c>
      <c r="AJ306" s="81"/>
      <c r="AK306" s="81"/>
      <c r="AL306" s="81"/>
      <c r="AM306" s="81"/>
      <c r="AN306" s="81"/>
      <c r="AO306" s="81"/>
      <c r="AP306" s="81"/>
      <c r="AQ306" s="81"/>
      <c r="AR306" s="81"/>
      <c r="AS306" s="81"/>
      <c r="AT306" s="81"/>
      <c r="AU306" s="98">
        <f t="shared" si="901"/>
        <v>0</v>
      </c>
      <c r="AV306" s="98">
        <f t="shared" si="902"/>
        <v>0</v>
      </c>
      <c r="AW306" s="98"/>
      <c r="AX306" s="98"/>
      <c r="AY306" s="98"/>
      <c r="AZ306" s="98"/>
      <c r="BA306" s="98"/>
      <c r="BB306" s="98"/>
      <c r="BC306" s="98"/>
      <c r="BD306" s="98"/>
      <c r="BE306" s="98"/>
      <c r="BF306" s="98"/>
      <c r="BG306" s="98"/>
      <c r="BH306" s="98"/>
      <c r="BI306" s="81">
        <f t="shared" si="903"/>
        <v>0</v>
      </c>
      <c r="BJ306" s="98">
        <f t="shared" si="904"/>
        <v>0</v>
      </c>
      <c r="BK306" s="98"/>
      <c r="BL306" s="98"/>
      <c r="BM306" s="98"/>
      <c r="BN306" s="98"/>
      <c r="BO306" s="98"/>
      <c r="BP306" s="81"/>
      <c r="BQ306" s="309">
        <f t="shared" si="905"/>
        <v>0</v>
      </c>
      <c r="BR306" s="98">
        <f t="shared" si="906"/>
        <v>0</v>
      </c>
      <c r="BS306" s="98"/>
      <c r="BT306" s="98"/>
      <c r="BU306" s="98"/>
      <c r="BV306" s="98"/>
      <c r="BW306" s="98"/>
      <c r="BX306" s="98"/>
      <c r="BY306" s="98"/>
      <c r="BZ306" s="98"/>
      <c r="CA306" s="98"/>
      <c r="CB306" s="98"/>
      <c r="CC306" s="98"/>
      <c r="CD306" s="98"/>
      <c r="CE306" s="82"/>
      <c r="CF306" s="85"/>
    </row>
    <row r="307" spans="1:84" s="194" customFormat="1" ht="37.5" customHeight="1" x14ac:dyDescent="0.2">
      <c r="A307" s="108"/>
      <c r="B307" s="426" t="s">
        <v>475</v>
      </c>
      <c r="C307" s="427"/>
      <c r="D307" s="80">
        <f t="shared" si="895"/>
        <v>546041</v>
      </c>
      <c r="E307" s="295">
        <f t="shared" si="896"/>
        <v>583990</v>
      </c>
      <c r="F307" s="81">
        <v>546041</v>
      </c>
      <c r="G307" s="81">
        <f t="shared" si="897"/>
        <v>583990</v>
      </c>
      <c r="H307" s="81">
        <f t="shared" si="898"/>
        <v>37949</v>
      </c>
      <c r="I307" s="81"/>
      <c r="J307" s="81"/>
      <c r="K307" s="81"/>
      <c r="L307" s="81"/>
      <c r="M307" s="81"/>
      <c r="N307" s="81"/>
      <c r="O307" s="81"/>
      <c r="P307" s="81"/>
      <c r="Q307" s="81"/>
      <c r="R307" s="81"/>
      <c r="S307" s="81"/>
      <c r="T307" s="81"/>
      <c r="U307" s="81"/>
      <c r="V307" s="81"/>
      <c r="W307" s="81">
        <v>37949</v>
      </c>
      <c r="X307" s="81"/>
      <c r="Y307" s="81"/>
      <c r="Z307" s="81"/>
      <c r="AA307" s="81"/>
      <c r="AB307" s="81"/>
      <c r="AC307" s="81"/>
      <c r="AD307" s="81"/>
      <c r="AE307" s="81"/>
      <c r="AF307" s="81"/>
      <c r="AG307" s="81"/>
      <c r="AH307" s="81">
        <f t="shared" si="899"/>
        <v>0</v>
      </c>
      <c r="AI307" s="81">
        <f t="shared" si="900"/>
        <v>0</v>
      </c>
      <c r="AJ307" s="81"/>
      <c r="AK307" s="81"/>
      <c r="AL307" s="81"/>
      <c r="AM307" s="81"/>
      <c r="AN307" s="81"/>
      <c r="AO307" s="81"/>
      <c r="AP307" s="81"/>
      <c r="AQ307" s="81"/>
      <c r="AR307" s="81"/>
      <c r="AS307" s="81"/>
      <c r="AT307" s="81"/>
      <c r="AU307" s="98">
        <f t="shared" si="901"/>
        <v>0</v>
      </c>
      <c r="AV307" s="98">
        <f t="shared" si="902"/>
        <v>0</v>
      </c>
      <c r="AW307" s="98"/>
      <c r="AX307" s="98"/>
      <c r="AY307" s="98"/>
      <c r="AZ307" s="98"/>
      <c r="BA307" s="98"/>
      <c r="BB307" s="98"/>
      <c r="BC307" s="98"/>
      <c r="BD307" s="98"/>
      <c r="BE307" s="98"/>
      <c r="BF307" s="98"/>
      <c r="BG307" s="98"/>
      <c r="BH307" s="98"/>
      <c r="BI307" s="81">
        <f t="shared" si="903"/>
        <v>0</v>
      </c>
      <c r="BJ307" s="98">
        <f t="shared" si="904"/>
        <v>0</v>
      </c>
      <c r="BK307" s="98"/>
      <c r="BL307" s="98"/>
      <c r="BM307" s="98"/>
      <c r="BN307" s="98"/>
      <c r="BO307" s="98"/>
      <c r="BP307" s="81"/>
      <c r="BQ307" s="309">
        <f t="shared" si="905"/>
        <v>0</v>
      </c>
      <c r="BR307" s="98">
        <f t="shared" si="906"/>
        <v>0</v>
      </c>
      <c r="BS307" s="98"/>
      <c r="BT307" s="98"/>
      <c r="BU307" s="98"/>
      <c r="BV307" s="98"/>
      <c r="BW307" s="98"/>
      <c r="BX307" s="98"/>
      <c r="BY307" s="98"/>
      <c r="BZ307" s="98"/>
      <c r="CA307" s="98"/>
      <c r="CB307" s="98"/>
      <c r="CC307" s="98"/>
      <c r="CD307" s="98"/>
      <c r="CE307" s="82"/>
      <c r="CF307" s="85"/>
    </row>
    <row r="308" spans="1:84" s="198" customFormat="1" x14ac:dyDescent="0.2">
      <c r="A308" s="237" t="s">
        <v>14</v>
      </c>
      <c r="B308" s="231" t="s">
        <v>15</v>
      </c>
      <c r="C308" s="329"/>
      <c r="D308" s="232">
        <f t="shared" ref="D308:E308" si="907">SUM(D309:D311)</f>
        <v>1678399</v>
      </c>
      <c r="E308" s="303">
        <f t="shared" si="907"/>
        <v>1678399</v>
      </c>
      <c r="F308" s="233">
        <f t="shared" ref="F308:CD308" si="908">SUM(F309:F311)</f>
        <v>1678399</v>
      </c>
      <c r="G308" s="233">
        <f t="shared" si="908"/>
        <v>1678399</v>
      </c>
      <c r="H308" s="233">
        <f t="shared" ref="H308" si="909">SUM(H309:H311)</f>
        <v>0</v>
      </c>
      <c r="I308" s="233">
        <f t="shared" si="908"/>
        <v>0</v>
      </c>
      <c r="J308" s="233">
        <f t="shared" ref="J308" si="910">SUM(J309:J311)</f>
        <v>0</v>
      </c>
      <c r="K308" s="233">
        <f t="shared" si="908"/>
        <v>0</v>
      </c>
      <c r="L308" s="233">
        <f t="shared" si="908"/>
        <v>0</v>
      </c>
      <c r="M308" s="233">
        <f t="shared" si="908"/>
        <v>0</v>
      </c>
      <c r="N308" s="233">
        <f t="shared" si="908"/>
        <v>0</v>
      </c>
      <c r="O308" s="233">
        <f t="shared" si="908"/>
        <v>0</v>
      </c>
      <c r="P308" s="233">
        <f t="shared" si="908"/>
        <v>0</v>
      </c>
      <c r="Q308" s="233">
        <f t="shared" si="908"/>
        <v>0</v>
      </c>
      <c r="R308" s="233">
        <f t="shared" si="908"/>
        <v>0</v>
      </c>
      <c r="S308" s="233">
        <f t="shared" si="908"/>
        <v>0</v>
      </c>
      <c r="T308" s="233"/>
      <c r="U308" s="233">
        <f t="shared" si="908"/>
        <v>0</v>
      </c>
      <c r="V308" s="233"/>
      <c r="W308" s="233">
        <f t="shared" si="908"/>
        <v>0</v>
      </c>
      <c r="X308" s="233">
        <f t="shared" ref="X308" si="911">SUM(X309:X311)</f>
        <v>0</v>
      </c>
      <c r="Y308" s="233">
        <f t="shared" si="908"/>
        <v>0</v>
      </c>
      <c r="Z308" s="233">
        <f t="shared" ref="Z308:AE308" si="912">SUM(Z309:Z311)</f>
        <v>0</v>
      </c>
      <c r="AA308" s="233">
        <f t="shared" ref="AA308:AD308" si="913">SUM(AA309:AA311)</f>
        <v>0</v>
      </c>
      <c r="AB308" s="233">
        <f t="shared" si="913"/>
        <v>0</v>
      </c>
      <c r="AC308" s="233">
        <f t="shared" si="913"/>
        <v>0</v>
      </c>
      <c r="AD308" s="233">
        <f t="shared" si="913"/>
        <v>0</v>
      </c>
      <c r="AE308" s="233">
        <f t="shared" si="912"/>
        <v>0</v>
      </c>
      <c r="AF308" s="233">
        <f t="shared" si="908"/>
        <v>0</v>
      </c>
      <c r="AG308" s="233">
        <f t="shared" si="908"/>
        <v>0</v>
      </c>
      <c r="AH308" s="233">
        <f t="shared" ref="AH308:AS308" si="914">SUM(AH309:AH311)</f>
        <v>0</v>
      </c>
      <c r="AI308" s="233">
        <f t="shared" si="914"/>
        <v>0</v>
      </c>
      <c r="AJ308" s="233">
        <f t="shared" si="914"/>
        <v>0</v>
      </c>
      <c r="AK308" s="233">
        <f t="shared" si="914"/>
        <v>0</v>
      </c>
      <c r="AL308" s="233">
        <f t="shared" si="914"/>
        <v>0</v>
      </c>
      <c r="AM308" s="233">
        <f t="shared" si="914"/>
        <v>0</v>
      </c>
      <c r="AN308" s="233">
        <f t="shared" si="914"/>
        <v>0</v>
      </c>
      <c r="AO308" s="233">
        <f t="shared" si="914"/>
        <v>0</v>
      </c>
      <c r="AP308" s="233">
        <f t="shared" si="914"/>
        <v>0</v>
      </c>
      <c r="AQ308" s="233">
        <f t="shared" si="914"/>
        <v>0</v>
      </c>
      <c r="AR308" s="233">
        <f t="shared" si="914"/>
        <v>0</v>
      </c>
      <c r="AS308" s="233">
        <f t="shared" si="914"/>
        <v>0</v>
      </c>
      <c r="AT308" s="233">
        <f t="shared" si="908"/>
        <v>0</v>
      </c>
      <c r="AU308" s="234">
        <f t="shared" si="908"/>
        <v>0</v>
      </c>
      <c r="AV308" s="234">
        <f t="shared" si="908"/>
        <v>0</v>
      </c>
      <c r="AW308" s="234">
        <f t="shared" si="908"/>
        <v>0</v>
      </c>
      <c r="AX308" s="234">
        <f t="shared" si="908"/>
        <v>0</v>
      </c>
      <c r="AY308" s="234">
        <f t="shared" si="908"/>
        <v>0</v>
      </c>
      <c r="AZ308" s="234">
        <f t="shared" si="908"/>
        <v>0</v>
      </c>
      <c r="BA308" s="234">
        <f t="shared" si="908"/>
        <v>0</v>
      </c>
      <c r="BB308" s="234">
        <f t="shared" si="908"/>
        <v>0</v>
      </c>
      <c r="BC308" s="234">
        <f t="shared" si="908"/>
        <v>0</v>
      </c>
      <c r="BD308" s="234">
        <f t="shared" si="908"/>
        <v>0</v>
      </c>
      <c r="BE308" s="234">
        <f t="shared" si="908"/>
        <v>0</v>
      </c>
      <c r="BF308" s="234">
        <f t="shared" ref="BF308" si="915">SUM(BF309:BF311)</f>
        <v>0</v>
      </c>
      <c r="BG308" s="234">
        <f t="shared" si="908"/>
        <v>0</v>
      </c>
      <c r="BH308" s="234">
        <f t="shared" si="908"/>
        <v>0</v>
      </c>
      <c r="BI308" s="233">
        <f t="shared" ref="BI308:BO308" si="916">SUM(BI309:BI311)</f>
        <v>0</v>
      </c>
      <c r="BJ308" s="234">
        <f t="shared" si="916"/>
        <v>0</v>
      </c>
      <c r="BK308" s="234">
        <f t="shared" si="916"/>
        <v>0</v>
      </c>
      <c r="BL308" s="234">
        <f t="shared" si="916"/>
        <v>0</v>
      </c>
      <c r="BM308" s="234">
        <f t="shared" si="916"/>
        <v>0</v>
      </c>
      <c r="BN308" s="234">
        <f t="shared" si="916"/>
        <v>0</v>
      </c>
      <c r="BO308" s="234">
        <f t="shared" si="916"/>
        <v>0</v>
      </c>
      <c r="BP308" s="233">
        <f t="shared" si="908"/>
        <v>0</v>
      </c>
      <c r="BQ308" s="315">
        <f t="shared" si="908"/>
        <v>0</v>
      </c>
      <c r="BR308" s="234">
        <f t="shared" si="908"/>
        <v>0</v>
      </c>
      <c r="BS308" s="234">
        <f t="shared" si="908"/>
        <v>0</v>
      </c>
      <c r="BT308" s="234">
        <f t="shared" si="908"/>
        <v>0</v>
      </c>
      <c r="BU308" s="234">
        <f t="shared" si="908"/>
        <v>0</v>
      </c>
      <c r="BV308" s="234">
        <f t="shared" si="908"/>
        <v>0</v>
      </c>
      <c r="BW308" s="234">
        <f t="shared" si="908"/>
        <v>0</v>
      </c>
      <c r="BX308" s="234">
        <f t="shared" si="908"/>
        <v>0</v>
      </c>
      <c r="BY308" s="234">
        <f t="shared" si="908"/>
        <v>0</v>
      </c>
      <c r="BZ308" s="234">
        <f t="shared" si="908"/>
        <v>0</v>
      </c>
      <c r="CA308" s="234">
        <f t="shared" si="908"/>
        <v>0</v>
      </c>
      <c r="CB308" s="234">
        <f t="shared" ref="CB308:CC308" si="917">SUM(CB309:CB311)</f>
        <v>0</v>
      </c>
      <c r="CC308" s="234">
        <f t="shared" si="917"/>
        <v>0</v>
      </c>
      <c r="CD308" s="234">
        <f t="shared" si="908"/>
        <v>0</v>
      </c>
      <c r="CE308" s="235"/>
      <c r="CF308" s="236"/>
    </row>
    <row r="309" spans="1:84" s="194" customFormat="1" ht="26.25" customHeight="1" x14ac:dyDescent="0.2">
      <c r="A309" s="108"/>
      <c r="B309" s="426" t="s">
        <v>596</v>
      </c>
      <c r="C309" s="427"/>
      <c r="D309" s="80">
        <f t="shared" ref="D309:D311" si="918">F309+AG309+AT309+BH309+BP309</f>
        <v>217104</v>
      </c>
      <c r="E309" s="295">
        <f t="shared" ref="E309:E311" si="919">G309+AH309+AU309+BI309+BQ309</f>
        <v>217104</v>
      </c>
      <c r="F309" s="81">
        <v>217104</v>
      </c>
      <c r="G309" s="81">
        <f t="shared" ref="G309:G311" si="920">F309+H309</f>
        <v>217104</v>
      </c>
      <c r="H309" s="81">
        <f t="shared" ref="H309:H311" si="921">SUM(I309:AF309)</f>
        <v>0</v>
      </c>
      <c r="I309" s="81"/>
      <c r="J309" s="81"/>
      <c r="K309" s="81"/>
      <c r="L309" s="81"/>
      <c r="M309" s="81"/>
      <c r="N309" s="81"/>
      <c r="O309" s="81"/>
      <c r="P309" s="81"/>
      <c r="Q309" s="81"/>
      <c r="R309" s="81"/>
      <c r="S309" s="81"/>
      <c r="T309" s="81"/>
      <c r="U309" s="81"/>
      <c r="V309" s="81"/>
      <c r="W309" s="81"/>
      <c r="X309" s="81"/>
      <c r="Y309" s="81"/>
      <c r="Z309" s="81"/>
      <c r="AA309" s="81"/>
      <c r="AB309" s="81"/>
      <c r="AC309" s="81"/>
      <c r="AD309" s="81"/>
      <c r="AE309" s="81"/>
      <c r="AF309" s="81"/>
      <c r="AG309" s="81"/>
      <c r="AH309" s="81">
        <f t="shared" ref="AH309:AH311" si="922">AG309+AI309</f>
        <v>0</v>
      </c>
      <c r="AI309" s="81">
        <f t="shared" ref="AI309:AI311" si="923">SUM(AJ309:AS309)</f>
        <v>0</v>
      </c>
      <c r="AJ309" s="81"/>
      <c r="AK309" s="81"/>
      <c r="AL309" s="81"/>
      <c r="AM309" s="81"/>
      <c r="AN309" s="81"/>
      <c r="AO309" s="81"/>
      <c r="AP309" s="81"/>
      <c r="AQ309" s="81"/>
      <c r="AR309" s="81"/>
      <c r="AS309" s="81"/>
      <c r="AT309" s="81"/>
      <c r="AU309" s="98">
        <f t="shared" ref="AU309:AU311" si="924">AT309+AV309</f>
        <v>0</v>
      </c>
      <c r="AV309" s="98">
        <f t="shared" ref="AV309:AV311" si="925">SUM(AW309:BG309)</f>
        <v>0</v>
      </c>
      <c r="AW309" s="98"/>
      <c r="AX309" s="98"/>
      <c r="AY309" s="98"/>
      <c r="AZ309" s="98"/>
      <c r="BA309" s="98"/>
      <c r="BB309" s="98"/>
      <c r="BC309" s="98"/>
      <c r="BD309" s="98"/>
      <c r="BE309" s="98"/>
      <c r="BF309" s="98"/>
      <c r="BG309" s="98"/>
      <c r="BH309" s="98"/>
      <c r="BI309" s="81">
        <f t="shared" ref="BI309:BI311" si="926">BH309+BJ309</f>
        <v>0</v>
      </c>
      <c r="BJ309" s="98">
        <f t="shared" ref="BJ309:BJ311" si="927">SUM(BK309:BO309)</f>
        <v>0</v>
      </c>
      <c r="BK309" s="98"/>
      <c r="BL309" s="98"/>
      <c r="BM309" s="98"/>
      <c r="BN309" s="98"/>
      <c r="BO309" s="98"/>
      <c r="BP309" s="81"/>
      <c r="BQ309" s="309">
        <f t="shared" ref="BQ309:BQ311" si="928">BP309+BR309</f>
        <v>0</v>
      </c>
      <c r="BR309" s="98">
        <f t="shared" ref="BR309:BR311" si="929">SUM(BS309:CD309)</f>
        <v>0</v>
      </c>
      <c r="BS309" s="98"/>
      <c r="BT309" s="98"/>
      <c r="BU309" s="98"/>
      <c r="BV309" s="98"/>
      <c r="BW309" s="98"/>
      <c r="BX309" s="98"/>
      <c r="BY309" s="98"/>
      <c r="BZ309" s="98"/>
      <c r="CA309" s="98"/>
      <c r="CB309" s="98"/>
      <c r="CC309" s="98"/>
      <c r="CD309" s="98"/>
      <c r="CE309" s="82"/>
      <c r="CF309" s="85"/>
    </row>
    <row r="310" spans="1:84" s="198" customFormat="1" ht="51" customHeight="1" x14ac:dyDescent="0.2">
      <c r="A310" s="108"/>
      <c r="B310" s="436" t="s">
        <v>645</v>
      </c>
      <c r="C310" s="427"/>
      <c r="D310" s="80">
        <f t="shared" si="918"/>
        <v>809607</v>
      </c>
      <c r="E310" s="295">
        <f t="shared" si="919"/>
        <v>809607</v>
      </c>
      <c r="F310" s="81">
        <v>809607</v>
      </c>
      <c r="G310" s="81">
        <f t="shared" si="920"/>
        <v>809607</v>
      </c>
      <c r="H310" s="81">
        <f t="shared" si="921"/>
        <v>0</v>
      </c>
      <c r="I310" s="81"/>
      <c r="J310" s="81"/>
      <c r="K310" s="81"/>
      <c r="L310" s="81"/>
      <c r="M310" s="81"/>
      <c r="N310" s="81"/>
      <c r="O310" s="81"/>
      <c r="P310" s="81"/>
      <c r="Q310" s="81"/>
      <c r="R310" s="81"/>
      <c r="S310" s="81"/>
      <c r="T310" s="81"/>
      <c r="U310" s="81"/>
      <c r="V310" s="81"/>
      <c r="W310" s="81"/>
      <c r="X310" s="81"/>
      <c r="Y310" s="81"/>
      <c r="Z310" s="81"/>
      <c r="AA310" s="81"/>
      <c r="AB310" s="81"/>
      <c r="AC310" s="81"/>
      <c r="AD310" s="81"/>
      <c r="AE310" s="81"/>
      <c r="AF310" s="81"/>
      <c r="AG310" s="81"/>
      <c r="AH310" s="81">
        <f t="shared" si="922"/>
        <v>0</v>
      </c>
      <c r="AI310" s="81">
        <f t="shared" si="923"/>
        <v>0</v>
      </c>
      <c r="AJ310" s="81"/>
      <c r="AK310" s="81"/>
      <c r="AL310" s="81"/>
      <c r="AM310" s="81"/>
      <c r="AN310" s="81"/>
      <c r="AO310" s="81"/>
      <c r="AP310" s="81"/>
      <c r="AQ310" s="81"/>
      <c r="AR310" s="81"/>
      <c r="AS310" s="81"/>
      <c r="AT310" s="81"/>
      <c r="AU310" s="98">
        <f t="shared" si="924"/>
        <v>0</v>
      </c>
      <c r="AV310" s="98">
        <f t="shared" si="925"/>
        <v>0</v>
      </c>
      <c r="AW310" s="98"/>
      <c r="AX310" s="98"/>
      <c r="AY310" s="98"/>
      <c r="AZ310" s="98"/>
      <c r="BA310" s="98"/>
      <c r="BB310" s="98"/>
      <c r="BC310" s="98"/>
      <c r="BD310" s="98"/>
      <c r="BE310" s="98"/>
      <c r="BF310" s="98"/>
      <c r="BG310" s="98"/>
      <c r="BH310" s="98"/>
      <c r="BI310" s="81">
        <f t="shared" si="926"/>
        <v>0</v>
      </c>
      <c r="BJ310" s="98">
        <f t="shared" si="927"/>
        <v>0</v>
      </c>
      <c r="BK310" s="98"/>
      <c r="BL310" s="98"/>
      <c r="BM310" s="98"/>
      <c r="BN310" s="98"/>
      <c r="BO310" s="98"/>
      <c r="BP310" s="81"/>
      <c r="BQ310" s="309">
        <f t="shared" si="928"/>
        <v>0</v>
      </c>
      <c r="BR310" s="98">
        <f t="shared" si="929"/>
        <v>0</v>
      </c>
      <c r="BS310" s="98"/>
      <c r="BT310" s="98"/>
      <c r="BU310" s="98"/>
      <c r="BV310" s="98"/>
      <c r="BW310" s="98"/>
      <c r="BX310" s="98"/>
      <c r="BY310" s="98"/>
      <c r="BZ310" s="98"/>
      <c r="CA310" s="98"/>
      <c r="CB310" s="98"/>
      <c r="CC310" s="98"/>
      <c r="CD310" s="98"/>
      <c r="CE310" s="82"/>
      <c r="CF310" s="85"/>
    </row>
    <row r="311" spans="1:84" s="194" customFormat="1" ht="24" customHeight="1" x14ac:dyDescent="0.2">
      <c r="A311" s="108"/>
      <c r="B311" s="426" t="s">
        <v>597</v>
      </c>
      <c r="C311" s="427"/>
      <c r="D311" s="80">
        <f t="shared" si="918"/>
        <v>651688</v>
      </c>
      <c r="E311" s="295">
        <f t="shared" si="919"/>
        <v>651688</v>
      </c>
      <c r="F311" s="81">
        <v>651688</v>
      </c>
      <c r="G311" s="81">
        <f t="shared" si="920"/>
        <v>651688</v>
      </c>
      <c r="H311" s="81">
        <f t="shared" si="921"/>
        <v>0</v>
      </c>
      <c r="I311" s="81"/>
      <c r="J311" s="81"/>
      <c r="K311" s="81"/>
      <c r="L311" s="81"/>
      <c r="M311" s="81"/>
      <c r="N311" s="81"/>
      <c r="O311" s="81"/>
      <c r="P311" s="81"/>
      <c r="Q311" s="81"/>
      <c r="R311" s="81"/>
      <c r="S311" s="81"/>
      <c r="T311" s="81"/>
      <c r="U311" s="81"/>
      <c r="V311" s="81"/>
      <c r="W311" s="81"/>
      <c r="X311" s="81"/>
      <c r="Y311" s="81"/>
      <c r="Z311" s="81"/>
      <c r="AA311" s="81"/>
      <c r="AB311" s="81"/>
      <c r="AC311" s="81"/>
      <c r="AD311" s="81"/>
      <c r="AE311" s="81"/>
      <c r="AF311" s="81"/>
      <c r="AG311" s="81"/>
      <c r="AH311" s="81">
        <f t="shared" si="922"/>
        <v>0</v>
      </c>
      <c r="AI311" s="81">
        <f t="shared" si="923"/>
        <v>0</v>
      </c>
      <c r="AJ311" s="81"/>
      <c r="AK311" s="81"/>
      <c r="AL311" s="81"/>
      <c r="AM311" s="81"/>
      <c r="AN311" s="81"/>
      <c r="AO311" s="81"/>
      <c r="AP311" s="81"/>
      <c r="AQ311" s="81"/>
      <c r="AR311" s="81"/>
      <c r="AS311" s="81"/>
      <c r="AT311" s="81"/>
      <c r="AU311" s="98">
        <f t="shared" si="924"/>
        <v>0</v>
      </c>
      <c r="AV311" s="98">
        <f t="shared" si="925"/>
        <v>0</v>
      </c>
      <c r="AW311" s="98"/>
      <c r="AX311" s="98"/>
      <c r="AY311" s="98"/>
      <c r="AZ311" s="98"/>
      <c r="BA311" s="98"/>
      <c r="BB311" s="98"/>
      <c r="BC311" s="98"/>
      <c r="BD311" s="98"/>
      <c r="BE311" s="98"/>
      <c r="BF311" s="98"/>
      <c r="BG311" s="98"/>
      <c r="BH311" s="98"/>
      <c r="BI311" s="81">
        <f t="shared" si="926"/>
        <v>0</v>
      </c>
      <c r="BJ311" s="98">
        <f t="shared" si="927"/>
        <v>0</v>
      </c>
      <c r="BK311" s="98"/>
      <c r="BL311" s="98"/>
      <c r="BM311" s="98"/>
      <c r="BN311" s="98"/>
      <c r="BO311" s="98"/>
      <c r="BP311" s="81"/>
      <c r="BQ311" s="309">
        <f t="shared" si="928"/>
        <v>0</v>
      </c>
      <c r="BR311" s="98">
        <f t="shared" si="929"/>
        <v>0</v>
      </c>
      <c r="BS311" s="98"/>
      <c r="BT311" s="98"/>
      <c r="BU311" s="98"/>
      <c r="BV311" s="98"/>
      <c r="BW311" s="98"/>
      <c r="BX311" s="98"/>
      <c r="BY311" s="98"/>
      <c r="BZ311" s="98"/>
      <c r="CA311" s="98"/>
      <c r="CB311" s="98"/>
      <c r="CC311" s="98"/>
      <c r="CD311" s="98"/>
      <c r="CE311" s="82"/>
      <c r="CF311" s="85"/>
    </row>
    <row r="312" spans="1:84" s="198" customFormat="1" x14ac:dyDescent="0.2">
      <c r="A312" s="237" t="s">
        <v>17</v>
      </c>
      <c r="B312" s="231" t="s">
        <v>18</v>
      </c>
      <c r="C312" s="329"/>
      <c r="D312" s="232">
        <f t="shared" ref="D312:E312" si="930">SUM(D313:D315)</f>
        <v>872835</v>
      </c>
      <c r="E312" s="303">
        <f t="shared" si="930"/>
        <v>872835</v>
      </c>
      <c r="F312" s="233">
        <f t="shared" ref="F312:CD312" si="931">SUM(F313:F315)</f>
        <v>872835</v>
      </c>
      <c r="G312" s="233">
        <f t="shared" si="931"/>
        <v>872835</v>
      </c>
      <c r="H312" s="233">
        <f t="shared" ref="H312" si="932">SUM(H313:H315)</f>
        <v>0</v>
      </c>
      <c r="I312" s="233">
        <f t="shared" si="931"/>
        <v>0</v>
      </c>
      <c r="J312" s="233">
        <f t="shared" ref="J312" si="933">SUM(J313:J315)</f>
        <v>0</v>
      </c>
      <c r="K312" s="233">
        <f t="shared" si="931"/>
        <v>0</v>
      </c>
      <c r="L312" s="233">
        <f t="shared" si="931"/>
        <v>0</v>
      </c>
      <c r="M312" s="233">
        <f t="shared" si="931"/>
        <v>0</v>
      </c>
      <c r="N312" s="233">
        <f t="shared" si="931"/>
        <v>0</v>
      </c>
      <c r="O312" s="233">
        <f t="shared" si="931"/>
        <v>0</v>
      </c>
      <c r="P312" s="233">
        <f t="shared" si="931"/>
        <v>0</v>
      </c>
      <c r="Q312" s="233">
        <f t="shared" si="931"/>
        <v>0</v>
      </c>
      <c r="R312" s="233">
        <f t="shared" si="931"/>
        <v>0</v>
      </c>
      <c r="S312" s="233">
        <f t="shared" si="931"/>
        <v>0</v>
      </c>
      <c r="T312" s="233"/>
      <c r="U312" s="233">
        <f t="shared" si="931"/>
        <v>0</v>
      </c>
      <c r="V312" s="233"/>
      <c r="W312" s="233">
        <f t="shared" si="931"/>
        <v>0</v>
      </c>
      <c r="X312" s="233">
        <f t="shared" ref="X312" si="934">SUM(X313:X315)</f>
        <v>0</v>
      </c>
      <c r="Y312" s="233">
        <f t="shared" si="931"/>
        <v>0</v>
      </c>
      <c r="Z312" s="233">
        <f t="shared" ref="Z312:AE312" si="935">SUM(Z313:Z315)</f>
        <v>0</v>
      </c>
      <c r="AA312" s="233">
        <f t="shared" ref="AA312:AD312" si="936">SUM(AA313:AA315)</f>
        <v>0</v>
      </c>
      <c r="AB312" s="233">
        <f t="shared" si="936"/>
        <v>0</v>
      </c>
      <c r="AC312" s="233">
        <f t="shared" si="936"/>
        <v>0</v>
      </c>
      <c r="AD312" s="233">
        <f t="shared" si="936"/>
        <v>0</v>
      </c>
      <c r="AE312" s="233">
        <f t="shared" si="935"/>
        <v>0</v>
      </c>
      <c r="AF312" s="233">
        <f t="shared" si="931"/>
        <v>0</v>
      </c>
      <c r="AG312" s="233">
        <f t="shared" si="931"/>
        <v>0</v>
      </c>
      <c r="AH312" s="233">
        <f t="shared" ref="AH312:AS312" si="937">SUM(AH313:AH315)</f>
        <v>0</v>
      </c>
      <c r="AI312" s="233">
        <f t="shared" si="937"/>
        <v>0</v>
      </c>
      <c r="AJ312" s="233">
        <f t="shared" si="937"/>
        <v>0</v>
      </c>
      <c r="AK312" s="233">
        <f t="shared" si="937"/>
        <v>0</v>
      </c>
      <c r="AL312" s="233">
        <f t="shared" si="937"/>
        <v>0</v>
      </c>
      <c r="AM312" s="233">
        <f t="shared" si="937"/>
        <v>0</v>
      </c>
      <c r="AN312" s="233">
        <f t="shared" si="937"/>
        <v>0</v>
      </c>
      <c r="AO312" s="233">
        <f t="shared" si="937"/>
        <v>0</v>
      </c>
      <c r="AP312" s="233">
        <f t="shared" si="937"/>
        <v>0</v>
      </c>
      <c r="AQ312" s="233">
        <f t="shared" si="937"/>
        <v>0</v>
      </c>
      <c r="AR312" s="233">
        <f t="shared" si="937"/>
        <v>0</v>
      </c>
      <c r="AS312" s="233">
        <f t="shared" si="937"/>
        <v>0</v>
      </c>
      <c r="AT312" s="233">
        <f t="shared" si="931"/>
        <v>0</v>
      </c>
      <c r="AU312" s="234">
        <f t="shared" si="931"/>
        <v>0</v>
      </c>
      <c r="AV312" s="234">
        <f t="shared" si="931"/>
        <v>0</v>
      </c>
      <c r="AW312" s="234">
        <f t="shared" si="931"/>
        <v>0</v>
      </c>
      <c r="AX312" s="234">
        <f t="shared" si="931"/>
        <v>0</v>
      </c>
      <c r="AY312" s="234">
        <f t="shared" si="931"/>
        <v>0</v>
      </c>
      <c r="AZ312" s="234">
        <f t="shared" si="931"/>
        <v>0</v>
      </c>
      <c r="BA312" s="234">
        <f t="shared" si="931"/>
        <v>0</v>
      </c>
      <c r="BB312" s="234">
        <f t="shared" si="931"/>
        <v>0</v>
      </c>
      <c r="BC312" s="234">
        <f t="shared" si="931"/>
        <v>0</v>
      </c>
      <c r="BD312" s="234">
        <f t="shared" si="931"/>
        <v>0</v>
      </c>
      <c r="BE312" s="234">
        <f t="shared" si="931"/>
        <v>0</v>
      </c>
      <c r="BF312" s="234">
        <f t="shared" ref="BF312" si="938">SUM(BF313:BF315)</f>
        <v>0</v>
      </c>
      <c r="BG312" s="234">
        <f t="shared" si="931"/>
        <v>0</v>
      </c>
      <c r="BH312" s="234">
        <f t="shared" si="931"/>
        <v>0</v>
      </c>
      <c r="BI312" s="233">
        <f t="shared" ref="BI312:BO312" si="939">SUM(BI313:BI315)</f>
        <v>0</v>
      </c>
      <c r="BJ312" s="234">
        <f t="shared" si="939"/>
        <v>0</v>
      </c>
      <c r="BK312" s="234">
        <f t="shared" si="939"/>
        <v>0</v>
      </c>
      <c r="BL312" s="234">
        <f t="shared" si="939"/>
        <v>0</v>
      </c>
      <c r="BM312" s="234">
        <f t="shared" si="939"/>
        <v>0</v>
      </c>
      <c r="BN312" s="234">
        <f t="shared" si="939"/>
        <v>0</v>
      </c>
      <c r="BO312" s="234">
        <f t="shared" si="939"/>
        <v>0</v>
      </c>
      <c r="BP312" s="233">
        <f t="shared" si="931"/>
        <v>0</v>
      </c>
      <c r="BQ312" s="315">
        <f t="shared" si="931"/>
        <v>0</v>
      </c>
      <c r="BR312" s="234">
        <f t="shared" si="931"/>
        <v>0</v>
      </c>
      <c r="BS312" s="234">
        <f t="shared" si="931"/>
        <v>0</v>
      </c>
      <c r="BT312" s="234">
        <f t="shared" si="931"/>
        <v>0</v>
      </c>
      <c r="BU312" s="234">
        <f t="shared" si="931"/>
        <v>0</v>
      </c>
      <c r="BV312" s="234">
        <f t="shared" si="931"/>
        <v>0</v>
      </c>
      <c r="BW312" s="234">
        <f t="shared" si="931"/>
        <v>0</v>
      </c>
      <c r="BX312" s="234">
        <f t="shared" si="931"/>
        <v>0</v>
      </c>
      <c r="BY312" s="234">
        <f t="shared" si="931"/>
        <v>0</v>
      </c>
      <c r="BZ312" s="234">
        <f t="shared" si="931"/>
        <v>0</v>
      </c>
      <c r="CA312" s="234">
        <f t="shared" si="931"/>
        <v>0</v>
      </c>
      <c r="CB312" s="234">
        <f t="shared" ref="CB312:CC312" si="940">SUM(CB313:CB315)</f>
        <v>0</v>
      </c>
      <c r="CC312" s="234">
        <f t="shared" si="940"/>
        <v>0</v>
      </c>
      <c r="CD312" s="234">
        <f t="shared" si="931"/>
        <v>0</v>
      </c>
      <c r="CE312" s="235"/>
      <c r="CF312" s="236"/>
    </row>
    <row r="313" spans="1:84" s="194" customFormat="1" ht="27.75" customHeight="1" x14ac:dyDescent="0.2">
      <c r="A313" s="108"/>
      <c r="B313" s="426" t="s">
        <v>237</v>
      </c>
      <c r="C313" s="427"/>
      <c r="D313" s="80">
        <f t="shared" ref="D313:D315" si="941">F313+AG313+AT313+BH313+BP313</f>
        <v>500500</v>
      </c>
      <c r="E313" s="295">
        <f t="shared" ref="E313:E315" si="942">G313+AH313+AU313+BI313+BQ313</f>
        <v>500500</v>
      </c>
      <c r="F313" s="81">
        <v>500500</v>
      </c>
      <c r="G313" s="81">
        <f t="shared" ref="G313:G315" si="943">F313+H313</f>
        <v>500500</v>
      </c>
      <c r="H313" s="81">
        <f t="shared" ref="H313:H315" si="944">SUM(I313:AF313)</f>
        <v>0</v>
      </c>
      <c r="I313" s="81"/>
      <c r="J313" s="81"/>
      <c r="K313" s="81"/>
      <c r="L313" s="81"/>
      <c r="M313" s="81"/>
      <c r="N313" s="81"/>
      <c r="O313" s="81"/>
      <c r="P313" s="81"/>
      <c r="Q313" s="81"/>
      <c r="R313" s="81"/>
      <c r="S313" s="81"/>
      <c r="T313" s="81"/>
      <c r="U313" s="81"/>
      <c r="V313" s="81"/>
      <c r="W313" s="81"/>
      <c r="X313" s="81"/>
      <c r="Y313" s="81"/>
      <c r="Z313" s="81"/>
      <c r="AA313" s="81"/>
      <c r="AB313" s="81"/>
      <c r="AC313" s="81"/>
      <c r="AD313" s="81"/>
      <c r="AE313" s="81"/>
      <c r="AF313" s="81"/>
      <c r="AG313" s="81"/>
      <c r="AH313" s="81">
        <f t="shared" ref="AH313:AH315" si="945">AG313+AI313</f>
        <v>0</v>
      </c>
      <c r="AI313" s="81">
        <f t="shared" ref="AI313:AI315" si="946">SUM(AJ313:AS313)</f>
        <v>0</v>
      </c>
      <c r="AJ313" s="81"/>
      <c r="AK313" s="81"/>
      <c r="AL313" s="81"/>
      <c r="AM313" s="81"/>
      <c r="AN313" s="81"/>
      <c r="AO313" s="81"/>
      <c r="AP313" s="81"/>
      <c r="AQ313" s="81"/>
      <c r="AR313" s="81"/>
      <c r="AS313" s="81"/>
      <c r="AT313" s="81"/>
      <c r="AU313" s="98">
        <f t="shared" ref="AU313:AU315" si="947">AT313+AV313</f>
        <v>0</v>
      </c>
      <c r="AV313" s="98">
        <f t="shared" ref="AV313:AV315" si="948">SUM(AW313:BG313)</f>
        <v>0</v>
      </c>
      <c r="AW313" s="98"/>
      <c r="AX313" s="98"/>
      <c r="AY313" s="98"/>
      <c r="AZ313" s="98"/>
      <c r="BA313" s="98"/>
      <c r="BB313" s="98"/>
      <c r="BC313" s="98"/>
      <c r="BD313" s="98"/>
      <c r="BE313" s="98"/>
      <c r="BF313" s="98"/>
      <c r="BG313" s="98"/>
      <c r="BH313" s="98"/>
      <c r="BI313" s="81">
        <f t="shared" ref="BI313:BI315" si="949">BH313+BJ313</f>
        <v>0</v>
      </c>
      <c r="BJ313" s="98">
        <f t="shared" ref="BJ313:BJ315" si="950">SUM(BK313:BO313)</f>
        <v>0</v>
      </c>
      <c r="BK313" s="98"/>
      <c r="BL313" s="98"/>
      <c r="BM313" s="98"/>
      <c r="BN313" s="98"/>
      <c r="BO313" s="98"/>
      <c r="BP313" s="81"/>
      <c r="BQ313" s="309">
        <f t="shared" ref="BQ313:BQ315" si="951">BP313+BR313</f>
        <v>0</v>
      </c>
      <c r="BR313" s="98">
        <f t="shared" ref="BR313:BR315" si="952">SUM(BS313:CD313)</f>
        <v>0</v>
      </c>
      <c r="BS313" s="98"/>
      <c r="BT313" s="98"/>
      <c r="BU313" s="98"/>
      <c r="BV313" s="98"/>
      <c r="BW313" s="98"/>
      <c r="BX313" s="98"/>
      <c r="BY313" s="98"/>
      <c r="BZ313" s="98"/>
      <c r="CA313" s="98"/>
      <c r="CB313" s="98"/>
      <c r="CC313" s="98"/>
      <c r="CD313" s="98"/>
      <c r="CE313" s="82"/>
      <c r="CF313" s="85"/>
    </row>
    <row r="314" spans="1:84" s="194" customFormat="1" x14ac:dyDescent="0.2">
      <c r="A314" s="108"/>
      <c r="B314" s="426" t="s">
        <v>598</v>
      </c>
      <c r="C314" s="427"/>
      <c r="D314" s="80">
        <f t="shared" si="941"/>
        <v>284577</v>
      </c>
      <c r="E314" s="295">
        <f t="shared" si="942"/>
        <v>284577</v>
      </c>
      <c r="F314" s="81">
        <v>284577</v>
      </c>
      <c r="G314" s="81">
        <f t="shared" si="943"/>
        <v>284577</v>
      </c>
      <c r="H314" s="81">
        <f t="shared" si="944"/>
        <v>0</v>
      </c>
      <c r="I314" s="81"/>
      <c r="J314" s="81"/>
      <c r="K314" s="81"/>
      <c r="L314" s="81"/>
      <c r="M314" s="81"/>
      <c r="N314" s="81"/>
      <c r="O314" s="81"/>
      <c r="P314" s="81"/>
      <c r="Q314" s="81"/>
      <c r="R314" s="81"/>
      <c r="S314" s="81"/>
      <c r="T314" s="81"/>
      <c r="U314" s="81"/>
      <c r="V314" s="81"/>
      <c r="W314" s="81"/>
      <c r="X314" s="81"/>
      <c r="Y314" s="81"/>
      <c r="Z314" s="81"/>
      <c r="AA314" s="81"/>
      <c r="AB314" s="81"/>
      <c r="AC314" s="81"/>
      <c r="AD314" s="81"/>
      <c r="AE314" s="81"/>
      <c r="AF314" s="81"/>
      <c r="AG314" s="81"/>
      <c r="AH314" s="81">
        <f t="shared" si="945"/>
        <v>0</v>
      </c>
      <c r="AI314" s="81">
        <f t="shared" si="946"/>
        <v>0</v>
      </c>
      <c r="AJ314" s="81"/>
      <c r="AK314" s="81"/>
      <c r="AL314" s="81"/>
      <c r="AM314" s="81"/>
      <c r="AN314" s="81"/>
      <c r="AO314" s="81"/>
      <c r="AP314" s="81"/>
      <c r="AQ314" s="81"/>
      <c r="AR314" s="81"/>
      <c r="AS314" s="81"/>
      <c r="AT314" s="81"/>
      <c r="AU314" s="98">
        <f t="shared" si="947"/>
        <v>0</v>
      </c>
      <c r="AV314" s="98">
        <f t="shared" si="948"/>
        <v>0</v>
      </c>
      <c r="AW314" s="98"/>
      <c r="AX314" s="98"/>
      <c r="AY314" s="98"/>
      <c r="AZ314" s="98"/>
      <c r="BA314" s="98"/>
      <c r="BB314" s="98"/>
      <c r="BC314" s="98"/>
      <c r="BD314" s="98"/>
      <c r="BE314" s="98"/>
      <c r="BF314" s="98"/>
      <c r="BG314" s="98"/>
      <c r="BH314" s="98"/>
      <c r="BI314" s="81">
        <f t="shared" si="949"/>
        <v>0</v>
      </c>
      <c r="BJ314" s="98">
        <f t="shared" si="950"/>
        <v>0</v>
      </c>
      <c r="BK314" s="98"/>
      <c r="BL314" s="98"/>
      <c r="BM314" s="98"/>
      <c r="BN314" s="98"/>
      <c r="BO314" s="98"/>
      <c r="BP314" s="81"/>
      <c r="BQ314" s="309">
        <f t="shared" si="951"/>
        <v>0</v>
      </c>
      <c r="BR314" s="98">
        <f t="shared" si="952"/>
        <v>0</v>
      </c>
      <c r="BS314" s="98"/>
      <c r="BT314" s="98"/>
      <c r="BU314" s="98"/>
      <c r="BV314" s="98"/>
      <c r="BW314" s="98"/>
      <c r="BX314" s="98"/>
      <c r="BY314" s="98"/>
      <c r="BZ314" s="98"/>
      <c r="CA314" s="98"/>
      <c r="CB314" s="98"/>
      <c r="CC314" s="98"/>
      <c r="CD314" s="98"/>
      <c r="CE314" s="82"/>
      <c r="CF314" s="85"/>
    </row>
    <row r="315" spans="1:84" s="194" customFormat="1" ht="27.75" customHeight="1" x14ac:dyDescent="0.2">
      <c r="A315" s="108"/>
      <c r="B315" s="426" t="s">
        <v>599</v>
      </c>
      <c r="C315" s="427"/>
      <c r="D315" s="80">
        <f t="shared" si="941"/>
        <v>87758</v>
      </c>
      <c r="E315" s="295">
        <f t="shared" si="942"/>
        <v>87758</v>
      </c>
      <c r="F315" s="81">
        <v>87758</v>
      </c>
      <c r="G315" s="81">
        <f t="shared" si="943"/>
        <v>87758</v>
      </c>
      <c r="H315" s="81">
        <f t="shared" si="944"/>
        <v>0</v>
      </c>
      <c r="I315" s="81"/>
      <c r="J315" s="81"/>
      <c r="K315" s="81"/>
      <c r="L315" s="81"/>
      <c r="M315" s="81"/>
      <c r="N315" s="81"/>
      <c r="O315" s="81"/>
      <c r="P315" s="81"/>
      <c r="Q315" s="81"/>
      <c r="R315" s="81"/>
      <c r="S315" s="81"/>
      <c r="T315" s="81"/>
      <c r="U315" s="81"/>
      <c r="V315" s="81"/>
      <c r="W315" s="81"/>
      <c r="X315" s="81"/>
      <c r="Y315" s="81"/>
      <c r="Z315" s="81"/>
      <c r="AA315" s="81"/>
      <c r="AB315" s="81"/>
      <c r="AC315" s="81"/>
      <c r="AD315" s="81"/>
      <c r="AE315" s="81"/>
      <c r="AF315" s="81"/>
      <c r="AG315" s="81"/>
      <c r="AH315" s="81">
        <f t="shared" si="945"/>
        <v>0</v>
      </c>
      <c r="AI315" s="81">
        <f t="shared" si="946"/>
        <v>0</v>
      </c>
      <c r="AJ315" s="81"/>
      <c r="AK315" s="81"/>
      <c r="AL315" s="81"/>
      <c r="AM315" s="81"/>
      <c r="AN315" s="81"/>
      <c r="AO315" s="81"/>
      <c r="AP315" s="81"/>
      <c r="AQ315" s="81"/>
      <c r="AR315" s="81"/>
      <c r="AS315" s="81"/>
      <c r="AT315" s="81"/>
      <c r="AU315" s="98">
        <f t="shared" si="947"/>
        <v>0</v>
      </c>
      <c r="AV315" s="98">
        <f t="shared" si="948"/>
        <v>0</v>
      </c>
      <c r="AW315" s="98"/>
      <c r="AX315" s="98"/>
      <c r="AY315" s="98"/>
      <c r="AZ315" s="98"/>
      <c r="BA315" s="98"/>
      <c r="BB315" s="98"/>
      <c r="BC315" s="98"/>
      <c r="BD315" s="98"/>
      <c r="BE315" s="98"/>
      <c r="BF315" s="98"/>
      <c r="BG315" s="98"/>
      <c r="BH315" s="98"/>
      <c r="BI315" s="81">
        <f t="shared" si="949"/>
        <v>0</v>
      </c>
      <c r="BJ315" s="98">
        <f t="shared" si="950"/>
        <v>0</v>
      </c>
      <c r="BK315" s="98"/>
      <c r="BL315" s="98"/>
      <c r="BM315" s="98"/>
      <c r="BN315" s="98"/>
      <c r="BO315" s="98"/>
      <c r="BP315" s="81"/>
      <c r="BQ315" s="309">
        <f t="shared" si="951"/>
        <v>0</v>
      </c>
      <c r="BR315" s="98">
        <f t="shared" si="952"/>
        <v>0</v>
      </c>
      <c r="BS315" s="98"/>
      <c r="BT315" s="98"/>
      <c r="BU315" s="98"/>
      <c r="BV315" s="98"/>
      <c r="BW315" s="98"/>
      <c r="BX315" s="98"/>
      <c r="BY315" s="98"/>
      <c r="BZ315" s="98"/>
      <c r="CA315" s="98"/>
      <c r="CB315" s="98"/>
      <c r="CC315" s="98"/>
      <c r="CD315" s="98"/>
      <c r="CE315" s="82"/>
      <c r="CF315" s="85"/>
    </row>
    <row r="316" spans="1:84" s="198" customFormat="1" x14ac:dyDescent="0.2">
      <c r="A316" s="237">
        <v>10</v>
      </c>
      <c r="B316" s="231" t="s">
        <v>21</v>
      </c>
      <c r="C316" s="329"/>
      <c r="D316" s="232">
        <f t="shared" ref="D316:E316" si="953">SUM(D317:D318)</f>
        <v>166682</v>
      </c>
      <c r="E316" s="303">
        <f t="shared" si="953"/>
        <v>166682</v>
      </c>
      <c r="F316" s="233">
        <f t="shared" ref="F316:CD316" si="954">SUM(F317:F318)</f>
        <v>166682</v>
      </c>
      <c r="G316" s="233">
        <f t="shared" si="954"/>
        <v>166682</v>
      </c>
      <c r="H316" s="233">
        <f t="shared" ref="H316" si="955">SUM(H317:H318)</f>
        <v>0</v>
      </c>
      <c r="I316" s="233">
        <f t="shared" si="954"/>
        <v>0</v>
      </c>
      <c r="J316" s="233">
        <f t="shared" ref="J316" si="956">SUM(J317:J318)</f>
        <v>0</v>
      </c>
      <c r="K316" s="233">
        <f t="shared" si="954"/>
        <v>0</v>
      </c>
      <c r="L316" s="233">
        <f t="shared" si="954"/>
        <v>0</v>
      </c>
      <c r="M316" s="233">
        <f t="shared" si="954"/>
        <v>0</v>
      </c>
      <c r="N316" s="233">
        <f t="shared" si="954"/>
        <v>0</v>
      </c>
      <c r="O316" s="233">
        <f t="shared" si="954"/>
        <v>0</v>
      </c>
      <c r="P316" s="233">
        <f t="shared" si="954"/>
        <v>0</v>
      </c>
      <c r="Q316" s="233">
        <f t="shared" si="954"/>
        <v>0</v>
      </c>
      <c r="R316" s="233">
        <f t="shared" si="954"/>
        <v>0</v>
      </c>
      <c r="S316" s="233">
        <f t="shared" si="954"/>
        <v>0</v>
      </c>
      <c r="T316" s="233"/>
      <c r="U316" s="233">
        <f t="shared" si="954"/>
        <v>0</v>
      </c>
      <c r="V316" s="233"/>
      <c r="W316" s="233">
        <f t="shared" si="954"/>
        <v>0</v>
      </c>
      <c r="X316" s="233">
        <f t="shared" ref="X316" si="957">SUM(X317:X318)</f>
        <v>0</v>
      </c>
      <c r="Y316" s="233">
        <f t="shared" si="954"/>
        <v>0</v>
      </c>
      <c r="Z316" s="233">
        <f t="shared" ref="Z316:AE316" si="958">SUM(Z317:Z318)</f>
        <v>0</v>
      </c>
      <c r="AA316" s="233">
        <f t="shared" ref="AA316:AD316" si="959">SUM(AA317:AA318)</f>
        <v>0</v>
      </c>
      <c r="AB316" s="233">
        <f t="shared" si="959"/>
        <v>0</v>
      </c>
      <c r="AC316" s="233">
        <f t="shared" si="959"/>
        <v>0</v>
      </c>
      <c r="AD316" s="233">
        <f t="shared" si="959"/>
        <v>0</v>
      </c>
      <c r="AE316" s="233">
        <f t="shared" si="958"/>
        <v>0</v>
      </c>
      <c r="AF316" s="233">
        <f t="shared" si="954"/>
        <v>0</v>
      </c>
      <c r="AG316" s="233">
        <f t="shared" si="954"/>
        <v>0</v>
      </c>
      <c r="AH316" s="233">
        <f t="shared" ref="AH316:AS316" si="960">SUM(AH317:AH318)</f>
        <v>0</v>
      </c>
      <c r="AI316" s="233">
        <f t="shared" si="960"/>
        <v>0</v>
      </c>
      <c r="AJ316" s="233">
        <f t="shared" si="960"/>
        <v>0</v>
      </c>
      <c r="AK316" s="233">
        <f t="shared" si="960"/>
        <v>0</v>
      </c>
      <c r="AL316" s="233">
        <f t="shared" si="960"/>
        <v>0</v>
      </c>
      <c r="AM316" s="233">
        <f t="shared" si="960"/>
        <v>0</v>
      </c>
      <c r="AN316" s="233">
        <f t="shared" si="960"/>
        <v>0</v>
      </c>
      <c r="AO316" s="233">
        <f t="shared" si="960"/>
        <v>0</v>
      </c>
      <c r="AP316" s="233">
        <f t="shared" si="960"/>
        <v>0</v>
      </c>
      <c r="AQ316" s="233">
        <f t="shared" si="960"/>
        <v>0</v>
      </c>
      <c r="AR316" s="233">
        <f t="shared" si="960"/>
        <v>0</v>
      </c>
      <c r="AS316" s="233">
        <f t="shared" si="960"/>
        <v>0</v>
      </c>
      <c r="AT316" s="233">
        <f t="shared" si="954"/>
        <v>0</v>
      </c>
      <c r="AU316" s="234">
        <f t="shared" si="954"/>
        <v>0</v>
      </c>
      <c r="AV316" s="234">
        <f t="shared" si="954"/>
        <v>0</v>
      </c>
      <c r="AW316" s="234">
        <f t="shared" si="954"/>
        <v>0</v>
      </c>
      <c r="AX316" s="234">
        <f t="shared" si="954"/>
        <v>0</v>
      </c>
      <c r="AY316" s="234">
        <f t="shared" si="954"/>
        <v>0</v>
      </c>
      <c r="AZ316" s="234">
        <f t="shared" si="954"/>
        <v>0</v>
      </c>
      <c r="BA316" s="234">
        <f t="shared" si="954"/>
        <v>0</v>
      </c>
      <c r="BB316" s="234">
        <f t="shared" si="954"/>
        <v>0</v>
      </c>
      <c r="BC316" s="234">
        <f t="shared" si="954"/>
        <v>0</v>
      </c>
      <c r="BD316" s="234">
        <f t="shared" si="954"/>
        <v>0</v>
      </c>
      <c r="BE316" s="234">
        <f t="shared" si="954"/>
        <v>0</v>
      </c>
      <c r="BF316" s="234">
        <f t="shared" ref="BF316" si="961">SUM(BF317:BF318)</f>
        <v>0</v>
      </c>
      <c r="BG316" s="234">
        <f t="shared" si="954"/>
        <v>0</v>
      </c>
      <c r="BH316" s="234">
        <f t="shared" si="954"/>
        <v>0</v>
      </c>
      <c r="BI316" s="233">
        <f t="shared" ref="BI316:BO316" si="962">SUM(BI317:BI318)</f>
        <v>0</v>
      </c>
      <c r="BJ316" s="234">
        <f t="shared" si="962"/>
        <v>0</v>
      </c>
      <c r="BK316" s="234">
        <f t="shared" si="962"/>
        <v>0</v>
      </c>
      <c r="BL316" s="234">
        <f t="shared" si="962"/>
        <v>0</v>
      </c>
      <c r="BM316" s="234">
        <f t="shared" si="962"/>
        <v>0</v>
      </c>
      <c r="BN316" s="234">
        <f t="shared" si="962"/>
        <v>0</v>
      </c>
      <c r="BO316" s="234">
        <f t="shared" si="962"/>
        <v>0</v>
      </c>
      <c r="BP316" s="233">
        <f t="shared" si="954"/>
        <v>0</v>
      </c>
      <c r="BQ316" s="315">
        <f t="shared" si="954"/>
        <v>0</v>
      </c>
      <c r="BR316" s="234">
        <f t="shared" si="954"/>
        <v>0</v>
      </c>
      <c r="BS316" s="234">
        <f t="shared" si="954"/>
        <v>0</v>
      </c>
      <c r="BT316" s="234">
        <f t="shared" si="954"/>
        <v>0</v>
      </c>
      <c r="BU316" s="234">
        <f t="shared" si="954"/>
        <v>0</v>
      </c>
      <c r="BV316" s="234">
        <f t="shared" si="954"/>
        <v>0</v>
      </c>
      <c r="BW316" s="234">
        <f t="shared" si="954"/>
        <v>0</v>
      </c>
      <c r="BX316" s="234">
        <f t="shared" si="954"/>
        <v>0</v>
      </c>
      <c r="BY316" s="234">
        <f t="shared" si="954"/>
        <v>0</v>
      </c>
      <c r="BZ316" s="234">
        <f t="shared" si="954"/>
        <v>0</v>
      </c>
      <c r="CA316" s="234">
        <f t="shared" si="954"/>
        <v>0</v>
      </c>
      <c r="CB316" s="234">
        <f t="shared" ref="CB316:CC316" si="963">SUM(CB317:CB318)</f>
        <v>0</v>
      </c>
      <c r="CC316" s="234">
        <f t="shared" si="963"/>
        <v>0</v>
      </c>
      <c r="CD316" s="234">
        <f t="shared" si="954"/>
        <v>0</v>
      </c>
      <c r="CE316" s="235"/>
      <c r="CF316" s="236"/>
    </row>
    <row r="317" spans="1:84" s="194" customFormat="1" ht="27" customHeight="1" x14ac:dyDescent="0.2">
      <c r="A317" s="108"/>
      <c r="B317" s="426" t="s">
        <v>600</v>
      </c>
      <c r="C317" s="427"/>
      <c r="D317" s="80">
        <f t="shared" ref="D317:D318" si="964">F317+AG317+AT317+BH317+BP317</f>
        <v>160586</v>
      </c>
      <c r="E317" s="295">
        <f t="shared" ref="E317:E318" si="965">G317+AH317+AU317+BI317+BQ317</f>
        <v>160586</v>
      </c>
      <c r="F317" s="81">
        <v>160586</v>
      </c>
      <c r="G317" s="81">
        <f t="shared" ref="G317:G318" si="966">F317+H317</f>
        <v>160586</v>
      </c>
      <c r="H317" s="81">
        <f t="shared" ref="H317:H318" si="967">SUM(I317:AF317)</f>
        <v>0</v>
      </c>
      <c r="I317" s="81"/>
      <c r="J317" s="81"/>
      <c r="K317" s="81"/>
      <c r="L317" s="81"/>
      <c r="M317" s="81"/>
      <c r="N317" s="81"/>
      <c r="O317" s="81"/>
      <c r="P317" s="81"/>
      <c r="Q317" s="81"/>
      <c r="R317" s="81"/>
      <c r="S317" s="81"/>
      <c r="T317" s="81"/>
      <c r="U317" s="81"/>
      <c r="V317" s="81"/>
      <c r="W317" s="81"/>
      <c r="X317" s="81"/>
      <c r="Y317" s="81"/>
      <c r="Z317" s="81"/>
      <c r="AA317" s="81"/>
      <c r="AB317" s="81"/>
      <c r="AC317" s="81"/>
      <c r="AD317" s="81"/>
      <c r="AE317" s="81"/>
      <c r="AF317" s="81"/>
      <c r="AG317" s="81"/>
      <c r="AH317" s="81">
        <f t="shared" ref="AH317:AH318" si="968">AG317+AI317</f>
        <v>0</v>
      </c>
      <c r="AI317" s="81">
        <f t="shared" ref="AI317:AI318" si="969">SUM(AJ317:AS317)</f>
        <v>0</v>
      </c>
      <c r="AJ317" s="81"/>
      <c r="AK317" s="81"/>
      <c r="AL317" s="81"/>
      <c r="AM317" s="81"/>
      <c r="AN317" s="81"/>
      <c r="AO317" s="81"/>
      <c r="AP317" s="81"/>
      <c r="AQ317" s="81"/>
      <c r="AR317" s="81"/>
      <c r="AS317" s="81"/>
      <c r="AT317" s="81"/>
      <c r="AU317" s="98">
        <f t="shared" ref="AU317:AU319" si="970">AT317+AV317</f>
        <v>0</v>
      </c>
      <c r="AV317" s="98">
        <f t="shared" ref="AV317:AV319" si="971">SUM(AW317:BG317)</f>
        <v>0</v>
      </c>
      <c r="AW317" s="98"/>
      <c r="AX317" s="98"/>
      <c r="AY317" s="98"/>
      <c r="AZ317" s="98"/>
      <c r="BA317" s="98"/>
      <c r="BB317" s="98"/>
      <c r="BC317" s="98"/>
      <c r="BD317" s="98"/>
      <c r="BE317" s="98"/>
      <c r="BF317" s="98"/>
      <c r="BG317" s="98"/>
      <c r="BH317" s="98"/>
      <c r="BI317" s="81">
        <f t="shared" ref="BI317:BI319" si="972">BH317+BJ317</f>
        <v>0</v>
      </c>
      <c r="BJ317" s="98">
        <f t="shared" ref="BJ317:BJ319" si="973">SUM(BK317:BO317)</f>
        <v>0</v>
      </c>
      <c r="BK317" s="98"/>
      <c r="BL317" s="98"/>
      <c r="BM317" s="98"/>
      <c r="BN317" s="98"/>
      <c r="BO317" s="98"/>
      <c r="BP317" s="81"/>
      <c r="BQ317" s="309">
        <f t="shared" ref="BQ317:BQ319" si="974">BP317+BR317</f>
        <v>0</v>
      </c>
      <c r="BR317" s="98">
        <f t="shared" ref="BR317:BR319" si="975">SUM(BS317:CD317)</f>
        <v>0</v>
      </c>
      <c r="BS317" s="98"/>
      <c r="BT317" s="98"/>
      <c r="BU317" s="98"/>
      <c r="BV317" s="98"/>
      <c r="BW317" s="98"/>
      <c r="BX317" s="98"/>
      <c r="BY317" s="98"/>
      <c r="BZ317" s="98"/>
      <c r="CA317" s="98"/>
      <c r="CB317" s="98"/>
      <c r="CC317" s="98"/>
      <c r="CD317" s="98"/>
      <c r="CE317" s="82"/>
      <c r="CF317" s="85"/>
    </row>
    <row r="318" spans="1:84" s="194" customFormat="1" ht="23.25" customHeight="1" x14ac:dyDescent="0.2">
      <c r="A318" s="108"/>
      <c r="B318" s="426" t="s">
        <v>601</v>
      </c>
      <c r="C318" s="427"/>
      <c r="D318" s="80">
        <f t="shared" si="964"/>
        <v>6096</v>
      </c>
      <c r="E318" s="295">
        <f t="shared" si="965"/>
        <v>6096</v>
      </c>
      <c r="F318" s="81">
        <v>6096</v>
      </c>
      <c r="G318" s="81">
        <f t="shared" si="966"/>
        <v>6096</v>
      </c>
      <c r="H318" s="81">
        <f t="shared" si="967"/>
        <v>0</v>
      </c>
      <c r="I318" s="81"/>
      <c r="J318" s="81"/>
      <c r="K318" s="81"/>
      <c r="L318" s="81"/>
      <c r="M318" s="81"/>
      <c r="N318" s="81"/>
      <c r="O318" s="81"/>
      <c r="P318" s="81"/>
      <c r="Q318" s="81"/>
      <c r="R318" s="81"/>
      <c r="S318" s="81"/>
      <c r="T318" s="81"/>
      <c r="U318" s="81"/>
      <c r="V318" s="81"/>
      <c r="W318" s="81"/>
      <c r="X318" s="81"/>
      <c r="Y318" s="81"/>
      <c r="Z318" s="81"/>
      <c r="AA318" s="81"/>
      <c r="AB318" s="81"/>
      <c r="AC318" s="81"/>
      <c r="AD318" s="81"/>
      <c r="AE318" s="81"/>
      <c r="AF318" s="81"/>
      <c r="AG318" s="81"/>
      <c r="AH318" s="81">
        <f t="shared" si="968"/>
        <v>0</v>
      </c>
      <c r="AI318" s="81">
        <f t="shared" si="969"/>
        <v>0</v>
      </c>
      <c r="AJ318" s="81"/>
      <c r="AK318" s="81"/>
      <c r="AL318" s="81"/>
      <c r="AM318" s="81"/>
      <c r="AN318" s="81"/>
      <c r="AO318" s="81"/>
      <c r="AP318" s="81"/>
      <c r="AQ318" s="81"/>
      <c r="AR318" s="81"/>
      <c r="AS318" s="81"/>
      <c r="AT318" s="81"/>
      <c r="AU318" s="98">
        <f t="shared" si="970"/>
        <v>0</v>
      </c>
      <c r="AV318" s="98">
        <f t="shared" si="971"/>
        <v>0</v>
      </c>
      <c r="AW318" s="98"/>
      <c r="AX318" s="98"/>
      <c r="AY318" s="98"/>
      <c r="AZ318" s="98"/>
      <c r="BA318" s="98"/>
      <c r="BB318" s="98"/>
      <c r="BC318" s="98"/>
      <c r="BD318" s="98"/>
      <c r="BE318" s="98"/>
      <c r="BF318" s="98"/>
      <c r="BG318" s="98"/>
      <c r="BH318" s="98"/>
      <c r="BI318" s="81">
        <f t="shared" si="972"/>
        <v>0</v>
      </c>
      <c r="BJ318" s="98">
        <f t="shared" si="973"/>
        <v>0</v>
      </c>
      <c r="BK318" s="98"/>
      <c r="BL318" s="98"/>
      <c r="BM318" s="98"/>
      <c r="BN318" s="98"/>
      <c r="BO318" s="98"/>
      <c r="BP318" s="81"/>
      <c r="BQ318" s="309">
        <f t="shared" si="974"/>
        <v>0</v>
      </c>
      <c r="BR318" s="98">
        <f t="shared" si="975"/>
        <v>0</v>
      </c>
      <c r="BS318" s="98"/>
      <c r="BT318" s="98"/>
      <c r="BU318" s="98"/>
      <c r="BV318" s="98"/>
      <c r="BW318" s="98"/>
      <c r="BX318" s="98"/>
      <c r="BY318" s="98"/>
      <c r="BZ318" s="98"/>
      <c r="CA318" s="98"/>
      <c r="CB318" s="98"/>
      <c r="CC318" s="98"/>
      <c r="CD318" s="98"/>
      <c r="CE318" s="82"/>
      <c r="CF318" s="85"/>
    </row>
    <row r="319" spans="1:84" s="194" customFormat="1" ht="10.5" customHeight="1" thickBot="1" x14ac:dyDescent="0.25">
      <c r="A319" s="102"/>
      <c r="B319" s="287"/>
      <c r="C319" s="327"/>
      <c r="D319" s="139"/>
      <c r="E319" s="299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  <c r="R319" s="170"/>
      <c r="S319" s="170"/>
      <c r="T319" s="170"/>
      <c r="U319" s="170"/>
      <c r="V319" s="170"/>
      <c r="W319" s="170"/>
      <c r="X319" s="170"/>
      <c r="Y319" s="170"/>
      <c r="Z319" s="170"/>
      <c r="AA319" s="170"/>
      <c r="AB319" s="170"/>
      <c r="AC319" s="170"/>
      <c r="AD319" s="170"/>
      <c r="AE319" s="170"/>
      <c r="AF319" s="170"/>
      <c r="AG319" s="170"/>
      <c r="AH319" s="170"/>
      <c r="AI319" s="170"/>
      <c r="AJ319" s="170"/>
      <c r="AK319" s="170"/>
      <c r="AL319" s="170"/>
      <c r="AM319" s="170"/>
      <c r="AN319" s="170"/>
      <c r="AO319" s="170"/>
      <c r="AP319" s="170"/>
      <c r="AQ319" s="170"/>
      <c r="AR319" s="170"/>
      <c r="AS319" s="170"/>
      <c r="AT319" s="170"/>
      <c r="AU319" s="203">
        <f t="shared" si="970"/>
        <v>0</v>
      </c>
      <c r="AV319" s="203">
        <f t="shared" si="971"/>
        <v>0</v>
      </c>
      <c r="AW319" s="203"/>
      <c r="AX319" s="203"/>
      <c r="AY319" s="203"/>
      <c r="AZ319" s="203"/>
      <c r="BA319" s="203"/>
      <c r="BB319" s="203"/>
      <c r="BC319" s="203"/>
      <c r="BD319" s="203"/>
      <c r="BE319" s="203"/>
      <c r="BF319" s="203"/>
      <c r="BG319" s="203"/>
      <c r="BH319" s="203"/>
      <c r="BI319" s="81">
        <f t="shared" si="972"/>
        <v>0</v>
      </c>
      <c r="BJ319" s="98">
        <f t="shared" si="973"/>
        <v>0</v>
      </c>
      <c r="BK319" s="203"/>
      <c r="BL319" s="203"/>
      <c r="BM319" s="203"/>
      <c r="BN319" s="203"/>
      <c r="BO319" s="203"/>
      <c r="BP319" s="170"/>
      <c r="BQ319" s="311">
        <f t="shared" si="974"/>
        <v>0</v>
      </c>
      <c r="BR319" s="203">
        <f t="shared" si="975"/>
        <v>0</v>
      </c>
      <c r="BS319" s="203"/>
      <c r="BT319" s="203"/>
      <c r="BU319" s="203"/>
      <c r="BV319" s="203"/>
      <c r="BW319" s="203"/>
      <c r="BX319" s="203"/>
      <c r="BY319" s="203"/>
      <c r="BZ319" s="203"/>
      <c r="CA319" s="203"/>
      <c r="CB319" s="203"/>
      <c r="CC319" s="203"/>
      <c r="CD319" s="203"/>
      <c r="CE319" s="204"/>
      <c r="CF319" s="88"/>
    </row>
    <row r="320" spans="1:84" s="194" customFormat="1" ht="12.75" thickTop="1" x14ac:dyDescent="0.2">
      <c r="A320" s="129" t="s">
        <v>609</v>
      </c>
      <c r="B320" s="212" t="s">
        <v>458</v>
      </c>
      <c r="C320" s="324"/>
      <c r="D320" s="207">
        <f>SUM(D321:D322)</f>
        <v>73605</v>
      </c>
      <c r="E320" s="208">
        <f t="shared" ref="E320:BX320" si="976">SUM(E321:E322)</f>
        <v>562893</v>
      </c>
      <c r="F320" s="208">
        <f t="shared" si="976"/>
        <v>73605</v>
      </c>
      <c r="G320" s="208">
        <f t="shared" si="976"/>
        <v>562893</v>
      </c>
      <c r="H320" s="208">
        <f t="shared" si="976"/>
        <v>489288</v>
      </c>
      <c r="I320" s="208">
        <f t="shared" si="976"/>
        <v>0</v>
      </c>
      <c r="J320" s="208">
        <f t="shared" si="976"/>
        <v>0</v>
      </c>
      <c r="K320" s="208">
        <f t="shared" si="976"/>
        <v>0</v>
      </c>
      <c r="L320" s="208">
        <f t="shared" si="976"/>
        <v>0</v>
      </c>
      <c r="M320" s="208">
        <f t="shared" si="976"/>
        <v>0</v>
      </c>
      <c r="N320" s="208">
        <f t="shared" si="976"/>
        <v>0</v>
      </c>
      <c r="O320" s="208">
        <f t="shared" si="976"/>
        <v>0</v>
      </c>
      <c r="P320" s="208">
        <f t="shared" si="976"/>
        <v>0</v>
      </c>
      <c r="Q320" s="208">
        <f t="shared" si="976"/>
        <v>0</v>
      </c>
      <c r="R320" s="208">
        <f t="shared" si="976"/>
        <v>0</v>
      </c>
      <c r="S320" s="208">
        <f t="shared" si="976"/>
        <v>0</v>
      </c>
      <c r="T320" s="208">
        <f t="shared" si="976"/>
        <v>0</v>
      </c>
      <c r="U320" s="208">
        <f t="shared" si="976"/>
        <v>0</v>
      </c>
      <c r="V320" s="208">
        <f t="shared" si="976"/>
        <v>0</v>
      </c>
      <c r="W320" s="208">
        <f t="shared" si="976"/>
        <v>489288</v>
      </c>
      <c r="X320" s="208">
        <f t="shared" ref="X320" si="977">SUM(X321:X322)</f>
        <v>0</v>
      </c>
      <c r="Y320" s="208">
        <f t="shared" si="976"/>
        <v>0</v>
      </c>
      <c r="Z320" s="208">
        <f t="shared" ref="Z320:AE320" si="978">SUM(Z321:Z322)</f>
        <v>0</v>
      </c>
      <c r="AA320" s="208">
        <f t="shared" ref="AA320:AD320" si="979">SUM(AA321:AA322)</f>
        <v>0</v>
      </c>
      <c r="AB320" s="208">
        <f t="shared" si="979"/>
        <v>0</v>
      </c>
      <c r="AC320" s="208">
        <f t="shared" si="979"/>
        <v>0</v>
      </c>
      <c r="AD320" s="208">
        <f t="shared" si="979"/>
        <v>0</v>
      </c>
      <c r="AE320" s="208">
        <f t="shared" si="978"/>
        <v>0</v>
      </c>
      <c r="AF320" s="208">
        <f t="shared" si="976"/>
        <v>0</v>
      </c>
      <c r="AG320" s="208">
        <f t="shared" si="976"/>
        <v>0</v>
      </c>
      <c r="AH320" s="208">
        <f t="shared" si="976"/>
        <v>0</v>
      </c>
      <c r="AI320" s="208">
        <f t="shared" si="976"/>
        <v>0</v>
      </c>
      <c r="AJ320" s="208">
        <f t="shared" si="976"/>
        <v>0</v>
      </c>
      <c r="AK320" s="208">
        <f t="shared" si="976"/>
        <v>0</v>
      </c>
      <c r="AL320" s="208">
        <f t="shared" si="976"/>
        <v>0</v>
      </c>
      <c r="AM320" s="208">
        <f t="shared" si="976"/>
        <v>0</v>
      </c>
      <c r="AN320" s="208">
        <f t="shared" si="976"/>
        <v>0</v>
      </c>
      <c r="AO320" s="208">
        <f t="shared" si="976"/>
        <v>0</v>
      </c>
      <c r="AP320" s="208">
        <f t="shared" si="976"/>
        <v>0</v>
      </c>
      <c r="AQ320" s="208">
        <f t="shared" si="976"/>
        <v>0</v>
      </c>
      <c r="AR320" s="208">
        <f t="shared" si="976"/>
        <v>0</v>
      </c>
      <c r="AS320" s="208">
        <f t="shared" si="976"/>
        <v>0</v>
      </c>
      <c r="AT320" s="208">
        <f t="shared" si="976"/>
        <v>0</v>
      </c>
      <c r="AU320" s="208">
        <f t="shared" si="976"/>
        <v>0</v>
      </c>
      <c r="AV320" s="208">
        <f t="shared" si="976"/>
        <v>0</v>
      </c>
      <c r="AW320" s="208">
        <f t="shared" si="976"/>
        <v>0</v>
      </c>
      <c r="AX320" s="208">
        <f t="shared" si="976"/>
        <v>0</v>
      </c>
      <c r="AY320" s="208">
        <f t="shared" si="976"/>
        <v>0</v>
      </c>
      <c r="AZ320" s="208">
        <f t="shared" si="976"/>
        <v>0</v>
      </c>
      <c r="BA320" s="208">
        <f t="shared" si="976"/>
        <v>0</v>
      </c>
      <c r="BB320" s="208">
        <f t="shared" si="976"/>
        <v>0</v>
      </c>
      <c r="BC320" s="208">
        <f t="shared" si="976"/>
        <v>0</v>
      </c>
      <c r="BD320" s="208">
        <f t="shared" si="976"/>
        <v>0</v>
      </c>
      <c r="BE320" s="208">
        <f t="shared" si="976"/>
        <v>0</v>
      </c>
      <c r="BF320" s="208">
        <f t="shared" ref="BF320" si="980">SUM(BF321:BF322)</f>
        <v>0</v>
      </c>
      <c r="BG320" s="208">
        <f t="shared" si="976"/>
        <v>0</v>
      </c>
      <c r="BH320" s="208">
        <f t="shared" si="976"/>
        <v>0</v>
      </c>
      <c r="BI320" s="208">
        <f t="shared" si="976"/>
        <v>0</v>
      </c>
      <c r="BJ320" s="208">
        <f t="shared" si="976"/>
        <v>0</v>
      </c>
      <c r="BK320" s="208">
        <f t="shared" si="976"/>
        <v>0</v>
      </c>
      <c r="BL320" s="208">
        <f t="shared" si="976"/>
        <v>0</v>
      </c>
      <c r="BM320" s="208">
        <f t="shared" si="976"/>
        <v>0</v>
      </c>
      <c r="BN320" s="208">
        <f t="shared" si="976"/>
        <v>0</v>
      </c>
      <c r="BO320" s="208">
        <f t="shared" si="976"/>
        <v>0</v>
      </c>
      <c r="BP320" s="208">
        <f t="shared" si="976"/>
        <v>0</v>
      </c>
      <c r="BQ320" s="208">
        <f t="shared" si="976"/>
        <v>0</v>
      </c>
      <c r="BR320" s="208">
        <f t="shared" si="976"/>
        <v>0</v>
      </c>
      <c r="BS320" s="208">
        <f t="shared" si="976"/>
        <v>0</v>
      </c>
      <c r="BT320" s="208">
        <f t="shared" si="976"/>
        <v>0</v>
      </c>
      <c r="BU320" s="208">
        <f t="shared" si="976"/>
        <v>0</v>
      </c>
      <c r="BV320" s="208">
        <f t="shared" si="976"/>
        <v>0</v>
      </c>
      <c r="BW320" s="208">
        <f t="shared" si="976"/>
        <v>0</v>
      </c>
      <c r="BX320" s="208">
        <f t="shared" si="976"/>
        <v>0</v>
      </c>
      <c r="BY320" s="208">
        <f t="shared" ref="BY320:CD320" si="981">SUM(BY321:BY322)</f>
        <v>0</v>
      </c>
      <c r="BZ320" s="208">
        <f t="shared" si="981"/>
        <v>0</v>
      </c>
      <c r="CA320" s="208">
        <f t="shared" si="981"/>
        <v>0</v>
      </c>
      <c r="CB320" s="209">
        <f t="shared" ref="CB320:CC320" si="982">SUM(CB321:CB322)</f>
        <v>0</v>
      </c>
      <c r="CC320" s="209">
        <f t="shared" si="982"/>
        <v>0</v>
      </c>
      <c r="CD320" s="399">
        <f t="shared" si="981"/>
        <v>0</v>
      </c>
      <c r="CE320" s="205"/>
      <c r="CF320" s="206"/>
    </row>
    <row r="321" spans="1:86" s="194" customFormat="1" ht="24.75" customHeight="1" x14ac:dyDescent="0.2">
      <c r="A321" s="102">
        <v>50003220021</v>
      </c>
      <c r="B321" s="447" t="s">
        <v>508</v>
      </c>
      <c r="C321" s="446"/>
      <c r="D321" s="71">
        <f>F321+AG321+AT321+BH321+BP321</f>
        <v>73605</v>
      </c>
      <c r="E321" s="296">
        <f>G321+AH321+AU321+BI321+BQ321</f>
        <v>73605</v>
      </c>
      <c r="F321" s="72">
        <v>73605</v>
      </c>
      <c r="G321" s="72">
        <f>F321+H321</f>
        <v>73605</v>
      </c>
      <c r="H321" s="72">
        <f>SUM(I321:AF321)</f>
        <v>0</v>
      </c>
      <c r="I321" s="72"/>
      <c r="J321" s="72"/>
      <c r="K321" s="72"/>
      <c r="L321" s="72"/>
      <c r="M321" s="72"/>
      <c r="N321" s="72"/>
      <c r="O321" s="72"/>
      <c r="P321" s="72"/>
      <c r="Q321" s="72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>
        <f>AG321+AI321</f>
        <v>0</v>
      </c>
      <c r="AI321" s="72">
        <f>SUM(AJ321:AS321)</f>
        <v>0</v>
      </c>
      <c r="AJ321" s="72"/>
      <c r="AK321" s="72"/>
      <c r="AL321" s="72"/>
      <c r="AM321" s="72"/>
      <c r="AN321" s="72"/>
      <c r="AO321" s="72"/>
      <c r="AP321" s="72"/>
      <c r="AQ321" s="72"/>
      <c r="AR321" s="72"/>
      <c r="AS321" s="72"/>
      <c r="AT321" s="72"/>
      <c r="AU321" s="97">
        <f>AT321+AV321</f>
        <v>0</v>
      </c>
      <c r="AV321" s="97">
        <f>SUM(AW321:BG321)</f>
        <v>0</v>
      </c>
      <c r="AW321" s="97"/>
      <c r="AX321" s="97"/>
      <c r="AY321" s="97"/>
      <c r="AZ321" s="97"/>
      <c r="BA321" s="97"/>
      <c r="BB321" s="97"/>
      <c r="BC321" s="97"/>
      <c r="BD321" s="97"/>
      <c r="BE321" s="97"/>
      <c r="BF321" s="97"/>
      <c r="BG321" s="97"/>
      <c r="BH321" s="97"/>
      <c r="BI321" s="81">
        <f>BH321+BJ321</f>
        <v>0</v>
      </c>
      <c r="BJ321" s="98">
        <f>SUM(BK321:BO321)</f>
        <v>0</v>
      </c>
      <c r="BK321" s="97"/>
      <c r="BL321" s="97"/>
      <c r="BM321" s="97"/>
      <c r="BN321" s="97"/>
      <c r="BO321" s="97"/>
      <c r="BP321" s="72"/>
      <c r="BQ321" s="264">
        <f>BP321+BR321</f>
        <v>0</v>
      </c>
      <c r="BR321" s="97">
        <f>SUM(BS321:CD321)</f>
        <v>0</v>
      </c>
      <c r="BS321" s="97"/>
      <c r="BT321" s="97"/>
      <c r="BU321" s="97"/>
      <c r="BV321" s="97"/>
      <c r="BW321" s="97"/>
      <c r="BX321" s="97"/>
      <c r="BY321" s="97"/>
      <c r="BZ321" s="97"/>
      <c r="CA321" s="97"/>
      <c r="CB321" s="97"/>
      <c r="CC321" s="97"/>
      <c r="CD321" s="97"/>
      <c r="CE321" s="82" t="s">
        <v>507</v>
      </c>
      <c r="CF321" s="200"/>
    </row>
    <row r="322" spans="1:86" s="198" customFormat="1" ht="12.75" x14ac:dyDescent="0.2">
      <c r="A322" s="102">
        <v>4000327533</v>
      </c>
      <c r="B322" s="445" t="s">
        <v>306</v>
      </c>
      <c r="C322" s="446"/>
      <c r="D322" s="71">
        <f>F322+AG322+AT322+BH322+BP322</f>
        <v>0</v>
      </c>
      <c r="E322" s="296">
        <f>G322+AH322+AU322+BI322+BQ322</f>
        <v>489288</v>
      </c>
      <c r="F322" s="72"/>
      <c r="G322" s="72">
        <f>F322+H322</f>
        <v>489288</v>
      </c>
      <c r="H322" s="72">
        <f>SUM(I322:AF322)</f>
        <v>489288</v>
      </c>
      <c r="I322" s="72"/>
      <c r="J322" s="72"/>
      <c r="K322" s="72"/>
      <c r="L322" s="72"/>
      <c r="M322" s="72"/>
      <c r="N322" s="72"/>
      <c r="O322" s="72"/>
      <c r="P322" s="72"/>
      <c r="Q322" s="72"/>
      <c r="R322" s="72"/>
      <c r="S322" s="72"/>
      <c r="T322" s="72"/>
      <c r="U322" s="72"/>
      <c r="V322" s="72"/>
      <c r="W322" s="72">
        <v>489288</v>
      </c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>
        <f>AG322+AI322</f>
        <v>0</v>
      </c>
      <c r="AI322" s="72">
        <f>SUM(AJ322:AS322)</f>
        <v>0</v>
      </c>
      <c r="AJ322" s="72"/>
      <c r="AK322" s="72"/>
      <c r="AL322" s="72"/>
      <c r="AM322" s="72"/>
      <c r="AN322" s="72"/>
      <c r="AO322" s="72"/>
      <c r="AP322" s="72"/>
      <c r="AQ322" s="72"/>
      <c r="AR322" s="72"/>
      <c r="AS322" s="72"/>
      <c r="AT322" s="72"/>
      <c r="AU322" s="97">
        <f>AT322+AV322</f>
        <v>0</v>
      </c>
      <c r="AV322" s="97">
        <f>SUM(AW322:BG322)</f>
        <v>0</v>
      </c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81">
        <f>BH322+BJ322</f>
        <v>0</v>
      </c>
      <c r="BJ322" s="98">
        <f>SUM(BK322:BO322)</f>
        <v>0</v>
      </c>
      <c r="BK322" s="97"/>
      <c r="BL322" s="97"/>
      <c r="BM322" s="97"/>
      <c r="BN322" s="97"/>
      <c r="BO322" s="97"/>
      <c r="BP322" s="72"/>
      <c r="BQ322" s="264">
        <f>BP322+BR322</f>
        <v>0</v>
      </c>
      <c r="BR322" s="97">
        <f>SUM(BS322:CD322)</f>
        <v>0</v>
      </c>
      <c r="BS322" s="97"/>
      <c r="BT322" s="97"/>
      <c r="BU322" s="97"/>
      <c r="BV322" s="97"/>
      <c r="BW322" s="97"/>
      <c r="BX322" s="97"/>
      <c r="BY322" s="97"/>
      <c r="BZ322" s="97"/>
      <c r="CA322" s="97"/>
      <c r="CB322" s="97"/>
      <c r="CC322" s="97"/>
      <c r="CD322" s="97"/>
      <c r="CE322" s="204" t="s">
        <v>838</v>
      </c>
      <c r="CF322" s="86"/>
    </row>
    <row r="323" spans="1:86" s="198" customFormat="1" ht="12.75" x14ac:dyDescent="0.2">
      <c r="A323" s="108" t="s">
        <v>609</v>
      </c>
      <c r="B323" s="257" t="s">
        <v>650</v>
      </c>
      <c r="C323" s="330"/>
      <c r="D323" s="258">
        <f t="shared" ref="D323:CD323" si="983">SUM(D324)</f>
        <v>1</v>
      </c>
      <c r="E323" s="304">
        <f t="shared" si="983"/>
        <v>1</v>
      </c>
      <c r="F323" s="259">
        <f t="shared" ref="F323" si="984">SUM(F324)</f>
        <v>1</v>
      </c>
      <c r="G323" s="259">
        <f t="shared" si="983"/>
        <v>1</v>
      </c>
      <c r="H323" s="259">
        <f t="shared" si="983"/>
        <v>0</v>
      </c>
      <c r="I323" s="259">
        <f t="shared" si="983"/>
        <v>0</v>
      </c>
      <c r="J323" s="259">
        <f t="shared" si="983"/>
        <v>0</v>
      </c>
      <c r="K323" s="259">
        <f t="shared" si="983"/>
        <v>0</v>
      </c>
      <c r="L323" s="259">
        <f t="shared" si="983"/>
        <v>0</v>
      </c>
      <c r="M323" s="259">
        <f t="shared" si="983"/>
        <v>0</v>
      </c>
      <c r="N323" s="259">
        <f t="shared" si="983"/>
        <v>0</v>
      </c>
      <c r="O323" s="259">
        <f t="shared" si="983"/>
        <v>0</v>
      </c>
      <c r="P323" s="259">
        <f t="shared" si="983"/>
        <v>0</v>
      </c>
      <c r="Q323" s="259">
        <f t="shared" si="983"/>
        <v>0</v>
      </c>
      <c r="R323" s="259">
        <f t="shared" si="983"/>
        <v>0</v>
      </c>
      <c r="S323" s="259"/>
      <c r="T323" s="259"/>
      <c r="U323" s="259"/>
      <c r="V323" s="259"/>
      <c r="W323" s="259"/>
      <c r="X323" s="259">
        <f t="shared" si="983"/>
        <v>0</v>
      </c>
      <c r="Y323" s="259"/>
      <c r="Z323" s="259">
        <f t="shared" si="983"/>
        <v>0</v>
      </c>
      <c r="AA323" s="259">
        <f t="shared" si="983"/>
        <v>0</v>
      </c>
      <c r="AB323" s="259">
        <f t="shared" si="983"/>
        <v>0</v>
      </c>
      <c r="AC323" s="259">
        <f t="shared" si="983"/>
        <v>0</v>
      </c>
      <c r="AD323" s="259">
        <f t="shared" si="983"/>
        <v>0</v>
      </c>
      <c r="AE323" s="259">
        <f t="shared" si="983"/>
        <v>0</v>
      </c>
      <c r="AF323" s="259">
        <f t="shared" si="983"/>
        <v>0</v>
      </c>
      <c r="AG323" s="259">
        <f t="shared" ref="AG323" si="985">SUM(AG324)</f>
        <v>0</v>
      </c>
      <c r="AH323" s="259">
        <f t="shared" si="983"/>
        <v>0</v>
      </c>
      <c r="AI323" s="259">
        <f t="shared" si="983"/>
        <v>0</v>
      </c>
      <c r="AJ323" s="259">
        <f t="shared" si="983"/>
        <v>0</v>
      </c>
      <c r="AK323" s="259">
        <f t="shared" si="983"/>
        <v>0</v>
      </c>
      <c r="AL323" s="259">
        <f t="shared" si="983"/>
        <v>0</v>
      </c>
      <c r="AM323" s="259">
        <f t="shared" si="983"/>
        <v>0</v>
      </c>
      <c r="AN323" s="259">
        <f t="shared" si="983"/>
        <v>0</v>
      </c>
      <c r="AO323" s="259">
        <f t="shared" si="983"/>
        <v>0</v>
      </c>
      <c r="AP323" s="259">
        <f t="shared" si="983"/>
        <v>0</v>
      </c>
      <c r="AQ323" s="259">
        <f t="shared" si="983"/>
        <v>0</v>
      </c>
      <c r="AR323" s="259">
        <f t="shared" si="983"/>
        <v>0</v>
      </c>
      <c r="AS323" s="259">
        <f t="shared" si="983"/>
        <v>0</v>
      </c>
      <c r="AT323" s="259">
        <f t="shared" ref="AT323" si="986">SUM(AT324)</f>
        <v>0</v>
      </c>
      <c r="AU323" s="260">
        <f t="shared" si="983"/>
        <v>0</v>
      </c>
      <c r="AV323" s="260">
        <f t="shared" si="983"/>
        <v>0</v>
      </c>
      <c r="AW323" s="260">
        <f t="shared" si="983"/>
        <v>0</v>
      </c>
      <c r="AX323" s="260">
        <f t="shared" si="983"/>
        <v>0</v>
      </c>
      <c r="AY323" s="260">
        <f t="shared" si="983"/>
        <v>0</v>
      </c>
      <c r="AZ323" s="260">
        <f t="shared" si="983"/>
        <v>0</v>
      </c>
      <c r="BA323" s="260">
        <f t="shared" si="983"/>
        <v>0</v>
      </c>
      <c r="BB323" s="260">
        <f t="shared" si="983"/>
        <v>0</v>
      </c>
      <c r="BC323" s="260">
        <f t="shared" si="983"/>
        <v>0</v>
      </c>
      <c r="BD323" s="260">
        <f t="shared" si="983"/>
        <v>0</v>
      </c>
      <c r="BE323" s="260">
        <f t="shared" si="983"/>
        <v>0</v>
      </c>
      <c r="BF323" s="260">
        <f t="shared" si="983"/>
        <v>0</v>
      </c>
      <c r="BG323" s="260">
        <f t="shared" si="983"/>
        <v>0</v>
      </c>
      <c r="BH323" s="260">
        <f t="shared" ref="BH323" si="987">SUM(BH324)</f>
        <v>0</v>
      </c>
      <c r="BI323" s="259">
        <f t="shared" si="983"/>
        <v>0</v>
      </c>
      <c r="BJ323" s="260">
        <f t="shared" si="983"/>
        <v>0</v>
      </c>
      <c r="BK323" s="260">
        <f t="shared" si="983"/>
        <v>0</v>
      </c>
      <c r="BL323" s="260">
        <f t="shared" si="983"/>
        <v>0</v>
      </c>
      <c r="BM323" s="260">
        <f t="shared" si="983"/>
        <v>0</v>
      </c>
      <c r="BN323" s="260">
        <f t="shared" si="983"/>
        <v>0</v>
      </c>
      <c r="BO323" s="260">
        <f t="shared" si="983"/>
        <v>0</v>
      </c>
      <c r="BP323" s="259">
        <f t="shared" ref="BP323" si="988">SUM(BP324)</f>
        <v>0</v>
      </c>
      <c r="BQ323" s="316">
        <f t="shared" si="983"/>
        <v>0</v>
      </c>
      <c r="BR323" s="260">
        <f t="shared" si="983"/>
        <v>0</v>
      </c>
      <c r="BS323" s="260">
        <f t="shared" si="983"/>
        <v>0</v>
      </c>
      <c r="BT323" s="260">
        <f t="shared" si="983"/>
        <v>0</v>
      </c>
      <c r="BU323" s="260">
        <f t="shared" si="983"/>
        <v>0</v>
      </c>
      <c r="BV323" s="260">
        <f t="shared" si="983"/>
        <v>0</v>
      </c>
      <c r="BW323" s="260">
        <f t="shared" si="983"/>
        <v>0</v>
      </c>
      <c r="BX323" s="260">
        <f t="shared" si="983"/>
        <v>0</v>
      </c>
      <c r="BY323" s="260">
        <f t="shared" si="983"/>
        <v>0</v>
      </c>
      <c r="BZ323" s="260">
        <f t="shared" si="983"/>
        <v>0</v>
      </c>
      <c r="CA323" s="260">
        <f t="shared" si="983"/>
        <v>0</v>
      </c>
      <c r="CB323" s="260">
        <f t="shared" si="983"/>
        <v>0</v>
      </c>
      <c r="CC323" s="260">
        <f t="shared" si="983"/>
        <v>0</v>
      </c>
      <c r="CD323" s="260">
        <f t="shared" si="983"/>
        <v>0</v>
      </c>
      <c r="CE323" s="204"/>
      <c r="CF323" s="86"/>
    </row>
    <row r="324" spans="1:86" s="198" customFormat="1" ht="24.75" customHeight="1" x14ac:dyDescent="0.2">
      <c r="A324" s="102">
        <v>50003220021</v>
      </c>
      <c r="B324" s="447" t="s">
        <v>508</v>
      </c>
      <c r="C324" s="446"/>
      <c r="D324" s="80">
        <f>F324+AG324+AT324+BH324+BP324</f>
        <v>1</v>
      </c>
      <c r="E324" s="295">
        <f>G324+AH324+AU324+BI324+BQ324</f>
        <v>1</v>
      </c>
      <c r="F324" s="81">
        <v>1</v>
      </c>
      <c r="G324" s="81">
        <f>F324+H324</f>
        <v>1</v>
      </c>
      <c r="H324" s="81">
        <f>SUM(I324:AF324)</f>
        <v>0</v>
      </c>
      <c r="I324" s="81"/>
      <c r="J324" s="81"/>
      <c r="K324" s="81"/>
      <c r="L324" s="81"/>
      <c r="M324" s="81"/>
      <c r="N324" s="81"/>
      <c r="O324" s="81"/>
      <c r="P324" s="81"/>
      <c r="Q324" s="81"/>
      <c r="R324" s="81"/>
      <c r="S324" s="81"/>
      <c r="T324" s="81"/>
      <c r="U324" s="81"/>
      <c r="V324" s="81"/>
      <c r="W324" s="81"/>
      <c r="X324" s="81"/>
      <c r="Y324" s="81"/>
      <c r="Z324" s="81"/>
      <c r="AA324" s="81"/>
      <c r="AB324" s="81"/>
      <c r="AC324" s="81"/>
      <c r="AD324" s="81"/>
      <c r="AE324" s="81"/>
      <c r="AF324" s="81"/>
      <c r="AG324" s="81"/>
      <c r="AH324" s="81">
        <f>AG324+AI324</f>
        <v>0</v>
      </c>
      <c r="AI324" s="81">
        <f>SUM(AJ324:AS324)</f>
        <v>0</v>
      </c>
      <c r="AJ324" s="81"/>
      <c r="AK324" s="81"/>
      <c r="AL324" s="81"/>
      <c r="AM324" s="81"/>
      <c r="AN324" s="81"/>
      <c r="AO324" s="81"/>
      <c r="AP324" s="81"/>
      <c r="AQ324" s="81"/>
      <c r="AR324" s="81"/>
      <c r="AS324" s="81"/>
      <c r="AT324" s="81"/>
      <c r="AU324" s="98">
        <f>AT324+AV324</f>
        <v>0</v>
      </c>
      <c r="AV324" s="98">
        <f>SUM(AW324:BG324)</f>
        <v>0</v>
      </c>
      <c r="AW324" s="98"/>
      <c r="AX324" s="98"/>
      <c r="AY324" s="98"/>
      <c r="AZ324" s="98"/>
      <c r="BA324" s="98"/>
      <c r="BB324" s="98"/>
      <c r="BC324" s="98"/>
      <c r="BD324" s="98"/>
      <c r="BE324" s="98"/>
      <c r="BF324" s="98"/>
      <c r="BG324" s="98"/>
      <c r="BH324" s="98"/>
      <c r="BI324" s="81">
        <f>BH324+BJ324</f>
        <v>0</v>
      </c>
      <c r="BJ324" s="98">
        <f>SUM(BK324:BO324)</f>
        <v>0</v>
      </c>
      <c r="BK324" s="98"/>
      <c r="BL324" s="98"/>
      <c r="BM324" s="98"/>
      <c r="BN324" s="98"/>
      <c r="BO324" s="98"/>
      <c r="BP324" s="81"/>
      <c r="BQ324" s="309">
        <f>BP324+BR324</f>
        <v>0</v>
      </c>
      <c r="BR324" s="98">
        <f>SUM(BS324:CD324)</f>
        <v>0</v>
      </c>
      <c r="BS324" s="98"/>
      <c r="BT324" s="98"/>
      <c r="BU324" s="98"/>
      <c r="BV324" s="98"/>
      <c r="BW324" s="98"/>
      <c r="BX324" s="98"/>
      <c r="BY324" s="98"/>
      <c r="BZ324" s="98"/>
      <c r="CA324" s="98"/>
      <c r="CB324" s="98"/>
      <c r="CC324" s="98"/>
      <c r="CD324" s="98"/>
      <c r="CE324" s="82" t="s">
        <v>696</v>
      </c>
      <c r="CF324" s="85"/>
    </row>
    <row r="325" spans="1:86" s="194" customFormat="1" ht="10.5" customHeight="1" thickBot="1" x14ac:dyDescent="0.25">
      <c r="A325" s="108"/>
      <c r="B325" s="201"/>
      <c r="C325" s="327"/>
      <c r="D325" s="139"/>
      <c r="E325" s="299"/>
      <c r="F325" s="170"/>
      <c r="G325" s="170"/>
      <c r="H325" s="170"/>
      <c r="I325" s="170"/>
      <c r="J325" s="170"/>
      <c r="K325" s="170"/>
      <c r="L325" s="170"/>
      <c r="M325" s="170"/>
      <c r="N325" s="170"/>
      <c r="O325" s="170"/>
      <c r="P325" s="170"/>
      <c r="Q325" s="170"/>
      <c r="R325" s="170"/>
      <c r="S325" s="170"/>
      <c r="T325" s="170"/>
      <c r="U325" s="170"/>
      <c r="V325" s="170"/>
      <c r="W325" s="170"/>
      <c r="X325" s="170"/>
      <c r="Y325" s="170"/>
      <c r="Z325" s="170"/>
      <c r="AA325" s="170"/>
      <c r="AB325" s="170"/>
      <c r="AC325" s="170"/>
      <c r="AD325" s="170"/>
      <c r="AE325" s="170"/>
      <c r="AF325" s="170"/>
      <c r="AG325" s="170"/>
      <c r="AH325" s="170"/>
      <c r="AI325" s="170"/>
      <c r="AJ325" s="170"/>
      <c r="AK325" s="170"/>
      <c r="AL325" s="170"/>
      <c r="AM325" s="170"/>
      <c r="AN325" s="170"/>
      <c r="AO325" s="170"/>
      <c r="AP325" s="170"/>
      <c r="AQ325" s="170"/>
      <c r="AR325" s="170"/>
      <c r="AS325" s="170"/>
      <c r="AT325" s="170"/>
      <c r="AU325" s="203"/>
      <c r="AV325" s="203"/>
      <c r="AW325" s="203"/>
      <c r="AX325" s="203"/>
      <c r="AY325" s="203"/>
      <c r="AZ325" s="203"/>
      <c r="BA325" s="203"/>
      <c r="BB325" s="203"/>
      <c r="BC325" s="203"/>
      <c r="BD325" s="203"/>
      <c r="BE325" s="203"/>
      <c r="BF325" s="203"/>
      <c r="BG325" s="203"/>
      <c r="BH325" s="203"/>
      <c r="BI325" s="170"/>
      <c r="BJ325" s="203"/>
      <c r="BK325" s="203"/>
      <c r="BL325" s="203"/>
      <c r="BM325" s="203"/>
      <c r="BN325" s="203"/>
      <c r="BO325" s="203"/>
      <c r="BP325" s="170"/>
      <c r="BQ325" s="311"/>
      <c r="BR325" s="203"/>
      <c r="BS325" s="203"/>
      <c r="BT325" s="203"/>
      <c r="BU325" s="203"/>
      <c r="BV325" s="203"/>
      <c r="BW325" s="203"/>
      <c r="BX325" s="203"/>
      <c r="BY325" s="203"/>
      <c r="BZ325" s="203"/>
      <c r="CA325" s="203"/>
      <c r="CB325" s="203"/>
      <c r="CC325" s="203"/>
      <c r="CD325" s="203"/>
      <c r="CE325" s="204"/>
      <c r="CF325" s="88"/>
    </row>
    <row r="326" spans="1:86" ht="13.5" thickTop="1" thickBot="1" x14ac:dyDescent="0.25">
      <c r="A326" s="219"/>
      <c r="B326" s="238" t="s">
        <v>608</v>
      </c>
      <c r="C326" s="331"/>
      <c r="D326" s="14">
        <f t="shared" ref="D326:S326" si="989">D269+D270+D300+D320+D323</f>
        <v>108920690</v>
      </c>
      <c r="E326" s="300">
        <f t="shared" si="989"/>
        <v>114067069</v>
      </c>
      <c r="F326" s="239">
        <f t="shared" si="989"/>
        <v>97062923</v>
      </c>
      <c r="G326" s="239">
        <f t="shared" si="989"/>
        <v>101741559</v>
      </c>
      <c r="H326" s="239">
        <f t="shared" si="989"/>
        <v>4678636</v>
      </c>
      <c r="I326" s="239">
        <f t="shared" si="989"/>
        <v>92564</v>
      </c>
      <c r="J326" s="239">
        <f t="shared" si="989"/>
        <v>0</v>
      </c>
      <c r="K326" s="239">
        <f t="shared" si="989"/>
        <v>6070235</v>
      </c>
      <c r="L326" s="239">
        <f t="shared" si="989"/>
        <v>662596</v>
      </c>
      <c r="M326" s="239">
        <f t="shared" si="989"/>
        <v>556643</v>
      </c>
      <c r="N326" s="239">
        <f t="shared" si="989"/>
        <v>0</v>
      </c>
      <c r="O326" s="239">
        <f t="shared" si="989"/>
        <v>0</v>
      </c>
      <c r="P326" s="239">
        <f t="shared" si="989"/>
        <v>0</v>
      </c>
      <c r="Q326" s="239">
        <f t="shared" si="989"/>
        <v>-498467</v>
      </c>
      <c r="R326" s="239">
        <f t="shared" si="989"/>
        <v>0</v>
      </c>
      <c r="S326" s="239">
        <f t="shared" si="989"/>
        <v>-5928507</v>
      </c>
      <c r="T326" s="239">
        <f t="shared" ref="T326" si="990">T269+T270+T300+T320+T323</f>
        <v>0</v>
      </c>
      <c r="U326" s="239">
        <f>U269+U270+U300+U320+U323</f>
        <v>3528386</v>
      </c>
      <c r="V326" s="239">
        <f t="shared" ref="V326" si="991">V269+V270+V300+V320+V323</f>
        <v>0</v>
      </c>
      <c r="W326" s="239">
        <f t="shared" ref="W326:BH326" si="992">W269+W270+W300+W320+W323</f>
        <v>-220417</v>
      </c>
      <c r="X326" s="239">
        <f t="shared" si="992"/>
        <v>0</v>
      </c>
      <c r="Y326" s="239">
        <f t="shared" si="992"/>
        <v>-2877</v>
      </c>
      <c r="Z326" s="239">
        <f t="shared" si="992"/>
        <v>88241</v>
      </c>
      <c r="AA326" s="239">
        <f t="shared" si="992"/>
        <v>0</v>
      </c>
      <c r="AB326" s="239">
        <f t="shared" si="992"/>
        <v>0</v>
      </c>
      <c r="AC326" s="239">
        <f t="shared" si="992"/>
        <v>330244</v>
      </c>
      <c r="AD326" s="239">
        <f t="shared" si="992"/>
        <v>0</v>
      </c>
      <c r="AE326" s="239">
        <f t="shared" ref="AE326" si="993">AE269+AE270+AE300+AE320+AE323</f>
        <v>-5</v>
      </c>
      <c r="AF326" s="239">
        <f t="shared" si="992"/>
        <v>0</v>
      </c>
      <c r="AG326" s="239">
        <f t="shared" si="992"/>
        <v>11157908</v>
      </c>
      <c r="AH326" s="239">
        <f t="shared" si="992"/>
        <v>11728542</v>
      </c>
      <c r="AI326" s="239">
        <f t="shared" si="992"/>
        <v>570634</v>
      </c>
      <c r="AJ326" s="239">
        <f t="shared" si="992"/>
        <v>30268</v>
      </c>
      <c r="AK326" s="239">
        <f t="shared" si="992"/>
        <v>382567</v>
      </c>
      <c r="AL326" s="239">
        <f t="shared" si="992"/>
        <v>41239</v>
      </c>
      <c r="AM326" s="239">
        <f t="shared" si="992"/>
        <v>27633</v>
      </c>
      <c r="AN326" s="239">
        <f t="shared" si="992"/>
        <v>5573</v>
      </c>
      <c r="AO326" s="239">
        <f t="shared" si="992"/>
        <v>33143</v>
      </c>
      <c r="AP326" s="239">
        <f t="shared" si="992"/>
        <v>38763</v>
      </c>
      <c r="AQ326" s="239">
        <f t="shared" si="992"/>
        <v>11448</v>
      </c>
      <c r="AR326" s="239">
        <f t="shared" si="992"/>
        <v>0</v>
      </c>
      <c r="AS326" s="239">
        <f t="shared" si="992"/>
        <v>0</v>
      </c>
      <c r="AT326" s="239">
        <f t="shared" si="992"/>
        <v>1746549</v>
      </c>
      <c r="AU326" s="240">
        <f t="shared" si="992"/>
        <v>1857789</v>
      </c>
      <c r="AV326" s="240">
        <f t="shared" si="992"/>
        <v>111240</v>
      </c>
      <c r="AW326" s="240">
        <f t="shared" si="992"/>
        <v>159470</v>
      </c>
      <c r="AX326" s="240">
        <f t="shared" si="992"/>
        <v>-99908</v>
      </c>
      <c r="AY326" s="240">
        <f t="shared" si="992"/>
        <v>111</v>
      </c>
      <c r="AZ326" s="240">
        <f t="shared" si="992"/>
        <v>2875</v>
      </c>
      <c r="BA326" s="240">
        <f t="shared" si="992"/>
        <v>100</v>
      </c>
      <c r="BB326" s="240">
        <f t="shared" si="992"/>
        <v>1514</v>
      </c>
      <c r="BC326" s="240">
        <f t="shared" si="992"/>
        <v>5981</v>
      </c>
      <c r="BD326" s="240">
        <f t="shared" si="992"/>
        <v>3610</v>
      </c>
      <c r="BE326" s="240">
        <f t="shared" si="992"/>
        <v>37487</v>
      </c>
      <c r="BF326" s="240">
        <f t="shared" ref="BF326" si="994">BF269+BF270+BF300+BF320+BF323</f>
        <v>0</v>
      </c>
      <c r="BG326" s="240">
        <f t="shared" si="992"/>
        <v>0</v>
      </c>
      <c r="BH326" s="240">
        <f t="shared" si="992"/>
        <v>538</v>
      </c>
      <c r="BI326" s="239">
        <f t="shared" ref="BI326:CD326" si="995">BI269+BI270+BI300+BI320+BI323</f>
        <v>569</v>
      </c>
      <c r="BJ326" s="240">
        <f t="shared" si="995"/>
        <v>31</v>
      </c>
      <c r="BK326" s="240">
        <f t="shared" si="995"/>
        <v>31</v>
      </c>
      <c r="BL326" s="240">
        <f t="shared" si="995"/>
        <v>0</v>
      </c>
      <c r="BM326" s="240">
        <f t="shared" si="995"/>
        <v>0</v>
      </c>
      <c r="BN326" s="240">
        <f t="shared" si="995"/>
        <v>0</v>
      </c>
      <c r="BO326" s="240">
        <f t="shared" si="995"/>
        <v>0</v>
      </c>
      <c r="BP326" s="239">
        <f t="shared" si="995"/>
        <v>-1047228</v>
      </c>
      <c r="BQ326" s="317">
        <f t="shared" si="995"/>
        <v>-1261390</v>
      </c>
      <c r="BR326" s="240">
        <f t="shared" si="995"/>
        <v>-214162</v>
      </c>
      <c r="BS326" s="240">
        <f t="shared" si="995"/>
        <v>-11045</v>
      </c>
      <c r="BT326" s="240">
        <f t="shared" si="995"/>
        <v>-206523</v>
      </c>
      <c r="BU326" s="240">
        <f t="shared" si="995"/>
        <v>-18678</v>
      </c>
      <c r="BV326" s="240">
        <f t="shared" si="995"/>
        <v>45158</v>
      </c>
      <c r="BW326" s="240">
        <f t="shared" si="995"/>
        <v>-7681</v>
      </c>
      <c r="BX326" s="240">
        <f t="shared" si="995"/>
        <v>20825</v>
      </c>
      <c r="BY326" s="240">
        <f t="shared" si="995"/>
        <v>-1738</v>
      </c>
      <c r="BZ326" s="240">
        <f t="shared" si="995"/>
        <v>-336</v>
      </c>
      <c r="CA326" s="240">
        <f t="shared" si="995"/>
        <v>-32196</v>
      </c>
      <c r="CB326" s="240">
        <f t="shared" si="995"/>
        <v>-1945</v>
      </c>
      <c r="CC326" s="240">
        <f t="shared" ref="CC326" si="996">CC269+CC270+CC300+CC320+CC323</f>
        <v>-3</v>
      </c>
      <c r="CD326" s="240">
        <f t="shared" si="995"/>
        <v>0</v>
      </c>
      <c r="CE326" s="15"/>
      <c r="CF326" s="89"/>
    </row>
    <row r="327" spans="1:86" ht="12.75" hidden="1" outlineLevel="1" thickTop="1" x14ac:dyDescent="0.2">
      <c r="B327" s="16" t="s">
        <v>22</v>
      </c>
      <c r="C327" s="16"/>
      <c r="D327" s="17">
        <f t="shared" ref="D327:S327" si="997">SUM(D12:D27,D29:D35,D37:D64,D66:D74,D76:D86,D88:D93,D95:D135,D137:D245,D247:D268,D271:D299,D302:D302,D304:D307,D309:D311,D313:D315,D317:D318,D321,D324)</f>
        <v>108920690</v>
      </c>
      <c r="E327" s="17">
        <f t="shared" si="997"/>
        <v>113577781</v>
      </c>
      <c r="F327" s="17">
        <f t="shared" si="997"/>
        <v>97062923</v>
      </c>
      <c r="G327" s="17">
        <f t="shared" si="997"/>
        <v>101252271</v>
      </c>
      <c r="H327" s="17">
        <f t="shared" si="997"/>
        <v>4189348</v>
      </c>
      <c r="I327" s="17">
        <f t="shared" si="997"/>
        <v>92564</v>
      </c>
      <c r="J327" s="17">
        <f t="shared" si="997"/>
        <v>0</v>
      </c>
      <c r="K327" s="17">
        <f t="shared" si="997"/>
        <v>6070235</v>
      </c>
      <c r="L327" s="17">
        <f t="shared" si="997"/>
        <v>662596</v>
      </c>
      <c r="M327" s="17">
        <f t="shared" si="997"/>
        <v>556643</v>
      </c>
      <c r="N327" s="17">
        <f t="shared" si="997"/>
        <v>0</v>
      </c>
      <c r="O327" s="17">
        <f t="shared" si="997"/>
        <v>0</v>
      </c>
      <c r="P327" s="17">
        <f t="shared" si="997"/>
        <v>0</v>
      </c>
      <c r="Q327" s="17">
        <f t="shared" si="997"/>
        <v>-498467</v>
      </c>
      <c r="R327" s="17">
        <f t="shared" si="997"/>
        <v>0</v>
      </c>
      <c r="S327" s="17">
        <f t="shared" si="997"/>
        <v>-5928507</v>
      </c>
      <c r="T327" s="17">
        <f t="shared" ref="T327" si="998">SUM(T12:T27,T29:T35,T37:T64,T66:T74,T76:T86,T88:T93,T95:T135,T137:T245,T247:T268,T271:T299,T302:T302,T304:T307,T309:T311,T313:T315,T317:T318,T321,T324)</f>
        <v>0</v>
      </c>
      <c r="U327" s="17">
        <f>SUM(U12:U27,U29:U35,U37:U64,U66:U74,U76:U86,U88:U93,U95:U135,U137:U245,U247:U268,U271:U299,U302:U302,U304:U307,U309:U311,U313:U315,U317:U318,U321,U324)</f>
        <v>3528386</v>
      </c>
      <c r="V327" s="17">
        <f t="shared" ref="V327" si="999">SUM(V12:V27,V29:V35,V37:V64,V66:V74,V76:V86,V88:V93,V95:V135,V137:V245,V247:V268,V271:V299,V302:V302,V304:V307,V309:V311,V313:V315,V317:V318,V321,V324)</f>
        <v>0</v>
      </c>
      <c r="W327" s="17">
        <f t="shared" ref="W327:BH327" si="1000">SUM(W12:W27,W29:W35,W37:W64,W66:W74,W76:W86,W88:W93,W95:W135,W137:W245,W247:W268,W271:W299,W302:W302,W304:W307,W309:W311,W313:W315,W317:W318,W321,W324)</f>
        <v>-709705</v>
      </c>
      <c r="X327" s="17">
        <f t="shared" si="1000"/>
        <v>0</v>
      </c>
      <c r="Y327" s="17">
        <f t="shared" si="1000"/>
        <v>-2877</v>
      </c>
      <c r="Z327" s="17">
        <f t="shared" si="1000"/>
        <v>88241</v>
      </c>
      <c r="AA327" s="17">
        <f t="shared" si="1000"/>
        <v>0</v>
      </c>
      <c r="AB327" s="17">
        <f t="shared" si="1000"/>
        <v>0</v>
      </c>
      <c r="AC327" s="17">
        <f t="shared" si="1000"/>
        <v>330244</v>
      </c>
      <c r="AD327" s="17">
        <f t="shared" si="1000"/>
        <v>0</v>
      </c>
      <c r="AE327" s="17">
        <f t="shared" ref="AE327" si="1001">SUM(AE12:AE27,AE29:AE35,AE37:AE64,AE66:AE74,AE76:AE86,AE88:AE93,AE95:AE135,AE137:AE245,AE247:AE268,AE271:AE299,AE302:AE302,AE304:AE307,AE309:AE311,AE313:AE315,AE317:AE318,AE321,AE324)</f>
        <v>-5</v>
      </c>
      <c r="AF327" s="17">
        <f t="shared" si="1000"/>
        <v>0</v>
      </c>
      <c r="AG327" s="17">
        <f t="shared" si="1000"/>
        <v>11157908</v>
      </c>
      <c r="AH327" s="17">
        <f t="shared" si="1000"/>
        <v>11728542</v>
      </c>
      <c r="AI327" s="17">
        <f t="shared" si="1000"/>
        <v>570634</v>
      </c>
      <c r="AJ327" s="17">
        <f t="shared" si="1000"/>
        <v>30268</v>
      </c>
      <c r="AK327" s="17">
        <f t="shared" si="1000"/>
        <v>382567</v>
      </c>
      <c r="AL327" s="17">
        <f t="shared" si="1000"/>
        <v>41239</v>
      </c>
      <c r="AM327" s="17">
        <f t="shared" si="1000"/>
        <v>27633</v>
      </c>
      <c r="AN327" s="17">
        <f t="shared" si="1000"/>
        <v>5573</v>
      </c>
      <c r="AO327" s="17">
        <f t="shared" si="1000"/>
        <v>33143</v>
      </c>
      <c r="AP327" s="17">
        <f t="shared" si="1000"/>
        <v>38763</v>
      </c>
      <c r="AQ327" s="17">
        <f t="shared" si="1000"/>
        <v>11448</v>
      </c>
      <c r="AR327" s="17">
        <f t="shared" si="1000"/>
        <v>0</v>
      </c>
      <c r="AS327" s="17">
        <f t="shared" si="1000"/>
        <v>0</v>
      </c>
      <c r="AT327" s="17">
        <f t="shared" si="1000"/>
        <v>1746549</v>
      </c>
      <c r="AU327" s="17">
        <f t="shared" si="1000"/>
        <v>1857789</v>
      </c>
      <c r="AV327" s="17">
        <f t="shared" si="1000"/>
        <v>111240</v>
      </c>
      <c r="AW327" s="17">
        <f t="shared" si="1000"/>
        <v>159470</v>
      </c>
      <c r="AX327" s="17">
        <f t="shared" si="1000"/>
        <v>-99908</v>
      </c>
      <c r="AY327" s="17">
        <f t="shared" si="1000"/>
        <v>111</v>
      </c>
      <c r="AZ327" s="17">
        <f t="shared" si="1000"/>
        <v>2875</v>
      </c>
      <c r="BA327" s="17">
        <f t="shared" si="1000"/>
        <v>100</v>
      </c>
      <c r="BB327" s="17">
        <f t="shared" si="1000"/>
        <v>1514</v>
      </c>
      <c r="BC327" s="17">
        <f t="shared" si="1000"/>
        <v>5981</v>
      </c>
      <c r="BD327" s="17">
        <f t="shared" si="1000"/>
        <v>3610</v>
      </c>
      <c r="BE327" s="17">
        <f t="shared" si="1000"/>
        <v>37487</v>
      </c>
      <c r="BF327" s="17">
        <f t="shared" ref="BF327" si="1002">SUM(BF12:BF27,BF29:BF35,BF37:BF64,BF66:BF74,BF76:BF86,BF88:BF93,BF95:BF135,BF137:BF245,BF247:BF268,BF271:BF299,BF302:BF302,BF304:BF307,BF309:BF311,BF313:BF315,BF317:BF318,BF321,BF324)</f>
        <v>0</v>
      </c>
      <c r="BG327" s="17">
        <f t="shared" si="1000"/>
        <v>0</v>
      </c>
      <c r="BH327" s="17">
        <f t="shared" si="1000"/>
        <v>538</v>
      </c>
      <c r="BI327" s="17">
        <f t="shared" ref="BI327:CD327" si="1003">SUM(BI12:BI27,BI29:BI35,BI37:BI64,BI66:BI74,BI76:BI86,BI88:BI93,BI95:BI135,BI137:BI245,BI247:BI268,BI271:BI299,BI302:BI302,BI304:BI307,BI309:BI311,BI313:BI315,BI317:BI318,BI321,BI324)</f>
        <v>569</v>
      </c>
      <c r="BJ327" s="17">
        <f t="shared" si="1003"/>
        <v>31</v>
      </c>
      <c r="BK327" s="17">
        <f t="shared" si="1003"/>
        <v>31</v>
      </c>
      <c r="BL327" s="17">
        <f t="shared" si="1003"/>
        <v>0</v>
      </c>
      <c r="BM327" s="17">
        <f t="shared" si="1003"/>
        <v>0</v>
      </c>
      <c r="BN327" s="17">
        <f t="shared" si="1003"/>
        <v>0</v>
      </c>
      <c r="BO327" s="17">
        <f t="shared" si="1003"/>
        <v>0</v>
      </c>
      <c r="BP327" s="17">
        <f t="shared" si="1003"/>
        <v>-1047228</v>
      </c>
      <c r="BQ327" s="17">
        <f t="shared" si="1003"/>
        <v>-1261390</v>
      </c>
      <c r="BR327" s="17">
        <f t="shared" si="1003"/>
        <v>-214162</v>
      </c>
      <c r="BS327" s="17">
        <f t="shared" si="1003"/>
        <v>-11045</v>
      </c>
      <c r="BT327" s="17">
        <f t="shared" si="1003"/>
        <v>-206523</v>
      </c>
      <c r="BU327" s="17">
        <f t="shared" si="1003"/>
        <v>-18678</v>
      </c>
      <c r="BV327" s="17">
        <f t="shared" si="1003"/>
        <v>45158</v>
      </c>
      <c r="BW327" s="17">
        <f t="shared" si="1003"/>
        <v>-7681</v>
      </c>
      <c r="BX327" s="17">
        <f t="shared" si="1003"/>
        <v>20825</v>
      </c>
      <c r="BY327" s="17">
        <f t="shared" si="1003"/>
        <v>-1738</v>
      </c>
      <c r="BZ327" s="17">
        <f t="shared" si="1003"/>
        <v>-336</v>
      </c>
      <c r="CA327" s="17">
        <f t="shared" si="1003"/>
        <v>-32196</v>
      </c>
      <c r="CB327" s="17">
        <f t="shared" si="1003"/>
        <v>-1945</v>
      </c>
      <c r="CC327" s="17">
        <f t="shared" ref="CC327" si="1004">SUM(CC12:CC27,CC29:CC35,CC37:CC64,CC66:CC74,CC76:CC86,CC88:CC93,CC95:CC135,CC137:CC245,CC247:CC268,CC271:CC299,CC302:CC302,CC304:CC307,CC309:CC311,CC313:CC315,CC317:CC318,CC321,CC324)</f>
        <v>-3</v>
      </c>
      <c r="CD327" s="17">
        <f t="shared" si="1003"/>
        <v>0</v>
      </c>
      <c r="CE327" s="18"/>
      <c r="CF327" s="198"/>
    </row>
    <row r="328" spans="1:86" hidden="1" outlineLevel="1" x14ac:dyDescent="0.2">
      <c r="B328" s="16" t="s">
        <v>23</v>
      </c>
      <c r="C328" s="16"/>
      <c r="D328" s="17">
        <f t="shared" ref="D328:S328" si="1005">D11+D28+D36+D65+D75+D87+D94+D136+D246+D270+D300+D320+D323</f>
        <v>108920690</v>
      </c>
      <c r="E328" s="17">
        <f t="shared" si="1005"/>
        <v>114067069</v>
      </c>
      <c r="F328" s="17">
        <f t="shared" si="1005"/>
        <v>97062923</v>
      </c>
      <c r="G328" s="17">
        <f t="shared" si="1005"/>
        <v>101741559</v>
      </c>
      <c r="H328" s="17">
        <f t="shared" si="1005"/>
        <v>4678636</v>
      </c>
      <c r="I328" s="17">
        <f t="shared" si="1005"/>
        <v>92564</v>
      </c>
      <c r="J328" s="17">
        <f t="shared" si="1005"/>
        <v>0</v>
      </c>
      <c r="K328" s="17">
        <f t="shared" si="1005"/>
        <v>6070235</v>
      </c>
      <c r="L328" s="17">
        <f t="shared" si="1005"/>
        <v>662596</v>
      </c>
      <c r="M328" s="17">
        <f t="shared" si="1005"/>
        <v>556643</v>
      </c>
      <c r="N328" s="17">
        <f t="shared" si="1005"/>
        <v>0</v>
      </c>
      <c r="O328" s="17">
        <f t="shared" si="1005"/>
        <v>0</v>
      </c>
      <c r="P328" s="17">
        <f t="shared" si="1005"/>
        <v>0</v>
      </c>
      <c r="Q328" s="17">
        <f t="shared" si="1005"/>
        <v>-498467</v>
      </c>
      <c r="R328" s="17">
        <f t="shared" si="1005"/>
        <v>0</v>
      </c>
      <c r="S328" s="17">
        <f t="shared" si="1005"/>
        <v>-5928507</v>
      </c>
      <c r="T328" s="17">
        <f t="shared" ref="T328" si="1006">T11+T28+T36+T65+T75+T87+T94+T136+T246+T270+T300+T320+T323</f>
        <v>0</v>
      </c>
      <c r="U328" s="17">
        <f>U11+U28+U36+U65+U75+U87+U94+U136+U246+U270+U300+U320+U323</f>
        <v>3528386</v>
      </c>
      <c r="V328" s="17">
        <f t="shared" ref="V328" si="1007">V11+V28+V36+V65+V75+V87+V94+V136+V246+V270+V300+V320+V323</f>
        <v>0</v>
      </c>
      <c r="W328" s="17">
        <f t="shared" ref="W328:BH328" si="1008">W11+W28+W36+W65+W75+W87+W94+W136+W246+W270+W300+W320+W323</f>
        <v>-220417</v>
      </c>
      <c r="X328" s="17">
        <f t="shared" si="1008"/>
        <v>0</v>
      </c>
      <c r="Y328" s="17">
        <f t="shared" si="1008"/>
        <v>-2877</v>
      </c>
      <c r="Z328" s="17">
        <f t="shared" si="1008"/>
        <v>88241</v>
      </c>
      <c r="AA328" s="17">
        <f t="shared" si="1008"/>
        <v>0</v>
      </c>
      <c r="AB328" s="17">
        <f t="shared" si="1008"/>
        <v>0</v>
      </c>
      <c r="AC328" s="17">
        <f t="shared" si="1008"/>
        <v>330244</v>
      </c>
      <c r="AD328" s="17">
        <f t="shared" si="1008"/>
        <v>0</v>
      </c>
      <c r="AE328" s="17">
        <f t="shared" ref="AE328" si="1009">AE11+AE28+AE36+AE65+AE75+AE87+AE94+AE136+AE246+AE270+AE300+AE320+AE323</f>
        <v>-5</v>
      </c>
      <c r="AF328" s="17">
        <f t="shared" si="1008"/>
        <v>0</v>
      </c>
      <c r="AG328" s="17">
        <f t="shared" si="1008"/>
        <v>11157908</v>
      </c>
      <c r="AH328" s="17">
        <f t="shared" si="1008"/>
        <v>11728542</v>
      </c>
      <c r="AI328" s="17">
        <f t="shared" si="1008"/>
        <v>570634</v>
      </c>
      <c r="AJ328" s="17">
        <f t="shared" si="1008"/>
        <v>30268</v>
      </c>
      <c r="AK328" s="17">
        <f t="shared" si="1008"/>
        <v>382567</v>
      </c>
      <c r="AL328" s="17">
        <f t="shared" si="1008"/>
        <v>41239</v>
      </c>
      <c r="AM328" s="17">
        <f t="shared" si="1008"/>
        <v>27633</v>
      </c>
      <c r="AN328" s="17">
        <f t="shared" si="1008"/>
        <v>5573</v>
      </c>
      <c r="AO328" s="17">
        <f t="shared" si="1008"/>
        <v>33143</v>
      </c>
      <c r="AP328" s="17">
        <f t="shared" si="1008"/>
        <v>38763</v>
      </c>
      <c r="AQ328" s="17">
        <f t="shared" si="1008"/>
        <v>11448</v>
      </c>
      <c r="AR328" s="17">
        <f t="shared" si="1008"/>
        <v>0</v>
      </c>
      <c r="AS328" s="17">
        <f t="shared" si="1008"/>
        <v>0</v>
      </c>
      <c r="AT328" s="17">
        <f t="shared" si="1008"/>
        <v>1746549</v>
      </c>
      <c r="AU328" s="17">
        <f t="shared" si="1008"/>
        <v>1857789</v>
      </c>
      <c r="AV328" s="17">
        <f t="shared" si="1008"/>
        <v>111240</v>
      </c>
      <c r="AW328" s="17">
        <f t="shared" si="1008"/>
        <v>159470</v>
      </c>
      <c r="AX328" s="17">
        <f t="shared" si="1008"/>
        <v>-99908</v>
      </c>
      <c r="AY328" s="17">
        <f t="shared" si="1008"/>
        <v>111</v>
      </c>
      <c r="AZ328" s="17">
        <f t="shared" si="1008"/>
        <v>2875</v>
      </c>
      <c r="BA328" s="17">
        <f t="shared" si="1008"/>
        <v>100</v>
      </c>
      <c r="BB328" s="17">
        <f t="shared" si="1008"/>
        <v>1514</v>
      </c>
      <c r="BC328" s="17">
        <f t="shared" si="1008"/>
        <v>5981</v>
      </c>
      <c r="BD328" s="17">
        <f t="shared" si="1008"/>
        <v>3610</v>
      </c>
      <c r="BE328" s="17">
        <f t="shared" si="1008"/>
        <v>37487</v>
      </c>
      <c r="BF328" s="17">
        <f t="shared" ref="BF328" si="1010">BF11+BF28+BF36+BF65+BF75+BF87+BF94+BF136+BF246+BF270+BF300+BF320+BF323</f>
        <v>0</v>
      </c>
      <c r="BG328" s="17">
        <f t="shared" si="1008"/>
        <v>0</v>
      </c>
      <c r="BH328" s="17">
        <f t="shared" si="1008"/>
        <v>538</v>
      </c>
      <c r="BI328" s="17">
        <f t="shared" ref="BI328:CD328" si="1011">BI11+BI28+BI36+BI65+BI75+BI87+BI94+BI136+BI246+BI270+BI300+BI320+BI323</f>
        <v>569</v>
      </c>
      <c r="BJ328" s="17">
        <f t="shared" si="1011"/>
        <v>31</v>
      </c>
      <c r="BK328" s="17">
        <f t="shared" si="1011"/>
        <v>31</v>
      </c>
      <c r="BL328" s="17">
        <f t="shared" si="1011"/>
        <v>0</v>
      </c>
      <c r="BM328" s="17">
        <f t="shared" si="1011"/>
        <v>0</v>
      </c>
      <c r="BN328" s="17">
        <f t="shared" si="1011"/>
        <v>0</v>
      </c>
      <c r="BO328" s="17">
        <f t="shared" si="1011"/>
        <v>0</v>
      </c>
      <c r="BP328" s="17">
        <f t="shared" si="1011"/>
        <v>-1047228</v>
      </c>
      <c r="BQ328" s="17">
        <f t="shared" si="1011"/>
        <v>-1261390</v>
      </c>
      <c r="BR328" s="17">
        <f t="shared" si="1011"/>
        <v>-214162</v>
      </c>
      <c r="BS328" s="17">
        <f t="shared" si="1011"/>
        <v>-11045</v>
      </c>
      <c r="BT328" s="17">
        <f t="shared" si="1011"/>
        <v>-206523</v>
      </c>
      <c r="BU328" s="17">
        <f t="shared" si="1011"/>
        <v>-18678</v>
      </c>
      <c r="BV328" s="17">
        <f t="shared" si="1011"/>
        <v>45158</v>
      </c>
      <c r="BW328" s="17">
        <f t="shared" si="1011"/>
        <v>-7681</v>
      </c>
      <c r="BX328" s="17">
        <f t="shared" si="1011"/>
        <v>20825</v>
      </c>
      <c r="BY328" s="17">
        <f t="shared" si="1011"/>
        <v>-1738</v>
      </c>
      <c r="BZ328" s="17">
        <f t="shared" si="1011"/>
        <v>-336</v>
      </c>
      <c r="CA328" s="17">
        <f t="shared" si="1011"/>
        <v>-32196</v>
      </c>
      <c r="CB328" s="17">
        <f t="shared" si="1011"/>
        <v>-1945</v>
      </c>
      <c r="CC328" s="17">
        <f t="shared" ref="CC328" si="1012">CC11+CC28+CC36+CC65+CC75+CC87+CC94+CC136+CC246+CC270+CC300+CC320+CC323</f>
        <v>-3</v>
      </c>
      <c r="CD328" s="17">
        <f t="shared" si="1011"/>
        <v>0</v>
      </c>
      <c r="CE328" s="18"/>
      <c r="CF328" s="198"/>
    </row>
    <row r="329" spans="1:86" hidden="1" outlineLevel="1" x14ac:dyDescent="0.2">
      <c r="B329" s="16" t="s">
        <v>24</v>
      </c>
      <c r="C329" s="16"/>
      <c r="D329" s="19" t="str">
        <f t="shared" ref="D329:CE329" si="1013">IF(D326=D327=D328,"PROBLEM","")</f>
        <v/>
      </c>
      <c r="E329" s="19"/>
      <c r="F329" s="19" t="str">
        <f t="shared" si="1013"/>
        <v/>
      </c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 t="str">
        <f t="shared" si="1013"/>
        <v/>
      </c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 t="str">
        <f t="shared" si="1013"/>
        <v/>
      </c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 t="str">
        <f t="shared" si="1013"/>
        <v/>
      </c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20" t="str">
        <f t="shared" si="1013"/>
        <v/>
      </c>
      <c r="CF329" s="198"/>
    </row>
    <row r="330" spans="1:86" hidden="1" outlineLevel="1" x14ac:dyDescent="0.2">
      <c r="B330" s="13"/>
      <c r="C330" s="13"/>
      <c r="F330" s="198"/>
      <c r="AG330" s="198"/>
      <c r="BH330" s="198"/>
      <c r="BP330" s="198"/>
      <c r="CF330" s="198"/>
    </row>
    <row r="331" spans="1:86" s="22" customFormat="1" hidden="1" outlineLevel="1" x14ac:dyDescent="0.2">
      <c r="B331" s="21"/>
      <c r="C331" s="21" t="s">
        <v>274</v>
      </c>
      <c r="D331" s="127"/>
      <c r="E331" s="127"/>
      <c r="F331" s="127"/>
      <c r="G331" s="127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  <c r="AA331" s="127"/>
      <c r="AB331" s="127"/>
      <c r="AC331" s="127"/>
      <c r="AD331" s="127"/>
      <c r="AE331" s="127"/>
      <c r="AF331" s="127"/>
      <c r="AG331" s="127"/>
      <c r="AH331" s="127"/>
      <c r="AI331" s="127"/>
      <c r="AJ331" s="127"/>
      <c r="AK331" s="127"/>
      <c r="AL331" s="127"/>
      <c r="AM331" s="127"/>
      <c r="AN331" s="127"/>
      <c r="AO331" s="23"/>
      <c r="AP331" s="23"/>
      <c r="AQ331" s="23"/>
      <c r="AR331" s="23"/>
      <c r="AS331" s="23"/>
      <c r="AT331" s="23"/>
      <c r="AU331" s="127"/>
      <c r="AV331" s="127"/>
      <c r="AW331" s="127"/>
      <c r="AX331" s="127"/>
      <c r="AY331" s="127"/>
      <c r="AZ331" s="127"/>
      <c r="BA331" s="127"/>
      <c r="BB331" s="127"/>
      <c r="BC331" s="127"/>
      <c r="BD331" s="127"/>
      <c r="BE331" s="127"/>
      <c r="BF331" s="127"/>
      <c r="BG331" s="127"/>
      <c r="BH331" s="127"/>
      <c r="BI331" s="127"/>
      <c r="BJ331" s="127"/>
      <c r="BK331" s="127"/>
      <c r="BL331" s="127"/>
      <c r="BM331" s="127"/>
      <c r="BN331" s="127"/>
      <c r="BO331" s="127"/>
      <c r="BP331" s="127"/>
      <c r="BQ331" s="127"/>
      <c r="BR331" s="127"/>
      <c r="BS331" s="127"/>
      <c r="BT331" s="127"/>
      <c r="BU331" s="127"/>
      <c r="BV331" s="127"/>
      <c r="BW331" s="127"/>
      <c r="BX331" s="127"/>
      <c r="BY331" s="127"/>
      <c r="BZ331" s="127"/>
      <c r="CA331" s="127"/>
      <c r="CB331" s="127"/>
      <c r="CC331" s="127"/>
      <c r="CD331" s="127"/>
      <c r="CE331" s="380"/>
      <c r="CF331" s="3"/>
      <c r="CG331" s="3"/>
      <c r="CH331" s="3"/>
    </row>
    <row r="332" spans="1:86" hidden="1" outlineLevel="1" x14ac:dyDescent="0.2">
      <c r="B332" s="13"/>
      <c r="C332" s="13"/>
      <c r="D332" s="127">
        <f>Ienemumi!AL161-E326</f>
        <v>0</v>
      </c>
      <c r="E332" s="127"/>
      <c r="F332" s="198"/>
      <c r="AG332" s="198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F332" s="198"/>
      <c r="CG332" s="198"/>
      <c r="CH332" s="198"/>
    </row>
    <row r="333" spans="1:86" ht="12.75" collapsed="1" thickTop="1" x14ac:dyDescent="0.2">
      <c r="B333" s="13"/>
      <c r="C333" s="13"/>
      <c r="D333" s="127"/>
      <c r="E333" s="127"/>
      <c r="F333" s="263"/>
      <c r="G333" s="263"/>
      <c r="H333" s="263"/>
      <c r="I333" s="263"/>
      <c r="J333" s="263"/>
      <c r="K333" s="263"/>
      <c r="L333" s="263"/>
      <c r="M333" s="263"/>
      <c r="N333" s="263"/>
      <c r="O333" s="263"/>
      <c r="P333" s="263"/>
      <c r="Q333" s="263"/>
      <c r="R333" s="263"/>
      <c r="S333" s="263"/>
      <c r="T333" s="263"/>
      <c r="U333" s="263"/>
      <c r="V333" s="263"/>
      <c r="W333" s="263"/>
      <c r="X333" s="263"/>
      <c r="Y333" s="263"/>
      <c r="Z333" s="263"/>
      <c r="AA333" s="263"/>
      <c r="AB333" s="263"/>
      <c r="AC333" s="263"/>
      <c r="AD333" s="263"/>
      <c r="AE333" s="263"/>
      <c r="AF333" s="263"/>
      <c r="AG333" s="263"/>
      <c r="AH333" s="263"/>
      <c r="AI333" s="263"/>
      <c r="AJ333" s="263"/>
      <c r="AK333" s="263"/>
      <c r="AL333" s="263"/>
      <c r="AM333" s="263"/>
      <c r="AN333" s="263"/>
      <c r="AO333" s="263"/>
      <c r="AP333" s="263"/>
      <c r="AQ333" s="263"/>
      <c r="AR333" s="263"/>
      <c r="AS333" s="263"/>
      <c r="AT333" s="263"/>
      <c r="AU333" s="263"/>
      <c r="AV333" s="263"/>
      <c r="AW333" s="263"/>
      <c r="AX333" s="263"/>
      <c r="AY333" s="263"/>
      <c r="AZ333" s="263"/>
      <c r="BA333" s="263"/>
      <c r="BB333" s="263"/>
      <c r="BC333" s="263"/>
      <c r="BD333" s="263"/>
      <c r="BE333" s="263"/>
      <c r="BF333" s="263"/>
      <c r="BG333" s="263"/>
      <c r="BH333" s="263"/>
      <c r="BI333" s="263"/>
      <c r="BJ333" s="263"/>
      <c r="BK333" s="263"/>
      <c r="BL333" s="263"/>
      <c r="BM333" s="263"/>
      <c r="BN333" s="263"/>
      <c r="BO333" s="263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F333" s="198"/>
      <c r="CG333" s="198"/>
      <c r="CH333" s="198"/>
    </row>
    <row r="334" spans="1:86" x14ac:dyDescent="0.2">
      <c r="B334" s="13"/>
      <c r="C334" s="13"/>
      <c r="D334" s="127"/>
      <c r="E334" s="127"/>
      <c r="F334" s="264"/>
      <c r="G334" s="264"/>
      <c r="H334" s="264"/>
      <c r="I334" s="264"/>
      <c r="J334" s="264"/>
      <c r="K334" s="264"/>
      <c r="L334" s="264"/>
      <c r="M334" s="264"/>
      <c r="N334" s="264"/>
      <c r="O334" s="264"/>
      <c r="P334" s="264"/>
      <c r="Q334" s="264"/>
      <c r="R334" s="264"/>
      <c r="S334" s="264"/>
      <c r="T334" s="264"/>
      <c r="U334" s="264"/>
      <c r="V334" s="264"/>
      <c r="W334" s="264"/>
      <c r="X334" s="264"/>
      <c r="Y334" s="264"/>
      <c r="Z334" s="264"/>
      <c r="AA334" s="264"/>
      <c r="AB334" s="264"/>
      <c r="AC334" s="264"/>
      <c r="AD334" s="264"/>
      <c r="AE334" s="264"/>
      <c r="AF334" s="264"/>
      <c r="AG334" s="264"/>
      <c r="AH334" s="264"/>
      <c r="AI334" s="264"/>
      <c r="AJ334" s="264"/>
      <c r="AK334" s="264"/>
      <c r="AL334" s="264"/>
      <c r="AM334" s="264"/>
      <c r="AN334" s="264"/>
      <c r="AO334" s="264"/>
      <c r="AP334" s="264"/>
      <c r="AQ334" s="264"/>
      <c r="AR334" s="264"/>
      <c r="AS334" s="264"/>
      <c r="AT334" s="264"/>
      <c r="AU334" s="264"/>
      <c r="AV334" s="264"/>
      <c r="AW334" s="264"/>
      <c r="AX334" s="264"/>
      <c r="AY334" s="264"/>
      <c r="AZ334" s="264"/>
      <c r="BA334" s="264"/>
      <c r="BB334" s="264"/>
      <c r="BC334" s="264"/>
      <c r="BD334" s="264"/>
      <c r="BE334" s="264"/>
      <c r="BF334" s="264"/>
      <c r="BG334" s="264"/>
      <c r="BH334" s="264"/>
      <c r="BI334" s="264"/>
      <c r="BJ334" s="264"/>
      <c r="BK334" s="264"/>
      <c r="BL334" s="264"/>
      <c r="BM334" s="264"/>
      <c r="BN334" s="264"/>
      <c r="BO334" s="264"/>
      <c r="BP334" s="198"/>
      <c r="CF334" s="198"/>
      <c r="CG334" s="198"/>
      <c r="CH334" s="198"/>
    </row>
    <row r="335" spans="1:86" x14ac:dyDescent="0.2">
      <c r="B335" s="13"/>
      <c r="C335" s="13"/>
      <c r="F335" s="264"/>
      <c r="G335" s="264"/>
      <c r="H335" s="264"/>
      <c r="I335" s="264"/>
      <c r="J335" s="264"/>
      <c r="K335" s="264"/>
      <c r="L335" s="264"/>
      <c r="M335" s="264"/>
      <c r="N335" s="264"/>
      <c r="O335" s="264"/>
      <c r="P335" s="264"/>
      <c r="Q335" s="264"/>
      <c r="R335" s="264"/>
      <c r="S335" s="264"/>
      <c r="T335" s="264"/>
      <c r="U335" s="264"/>
      <c r="V335" s="264"/>
      <c r="W335" s="264"/>
      <c r="X335" s="264"/>
      <c r="Y335" s="264"/>
      <c r="Z335" s="264"/>
      <c r="AA335" s="264"/>
      <c r="AB335" s="264"/>
      <c r="AC335" s="264"/>
      <c r="AD335" s="264"/>
      <c r="AE335" s="264"/>
      <c r="AF335" s="264"/>
      <c r="AG335" s="264"/>
      <c r="AH335" s="264"/>
      <c r="AI335" s="264"/>
      <c r="AJ335" s="264"/>
      <c r="AK335" s="264"/>
      <c r="AL335" s="264"/>
      <c r="AM335" s="264"/>
      <c r="AN335" s="264"/>
      <c r="AO335" s="264"/>
      <c r="AP335" s="264"/>
      <c r="AQ335" s="264"/>
      <c r="AR335" s="264"/>
      <c r="AS335" s="264"/>
      <c r="AT335" s="264"/>
      <c r="AU335" s="264"/>
      <c r="AV335" s="264"/>
      <c r="AW335" s="264"/>
      <c r="AX335" s="264"/>
      <c r="AY335" s="264"/>
      <c r="AZ335" s="264"/>
      <c r="BA335" s="264"/>
      <c r="BB335" s="264"/>
      <c r="BC335" s="264"/>
      <c r="BD335" s="264"/>
      <c r="BE335" s="264"/>
      <c r="BF335" s="264"/>
      <c r="BG335" s="264"/>
      <c r="BH335" s="198"/>
      <c r="BP335" s="198"/>
      <c r="CF335" s="198"/>
      <c r="CG335" s="198"/>
      <c r="CH335" s="198"/>
    </row>
    <row r="336" spans="1:86" x14ac:dyDescent="0.2">
      <c r="B336" s="13"/>
      <c r="C336" s="13"/>
      <c r="BH336" s="198"/>
      <c r="BP336" s="198"/>
      <c r="CF336" s="198"/>
      <c r="CG336" s="198"/>
      <c r="CH336" s="198"/>
    </row>
    <row r="337" spans="2:86" x14ac:dyDescent="0.2">
      <c r="B337" s="13"/>
      <c r="C337" s="13"/>
      <c r="BH337" s="198"/>
      <c r="BP337" s="198"/>
      <c r="CF337" s="198"/>
      <c r="CG337" s="198"/>
      <c r="CH337" s="198"/>
    </row>
    <row r="338" spans="2:86" x14ac:dyDescent="0.2">
      <c r="B338" s="13"/>
      <c r="C338" s="13"/>
      <c r="BH338" s="198"/>
      <c r="BP338" s="198"/>
      <c r="CF338" s="198"/>
      <c r="CG338" s="198"/>
      <c r="CH338" s="198"/>
    </row>
    <row r="339" spans="2:86" x14ac:dyDescent="0.2">
      <c r="B339" s="13"/>
      <c r="C339" s="13"/>
      <c r="BH339" s="198"/>
      <c r="BP339" s="198"/>
      <c r="CF339" s="198"/>
      <c r="CG339" s="198"/>
      <c r="CH339" s="198"/>
    </row>
    <row r="340" spans="2:86" x14ac:dyDescent="0.2">
      <c r="B340" s="13"/>
      <c r="C340" s="13"/>
      <c r="BH340" s="198"/>
      <c r="BP340" s="198"/>
      <c r="CF340" s="198"/>
      <c r="CG340" s="198"/>
      <c r="CH340" s="198"/>
    </row>
    <row r="341" spans="2:86" x14ac:dyDescent="0.2">
      <c r="B341" s="13"/>
      <c r="C341" s="13"/>
      <c r="BH341" s="198"/>
      <c r="BP341" s="198"/>
      <c r="CF341" s="198"/>
      <c r="CG341" s="198"/>
      <c r="CH341" s="198"/>
    </row>
    <row r="342" spans="2:86" x14ac:dyDescent="0.2">
      <c r="B342" s="13"/>
      <c r="C342" s="13"/>
      <c r="BH342" s="198"/>
      <c r="BP342" s="198"/>
      <c r="CF342" s="198"/>
      <c r="CG342" s="198"/>
      <c r="CH342" s="198"/>
    </row>
    <row r="343" spans="2:86" x14ac:dyDescent="0.2">
      <c r="B343" s="13"/>
      <c r="C343" s="13"/>
      <c r="BH343" s="198"/>
      <c r="BP343" s="198"/>
      <c r="CF343" s="198"/>
      <c r="CG343" s="198"/>
      <c r="CH343" s="198"/>
    </row>
    <row r="344" spans="2:86" x14ac:dyDescent="0.2">
      <c r="B344" s="13"/>
      <c r="C344" s="13"/>
      <c r="BH344" s="198"/>
      <c r="BP344" s="198"/>
      <c r="CF344" s="198"/>
      <c r="CG344" s="198"/>
      <c r="CH344" s="198"/>
    </row>
    <row r="345" spans="2:86" x14ac:dyDescent="0.2">
      <c r="B345" s="13"/>
      <c r="C345" s="13"/>
      <c r="BH345" s="198"/>
      <c r="BP345" s="198"/>
      <c r="CF345" s="198"/>
      <c r="CG345" s="198"/>
      <c r="CH345" s="198"/>
    </row>
    <row r="346" spans="2:86" x14ac:dyDescent="0.2">
      <c r="B346" s="13"/>
      <c r="C346" s="13"/>
      <c r="BH346" s="198"/>
      <c r="BP346" s="198"/>
      <c r="CF346" s="198"/>
      <c r="CG346" s="198"/>
      <c r="CH346" s="198"/>
    </row>
    <row r="347" spans="2:86" x14ac:dyDescent="0.2">
      <c r="B347" s="13"/>
      <c r="C347" s="13"/>
      <c r="BH347" s="198"/>
      <c r="BP347" s="198"/>
      <c r="CF347" s="198"/>
      <c r="CG347" s="198"/>
      <c r="CH347" s="198"/>
    </row>
    <row r="348" spans="2:86" x14ac:dyDescent="0.2">
      <c r="B348" s="13"/>
      <c r="C348" s="13"/>
      <c r="BH348" s="198"/>
      <c r="BP348" s="198"/>
      <c r="CF348" s="198"/>
      <c r="CG348" s="198"/>
      <c r="CH348" s="198"/>
    </row>
    <row r="349" spans="2:86" x14ac:dyDescent="0.2">
      <c r="B349" s="13"/>
      <c r="C349" s="13"/>
      <c r="BH349" s="198"/>
      <c r="BP349" s="198"/>
      <c r="CF349" s="198"/>
      <c r="CG349" s="198"/>
      <c r="CH349" s="198"/>
    </row>
    <row r="350" spans="2:86" x14ac:dyDescent="0.2">
      <c r="B350" s="13"/>
      <c r="C350" s="13"/>
      <c r="BH350" s="198"/>
      <c r="BP350" s="198"/>
      <c r="CF350" s="198"/>
      <c r="CG350" s="198"/>
      <c r="CH350" s="198"/>
    </row>
    <row r="351" spans="2:86" x14ac:dyDescent="0.2">
      <c r="B351" s="13"/>
      <c r="C351" s="13"/>
      <c r="BH351" s="198"/>
      <c r="BP351" s="198"/>
      <c r="CF351" s="198"/>
      <c r="CG351" s="198"/>
      <c r="CH351" s="198"/>
    </row>
    <row r="352" spans="2:86" x14ac:dyDescent="0.2">
      <c r="B352" s="13"/>
      <c r="C352" s="13"/>
      <c r="BH352" s="198"/>
      <c r="BP352" s="198"/>
      <c r="CF352" s="198"/>
      <c r="CG352" s="198"/>
      <c r="CH352" s="198"/>
    </row>
    <row r="353" spans="2:86" x14ac:dyDescent="0.2">
      <c r="B353" s="13"/>
      <c r="C353" s="13"/>
      <c r="BH353" s="198"/>
      <c r="BP353" s="198"/>
      <c r="CF353" s="198"/>
      <c r="CG353" s="198"/>
      <c r="CH353" s="198"/>
    </row>
    <row r="354" spans="2:86" x14ac:dyDescent="0.2">
      <c r="B354" s="13"/>
      <c r="C354" s="13"/>
      <c r="BH354" s="198"/>
      <c r="BP354" s="198"/>
      <c r="CF354" s="198"/>
      <c r="CG354" s="198"/>
      <c r="CH354" s="198"/>
    </row>
    <row r="355" spans="2:86" x14ac:dyDescent="0.2">
      <c r="B355" s="13"/>
      <c r="C355" s="13"/>
    </row>
    <row r="356" spans="2:86" x14ac:dyDescent="0.2">
      <c r="B356" s="13"/>
      <c r="C356" s="13"/>
    </row>
    <row r="357" spans="2:86" x14ac:dyDescent="0.2">
      <c r="B357" s="13"/>
      <c r="C357" s="13"/>
    </row>
    <row r="358" spans="2:86" x14ac:dyDescent="0.2">
      <c r="B358" s="13"/>
      <c r="C358" s="13"/>
    </row>
    <row r="359" spans="2:86" x14ac:dyDescent="0.2">
      <c r="B359" s="13"/>
      <c r="C359" s="13"/>
    </row>
    <row r="360" spans="2:86" x14ac:dyDescent="0.2">
      <c r="B360" s="13"/>
      <c r="C360" s="13"/>
    </row>
    <row r="361" spans="2:86" x14ac:dyDescent="0.2">
      <c r="B361" s="13"/>
      <c r="C361" s="13"/>
    </row>
    <row r="362" spans="2:86" x14ac:dyDescent="0.2">
      <c r="B362" s="13"/>
      <c r="C362" s="13"/>
    </row>
    <row r="363" spans="2:86" x14ac:dyDescent="0.2">
      <c r="B363" s="13"/>
      <c r="C363" s="13"/>
    </row>
    <row r="364" spans="2:86" x14ac:dyDescent="0.2">
      <c r="B364" s="13"/>
      <c r="C364" s="13"/>
    </row>
    <row r="365" spans="2:86" x14ac:dyDescent="0.2">
      <c r="B365" s="13"/>
      <c r="C365" s="13"/>
    </row>
    <row r="366" spans="2:86" x14ac:dyDescent="0.2">
      <c r="B366" s="13"/>
      <c r="C366" s="13"/>
    </row>
    <row r="367" spans="2:86" x14ac:dyDescent="0.2">
      <c r="B367" s="13"/>
      <c r="C367" s="13"/>
    </row>
    <row r="368" spans="2:86" x14ac:dyDescent="0.2">
      <c r="B368" s="13"/>
      <c r="C368" s="13"/>
    </row>
    <row r="369" spans="2:3" x14ac:dyDescent="0.2">
      <c r="B369" s="13"/>
      <c r="C369" s="13"/>
    </row>
    <row r="370" spans="2:3" x14ac:dyDescent="0.2">
      <c r="B370" s="13"/>
      <c r="C370" s="13"/>
    </row>
    <row r="371" spans="2:3" x14ac:dyDescent="0.2">
      <c r="B371" s="13"/>
      <c r="C371" s="13"/>
    </row>
    <row r="372" spans="2:3" x14ac:dyDescent="0.2">
      <c r="B372" s="13"/>
      <c r="C372" s="13"/>
    </row>
    <row r="373" spans="2:3" x14ac:dyDescent="0.2">
      <c r="B373" s="13"/>
      <c r="C373" s="13"/>
    </row>
    <row r="374" spans="2:3" x14ac:dyDescent="0.2">
      <c r="B374" s="13"/>
      <c r="C374" s="13"/>
    </row>
    <row r="375" spans="2:3" x14ac:dyDescent="0.2">
      <c r="B375" s="13"/>
      <c r="C375" s="13"/>
    </row>
    <row r="376" spans="2:3" x14ac:dyDescent="0.2">
      <c r="B376" s="13"/>
      <c r="C376" s="13"/>
    </row>
    <row r="377" spans="2:3" x14ac:dyDescent="0.2">
      <c r="B377" s="13"/>
      <c r="C377" s="13"/>
    </row>
    <row r="378" spans="2:3" x14ac:dyDescent="0.2">
      <c r="B378" s="13"/>
      <c r="C378" s="13"/>
    </row>
    <row r="379" spans="2:3" x14ac:dyDescent="0.2">
      <c r="B379" s="13"/>
      <c r="C379" s="13"/>
    </row>
    <row r="380" spans="2:3" x14ac:dyDescent="0.2">
      <c r="B380" s="13"/>
      <c r="C380" s="13"/>
    </row>
    <row r="381" spans="2:3" x14ac:dyDescent="0.2">
      <c r="B381" s="13"/>
      <c r="C381" s="13"/>
    </row>
    <row r="382" spans="2:3" x14ac:dyDescent="0.2">
      <c r="B382" s="13"/>
      <c r="C382" s="13"/>
    </row>
    <row r="383" spans="2:3" x14ac:dyDescent="0.2">
      <c r="B383" s="13"/>
      <c r="C383" s="13"/>
    </row>
    <row r="384" spans="2:3" x14ac:dyDescent="0.2">
      <c r="B384" s="13"/>
      <c r="C384" s="13"/>
    </row>
    <row r="385" spans="2:3" x14ac:dyDescent="0.2">
      <c r="B385" s="13"/>
      <c r="C385" s="13"/>
    </row>
    <row r="386" spans="2:3" x14ac:dyDescent="0.2">
      <c r="B386" s="13"/>
      <c r="C386" s="13"/>
    </row>
    <row r="387" spans="2:3" x14ac:dyDescent="0.2">
      <c r="B387" s="13"/>
      <c r="C387" s="13"/>
    </row>
    <row r="388" spans="2:3" x14ac:dyDescent="0.2">
      <c r="B388" s="13"/>
      <c r="C388" s="13"/>
    </row>
    <row r="389" spans="2:3" x14ac:dyDescent="0.2">
      <c r="B389" s="13"/>
      <c r="C389" s="13"/>
    </row>
    <row r="390" spans="2:3" x14ac:dyDescent="0.2">
      <c r="B390" s="13"/>
      <c r="C390" s="13"/>
    </row>
    <row r="391" spans="2:3" x14ac:dyDescent="0.2">
      <c r="B391" s="13"/>
      <c r="C391" s="13"/>
    </row>
    <row r="392" spans="2:3" x14ac:dyDescent="0.2">
      <c r="B392" s="13"/>
      <c r="C392" s="13"/>
    </row>
    <row r="393" spans="2:3" x14ac:dyDescent="0.2">
      <c r="B393" s="13"/>
      <c r="C393" s="13"/>
    </row>
    <row r="394" spans="2:3" x14ac:dyDescent="0.2">
      <c r="B394" s="13"/>
      <c r="C394" s="13"/>
    </row>
    <row r="395" spans="2:3" x14ac:dyDescent="0.2">
      <c r="B395" s="13"/>
      <c r="C395" s="13"/>
    </row>
    <row r="396" spans="2:3" x14ac:dyDescent="0.2">
      <c r="B396" s="13"/>
      <c r="C396" s="13"/>
    </row>
    <row r="397" spans="2:3" x14ac:dyDescent="0.2">
      <c r="B397" s="13"/>
      <c r="C397" s="13"/>
    </row>
    <row r="398" spans="2:3" x14ac:dyDescent="0.2">
      <c r="B398" s="13"/>
      <c r="C398" s="13"/>
    </row>
    <row r="399" spans="2:3" x14ac:dyDescent="0.2">
      <c r="B399" s="13"/>
      <c r="C399" s="13"/>
    </row>
    <row r="400" spans="2:3" x14ac:dyDescent="0.2">
      <c r="B400" s="13"/>
      <c r="C400" s="13"/>
    </row>
    <row r="401" spans="2:3" x14ac:dyDescent="0.2">
      <c r="B401" s="13"/>
      <c r="C401" s="13"/>
    </row>
    <row r="402" spans="2:3" x14ac:dyDescent="0.2">
      <c r="B402" s="13"/>
      <c r="C402" s="13"/>
    </row>
    <row r="403" spans="2:3" x14ac:dyDescent="0.2">
      <c r="B403" s="13"/>
      <c r="C403" s="13"/>
    </row>
    <row r="404" spans="2:3" x14ac:dyDescent="0.2">
      <c r="B404" s="13"/>
      <c r="C404" s="13"/>
    </row>
    <row r="405" spans="2:3" x14ac:dyDescent="0.2">
      <c r="B405" s="13"/>
      <c r="C405" s="13"/>
    </row>
    <row r="406" spans="2:3" x14ac:dyDescent="0.2">
      <c r="B406" s="13"/>
      <c r="C406" s="13"/>
    </row>
    <row r="407" spans="2:3" x14ac:dyDescent="0.2">
      <c r="B407" s="13"/>
      <c r="C407" s="13"/>
    </row>
    <row r="408" spans="2:3" x14ac:dyDescent="0.2">
      <c r="B408" s="13"/>
      <c r="C408" s="13"/>
    </row>
    <row r="409" spans="2:3" x14ac:dyDescent="0.2">
      <c r="B409" s="13"/>
      <c r="C409" s="13"/>
    </row>
    <row r="410" spans="2:3" x14ac:dyDescent="0.2">
      <c r="B410" s="13"/>
      <c r="C410" s="13"/>
    </row>
    <row r="411" spans="2:3" x14ac:dyDescent="0.2">
      <c r="B411" s="13"/>
      <c r="C411" s="13"/>
    </row>
    <row r="412" spans="2:3" x14ac:dyDescent="0.2">
      <c r="B412" s="13"/>
      <c r="C412" s="13"/>
    </row>
    <row r="413" spans="2:3" x14ac:dyDescent="0.2">
      <c r="B413" s="13"/>
      <c r="C413" s="13"/>
    </row>
    <row r="414" spans="2:3" x14ac:dyDescent="0.2">
      <c r="B414" s="13"/>
      <c r="C414" s="13"/>
    </row>
    <row r="415" spans="2:3" x14ac:dyDescent="0.2">
      <c r="B415" s="13"/>
      <c r="C415" s="13"/>
    </row>
    <row r="416" spans="2:3" x14ac:dyDescent="0.2">
      <c r="B416" s="13"/>
      <c r="C416" s="13"/>
    </row>
    <row r="417" spans="2:3" x14ac:dyDescent="0.2">
      <c r="B417" s="13"/>
      <c r="C417" s="13"/>
    </row>
    <row r="418" spans="2:3" x14ac:dyDescent="0.2">
      <c r="B418" s="13"/>
      <c r="C418" s="13"/>
    </row>
    <row r="419" spans="2:3" x14ac:dyDescent="0.2">
      <c r="B419" s="13"/>
      <c r="C419" s="13"/>
    </row>
    <row r="420" spans="2:3" x14ac:dyDescent="0.2">
      <c r="B420" s="13"/>
      <c r="C420" s="13"/>
    </row>
    <row r="421" spans="2:3" x14ac:dyDescent="0.2">
      <c r="B421" s="13"/>
      <c r="C421" s="13"/>
    </row>
    <row r="422" spans="2:3" x14ac:dyDescent="0.2">
      <c r="B422" s="13"/>
      <c r="C422" s="13"/>
    </row>
    <row r="423" spans="2:3" x14ac:dyDescent="0.2">
      <c r="B423" s="13"/>
      <c r="C423" s="13"/>
    </row>
    <row r="424" spans="2:3" x14ac:dyDescent="0.2">
      <c r="B424" s="13"/>
      <c r="C424" s="13"/>
    </row>
    <row r="425" spans="2:3" x14ac:dyDescent="0.2">
      <c r="B425" s="13"/>
      <c r="C425" s="13"/>
    </row>
    <row r="426" spans="2:3" x14ac:dyDescent="0.2">
      <c r="B426" s="13"/>
      <c r="C426" s="13"/>
    </row>
    <row r="427" spans="2:3" x14ac:dyDescent="0.2">
      <c r="B427" s="13"/>
      <c r="C427" s="13"/>
    </row>
    <row r="428" spans="2:3" x14ac:dyDescent="0.2">
      <c r="B428" s="13"/>
      <c r="C428" s="13"/>
    </row>
    <row r="429" spans="2:3" x14ac:dyDescent="0.2">
      <c r="B429" s="13"/>
      <c r="C429" s="13"/>
    </row>
    <row r="430" spans="2:3" x14ac:dyDescent="0.2">
      <c r="B430" s="13"/>
      <c r="C430" s="13"/>
    </row>
    <row r="431" spans="2:3" x14ac:dyDescent="0.2">
      <c r="B431" s="13"/>
      <c r="C431" s="13"/>
    </row>
    <row r="432" spans="2:3" x14ac:dyDescent="0.2">
      <c r="B432" s="13"/>
      <c r="C432" s="13"/>
    </row>
    <row r="433" spans="2:3" x14ac:dyDescent="0.2">
      <c r="B433" s="13"/>
      <c r="C433" s="13"/>
    </row>
    <row r="434" spans="2:3" x14ac:dyDescent="0.2">
      <c r="B434" s="13"/>
      <c r="C434" s="13"/>
    </row>
    <row r="435" spans="2:3" x14ac:dyDescent="0.2">
      <c r="B435" s="13"/>
      <c r="C435" s="13"/>
    </row>
    <row r="436" spans="2:3" x14ac:dyDescent="0.2">
      <c r="B436" s="13"/>
      <c r="C436" s="13"/>
    </row>
    <row r="437" spans="2:3" x14ac:dyDescent="0.2">
      <c r="B437" s="13"/>
      <c r="C437" s="13"/>
    </row>
    <row r="438" spans="2:3" x14ac:dyDescent="0.2">
      <c r="B438" s="13"/>
      <c r="C438" s="13"/>
    </row>
    <row r="439" spans="2:3" x14ac:dyDescent="0.2">
      <c r="B439" s="13"/>
      <c r="C439" s="13"/>
    </row>
    <row r="440" spans="2:3" x14ac:dyDescent="0.2">
      <c r="B440" s="13"/>
      <c r="C440" s="13"/>
    </row>
    <row r="441" spans="2:3" x14ac:dyDescent="0.2">
      <c r="B441" s="13"/>
      <c r="C441" s="13"/>
    </row>
    <row r="442" spans="2:3" x14ac:dyDescent="0.2">
      <c r="B442" s="13"/>
      <c r="C442" s="13"/>
    </row>
    <row r="443" spans="2:3" x14ac:dyDescent="0.2">
      <c r="B443" s="13"/>
      <c r="C443" s="13"/>
    </row>
    <row r="444" spans="2:3" x14ac:dyDescent="0.2">
      <c r="B444" s="13"/>
      <c r="C444" s="13"/>
    </row>
    <row r="445" spans="2:3" x14ac:dyDescent="0.2">
      <c r="B445" s="13"/>
      <c r="C445" s="13"/>
    </row>
    <row r="446" spans="2:3" x14ac:dyDescent="0.2">
      <c r="B446" s="13"/>
      <c r="C446" s="13"/>
    </row>
    <row r="447" spans="2:3" x14ac:dyDescent="0.2">
      <c r="B447" s="13"/>
      <c r="C447" s="13"/>
    </row>
    <row r="448" spans="2:3" x14ac:dyDescent="0.2">
      <c r="B448" s="13"/>
      <c r="C448" s="13"/>
    </row>
    <row r="449" spans="2:3" x14ac:dyDescent="0.2">
      <c r="B449" s="13"/>
      <c r="C449" s="13"/>
    </row>
    <row r="450" spans="2:3" x14ac:dyDescent="0.2">
      <c r="B450" s="13"/>
      <c r="C450" s="13"/>
    </row>
    <row r="451" spans="2:3" x14ac:dyDescent="0.2">
      <c r="B451" s="13"/>
      <c r="C451" s="13"/>
    </row>
    <row r="452" spans="2:3" x14ac:dyDescent="0.2">
      <c r="B452" s="13"/>
      <c r="C452" s="13"/>
    </row>
    <row r="453" spans="2:3" x14ac:dyDescent="0.2">
      <c r="B453" s="13"/>
      <c r="C453" s="13"/>
    </row>
    <row r="454" spans="2:3" x14ac:dyDescent="0.2">
      <c r="B454" s="13"/>
      <c r="C454" s="13"/>
    </row>
    <row r="455" spans="2:3" x14ac:dyDescent="0.2">
      <c r="B455" s="13"/>
      <c r="C455" s="13"/>
    </row>
    <row r="456" spans="2:3" x14ac:dyDescent="0.2">
      <c r="B456" s="13"/>
      <c r="C456" s="13"/>
    </row>
    <row r="457" spans="2:3" x14ac:dyDescent="0.2">
      <c r="B457" s="13"/>
      <c r="C457" s="13"/>
    </row>
    <row r="458" spans="2:3" x14ac:dyDescent="0.2">
      <c r="B458" s="13"/>
      <c r="C458" s="13"/>
    </row>
    <row r="459" spans="2:3" x14ac:dyDescent="0.2">
      <c r="B459" s="13"/>
      <c r="C459" s="13"/>
    </row>
    <row r="460" spans="2:3" x14ac:dyDescent="0.2">
      <c r="B460" s="13"/>
      <c r="C460" s="13"/>
    </row>
    <row r="461" spans="2:3" x14ac:dyDescent="0.2">
      <c r="B461" s="13"/>
      <c r="C461" s="13"/>
    </row>
    <row r="462" spans="2:3" x14ac:dyDescent="0.2">
      <c r="B462" s="13"/>
      <c r="C462" s="13"/>
    </row>
    <row r="463" spans="2:3" x14ac:dyDescent="0.2">
      <c r="B463" s="13"/>
      <c r="C463" s="13"/>
    </row>
    <row r="464" spans="2:3" x14ac:dyDescent="0.2">
      <c r="B464" s="13"/>
      <c r="C464" s="13"/>
    </row>
    <row r="465" spans="2:3" x14ac:dyDescent="0.2">
      <c r="B465" s="13"/>
      <c r="C465" s="13"/>
    </row>
    <row r="466" spans="2:3" x14ac:dyDescent="0.2">
      <c r="B466" s="13"/>
      <c r="C466" s="13"/>
    </row>
    <row r="467" spans="2:3" x14ac:dyDescent="0.2">
      <c r="B467" s="13"/>
      <c r="C467" s="13"/>
    </row>
    <row r="468" spans="2:3" x14ac:dyDescent="0.2">
      <c r="B468" s="13"/>
      <c r="C468" s="13"/>
    </row>
    <row r="469" spans="2:3" x14ac:dyDescent="0.2">
      <c r="B469" s="13"/>
      <c r="C469" s="13"/>
    </row>
    <row r="470" spans="2:3" x14ac:dyDescent="0.2">
      <c r="B470" s="13"/>
      <c r="C470" s="13"/>
    </row>
    <row r="471" spans="2:3" x14ac:dyDescent="0.2">
      <c r="B471" s="13"/>
      <c r="C471" s="13"/>
    </row>
    <row r="472" spans="2:3" x14ac:dyDescent="0.2">
      <c r="B472" s="13"/>
      <c r="C472" s="13"/>
    </row>
    <row r="473" spans="2:3" x14ac:dyDescent="0.2">
      <c r="B473" s="13"/>
      <c r="C473" s="13"/>
    </row>
    <row r="474" spans="2:3" x14ac:dyDescent="0.2">
      <c r="B474" s="13"/>
      <c r="C474" s="13"/>
    </row>
    <row r="475" spans="2:3" x14ac:dyDescent="0.2">
      <c r="B475" s="13"/>
      <c r="C475" s="13"/>
    </row>
    <row r="476" spans="2:3" x14ac:dyDescent="0.2">
      <c r="B476" s="13"/>
      <c r="C476" s="13"/>
    </row>
    <row r="477" spans="2:3" x14ac:dyDescent="0.2">
      <c r="B477" s="13"/>
      <c r="C477" s="13"/>
    </row>
    <row r="478" spans="2:3" x14ac:dyDescent="0.2">
      <c r="B478" s="13"/>
      <c r="C478" s="13"/>
    </row>
    <row r="479" spans="2:3" x14ac:dyDescent="0.2">
      <c r="B479" s="13"/>
      <c r="C479" s="13"/>
    </row>
    <row r="480" spans="2:3" x14ac:dyDescent="0.2">
      <c r="B480" s="13"/>
      <c r="C480" s="13"/>
    </row>
    <row r="481" spans="2:3" x14ac:dyDescent="0.2">
      <c r="B481" s="13"/>
      <c r="C481" s="13"/>
    </row>
    <row r="482" spans="2:3" x14ac:dyDescent="0.2">
      <c r="B482" s="13"/>
      <c r="C482" s="13"/>
    </row>
    <row r="483" spans="2:3" x14ac:dyDescent="0.2">
      <c r="B483" s="13"/>
      <c r="C483" s="13"/>
    </row>
    <row r="484" spans="2:3" x14ac:dyDescent="0.2">
      <c r="B484" s="13"/>
      <c r="C484" s="13"/>
    </row>
    <row r="485" spans="2:3" x14ac:dyDescent="0.2">
      <c r="B485" s="13"/>
      <c r="C485" s="13"/>
    </row>
    <row r="486" spans="2:3" x14ac:dyDescent="0.2">
      <c r="B486" s="13"/>
      <c r="C486" s="13"/>
    </row>
    <row r="487" spans="2:3" x14ac:dyDescent="0.2">
      <c r="B487" s="13"/>
      <c r="C487" s="13"/>
    </row>
    <row r="488" spans="2:3" x14ac:dyDescent="0.2">
      <c r="B488" s="13"/>
      <c r="C488" s="13"/>
    </row>
    <row r="489" spans="2:3" x14ac:dyDescent="0.2">
      <c r="B489" s="13"/>
      <c r="C489" s="13"/>
    </row>
    <row r="490" spans="2:3" x14ac:dyDescent="0.2">
      <c r="B490" s="13"/>
      <c r="C490" s="13"/>
    </row>
    <row r="491" spans="2:3" x14ac:dyDescent="0.2">
      <c r="B491" s="13"/>
      <c r="C491" s="13"/>
    </row>
    <row r="492" spans="2:3" x14ac:dyDescent="0.2">
      <c r="B492" s="13"/>
      <c r="C492" s="13"/>
    </row>
    <row r="493" spans="2:3" x14ac:dyDescent="0.2">
      <c r="B493" s="13"/>
      <c r="C493" s="13"/>
    </row>
    <row r="494" spans="2:3" x14ac:dyDescent="0.2">
      <c r="B494" s="13"/>
      <c r="C494" s="13"/>
    </row>
    <row r="495" spans="2:3" x14ac:dyDescent="0.2">
      <c r="B495" s="13"/>
      <c r="C495" s="13"/>
    </row>
    <row r="496" spans="2:3" x14ac:dyDescent="0.2">
      <c r="B496" s="13"/>
      <c r="C496" s="13"/>
    </row>
    <row r="497" spans="2:3" x14ac:dyDescent="0.2">
      <c r="B497" s="13"/>
      <c r="C497" s="13"/>
    </row>
    <row r="498" spans="2:3" x14ac:dyDescent="0.2">
      <c r="B498" s="13"/>
      <c r="C498" s="13"/>
    </row>
    <row r="499" spans="2:3" x14ac:dyDescent="0.2">
      <c r="B499" s="13"/>
      <c r="C499" s="13"/>
    </row>
    <row r="500" spans="2:3" x14ac:dyDescent="0.2">
      <c r="B500" s="13"/>
      <c r="C500" s="13"/>
    </row>
    <row r="501" spans="2:3" x14ac:dyDescent="0.2">
      <c r="B501" s="13"/>
      <c r="C501" s="13"/>
    </row>
    <row r="502" spans="2:3" x14ac:dyDescent="0.2">
      <c r="B502" s="13"/>
      <c r="C502" s="13"/>
    </row>
    <row r="503" spans="2:3" x14ac:dyDescent="0.2">
      <c r="B503" s="13"/>
      <c r="C503" s="13"/>
    </row>
    <row r="504" spans="2:3" x14ac:dyDescent="0.2">
      <c r="B504" s="13"/>
      <c r="C504" s="13"/>
    </row>
    <row r="505" spans="2:3" x14ac:dyDescent="0.2">
      <c r="B505" s="13"/>
      <c r="C505" s="13"/>
    </row>
    <row r="506" spans="2:3" x14ac:dyDescent="0.2">
      <c r="B506" s="13"/>
      <c r="C506" s="13"/>
    </row>
    <row r="507" spans="2:3" x14ac:dyDescent="0.2">
      <c r="B507" s="13"/>
      <c r="C507" s="13"/>
    </row>
    <row r="508" spans="2:3" x14ac:dyDescent="0.2">
      <c r="B508" s="13"/>
      <c r="C508" s="13"/>
    </row>
    <row r="509" spans="2:3" x14ac:dyDescent="0.2">
      <c r="B509" s="13"/>
      <c r="C509" s="13"/>
    </row>
    <row r="510" spans="2:3" x14ac:dyDescent="0.2">
      <c r="B510" s="13"/>
      <c r="C510" s="13"/>
    </row>
    <row r="511" spans="2:3" x14ac:dyDescent="0.2">
      <c r="B511" s="13"/>
      <c r="C511" s="13"/>
    </row>
    <row r="512" spans="2:3" x14ac:dyDescent="0.2">
      <c r="B512" s="13"/>
      <c r="C512" s="13"/>
    </row>
    <row r="513" spans="2:3" x14ac:dyDescent="0.2">
      <c r="B513" s="13"/>
      <c r="C513" s="13"/>
    </row>
    <row r="514" spans="2:3" x14ac:dyDescent="0.2">
      <c r="B514" s="13"/>
      <c r="C514" s="13"/>
    </row>
    <row r="515" spans="2:3" x14ac:dyDescent="0.2">
      <c r="B515" s="13"/>
      <c r="C515" s="13"/>
    </row>
    <row r="516" spans="2:3" x14ac:dyDescent="0.2">
      <c r="B516" s="13"/>
      <c r="C516" s="13"/>
    </row>
    <row r="517" spans="2:3" x14ac:dyDescent="0.2">
      <c r="B517" s="13"/>
      <c r="C517" s="13"/>
    </row>
    <row r="518" spans="2:3" x14ac:dyDescent="0.2">
      <c r="B518" s="13"/>
      <c r="C518" s="13"/>
    </row>
    <row r="519" spans="2:3" x14ac:dyDescent="0.2">
      <c r="B519" s="13"/>
      <c r="C519" s="13"/>
    </row>
    <row r="520" spans="2:3" x14ac:dyDescent="0.2">
      <c r="B520" s="13"/>
      <c r="C520" s="13"/>
    </row>
    <row r="521" spans="2:3" x14ac:dyDescent="0.2">
      <c r="B521" s="13"/>
      <c r="C521" s="13"/>
    </row>
    <row r="522" spans="2:3" x14ac:dyDescent="0.2">
      <c r="B522" s="13"/>
      <c r="C522" s="13"/>
    </row>
    <row r="523" spans="2:3" x14ac:dyDescent="0.2">
      <c r="B523" s="13"/>
      <c r="C523" s="13"/>
    </row>
    <row r="524" spans="2:3" x14ac:dyDescent="0.2">
      <c r="B524" s="13"/>
      <c r="C524" s="13"/>
    </row>
    <row r="525" spans="2:3" x14ac:dyDescent="0.2">
      <c r="B525" s="13"/>
      <c r="C525" s="13"/>
    </row>
    <row r="526" spans="2:3" x14ac:dyDescent="0.2">
      <c r="B526" s="13"/>
      <c r="C526" s="13"/>
    </row>
    <row r="527" spans="2:3" x14ac:dyDescent="0.2">
      <c r="B527" s="13"/>
      <c r="C527" s="13"/>
    </row>
    <row r="528" spans="2:3" x14ac:dyDescent="0.2">
      <c r="B528" s="13"/>
      <c r="C528" s="13"/>
    </row>
    <row r="529" spans="2:3" x14ac:dyDescent="0.2">
      <c r="B529" s="13"/>
      <c r="C529" s="13"/>
    </row>
    <row r="530" spans="2:3" x14ac:dyDescent="0.2">
      <c r="B530" s="13"/>
      <c r="C530" s="13"/>
    </row>
    <row r="531" spans="2:3" x14ac:dyDescent="0.2">
      <c r="B531" s="13"/>
      <c r="C531" s="13"/>
    </row>
    <row r="532" spans="2:3" x14ac:dyDescent="0.2">
      <c r="B532" s="13"/>
      <c r="C532" s="13"/>
    </row>
    <row r="533" spans="2:3" x14ac:dyDescent="0.2">
      <c r="B533" s="13"/>
      <c r="C533" s="13"/>
    </row>
    <row r="534" spans="2:3" x14ac:dyDescent="0.2">
      <c r="B534" s="13"/>
      <c r="C534" s="13"/>
    </row>
    <row r="535" spans="2:3" x14ac:dyDescent="0.2">
      <c r="B535" s="13"/>
      <c r="C535" s="13"/>
    </row>
    <row r="536" spans="2:3" x14ac:dyDescent="0.2">
      <c r="B536" s="13"/>
      <c r="C536" s="13"/>
    </row>
    <row r="537" spans="2:3" x14ac:dyDescent="0.2">
      <c r="B537" s="13"/>
      <c r="C537" s="13"/>
    </row>
    <row r="538" spans="2:3" x14ac:dyDescent="0.2">
      <c r="B538" s="13"/>
      <c r="C538" s="13"/>
    </row>
    <row r="539" spans="2:3" x14ac:dyDescent="0.2">
      <c r="B539" s="13"/>
      <c r="C539" s="13"/>
    </row>
    <row r="540" spans="2:3" x14ac:dyDescent="0.2">
      <c r="B540" s="13"/>
      <c r="C540" s="13"/>
    </row>
    <row r="541" spans="2:3" x14ac:dyDescent="0.2">
      <c r="B541" s="13"/>
      <c r="C541" s="13"/>
    </row>
    <row r="542" spans="2:3" x14ac:dyDescent="0.2">
      <c r="B542" s="13"/>
      <c r="C542" s="13"/>
    </row>
    <row r="543" spans="2:3" x14ac:dyDescent="0.2">
      <c r="B543" s="13"/>
      <c r="C543" s="13"/>
    </row>
    <row r="544" spans="2:3" x14ac:dyDescent="0.2">
      <c r="B544" s="13"/>
      <c r="C544" s="13"/>
    </row>
    <row r="545" spans="2:3" x14ac:dyDescent="0.2">
      <c r="B545" s="13"/>
      <c r="C545" s="13"/>
    </row>
    <row r="546" spans="2:3" x14ac:dyDescent="0.2">
      <c r="B546" s="13"/>
      <c r="C546" s="13"/>
    </row>
    <row r="547" spans="2:3" x14ac:dyDescent="0.2">
      <c r="B547" s="13"/>
      <c r="C547" s="13"/>
    </row>
    <row r="548" spans="2:3" x14ac:dyDescent="0.2">
      <c r="B548" s="13"/>
      <c r="C548" s="13"/>
    </row>
    <row r="549" spans="2:3" x14ac:dyDescent="0.2">
      <c r="B549" s="13"/>
      <c r="C549" s="13"/>
    </row>
    <row r="550" spans="2:3" x14ac:dyDescent="0.2">
      <c r="B550" s="13"/>
      <c r="C550" s="13"/>
    </row>
    <row r="551" spans="2:3" x14ac:dyDescent="0.2">
      <c r="B551" s="13"/>
      <c r="C551" s="13"/>
    </row>
    <row r="552" spans="2:3" x14ac:dyDescent="0.2">
      <c r="B552" s="13"/>
      <c r="C552" s="13"/>
    </row>
    <row r="553" spans="2:3" x14ac:dyDescent="0.2">
      <c r="B553" s="13"/>
      <c r="C553" s="13"/>
    </row>
    <row r="554" spans="2:3" x14ac:dyDescent="0.2">
      <c r="B554" s="13"/>
      <c r="C554" s="13"/>
    </row>
    <row r="555" spans="2:3" x14ac:dyDescent="0.2">
      <c r="B555" s="13"/>
      <c r="C555" s="13"/>
    </row>
    <row r="556" spans="2:3" x14ac:dyDescent="0.2">
      <c r="B556" s="13"/>
      <c r="C556" s="13"/>
    </row>
    <row r="557" spans="2:3" x14ac:dyDescent="0.2">
      <c r="B557" s="13"/>
      <c r="C557" s="13"/>
    </row>
    <row r="558" spans="2:3" x14ac:dyDescent="0.2">
      <c r="B558" s="13"/>
      <c r="C558" s="13"/>
    </row>
    <row r="559" spans="2:3" x14ac:dyDescent="0.2">
      <c r="B559" s="13"/>
      <c r="C559" s="13"/>
    </row>
    <row r="560" spans="2:3" x14ac:dyDescent="0.2">
      <c r="B560" s="13"/>
      <c r="C560" s="13"/>
    </row>
    <row r="561" spans="2:3" x14ac:dyDescent="0.2">
      <c r="B561" s="13"/>
      <c r="C561" s="13"/>
    </row>
    <row r="562" spans="2:3" x14ac:dyDescent="0.2">
      <c r="B562" s="13"/>
      <c r="C562" s="13"/>
    </row>
    <row r="563" spans="2:3" x14ac:dyDescent="0.2">
      <c r="B563" s="13"/>
      <c r="C563" s="13"/>
    </row>
    <row r="564" spans="2:3" x14ac:dyDescent="0.2">
      <c r="B564" s="13"/>
      <c r="C564" s="13"/>
    </row>
    <row r="565" spans="2:3" x14ac:dyDescent="0.2">
      <c r="B565" s="13"/>
      <c r="C565" s="13"/>
    </row>
    <row r="566" spans="2:3" x14ac:dyDescent="0.2">
      <c r="B566" s="13"/>
      <c r="C566" s="13"/>
    </row>
    <row r="567" spans="2:3" x14ac:dyDescent="0.2">
      <c r="B567" s="13"/>
      <c r="C567" s="13"/>
    </row>
    <row r="568" spans="2:3" x14ac:dyDescent="0.2">
      <c r="B568" s="13"/>
      <c r="C568" s="13"/>
    </row>
    <row r="569" spans="2:3" x14ac:dyDescent="0.2">
      <c r="B569" s="13"/>
      <c r="C569" s="13"/>
    </row>
    <row r="570" spans="2:3" x14ac:dyDescent="0.2">
      <c r="B570" s="13"/>
      <c r="C570" s="13"/>
    </row>
    <row r="571" spans="2:3" x14ac:dyDescent="0.2">
      <c r="B571" s="13"/>
      <c r="C571" s="13"/>
    </row>
    <row r="572" spans="2:3" x14ac:dyDescent="0.2">
      <c r="B572" s="13"/>
      <c r="C572" s="13"/>
    </row>
    <row r="573" spans="2:3" x14ac:dyDescent="0.2">
      <c r="B573" s="13"/>
      <c r="C573" s="13"/>
    </row>
    <row r="574" spans="2:3" x14ac:dyDescent="0.2">
      <c r="B574" s="13"/>
      <c r="C574" s="13"/>
    </row>
    <row r="575" spans="2:3" x14ac:dyDescent="0.2">
      <c r="B575" s="13"/>
      <c r="C575" s="13"/>
    </row>
    <row r="576" spans="2:3" x14ac:dyDescent="0.2">
      <c r="B576" s="13"/>
      <c r="C576" s="13"/>
    </row>
    <row r="577" spans="2:3" x14ac:dyDescent="0.2">
      <c r="B577" s="13"/>
      <c r="C577" s="13"/>
    </row>
    <row r="578" spans="2:3" x14ac:dyDescent="0.2">
      <c r="B578" s="13"/>
      <c r="C578" s="13"/>
    </row>
    <row r="579" spans="2:3" x14ac:dyDescent="0.2">
      <c r="B579" s="13"/>
      <c r="C579" s="13"/>
    </row>
    <row r="580" spans="2:3" x14ac:dyDescent="0.2">
      <c r="B580" s="13"/>
      <c r="C580" s="13"/>
    </row>
    <row r="581" spans="2:3" x14ac:dyDescent="0.2">
      <c r="B581" s="13"/>
      <c r="C581" s="13"/>
    </row>
    <row r="582" spans="2:3" x14ac:dyDescent="0.2">
      <c r="B582" s="13"/>
      <c r="C582" s="13"/>
    </row>
    <row r="583" spans="2:3" x14ac:dyDescent="0.2">
      <c r="B583" s="13"/>
      <c r="C583" s="13"/>
    </row>
    <row r="584" spans="2:3" x14ac:dyDescent="0.2">
      <c r="B584" s="13"/>
      <c r="C584" s="13"/>
    </row>
    <row r="585" spans="2:3" x14ac:dyDescent="0.2">
      <c r="B585" s="13"/>
      <c r="C585" s="13"/>
    </row>
    <row r="586" spans="2:3" x14ac:dyDescent="0.2">
      <c r="B586" s="13"/>
      <c r="C586" s="13"/>
    </row>
    <row r="587" spans="2:3" x14ac:dyDescent="0.2">
      <c r="B587" s="13"/>
      <c r="C587" s="13"/>
    </row>
    <row r="588" spans="2:3" x14ac:dyDescent="0.2">
      <c r="B588" s="13"/>
      <c r="C588" s="13"/>
    </row>
    <row r="589" spans="2:3" x14ac:dyDescent="0.2">
      <c r="B589" s="13"/>
      <c r="C589" s="13"/>
    </row>
    <row r="590" spans="2:3" x14ac:dyDescent="0.2">
      <c r="B590" s="13"/>
      <c r="C590" s="13"/>
    </row>
    <row r="591" spans="2:3" x14ac:dyDescent="0.2">
      <c r="B591" s="13"/>
      <c r="C591" s="13"/>
    </row>
    <row r="592" spans="2:3" x14ac:dyDescent="0.2">
      <c r="B592" s="13"/>
      <c r="C592" s="13"/>
    </row>
    <row r="593" spans="2:3" x14ac:dyDescent="0.2">
      <c r="B593" s="13"/>
      <c r="C593" s="13"/>
    </row>
    <row r="594" spans="2:3" x14ac:dyDescent="0.2">
      <c r="B594" s="13"/>
      <c r="C594" s="13"/>
    </row>
    <row r="595" spans="2:3" x14ac:dyDescent="0.2">
      <c r="B595" s="13"/>
      <c r="C595" s="13"/>
    </row>
    <row r="596" spans="2:3" x14ac:dyDescent="0.2">
      <c r="B596" s="13"/>
      <c r="C596" s="13"/>
    </row>
    <row r="597" spans="2:3" x14ac:dyDescent="0.2">
      <c r="B597" s="13"/>
      <c r="C597" s="13"/>
    </row>
    <row r="598" spans="2:3" x14ac:dyDescent="0.2">
      <c r="B598" s="13"/>
      <c r="C598" s="13"/>
    </row>
    <row r="599" spans="2:3" x14ac:dyDescent="0.2">
      <c r="B599" s="13"/>
      <c r="C599" s="13"/>
    </row>
    <row r="600" spans="2:3" x14ac:dyDescent="0.2">
      <c r="B600" s="13"/>
      <c r="C600" s="13"/>
    </row>
    <row r="601" spans="2:3" x14ac:dyDescent="0.2">
      <c r="B601" s="13"/>
      <c r="C601" s="13"/>
    </row>
    <row r="602" spans="2:3" x14ac:dyDescent="0.2">
      <c r="B602" s="13"/>
      <c r="C602" s="13"/>
    </row>
    <row r="603" spans="2:3" x14ac:dyDescent="0.2">
      <c r="B603" s="13"/>
      <c r="C603" s="13"/>
    </row>
    <row r="604" spans="2:3" x14ac:dyDescent="0.2">
      <c r="B604" s="13"/>
      <c r="C604" s="13"/>
    </row>
    <row r="605" spans="2:3" x14ac:dyDescent="0.2">
      <c r="B605" s="13"/>
      <c r="C605" s="13"/>
    </row>
    <row r="606" spans="2:3" x14ac:dyDescent="0.2">
      <c r="B606" s="13"/>
      <c r="C606" s="13"/>
    </row>
    <row r="607" spans="2:3" x14ac:dyDescent="0.2">
      <c r="B607" s="13"/>
      <c r="C607" s="13"/>
    </row>
    <row r="608" spans="2:3" x14ac:dyDescent="0.2">
      <c r="B608" s="13"/>
      <c r="C608" s="13"/>
    </row>
    <row r="609" spans="2:3" x14ac:dyDescent="0.2">
      <c r="B609" s="13"/>
      <c r="C609" s="13"/>
    </row>
    <row r="610" spans="2:3" x14ac:dyDescent="0.2">
      <c r="B610" s="13"/>
      <c r="C610" s="13"/>
    </row>
    <row r="611" spans="2:3" x14ac:dyDescent="0.2">
      <c r="B611" s="13"/>
      <c r="C611" s="13"/>
    </row>
    <row r="612" spans="2:3" x14ac:dyDescent="0.2">
      <c r="B612" s="13"/>
      <c r="C612" s="13"/>
    </row>
    <row r="613" spans="2:3" x14ac:dyDescent="0.2">
      <c r="B613" s="13"/>
      <c r="C613" s="13"/>
    </row>
    <row r="614" spans="2:3" x14ac:dyDescent="0.2">
      <c r="B614" s="13"/>
      <c r="C614" s="13"/>
    </row>
    <row r="615" spans="2:3" x14ac:dyDescent="0.2">
      <c r="B615" s="13"/>
      <c r="C615" s="13"/>
    </row>
    <row r="616" spans="2:3" x14ac:dyDescent="0.2">
      <c r="B616" s="13"/>
      <c r="C616" s="13"/>
    </row>
    <row r="617" spans="2:3" x14ac:dyDescent="0.2">
      <c r="B617" s="13"/>
      <c r="C617" s="13"/>
    </row>
    <row r="618" spans="2:3" x14ac:dyDescent="0.2">
      <c r="B618" s="13"/>
      <c r="C618" s="13"/>
    </row>
    <row r="619" spans="2:3" x14ac:dyDescent="0.2">
      <c r="B619" s="13"/>
      <c r="C619" s="13"/>
    </row>
    <row r="620" spans="2:3" x14ac:dyDescent="0.2">
      <c r="B620" s="13"/>
      <c r="C620" s="13"/>
    </row>
    <row r="621" spans="2:3" x14ac:dyDescent="0.2">
      <c r="B621" s="13"/>
      <c r="C621" s="13"/>
    </row>
    <row r="622" spans="2:3" x14ac:dyDescent="0.2">
      <c r="B622" s="13"/>
      <c r="C622" s="13"/>
    </row>
    <row r="623" spans="2:3" x14ac:dyDescent="0.2">
      <c r="B623" s="13"/>
      <c r="C623" s="13"/>
    </row>
    <row r="624" spans="2:3" x14ac:dyDescent="0.2">
      <c r="B624" s="13"/>
      <c r="C624" s="13"/>
    </row>
    <row r="625" spans="2:3" x14ac:dyDescent="0.2">
      <c r="B625" s="13"/>
      <c r="C625" s="13"/>
    </row>
    <row r="626" spans="2:3" x14ac:dyDescent="0.2">
      <c r="B626" s="13"/>
      <c r="C626" s="13"/>
    </row>
    <row r="627" spans="2:3" x14ac:dyDescent="0.2">
      <c r="B627" s="13"/>
      <c r="C627" s="13"/>
    </row>
    <row r="628" spans="2:3" x14ac:dyDescent="0.2">
      <c r="B628" s="13"/>
      <c r="C628" s="13"/>
    </row>
    <row r="629" spans="2:3" x14ac:dyDescent="0.2">
      <c r="B629" s="13"/>
      <c r="C629" s="13"/>
    </row>
    <row r="630" spans="2:3" x14ac:dyDescent="0.2">
      <c r="B630" s="13"/>
      <c r="C630" s="13"/>
    </row>
    <row r="631" spans="2:3" x14ac:dyDescent="0.2">
      <c r="B631" s="13"/>
      <c r="C631" s="13"/>
    </row>
    <row r="632" spans="2:3" x14ac:dyDescent="0.2">
      <c r="B632" s="13"/>
      <c r="C632" s="13"/>
    </row>
    <row r="633" spans="2:3" x14ac:dyDescent="0.2">
      <c r="B633" s="13"/>
      <c r="C633" s="13"/>
    </row>
    <row r="634" spans="2:3" x14ac:dyDescent="0.2">
      <c r="B634" s="13"/>
      <c r="C634" s="13"/>
    </row>
    <row r="635" spans="2:3" x14ac:dyDescent="0.2">
      <c r="B635" s="13"/>
      <c r="C635" s="13"/>
    </row>
    <row r="636" spans="2:3" x14ac:dyDescent="0.2">
      <c r="B636" s="13"/>
      <c r="C636" s="13"/>
    </row>
    <row r="637" spans="2:3" x14ac:dyDescent="0.2">
      <c r="B637" s="13"/>
      <c r="C637" s="13"/>
    </row>
    <row r="638" spans="2:3" x14ac:dyDescent="0.2">
      <c r="B638" s="13"/>
      <c r="C638" s="13"/>
    </row>
    <row r="639" spans="2:3" x14ac:dyDescent="0.2">
      <c r="B639" s="13"/>
      <c r="C639" s="13"/>
    </row>
    <row r="640" spans="2:3" x14ac:dyDescent="0.2">
      <c r="B640" s="13"/>
      <c r="C640" s="13"/>
    </row>
    <row r="641" spans="2:3" x14ac:dyDescent="0.2">
      <c r="B641" s="13"/>
      <c r="C641" s="13"/>
    </row>
    <row r="642" spans="2:3" x14ac:dyDescent="0.2">
      <c r="B642" s="13"/>
      <c r="C642" s="13"/>
    </row>
    <row r="643" spans="2:3" x14ac:dyDescent="0.2">
      <c r="B643" s="13"/>
      <c r="C643" s="13"/>
    </row>
    <row r="644" spans="2:3" x14ac:dyDescent="0.2">
      <c r="B644" s="13"/>
      <c r="C644" s="13"/>
    </row>
    <row r="645" spans="2:3" x14ac:dyDescent="0.2">
      <c r="B645" s="13"/>
      <c r="C645" s="13"/>
    </row>
    <row r="646" spans="2:3" x14ac:dyDescent="0.2">
      <c r="B646" s="13"/>
      <c r="C646" s="13"/>
    </row>
    <row r="647" spans="2:3" x14ac:dyDescent="0.2">
      <c r="B647" s="13"/>
      <c r="C647" s="13"/>
    </row>
    <row r="648" spans="2:3" x14ac:dyDescent="0.2">
      <c r="B648" s="13"/>
      <c r="C648" s="13"/>
    </row>
    <row r="649" spans="2:3" x14ac:dyDescent="0.2">
      <c r="B649" s="13"/>
      <c r="C649" s="13"/>
    </row>
    <row r="650" spans="2:3" x14ac:dyDescent="0.2">
      <c r="B650" s="13"/>
      <c r="C650" s="13"/>
    </row>
    <row r="651" spans="2:3" x14ac:dyDescent="0.2">
      <c r="B651" s="13"/>
      <c r="C651" s="13"/>
    </row>
    <row r="652" spans="2:3" x14ac:dyDescent="0.2">
      <c r="B652" s="13"/>
      <c r="C652" s="13"/>
    </row>
    <row r="653" spans="2:3" x14ac:dyDescent="0.2">
      <c r="B653" s="13"/>
      <c r="C653" s="13"/>
    </row>
    <row r="654" spans="2:3" x14ac:dyDescent="0.2">
      <c r="B654" s="13"/>
      <c r="C654" s="13"/>
    </row>
    <row r="655" spans="2:3" x14ac:dyDescent="0.2">
      <c r="B655" s="13"/>
      <c r="C655" s="13"/>
    </row>
    <row r="656" spans="2:3" x14ac:dyDescent="0.2">
      <c r="B656" s="13"/>
      <c r="C656" s="13"/>
    </row>
    <row r="657" spans="2:3" x14ac:dyDescent="0.2">
      <c r="B657" s="13"/>
      <c r="C657" s="13"/>
    </row>
    <row r="658" spans="2:3" x14ac:dyDescent="0.2">
      <c r="B658" s="13"/>
      <c r="C658" s="13"/>
    </row>
    <row r="659" spans="2:3" x14ac:dyDescent="0.2">
      <c r="B659" s="13"/>
      <c r="C659" s="13"/>
    </row>
    <row r="660" spans="2:3" x14ac:dyDescent="0.2">
      <c r="B660" s="13"/>
      <c r="C660" s="13"/>
    </row>
    <row r="661" spans="2:3" x14ac:dyDescent="0.2">
      <c r="B661" s="13"/>
      <c r="C661" s="13"/>
    </row>
    <row r="662" spans="2:3" x14ac:dyDescent="0.2">
      <c r="B662" s="13"/>
      <c r="C662" s="13"/>
    </row>
    <row r="663" spans="2:3" x14ac:dyDescent="0.2">
      <c r="B663" s="13"/>
      <c r="C663" s="13"/>
    </row>
    <row r="664" spans="2:3" x14ac:dyDescent="0.2">
      <c r="B664" s="13"/>
      <c r="C664" s="13"/>
    </row>
    <row r="665" spans="2:3" x14ac:dyDescent="0.2">
      <c r="B665" s="13"/>
      <c r="C665" s="13"/>
    </row>
    <row r="666" spans="2:3" x14ac:dyDescent="0.2">
      <c r="B666" s="13"/>
      <c r="C666" s="13"/>
    </row>
    <row r="667" spans="2:3" x14ac:dyDescent="0.2">
      <c r="B667" s="13"/>
      <c r="C667" s="13"/>
    </row>
    <row r="668" spans="2:3" x14ac:dyDescent="0.2">
      <c r="B668" s="13"/>
      <c r="C668" s="13"/>
    </row>
    <row r="669" spans="2:3" x14ac:dyDescent="0.2">
      <c r="B669" s="13"/>
      <c r="C669" s="13"/>
    </row>
    <row r="670" spans="2:3" x14ac:dyDescent="0.2">
      <c r="B670" s="13"/>
      <c r="C670" s="13"/>
    </row>
    <row r="671" spans="2:3" x14ac:dyDescent="0.2">
      <c r="B671" s="13"/>
      <c r="C671" s="13"/>
    </row>
    <row r="672" spans="2:3" x14ac:dyDescent="0.2">
      <c r="B672" s="13"/>
      <c r="C672" s="13"/>
    </row>
    <row r="673" spans="2:3" x14ac:dyDescent="0.2">
      <c r="B673" s="13"/>
      <c r="C673" s="13"/>
    </row>
    <row r="674" spans="2:3" x14ac:dyDescent="0.2">
      <c r="B674" s="13"/>
      <c r="C674" s="13"/>
    </row>
    <row r="675" spans="2:3" x14ac:dyDescent="0.2">
      <c r="B675" s="13"/>
      <c r="C675" s="13"/>
    </row>
    <row r="676" spans="2:3" x14ac:dyDescent="0.2">
      <c r="B676" s="13"/>
      <c r="C676" s="13"/>
    </row>
    <row r="677" spans="2:3" x14ac:dyDescent="0.2">
      <c r="B677" s="13"/>
      <c r="C677" s="13"/>
    </row>
    <row r="678" spans="2:3" x14ac:dyDescent="0.2">
      <c r="B678" s="13"/>
      <c r="C678" s="13"/>
    </row>
    <row r="679" spans="2:3" x14ac:dyDescent="0.2">
      <c r="B679" s="13"/>
      <c r="C679" s="13"/>
    </row>
    <row r="680" spans="2:3" x14ac:dyDescent="0.2">
      <c r="B680" s="13"/>
      <c r="C680" s="13"/>
    </row>
    <row r="681" spans="2:3" x14ac:dyDescent="0.2">
      <c r="B681" s="13"/>
      <c r="C681" s="13"/>
    </row>
    <row r="682" spans="2:3" x14ac:dyDescent="0.2">
      <c r="B682" s="13"/>
      <c r="C682" s="13"/>
    </row>
    <row r="683" spans="2:3" x14ac:dyDescent="0.2">
      <c r="B683" s="13"/>
      <c r="C683" s="13"/>
    </row>
    <row r="684" spans="2:3" x14ac:dyDescent="0.2">
      <c r="B684" s="13"/>
      <c r="C684" s="13"/>
    </row>
    <row r="685" spans="2:3" x14ac:dyDescent="0.2">
      <c r="B685" s="13"/>
      <c r="C685" s="13"/>
    </row>
    <row r="686" spans="2:3" x14ac:dyDescent="0.2">
      <c r="B686" s="13"/>
      <c r="C686" s="13"/>
    </row>
    <row r="687" spans="2:3" x14ac:dyDescent="0.2">
      <c r="B687" s="13"/>
      <c r="C687" s="13"/>
    </row>
    <row r="688" spans="2:3" x14ac:dyDescent="0.2">
      <c r="B688" s="13"/>
      <c r="C688" s="13"/>
    </row>
    <row r="689" spans="2:3" x14ac:dyDescent="0.2">
      <c r="B689" s="13"/>
      <c r="C689" s="13"/>
    </row>
    <row r="690" spans="2:3" x14ac:dyDescent="0.2">
      <c r="B690" s="13"/>
      <c r="C690" s="13"/>
    </row>
    <row r="691" spans="2:3" x14ac:dyDescent="0.2">
      <c r="B691" s="13"/>
      <c r="C691" s="13"/>
    </row>
    <row r="692" spans="2:3" x14ac:dyDescent="0.2">
      <c r="B692" s="13"/>
      <c r="C692" s="13"/>
    </row>
    <row r="693" spans="2:3" x14ac:dyDescent="0.2">
      <c r="B693" s="13"/>
      <c r="C693" s="13"/>
    </row>
    <row r="694" spans="2:3" x14ac:dyDescent="0.2">
      <c r="B694" s="13"/>
      <c r="C694" s="13"/>
    </row>
    <row r="695" spans="2:3" x14ac:dyDescent="0.2">
      <c r="B695" s="13"/>
      <c r="C695" s="13"/>
    </row>
    <row r="696" spans="2:3" x14ac:dyDescent="0.2">
      <c r="B696" s="13"/>
      <c r="C696" s="13"/>
    </row>
    <row r="697" spans="2:3" x14ac:dyDescent="0.2">
      <c r="B697" s="13"/>
      <c r="C697" s="13"/>
    </row>
    <row r="698" spans="2:3" x14ac:dyDescent="0.2">
      <c r="B698" s="13"/>
      <c r="C698" s="13"/>
    </row>
    <row r="699" spans="2:3" x14ac:dyDescent="0.2">
      <c r="B699" s="13"/>
      <c r="C699" s="13"/>
    </row>
    <row r="700" spans="2:3" x14ac:dyDescent="0.2">
      <c r="B700" s="13"/>
      <c r="C700" s="13"/>
    </row>
    <row r="701" spans="2:3" x14ac:dyDescent="0.2">
      <c r="B701" s="13"/>
      <c r="C701" s="13"/>
    </row>
    <row r="702" spans="2:3" x14ac:dyDescent="0.2">
      <c r="B702" s="13"/>
      <c r="C702" s="13"/>
    </row>
    <row r="703" spans="2:3" x14ac:dyDescent="0.2">
      <c r="B703" s="13"/>
      <c r="C703" s="13"/>
    </row>
    <row r="704" spans="2:3" x14ac:dyDescent="0.2">
      <c r="B704" s="13"/>
      <c r="C704" s="13"/>
    </row>
    <row r="705" spans="2:3" x14ac:dyDescent="0.2">
      <c r="B705" s="13"/>
      <c r="C705" s="13"/>
    </row>
    <row r="706" spans="2:3" x14ac:dyDescent="0.2">
      <c r="B706" s="13"/>
      <c r="C706" s="13"/>
    </row>
    <row r="707" spans="2:3" x14ac:dyDescent="0.2">
      <c r="B707" s="13"/>
      <c r="C707" s="13"/>
    </row>
    <row r="708" spans="2:3" x14ac:dyDescent="0.2">
      <c r="B708" s="13"/>
      <c r="C708" s="13"/>
    </row>
    <row r="709" spans="2:3" x14ac:dyDescent="0.2">
      <c r="B709" s="13"/>
      <c r="C709" s="13"/>
    </row>
    <row r="710" spans="2:3" x14ac:dyDescent="0.2">
      <c r="B710" s="13"/>
      <c r="C710" s="13"/>
    </row>
    <row r="711" spans="2:3" x14ac:dyDescent="0.2">
      <c r="B711" s="13"/>
      <c r="C711" s="13"/>
    </row>
    <row r="712" spans="2:3" x14ac:dyDescent="0.2">
      <c r="B712" s="13"/>
      <c r="C712" s="13"/>
    </row>
    <row r="713" spans="2:3" x14ac:dyDescent="0.2">
      <c r="B713" s="13"/>
      <c r="C713" s="13"/>
    </row>
    <row r="714" spans="2:3" x14ac:dyDescent="0.2">
      <c r="B714" s="13"/>
      <c r="C714" s="13"/>
    </row>
    <row r="715" spans="2:3" x14ac:dyDescent="0.2">
      <c r="B715" s="13"/>
      <c r="C715" s="13"/>
    </row>
    <row r="716" spans="2:3" x14ac:dyDescent="0.2">
      <c r="B716" s="13"/>
      <c r="C716" s="13"/>
    </row>
    <row r="717" spans="2:3" x14ac:dyDescent="0.2">
      <c r="B717" s="13"/>
      <c r="C717" s="13"/>
    </row>
    <row r="718" spans="2:3" x14ac:dyDescent="0.2">
      <c r="B718" s="13"/>
      <c r="C718" s="13"/>
    </row>
    <row r="719" spans="2:3" x14ac:dyDescent="0.2">
      <c r="B719" s="13"/>
      <c r="C719" s="13"/>
    </row>
    <row r="720" spans="2:3" x14ac:dyDescent="0.2">
      <c r="B720" s="13"/>
      <c r="C720" s="13"/>
    </row>
    <row r="721" spans="2:3" x14ac:dyDescent="0.2">
      <c r="B721" s="13"/>
      <c r="C721" s="13"/>
    </row>
    <row r="722" spans="2:3" x14ac:dyDescent="0.2">
      <c r="B722" s="13"/>
      <c r="C722" s="13"/>
    </row>
    <row r="723" spans="2:3" x14ac:dyDescent="0.2">
      <c r="B723" s="13"/>
      <c r="C723" s="13"/>
    </row>
    <row r="724" spans="2:3" x14ac:dyDescent="0.2">
      <c r="B724" s="13"/>
      <c r="C724" s="13"/>
    </row>
    <row r="725" spans="2:3" x14ac:dyDescent="0.2">
      <c r="B725" s="13"/>
      <c r="C725" s="13"/>
    </row>
    <row r="726" spans="2:3" x14ac:dyDescent="0.2">
      <c r="B726" s="13"/>
      <c r="C726" s="13"/>
    </row>
    <row r="727" spans="2:3" x14ac:dyDescent="0.2">
      <c r="B727" s="13"/>
      <c r="C727" s="13"/>
    </row>
    <row r="728" spans="2:3" x14ac:dyDescent="0.2">
      <c r="B728" s="13"/>
      <c r="C728" s="13"/>
    </row>
    <row r="729" spans="2:3" x14ac:dyDescent="0.2">
      <c r="B729" s="13"/>
      <c r="C729" s="13"/>
    </row>
    <row r="730" spans="2:3" x14ac:dyDescent="0.2">
      <c r="B730" s="13"/>
      <c r="C730" s="13"/>
    </row>
    <row r="731" spans="2:3" x14ac:dyDescent="0.2">
      <c r="B731" s="13"/>
      <c r="C731" s="13"/>
    </row>
    <row r="732" spans="2:3" x14ac:dyDescent="0.2">
      <c r="B732" s="13"/>
      <c r="C732" s="13"/>
    </row>
    <row r="733" spans="2:3" x14ac:dyDescent="0.2">
      <c r="B733" s="13"/>
      <c r="C733" s="13"/>
    </row>
    <row r="734" spans="2:3" x14ac:dyDescent="0.2">
      <c r="B734" s="13"/>
      <c r="C734" s="13"/>
    </row>
    <row r="735" spans="2:3" x14ac:dyDescent="0.2">
      <c r="B735" s="13"/>
      <c r="C735" s="13"/>
    </row>
    <row r="736" spans="2:3" x14ac:dyDescent="0.2">
      <c r="B736" s="13"/>
      <c r="C736" s="13"/>
    </row>
    <row r="737" spans="2:3" x14ac:dyDescent="0.2">
      <c r="B737" s="13"/>
      <c r="C737" s="13"/>
    </row>
    <row r="738" spans="2:3" x14ac:dyDescent="0.2">
      <c r="B738" s="13"/>
      <c r="C738" s="13"/>
    </row>
    <row r="739" spans="2:3" x14ac:dyDescent="0.2">
      <c r="B739" s="13"/>
      <c r="C739" s="13"/>
    </row>
    <row r="740" spans="2:3" x14ac:dyDescent="0.2">
      <c r="B740" s="13"/>
      <c r="C740" s="13"/>
    </row>
    <row r="741" spans="2:3" x14ac:dyDescent="0.2">
      <c r="B741" s="13"/>
      <c r="C741" s="13"/>
    </row>
    <row r="742" spans="2:3" x14ac:dyDescent="0.2">
      <c r="B742" s="13"/>
      <c r="C742" s="13"/>
    </row>
    <row r="743" spans="2:3" x14ac:dyDescent="0.2">
      <c r="B743" s="13"/>
      <c r="C743" s="13"/>
    </row>
    <row r="744" spans="2:3" x14ac:dyDescent="0.2">
      <c r="B744" s="13"/>
      <c r="C744" s="13"/>
    </row>
    <row r="745" spans="2:3" x14ac:dyDescent="0.2">
      <c r="B745" s="13"/>
      <c r="C745" s="13"/>
    </row>
    <row r="746" spans="2:3" x14ac:dyDescent="0.2">
      <c r="B746" s="13"/>
      <c r="C746" s="13"/>
    </row>
    <row r="747" spans="2:3" x14ac:dyDescent="0.2">
      <c r="B747" s="13"/>
      <c r="C747" s="13"/>
    </row>
    <row r="748" spans="2:3" x14ac:dyDescent="0.2">
      <c r="B748" s="13"/>
      <c r="C748" s="13"/>
    </row>
    <row r="749" spans="2:3" x14ac:dyDescent="0.2">
      <c r="B749" s="13"/>
      <c r="C749" s="13"/>
    </row>
    <row r="750" spans="2:3" x14ac:dyDescent="0.2">
      <c r="B750" s="13"/>
      <c r="C750" s="13"/>
    </row>
    <row r="751" spans="2:3" x14ac:dyDescent="0.2">
      <c r="B751" s="13"/>
      <c r="C751" s="13"/>
    </row>
    <row r="752" spans="2:3" x14ac:dyDescent="0.2">
      <c r="B752" s="13"/>
      <c r="C752" s="13"/>
    </row>
    <row r="753" spans="2:3" x14ac:dyDescent="0.2">
      <c r="B753" s="13"/>
      <c r="C753" s="13"/>
    </row>
    <row r="754" spans="2:3" x14ac:dyDescent="0.2">
      <c r="B754" s="13"/>
      <c r="C754" s="13"/>
    </row>
    <row r="755" spans="2:3" x14ac:dyDescent="0.2">
      <c r="B755" s="13"/>
      <c r="C755" s="13"/>
    </row>
    <row r="756" spans="2:3" x14ac:dyDescent="0.2">
      <c r="B756" s="13"/>
      <c r="C756" s="13"/>
    </row>
    <row r="757" spans="2:3" x14ac:dyDescent="0.2">
      <c r="B757" s="13"/>
      <c r="C757" s="13"/>
    </row>
    <row r="758" spans="2:3" x14ac:dyDescent="0.2">
      <c r="B758" s="13"/>
      <c r="C758" s="13"/>
    </row>
    <row r="759" spans="2:3" x14ac:dyDescent="0.2">
      <c r="B759" s="13"/>
      <c r="C759" s="13"/>
    </row>
    <row r="760" spans="2:3" x14ac:dyDescent="0.2">
      <c r="B760" s="13"/>
      <c r="C760" s="13"/>
    </row>
    <row r="761" spans="2:3" x14ac:dyDescent="0.2">
      <c r="B761" s="13"/>
      <c r="C761" s="13"/>
    </row>
    <row r="762" spans="2:3" x14ac:dyDescent="0.2">
      <c r="B762" s="13"/>
      <c r="C762" s="13"/>
    </row>
    <row r="763" spans="2:3" x14ac:dyDescent="0.2">
      <c r="B763" s="13"/>
      <c r="C763" s="13"/>
    </row>
    <row r="764" spans="2:3" x14ac:dyDescent="0.2">
      <c r="B764" s="13"/>
      <c r="C764" s="13"/>
    </row>
    <row r="765" spans="2:3" x14ac:dyDescent="0.2">
      <c r="B765" s="13"/>
      <c r="C765" s="13"/>
    </row>
    <row r="766" spans="2:3" x14ac:dyDescent="0.2">
      <c r="B766" s="13"/>
      <c r="C766" s="13"/>
    </row>
    <row r="767" spans="2:3" x14ac:dyDescent="0.2">
      <c r="B767" s="13"/>
      <c r="C767" s="13"/>
    </row>
    <row r="768" spans="2:3" x14ac:dyDescent="0.2">
      <c r="B768" s="13"/>
      <c r="C768" s="13"/>
    </row>
    <row r="769" spans="2:3" x14ac:dyDescent="0.2">
      <c r="B769" s="13"/>
      <c r="C769" s="13"/>
    </row>
    <row r="770" spans="2:3" x14ac:dyDescent="0.2">
      <c r="B770" s="13"/>
      <c r="C770" s="13"/>
    </row>
    <row r="771" spans="2:3" x14ac:dyDescent="0.2">
      <c r="B771" s="13"/>
      <c r="C771" s="13"/>
    </row>
    <row r="772" spans="2:3" x14ac:dyDescent="0.2">
      <c r="B772" s="13"/>
      <c r="C772" s="13"/>
    </row>
    <row r="773" spans="2:3" x14ac:dyDescent="0.2">
      <c r="B773" s="13"/>
      <c r="C773" s="13"/>
    </row>
    <row r="774" spans="2:3" x14ac:dyDescent="0.2">
      <c r="B774" s="13"/>
      <c r="C774" s="13"/>
    </row>
    <row r="775" spans="2:3" x14ac:dyDescent="0.2">
      <c r="B775" s="13"/>
      <c r="C775" s="13"/>
    </row>
    <row r="776" spans="2:3" x14ac:dyDescent="0.2">
      <c r="B776" s="13"/>
      <c r="C776" s="13"/>
    </row>
    <row r="777" spans="2:3" x14ac:dyDescent="0.2">
      <c r="B777" s="13"/>
      <c r="C777" s="13"/>
    </row>
    <row r="778" spans="2:3" x14ac:dyDescent="0.2">
      <c r="B778" s="13"/>
      <c r="C778" s="13"/>
    </row>
    <row r="779" spans="2:3" x14ac:dyDescent="0.2">
      <c r="B779" s="13"/>
      <c r="C779" s="13"/>
    </row>
    <row r="780" spans="2:3" x14ac:dyDescent="0.2">
      <c r="B780" s="13"/>
      <c r="C780" s="13"/>
    </row>
    <row r="781" spans="2:3" x14ac:dyDescent="0.2">
      <c r="B781" s="13"/>
      <c r="C781" s="13"/>
    </row>
    <row r="782" spans="2:3" x14ac:dyDescent="0.2">
      <c r="B782" s="13"/>
      <c r="C782" s="13"/>
    </row>
    <row r="783" spans="2:3" x14ac:dyDescent="0.2">
      <c r="B783" s="13"/>
      <c r="C783" s="13"/>
    </row>
    <row r="784" spans="2:3" x14ac:dyDescent="0.2">
      <c r="B784" s="13"/>
      <c r="C784" s="13"/>
    </row>
    <row r="785" spans="2:3" x14ac:dyDescent="0.2">
      <c r="B785" s="13"/>
      <c r="C785" s="13"/>
    </row>
    <row r="786" spans="2:3" x14ac:dyDescent="0.2">
      <c r="B786" s="13"/>
      <c r="C786" s="13"/>
    </row>
    <row r="787" spans="2:3" x14ac:dyDescent="0.2">
      <c r="B787" s="13"/>
      <c r="C787" s="13"/>
    </row>
    <row r="788" spans="2:3" x14ac:dyDescent="0.2">
      <c r="B788" s="13"/>
      <c r="C788" s="13"/>
    </row>
    <row r="789" spans="2:3" x14ac:dyDescent="0.2">
      <c r="B789" s="13"/>
      <c r="C789" s="13"/>
    </row>
    <row r="790" spans="2:3" x14ac:dyDescent="0.2">
      <c r="B790" s="13"/>
      <c r="C790" s="13"/>
    </row>
    <row r="791" spans="2:3" x14ac:dyDescent="0.2">
      <c r="B791" s="13"/>
      <c r="C791" s="13"/>
    </row>
    <row r="792" spans="2:3" x14ac:dyDescent="0.2">
      <c r="B792" s="13"/>
      <c r="C792" s="13"/>
    </row>
    <row r="793" spans="2:3" x14ac:dyDescent="0.2">
      <c r="B793" s="13"/>
      <c r="C793" s="13"/>
    </row>
    <row r="794" spans="2:3" x14ac:dyDescent="0.2">
      <c r="B794" s="13"/>
      <c r="C794" s="13"/>
    </row>
    <row r="795" spans="2:3" x14ac:dyDescent="0.2">
      <c r="B795" s="13"/>
      <c r="C795" s="13"/>
    </row>
    <row r="796" spans="2:3" x14ac:dyDescent="0.2">
      <c r="B796" s="13"/>
      <c r="C796" s="13"/>
    </row>
    <row r="797" spans="2:3" x14ac:dyDescent="0.2">
      <c r="B797" s="13"/>
      <c r="C797" s="13"/>
    </row>
    <row r="798" spans="2:3" x14ac:dyDescent="0.2">
      <c r="B798" s="13"/>
      <c r="C798" s="13"/>
    </row>
    <row r="799" spans="2:3" x14ac:dyDescent="0.2">
      <c r="B799" s="13"/>
      <c r="C799" s="13"/>
    </row>
    <row r="800" spans="2:3" x14ac:dyDescent="0.2">
      <c r="B800" s="13"/>
      <c r="C800" s="13"/>
    </row>
    <row r="801" spans="2:3" x14ac:dyDescent="0.2">
      <c r="B801" s="13"/>
      <c r="C801" s="13"/>
    </row>
    <row r="802" spans="2:3" x14ac:dyDescent="0.2">
      <c r="B802" s="13"/>
      <c r="C802" s="13"/>
    </row>
    <row r="803" spans="2:3" x14ac:dyDescent="0.2">
      <c r="B803" s="13"/>
      <c r="C803" s="13"/>
    </row>
    <row r="804" spans="2:3" x14ac:dyDescent="0.2">
      <c r="B804" s="13"/>
      <c r="C804" s="13"/>
    </row>
    <row r="805" spans="2:3" x14ac:dyDescent="0.2">
      <c r="B805" s="13"/>
      <c r="C805" s="13"/>
    </row>
    <row r="806" spans="2:3" x14ac:dyDescent="0.2">
      <c r="B806" s="13"/>
      <c r="C806" s="13"/>
    </row>
    <row r="807" spans="2:3" x14ac:dyDescent="0.2">
      <c r="B807" s="13"/>
      <c r="C807" s="13"/>
    </row>
    <row r="808" spans="2:3" x14ac:dyDescent="0.2">
      <c r="B808" s="13"/>
      <c r="C808" s="13"/>
    </row>
    <row r="809" spans="2:3" x14ac:dyDescent="0.2">
      <c r="B809" s="13"/>
      <c r="C809" s="13"/>
    </row>
    <row r="810" spans="2:3" x14ac:dyDescent="0.2">
      <c r="B810" s="13"/>
      <c r="C810" s="13"/>
    </row>
    <row r="811" spans="2:3" x14ac:dyDescent="0.2">
      <c r="B811" s="13"/>
      <c r="C811" s="13"/>
    </row>
    <row r="812" spans="2:3" x14ac:dyDescent="0.2">
      <c r="B812" s="13"/>
      <c r="C812" s="13"/>
    </row>
    <row r="813" spans="2:3" x14ac:dyDescent="0.2">
      <c r="B813" s="13"/>
      <c r="C813" s="13"/>
    </row>
    <row r="814" spans="2:3" x14ac:dyDescent="0.2">
      <c r="B814" s="13"/>
      <c r="C814" s="13"/>
    </row>
    <row r="815" spans="2:3" x14ac:dyDescent="0.2">
      <c r="B815" s="13"/>
      <c r="C815" s="13"/>
    </row>
    <row r="816" spans="2:3" x14ac:dyDescent="0.2">
      <c r="B816" s="13"/>
      <c r="C816" s="13"/>
    </row>
    <row r="817" spans="2:3" x14ac:dyDescent="0.2">
      <c r="B817" s="13"/>
      <c r="C817" s="13"/>
    </row>
    <row r="818" spans="2:3" x14ac:dyDescent="0.2">
      <c r="B818" s="13"/>
      <c r="C818" s="13"/>
    </row>
    <row r="819" spans="2:3" x14ac:dyDescent="0.2">
      <c r="B819" s="13"/>
      <c r="C819" s="13"/>
    </row>
    <row r="820" spans="2:3" x14ac:dyDescent="0.2">
      <c r="B820" s="13"/>
      <c r="C820" s="13"/>
    </row>
    <row r="821" spans="2:3" x14ac:dyDescent="0.2">
      <c r="B821" s="13"/>
      <c r="C821" s="13"/>
    </row>
    <row r="822" spans="2:3" x14ac:dyDescent="0.2">
      <c r="B822" s="13"/>
      <c r="C822" s="13"/>
    </row>
    <row r="823" spans="2:3" x14ac:dyDescent="0.2">
      <c r="B823" s="13"/>
      <c r="C823" s="13"/>
    </row>
    <row r="824" spans="2:3" x14ac:dyDescent="0.2">
      <c r="B824" s="13"/>
      <c r="C824" s="13"/>
    </row>
    <row r="825" spans="2:3" x14ac:dyDescent="0.2">
      <c r="B825" s="13"/>
      <c r="C825" s="13"/>
    </row>
    <row r="826" spans="2:3" x14ac:dyDescent="0.2">
      <c r="B826" s="13"/>
      <c r="C826" s="13"/>
    </row>
    <row r="827" spans="2:3" x14ac:dyDescent="0.2">
      <c r="B827" s="13"/>
      <c r="C827" s="13"/>
    </row>
    <row r="828" spans="2:3" x14ac:dyDescent="0.2">
      <c r="B828" s="13"/>
      <c r="C828" s="13"/>
    </row>
    <row r="829" spans="2:3" x14ac:dyDescent="0.2">
      <c r="B829" s="13"/>
      <c r="C829" s="13"/>
    </row>
    <row r="830" spans="2:3" x14ac:dyDescent="0.2">
      <c r="B830" s="13"/>
      <c r="C830" s="13"/>
    </row>
    <row r="831" spans="2:3" x14ac:dyDescent="0.2">
      <c r="B831" s="13"/>
      <c r="C831" s="13"/>
    </row>
    <row r="832" spans="2:3" x14ac:dyDescent="0.2">
      <c r="B832" s="13"/>
      <c r="C832" s="13"/>
    </row>
    <row r="833" spans="2:3" x14ac:dyDescent="0.2">
      <c r="B833" s="13"/>
      <c r="C833" s="13"/>
    </row>
    <row r="834" spans="2:3" x14ac:dyDescent="0.2">
      <c r="B834" s="13"/>
      <c r="C834" s="13"/>
    </row>
    <row r="835" spans="2:3" x14ac:dyDescent="0.2">
      <c r="B835" s="13"/>
      <c r="C835" s="13"/>
    </row>
    <row r="836" spans="2:3" x14ac:dyDescent="0.2">
      <c r="B836" s="13"/>
      <c r="C836" s="13"/>
    </row>
    <row r="837" spans="2:3" x14ac:dyDescent="0.2">
      <c r="B837" s="13"/>
      <c r="C837" s="13"/>
    </row>
    <row r="838" spans="2:3" x14ac:dyDescent="0.2">
      <c r="B838" s="13"/>
      <c r="C838" s="13"/>
    </row>
    <row r="839" spans="2:3" x14ac:dyDescent="0.2">
      <c r="B839" s="13"/>
      <c r="C839" s="13"/>
    </row>
    <row r="840" spans="2:3" x14ac:dyDescent="0.2">
      <c r="B840" s="13"/>
      <c r="C840" s="13"/>
    </row>
    <row r="841" spans="2:3" x14ac:dyDescent="0.2">
      <c r="B841" s="13"/>
      <c r="C841" s="13"/>
    </row>
    <row r="842" spans="2:3" x14ac:dyDescent="0.2">
      <c r="B842" s="13"/>
      <c r="C842" s="13"/>
    </row>
    <row r="843" spans="2:3" x14ac:dyDescent="0.2">
      <c r="B843" s="13"/>
      <c r="C843" s="13"/>
    </row>
    <row r="844" spans="2:3" x14ac:dyDescent="0.2">
      <c r="B844" s="13"/>
      <c r="C844" s="13"/>
    </row>
    <row r="845" spans="2:3" x14ac:dyDescent="0.2">
      <c r="B845" s="13"/>
      <c r="C845" s="13"/>
    </row>
    <row r="846" spans="2:3" x14ac:dyDescent="0.2">
      <c r="B846" s="13"/>
      <c r="C846" s="13"/>
    </row>
    <row r="847" spans="2:3" x14ac:dyDescent="0.2">
      <c r="B847" s="13"/>
      <c r="C847" s="13"/>
    </row>
    <row r="848" spans="2:3" x14ac:dyDescent="0.2">
      <c r="B848" s="13"/>
      <c r="C848" s="13"/>
    </row>
    <row r="849" spans="2:3" x14ac:dyDescent="0.2">
      <c r="B849" s="13"/>
      <c r="C849" s="13"/>
    </row>
    <row r="850" spans="2:3" x14ac:dyDescent="0.2">
      <c r="B850" s="13"/>
      <c r="C850" s="13"/>
    </row>
    <row r="851" spans="2:3" x14ac:dyDescent="0.2">
      <c r="B851" s="13"/>
      <c r="C851" s="13"/>
    </row>
    <row r="852" spans="2:3" x14ac:dyDescent="0.2">
      <c r="B852" s="13"/>
      <c r="C852" s="13"/>
    </row>
    <row r="853" spans="2:3" x14ac:dyDescent="0.2">
      <c r="B853" s="13"/>
      <c r="C853" s="13"/>
    </row>
    <row r="854" spans="2:3" x14ac:dyDescent="0.2">
      <c r="B854" s="13"/>
      <c r="C854" s="13"/>
    </row>
    <row r="855" spans="2:3" x14ac:dyDescent="0.2">
      <c r="B855" s="13"/>
      <c r="C855" s="13"/>
    </row>
    <row r="856" spans="2:3" x14ac:dyDescent="0.2">
      <c r="B856" s="13"/>
      <c r="C856" s="13"/>
    </row>
    <row r="857" spans="2:3" x14ac:dyDescent="0.2">
      <c r="B857" s="13"/>
      <c r="C857" s="13"/>
    </row>
    <row r="858" spans="2:3" x14ac:dyDescent="0.2">
      <c r="B858" s="13"/>
      <c r="C858" s="13"/>
    </row>
    <row r="859" spans="2:3" x14ac:dyDescent="0.2">
      <c r="B859" s="13"/>
      <c r="C859" s="13"/>
    </row>
    <row r="860" spans="2:3" x14ac:dyDescent="0.2">
      <c r="B860" s="13"/>
      <c r="C860" s="13"/>
    </row>
    <row r="861" spans="2:3" x14ac:dyDescent="0.2">
      <c r="B861" s="13"/>
      <c r="C861" s="13"/>
    </row>
    <row r="862" spans="2:3" x14ac:dyDescent="0.2">
      <c r="B862" s="13"/>
      <c r="C862" s="13"/>
    </row>
    <row r="863" spans="2:3" x14ac:dyDescent="0.2">
      <c r="B863" s="13"/>
      <c r="C863" s="13"/>
    </row>
    <row r="864" spans="2:3" x14ac:dyDescent="0.2">
      <c r="B864" s="13"/>
      <c r="C864" s="13"/>
    </row>
    <row r="865" spans="2:3" x14ac:dyDescent="0.2">
      <c r="B865" s="13"/>
      <c r="C865" s="13"/>
    </row>
    <row r="866" spans="2:3" x14ac:dyDescent="0.2">
      <c r="B866" s="13"/>
      <c r="C866" s="13"/>
    </row>
    <row r="867" spans="2:3" x14ac:dyDescent="0.2">
      <c r="B867" s="13"/>
      <c r="C867" s="13"/>
    </row>
    <row r="868" spans="2:3" x14ac:dyDescent="0.2">
      <c r="B868" s="13"/>
      <c r="C868" s="13"/>
    </row>
    <row r="869" spans="2:3" x14ac:dyDescent="0.2">
      <c r="B869" s="13"/>
      <c r="C869" s="13"/>
    </row>
    <row r="870" spans="2:3" x14ac:dyDescent="0.2">
      <c r="B870" s="13"/>
      <c r="C870" s="13"/>
    </row>
    <row r="871" spans="2:3" x14ac:dyDescent="0.2">
      <c r="B871" s="13"/>
      <c r="C871" s="13"/>
    </row>
    <row r="872" spans="2:3" x14ac:dyDescent="0.2">
      <c r="B872" s="13"/>
      <c r="C872" s="13"/>
    </row>
    <row r="873" spans="2:3" x14ac:dyDescent="0.2">
      <c r="B873" s="13"/>
      <c r="C873" s="13"/>
    </row>
    <row r="874" spans="2:3" x14ac:dyDescent="0.2">
      <c r="B874" s="13"/>
      <c r="C874" s="13"/>
    </row>
    <row r="875" spans="2:3" x14ac:dyDescent="0.2">
      <c r="B875" s="13"/>
      <c r="C875" s="13"/>
    </row>
    <row r="876" spans="2:3" x14ac:dyDescent="0.2">
      <c r="B876" s="13"/>
      <c r="C876" s="13"/>
    </row>
    <row r="877" spans="2:3" x14ac:dyDescent="0.2">
      <c r="B877" s="13"/>
      <c r="C877" s="13"/>
    </row>
    <row r="878" spans="2:3" x14ac:dyDescent="0.2">
      <c r="B878" s="13"/>
      <c r="C878" s="13"/>
    </row>
    <row r="879" spans="2:3" x14ac:dyDescent="0.2">
      <c r="B879" s="13"/>
      <c r="C879" s="13"/>
    </row>
    <row r="880" spans="2:3" x14ac:dyDescent="0.2">
      <c r="B880" s="13"/>
      <c r="C880" s="13"/>
    </row>
    <row r="881" spans="2:3" x14ac:dyDescent="0.2">
      <c r="B881" s="13"/>
      <c r="C881" s="13"/>
    </row>
    <row r="882" spans="2:3" x14ac:dyDescent="0.2">
      <c r="B882" s="13"/>
      <c r="C882" s="13"/>
    </row>
    <row r="883" spans="2:3" x14ac:dyDescent="0.2">
      <c r="B883" s="13"/>
      <c r="C883" s="13"/>
    </row>
    <row r="884" spans="2:3" x14ac:dyDescent="0.2">
      <c r="B884" s="13"/>
      <c r="C884" s="13"/>
    </row>
    <row r="885" spans="2:3" x14ac:dyDescent="0.2">
      <c r="B885" s="13"/>
      <c r="C885" s="13"/>
    </row>
    <row r="886" spans="2:3" x14ac:dyDescent="0.2">
      <c r="B886" s="13"/>
      <c r="C886" s="13"/>
    </row>
    <row r="887" spans="2:3" x14ac:dyDescent="0.2">
      <c r="B887" s="13"/>
      <c r="C887" s="13"/>
    </row>
    <row r="888" spans="2:3" x14ac:dyDescent="0.2">
      <c r="B888" s="13"/>
      <c r="C888" s="13"/>
    </row>
    <row r="889" spans="2:3" x14ac:dyDescent="0.2">
      <c r="B889" s="13"/>
      <c r="C889" s="13"/>
    </row>
    <row r="890" spans="2:3" x14ac:dyDescent="0.2">
      <c r="B890" s="13"/>
      <c r="C890" s="13"/>
    </row>
    <row r="891" spans="2:3" x14ac:dyDescent="0.2">
      <c r="B891" s="13"/>
      <c r="C891" s="13"/>
    </row>
    <row r="892" spans="2:3" x14ac:dyDescent="0.2">
      <c r="B892" s="13"/>
      <c r="C892" s="13"/>
    </row>
    <row r="893" spans="2:3" x14ac:dyDescent="0.2">
      <c r="B893" s="13"/>
      <c r="C893" s="13"/>
    </row>
    <row r="894" spans="2:3" x14ac:dyDescent="0.2">
      <c r="B894" s="13"/>
      <c r="C894" s="13"/>
    </row>
    <row r="895" spans="2:3" x14ac:dyDescent="0.2">
      <c r="B895" s="13"/>
      <c r="C895" s="13"/>
    </row>
    <row r="896" spans="2:3" x14ac:dyDescent="0.2">
      <c r="B896" s="13"/>
      <c r="C896" s="13"/>
    </row>
    <row r="897" spans="2:3" x14ac:dyDescent="0.2">
      <c r="B897" s="13"/>
      <c r="C897" s="13"/>
    </row>
    <row r="898" spans="2:3" x14ac:dyDescent="0.2">
      <c r="B898" s="13"/>
      <c r="C898" s="13"/>
    </row>
    <row r="899" spans="2:3" x14ac:dyDescent="0.2">
      <c r="B899" s="13"/>
      <c r="C899" s="13"/>
    </row>
    <row r="900" spans="2:3" x14ac:dyDescent="0.2">
      <c r="B900" s="13"/>
      <c r="C900" s="13"/>
    </row>
    <row r="901" spans="2:3" x14ac:dyDescent="0.2">
      <c r="B901" s="13"/>
      <c r="C901" s="13"/>
    </row>
    <row r="902" spans="2:3" x14ac:dyDescent="0.2">
      <c r="B902" s="13"/>
      <c r="C902" s="13"/>
    </row>
    <row r="903" spans="2:3" x14ac:dyDescent="0.2">
      <c r="B903" s="13"/>
      <c r="C903" s="13"/>
    </row>
    <row r="904" spans="2:3" x14ac:dyDescent="0.2">
      <c r="B904" s="13"/>
      <c r="C904" s="13"/>
    </row>
    <row r="905" spans="2:3" x14ac:dyDescent="0.2">
      <c r="B905" s="13"/>
      <c r="C905" s="13"/>
    </row>
    <row r="906" spans="2:3" x14ac:dyDescent="0.2">
      <c r="B906" s="13"/>
      <c r="C906" s="13"/>
    </row>
    <row r="907" spans="2:3" x14ac:dyDescent="0.2">
      <c r="B907" s="13"/>
      <c r="C907" s="13"/>
    </row>
    <row r="908" spans="2:3" x14ac:dyDescent="0.2">
      <c r="B908" s="13"/>
      <c r="C908" s="13"/>
    </row>
    <row r="909" spans="2:3" x14ac:dyDescent="0.2">
      <c r="B909" s="13"/>
      <c r="C909" s="13"/>
    </row>
    <row r="910" spans="2:3" x14ac:dyDescent="0.2">
      <c r="B910" s="13"/>
      <c r="C910" s="13"/>
    </row>
    <row r="911" spans="2:3" x14ac:dyDescent="0.2">
      <c r="B911" s="13"/>
      <c r="C911" s="13"/>
    </row>
    <row r="912" spans="2:3" x14ac:dyDescent="0.2">
      <c r="B912" s="13"/>
      <c r="C912" s="13"/>
    </row>
    <row r="913" spans="2:3" x14ac:dyDescent="0.2">
      <c r="B913" s="13"/>
      <c r="C913" s="13"/>
    </row>
    <row r="914" spans="2:3" x14ac:dyDescent="0.2">
      <c r="B914" s="13"/>
      <c r="C914" s="13"/>
    </row>
    <row r="915" spans="2:3" x14ac:dyDescent="0.2">
      <c r="B915" s="13"/>
      <c r="C915" s="13"/>
    </row>
    <row r="916" spans="2:3" x14ac:dyDescent="0.2">
      <c r="B916" s="13"/>
      <c r="C916" s="13"/>
    </row>
    <row r="917" spans="2:3" x14ac:dyDescent="0.2">
      <c r="B917" s="13"/>
      <c r="C917" s="13"/>
    </row>
    <row r="918" spans="2:3" x14ac:dyDescent="0.2">
      <c r="B918" s="13"/>
      <c r="C918" s="13"/>
    </row>
    <row r="919" spans="2:3" x14ac:dyDescent="0.2">
      <c r="B919" s="13"/>
      <c r="C919" s="13"/>
    </row>
    <row r="920" spans="2:3" x14ac:dyDescent="0.2">
      <c r="B920" s="13"/>
      <c r="C920" s="13"/>
    </row>
    <row r="921" spans="2:3" x14ac:dyDescent="0.2">
      <c r="B921" s="13"/>
      <c r="C921" s="13"/>
    </row>
    <row r="922" spans="2:3" x14ac:dyDescent="0.2">
      <c r="B922" s="13"/>
      <c r="C922" s="13"/>
    </row>
    <row r="923" spans="2:3" x14ac:dyDescent="0.2">
      <c r="B923" s="13"/>
      <c r="C923" s="13"/>
    </row>
    <row r="924" spans="2:3" x14ac:dyDescent="0.2">
      <c r="B924" s="13"/>
      <c r="C924" s="13"/>
    </row>
    <row r="925" spans="2:3" x14ac:dyDescent="0.2">
      <c r="B925" s="13"/>
      <c r="C925" s="13"/>
    </row>
    <row r="926" spans="2:3" x14ac:dyDescent="0.2">
      <c r="B926" s="13"/>
      <c r="C926" s="13"/>
    </row>
    <row r="927" spans="2:3" x14ac:dyDescent="0.2">
      <c r="B927" s="13"/>
      <c r="C927" s="13"/>
    </row>
    <row r="928" spans="2:3" x14ac:dyDescent="0.2">
      <c r="B928" s="13"/>
      <c r="C928" s="13"/>
    </row>
    <row r="929" spans="2:3" x14ac:dyDescent="0.2">
      <c r="B929" s="13"/>
      <c r="C929" s="13"/>
    </row>
    <row r="930" spans="2:3" x14ac:dyDescent="0.2">
      <c r="B930" s="13"/>
      <c r="C930" s="13"/>
    </row>
    <row r="931" spans="2:3" x14ac:dyDescent="0.2">
      <c r="B931" s="13"/>
      <c r="C931" s="13"/>
    </row>
    <row r="932" spans="2:3" x14ac:dyDescent="0.2">
      <c r="B932" s="13"/>
      <c r="C932" s="13"/>
    </row>
    <row r="933" spans="2:3" x14ac:dyDescent="0.2">
      <c r="B933" s="13"/>
      <c r="C933" s="13"/>
    </row>
    <row r="934" spans="2:3" x14ac:dyDescent="0.2">
      <c r="B934" s="13"/>
      <c r="C934" s="13"/>
    </row>
    <row r="935" spans="2:3" x14ac:dyDescent="0.2">
      <c r="B935" s="13"/>
      <c r="C935" s="13"/>
    </row>
    <row r="936" spans="2:3" x14ac:dyDescent="0.2">
      <c r="B936" s="13"/>
      <c r="C936" s="13"/>
    </row>
    <row r="937" spans="2:3" x14ac:dyDescent="0.2">
      <c r="B937" s="13"/>
      <c r="C937" s="13"/>
    </row>
    <row r="938" spans="2:3" x14ac:dyDescent="0.2">
      <c r="B938" s="13"/>
      <c r="C938" s="13"/>
    </row>
    <row r="939" spans="2:3" x14ac:dyDescent="0.2">
      <c r="B939" s="13"/>
      <c r="C939" s="13"/>
    </row>
    <row r="940" spans="2:3" x14ac:dyDescent="0.2">
      <c r="B940" s="13"/>
      <c r="C940" s="13"/>
    </row>
    <row r="941" spans="2:3" x14ac:dyDescent="0.2">
      <c r="B941" s="13"/>
      <c r="C941" s="13"/>
    </row>
    <row r="942" spans="2:3" x14ac:dyDescent="0.2">
      <c r="B942" s="13"/>
      <c r="C942" s="13"/>
    </row>
    <row r="943" spans="2:3" x14ac:dyDescent="0.2">
      <c r="B943" s="13"/>
      <c r="C943" s="13"/>
    </row>
    <row r="944" spans="2:3" x14ac:dyDescent="0.2">
      <c r="B944" s="13"/>
      <c r="C944" s="13"/>
    </row>
    <row r="945" spans="2:3" x14ac:dyDescent="0.2">
      <c r="B945" s="13"/>
      <c r="C945" s="13"/>
    </row>
    <row r="946" spans="2:3" x14ac:dyDescent="0.2">
      <c r="B946" s="13"/>
      <c r="C946" s="13"/>
    </row>
    <row r="947" spans="2:3" x14ac:dyDescent="0.2">
      <c r="B947" s="13"/>
      <c r="C947" s="13"/>
    </row>
    <row r="948" spans="2:3" x14ac:dyDescent="0.2">
      <c r="B948" s="13"/>
      <c r="C948" s="13"/>
    </row>
    <row r="949" spans="2:3" x14ac:dyDescent="0.2">
      <c r="B949" s="13"/>
      <c r="C949" s="13"/>
    </row>
    <row r="950" spans="2:3" x14ac:dyDescent="0.2">
      <c r="B950" s="13"/>
      <c r="C950" s="13"/>
    </row>
    <row r="951" spans="2:3" x14ac:dyDescent="0.2">
      <c r="B951" s="13"/>
      <c r="C951" s="13"/>
    </row>
    <row r="952" spans="2:3" x14ac:dyDescent="0.2">
      <c r="B952" s="13"/>
      <c r="C952" s="13"/>
    </row>
    <row r="953" spans="2:3" x14ac:dyDescent="0.2">
      <c r="B953" s="13"/>
      <c r="C953" s="13"/>
    </row>
    <row r="954" spans="2:3" x14ac:dyDescent="0.2">
      <c r="B954" s="13"/>
      <c r="C954" s="13"/>
    </row>
    <row r="955" spans="2:3" x14ac:dyDescent="0.2">
      <c r="B955" s="13"/>
      <c r="C955" s="13"/>
    </row>
    <row r="956" spans="2:3" x14ac:dyDescent="0.2">
      <c r="B956" s="13"/>
      <c r="C956" s="13"/>
    </row>
    <row r="957" spans="2:3" x14ac:dyDescent="0.2">
      <c r="B957" s="13"/>
      <c r="C957" s="13"/>
    </row>
    <row r="958" spans="2:3" x14ac:dyDescent="0.2">
      <c r="B958" s="13"/>
      <c r="C958" s="13"/>
    </row>
    <row r="959" spans="2:3" x14ac:dyDescent="0.2">
      <c r="B959" s="13"/>
      <c r="C959" s="13"/>
    </row>
    <row r="960" spans="2:3" x14ac:dyDescent="0.2">
      <c r="B960" s="13"/>
      <c r="C960" s="13"/>
    </row>
    <row r="961" spans="2:3" x14ac:dyDescent="0.2">
      <c r="B961" s="13"/>
      <c r="C961" s="13"/>
    </row>
    <row r="962" spans="2:3" x14ac:dyDescent="0.2">
      <c r="B962" s="13"/>
      <c r="C962" s="13"/>
    </row>
    <row r="963" spans="2:3" x14ac:dyDescent="0.2">
      <c r="B963" s="13"/>
      <c r="C963" s="13"/>
    </row>
    <row r="964" spans="2:3" x14ac:dyDescent="0.2">
      <c r="B964" s="13"/>
      <c r="C964" s="13"/>
    </row>
    <row r="965" spans="2:3" x14ac:dyDescent="0.2">
      <c r="B965" s="13"/>
      <c r="C965" s="13"/>
    </row>
    <row r="966" spans="2:3" x14ac:dyDescent="0.2">
      <c r="B966" s="13"/>
      <c r="C966" s="13"/>
    </row>
    <row r="967" spans="2:3" x14ac:dyDescent="0.2">
      <c r="B967" s="13"/>
      <c r="C967" s="13"/>
    </row>
    <row r="968" spans="2:3" x14ac:dyDescent="0.2">
      <c r="B968" s="13"/>
      <c r="C968" s="13"/>
    </row>
    <row r="969" spans="2:3" x14ac:dyDescent="0.2">
      <c r="B969" s="13"/>
      <c r="C969" s="13"/>
    </row>
    <row r="970" spans="2:3" x14ac:dyDescent="0.2">
      <c r="B970" s="13"/>
      <c r="C970" s="13"/>
    </row>
    <row r="971" spans="2:3" x14ac:dyDescent="0.2">
      <c r="B971" s="13"/>
      <c r="C971" s="13"/>
    </row>
    <row r="972" spans="2:3" x14ac:dyDescent="0.2">
      <c r="B972" s="13"/>
      <c r="C972" s="13"/>
    </row>
    <row r="973" spans="2:3" x14ac:dyDescent="0.2">
      <c r="B973" s="13"/>
      <c r="C973" s="13"/>
    </row>
    <row r="974" spans="2:3" x14ac:dyDescent="0.2">
      <c r="B974" s="13"/>
      <c r="C974" s="13"/>
    </row>
    <row r="975" spans="2:3" x14ac:dyDescent="0.2">
      <c r="B975" s="13"/>
      <c r="C975" s="13"/>
    </row>
    <row r="976" spans="2:3" x14ac:dyDescent="0.2">
      <c r="B976" s="13"/>
      <c r="C976" s="13"/>
    </row>
    <row r="977" spans="2:3" x14ac:dyDescent="0.2">
      <c r="B977" s="13"/>
      <c r="C977" s="13"/>
    </row>
    <row r="978" spans="2:3" x14ac:dyDescent="0.2">
      <c r="B978" s="13"/>
      <c r="C978" s="13"/>
    </row>
    <row r="979" spans="2:3" x14ac:dyDescent="0.2">
      <c r="B979" s="13"/>
      <c r="C979" s="13"/>
    </row>
    <row r="980" spans="2:3" x14ac:dyDescent="0.2">
      <c r="B980" s="13"/>
      <c r="C980" s="13"/>
    </row>
    <row r="981" spans="2:3" x14ac:dyDescent="0.2">
      <c r="B981" s="13"/>
      <c r="C981" s="13"/>
    </row>
    <row r="982" spans="2:3" x14ac:dyDescent="0.2">
      <c r="B982" s="13"/>
      <c r="C982" s="13"/>
    </row>
    <row r="983" spans="2:3" x14ac:dyDescent="0.2">
      <c r="B983" s="13"/>
      <c r="C983" s="13"/>
    </row>
    <row r="984" spans="2:3" x14ac:dyDescent="0.2">
      <c r="B984" s="13"/>
      <c r="C984" s="13"/>
    </row>
    <row r="985" spans="2:3" x14ac:dyDescent="0.2">
      <c r="B985" s="13"/>
      <c r="C985" s="13"/>
    </row>
    <row r="986" spans="2:3" x14ac:dyDescent="0.2">
      <c r="B986" s="13"/>
      <c r="C986" s="13"/>
    </row>
    <row r="987" spans="2:3" x14ac:dyDescent="0.2">
      <c r="B987" s="13"/>
      <c r="C987" s="13"/>
    </row>
    <row r="988" spans="2:3" x14ac:dyDescent="0.2">
      <c r="B988" s="13"/>
      <c r="C988" s="13"/>
    </row>
    <row r="989" spans="2:3" x14ac:dyDescent="0.2">
      <c r="B989" s="13"/>
      <c r="C989" s="13"/>
    </row>
    <row r="990" spans="2:3" x14ac:dyDescent="0.2">
      <c r="B990" s="13"/>
      <c r="C990" s="13"/>
    </row>
    <row r="991" spans="2:3" x14ac:dyDescent="0.2">
      <c r="B991" s="13"/>
      <c r="C991" s="13"/>
    </row>
    <row r="992" spans="2:3" x14ac:dyDescent="0.2">
      <c r="B992" s="13"/>
      <c r="C992" s="13"/>
    </row>
    <row r="993" spans="2:3" x14ac:dyDescent="0.2">
      <c r="B993" s="13"/>
      <c r="C993" s="13"/>
    </row>
    <row r="994" spans="2:3" x14ac:dyDescent="0.2">
      <c r="B994" s="13"/>
      <c r="C994" s="13"/>
    </row>
    <row r="995" spans="2:3" x14ac:dyDescent="0.2">
      <c r="B995" s="13"/>
      <c r="C995" s="13"/>
    </row>
    <row r="996" spans="2:3" x14ac:dyDescent="0.2">
      <c r="B996" s="13"/>
      <c r="C996" s="13"/>
    </row>
    <row r="997" spans="2:3" x14ac:dyDescent="0.2">
      <c r="B997" s="13"/>
      <c r="C997" s="13"/>
    </row>
    <row r="998" spans="2:3" x14ac:dyDescent="0.2">
      <c r="B998" s="13"/>
      <c r="C998" s="13"/>
    </row>
    <row r="999" spans="2:3" x14ac:dyDescent="0.2">
      <c r="B999" s="13"/>
      <c r="C999" s="13"/>
    </row>
    <row r="1000" spans="2:3" x14ac:dyDescent="0.2">
      <c r="B1000" s="13"/>
      <c r="C1000" s="13"/>
    </row>
    <row r="1001" spans="2:3" x14ac:dyDescent="0.2">
      <c r="B1001" s="13"/>
      <c r="C1001" s="13"/>
    </row>
    <row r="1002" spans="2:3" x14ac:dyDescent="0.2">
      <c r="B1002" s="13"/>
      <c r="C1002" s="13"/>
    </row>
    <row r="1003" spans="2:3" x14ac:dyDescent="0.2">
      <c r="B1003" s="13"/>
      <c r="C1003" s="13"/>
    </row>
    <row r="1004" spans="2:3" x14ac:dyDescent="0.2">
      <c r="B1004" s="13"/>
      <c r="C1004" s="13"/>
    </row>
    <row r="1005" spans="2:3" x14ac:dyDescent="0.2">
      <c r="B1005" s="13"/>
      <c r="C1005" s="13"/>
    </row>
    <row r="1006" spans="2:3" x14ac:dyDescent="0.2">
      <c r="B1006" s="13"/>
      <c r="C1006" s="13"/>
    </row>
    <row r="1007" spans="2:3" x14ac:dyDescent="0.2">
      <c r="B1007" s="13"/>
      <c r="C1007" s="13"/>
    </row>
    <row r="1008" spans="2:3" x14ac:dyDescent="0.2">
      <c r="B1008" s="13"/>
      <c r="C1008" s="13"/>
    </row>
    <row r="1009" spans="2:3" x14ac:dyDescent="0.2">
      <c r="B1009" s="13"/>
      <c r="C1009" s="13"/>
    </row>
    <row r="1010" spans="2:3" x14ac:dyDescent="0.2">
      <c r="B1010" s="13"/>
      <c r="C1010" s="13"/>
    </row>
    <row r="1011" spans="2:3" x14ac:dyDescent="0.2">
      <c r="B1011" s="13"/>
      <c r="C1011" s="13"/>
    </row>
    <row r="1012" spans="2:3" x14ac:dyDescent="0.2">
      <c r="B1012" s="13"/>
      <c r="C1012" s="13"/>
    </row>
    <row r="1013" spans="2:3" x14ac:dyDescent="0.2">
      <c r="B1013" s="13"/>
      <c r="C1013" s="13"/>
    </row>
    <row r="1014" spans="2:3" x14ac:dyDescent="0.2">
      <c r="B1014" s="13"/>
      <c r="C1014" s="13"/>
    </row>
    <row r="1015" spans="2:3" x14ac:dyDescent="0.2">
      <c r="B1015" s="13"/>
      <c r="C1015" s="13"/>
    </row>
    <row r="1016" spans="2:3" x14ac:dyDescent="0.2">
      <c r="B1016" s="13"/>
      <c r="C1016" s="13"/>
    </row>
    <row r="1017" spans="2:3" x14ac:dyDescent="0.2">
      <c r="B1017" s="13"/>
      <c r="C1017" s="13"/>
    </row>
    <row r="1018" spans="2:3" x14ac:dyDescent="0.2">
      <c r="B1018" s="13"/>
      <c r="C1018" s="13"/>
    </row>
    <row r="1019" spans="2:3" x14ac:dyDescent="0.2">
      <c r="B1019" s="13"/>
      <c r="C1019" s="13"/>
    </row>
    <row r="1020" spans="2:3" x14ac:dyDescent="0.2">
      <c r="B1020" s="13"/>
      <c r="C1020" s="13"/>
    </row>
    <row r="1021" spans="2:3" x14ac:dyDescent="0.2">
      <c r="B1021" s="13"/>
      <c r="C1021" s="13"/>
    </row>
    <row r="1022" spans="2:3" x14ac:dyDescent="0.2">
      <c r="B1022" s="13"/>
      <c r="C1022" s="13"/>
    </row>
    <row r="1023" spans="2:3" x14ac:dyDescent="0.2">
      <c r="B1023" s="13"/>
      <c r="C1023" s="13"/>
    </row>
    <row r="1024" spans="2:3" x14ac:dyDescent="0.2">
      <c r="B1024" s="13"/>
      <c r="C1024" s="13"/>
    </row>
    <row r="1025" spans="2:3" x14ac:dyDescent="0.2">
      <c r="B1025" s="13"/>
      <c r="C1025" s="13"/>
    </row>
    <row r="1026" spans="2:3" x14ac:dyDescent="0.2">
      <c r="B1026" s="13"/>
      <c r="C1026" s="13"/>
    </row>
    <row r="1027" spans="2:3" x14ac:dyDescent="0.2">
      <c r="B1027" s="13"/>
      <c r="C1027" s="13"/>
    </row>
    <row r="1028" spans="2:3" x14ac:dyDescent="0.2">
      <c r="B1028" s="13"/>
      <c r="C1028" s="13"/>
    </row>
    <row r="1029" spans="2:3" x14ac:dyDescent="0.2">
      <c r="B1029" s="13"/>
      <c r="C1029" s="13"/>
    </row>
    <row r="1030" spans="2:3" x14ac:dyDescent="0.2">
      <c r="B1030" s="13"/>
      <c r="C1030" s="13"/>
    </row>
    <row r="1031" spans="2:3" x14ac:dyDescent="0.2">
      <c r="B1031" s="13"/>
      <c r="C1031" s="13"/>
    </row>
    <row r="1032" spans="2:3" x14ac:dyDescent="0.2">
      <c r="B1032" s="13"/>
      <c r="C1032" s="13"/>
    </row>
    <row r="1033" spans="2:3" x14ac:dyDescent="0.2">
      <c r="B1033" s="13"/>
      <c r="C1033" s="13"/>
    </row>
    <row r="1034" spans="2:3" x14ac:dyDescent="0.2">
      <c r="B1034" s="13"/>
      <c r="C1034" s="13"/>
    </row>
    <row r="1035" spans="2:3" x14ac:dyDescent="0.2">
      <c r="B1035" s="13"/>
      <c r="C1035" s="13"/>
    </row>
    <row r="1036" spans="2:3" x14ac:dyDescent="0.2">
      <c r="B1036" s="13"/>
      <c r="C1036" s="13"/>
    </row>
    <row r="1037" spans="2:3" x14ac:dyDescent="0.2">
      <c r="B1037" s="13"/>
      <c r="C1037" s="13"/>
    </row>
    <row r="1038" spans="2:3" x14ac:dyDescent="0.2">
      <c r="B1038" s="13"/>
      <c r="C1038" s="13"/>
    </row>
    <row r="1039" spans="2:3" x14ac:dyDescent="0.2">
      <c r="B1039" s="13"/>
      <c r="C1039" s="13"/>
    </row>
    <row r="1040" spans="2:3" x14ac:dyDescent="0.2">
      <c r="B1040" s="13"/>
      <c r="C1040" s="13"/>
    </row>
    <row r="1041" spans="2:3" x14ac:dyDescent="0.2">
      <c r="B1041" s="13"/>
      <c r="C1041" s="13"/>
    </row>
    <row r="1042" spans="2:3" x14ac:dyDescent="0.2">
      <c r="B1042" s="13"/>
      <c r="C1042" s="13"/>
    </row>
    <row r="1043" spans="2:3" x14ac:dyDescent="0.2">
      <c r="B1043" s="13"/>
      <c r="C1043" s="13"/>
    </row>
    <row r="1044" spans="2:3" x14ac:dyDescent="0.2">
      <c r="B1044" s="13"/>
      <c r="C1044" s="13"/>
    </row>
    <row r="1045" spans="2:3" x14ac:dyDescent="0.2">
      <c r="B1045" s="13"/>
      <c r="C1045" s="13"/>
    </row>
    <row r="1046" spans="2:3" x14ac:dyDescent="0.2">
      <c r="B1046" s="13"/>
      <c r="C1046" s="13"/>
    </row>
    <row r="1047" spans="2:3" x14ac:dyDescent="0.2">
      <c r="B1047" s="13"/>
      <c r="C1047" s="13"/>
    </row>
    <row r="1048" spans="2:3" x14ac:dyDescent="0.2">
      <c r="B1048" s="13"/>
      <c r="C1048" s="13"/>
    </row>
    <row r="1049" spans="2:3" x14ac:dyDescent="0.2">
      <c r="B1049" s="13"/>
      <c r="C1049" s="13"/>
    </row>
    <row r="1050" spans="2:3" x14ac:dyDescent="0.2">
      <c r="B1050" s="13"/>
      <c r="C1050" s="13"/>
    </row>
    <row r="1051" spans="2:3" x14ac:dyDescent="0.2">
      <c r="B1051" s="13"/>
      <c r="C1051" s="13"/>
    </row>
    <row r="1052" spans="2:3" x14ac:dyDescent="0.2">
      <c r="B1052" s="13"/>
      <c r="C1052" s="13"/>
    </row>
    <row r="1053" spans="2:3" x14ac:dyDescent="0.2">
      <c r="B1053" s="13"/>
      <c r="C1053" s="13"/>
    </row>
    <row r="1054" spans="2:3" x14ac:dyDescent="0.2">
      <c r="B1054" s="13"/>
      <c r="C1054" s="13"/>
    </row>
    <row r="1055" spans="2:3" x14ac:dyDescent="0.2">
      <c r="B1055" s="13"/>
      <c r="C1055" s="13"/>
    </row>
    <row r="1056" spans="2:3" x14ac:dyDescent="0.2">
      <c r="B1056" s="13"/>
      <c r="C1056" s="13"/>
    </row>
    <row r="1057" spans="2:3" x14ac:dyDescent="0.2">
      <c r="B1057" s="13"/>
      <c r="C1057" s="13"/>
    </row>
    <row r="1058" spans="2:3" x14ac:dyDescent="0.2">
      <c r="B1058" s="13"/>
      <c r="C1058" s="13"/>
    </row>
    <row r="1059" spans="2:3" x14ac:dyDescent="0.2">
      <c r="B1059" s="13"/>
      <c r="C1059" s="13"/>
    </row>
    <row r="1060" spans="2:3" x14ac:dyDescent="0.2">
      <c r="B1060" s="13"/>
      <c r="C1060" s="13"/>
    </row>
    <row r="1061" spans="2:3" x14ac:dyDescent="0.2">
      <c r="B1061" s="13"/>
      <c r="C1061" s="13"/>
    </row>
    <row r="1062" spans="2:3" x14ac:dyDescent="0.2">
      <c r="B1062" s="13"/>
      <c r="C1062" s="13"/>
    </row>
    <row r="1063" spans="2:3" x14ac:dyDescent="0.2">
      <c r="B1063" s="13"/>
      <c r="C1063" s="13"/>
    </row>
    <row r="1064" spans="2:3" x14ac:dyDescent="0.2">
      <c r="B1064" s="13"/>
      <c r="C1064" s="13"/>
    </row>
    <row r="1065" spans="2:3" x14ac:dyDescent="0.2">
      <c r="B1065" s="13"/>
      <c r="C1065" s="13"/>
    </row>
    <row r="1066" spans="2:3" x14ac:dyDescent="0.2">
      <c r="B1066" s="13"/>
      <c r="C1066" s="13"/>
    </row>
    <row r="1067" spans="2:3" x14ac:dyDescent="0.2">
      <c r="B1067" s="13"/>
      <c r="C1067" s="13"/>
    </row>
    <row r="1068" spans="2:3" x14ac:dyDescent="0.2">
      <c r="B1068" s="13"/>
      <c r="C1068" s="13"/>
    </row>
    <row r="1069" spans="2:3" x14ac:dyDescent="0.2">
      <c r="B1069" s="13"/>
      <c r="C1069" s="13"/>
    </row>
    <row r="1070" spans="2:3" x14ac:dyDescent="0.2">
      <c r="B1070" s="13"/>
      <c r="C1070" s="13"/>
    </row>
    <row r="1071" spans="2:3" x14ac:dyDescent="0.2">
      <c r="B1071" s="13"/>
      <c r="C1071" s="13"/>
    </row>
    <row r="1072" spans="2:3" x14ac:dyDescent="0.2">
      <c r="B1072" s="13"/>
      <c r="C1072" s="13"/>
    </row>
    <row r="1073" spans="2:3" x14ac:dyDescent="0.2">
      <c r="B1073" s="13"/>
      <c r="C1073" s="13"/>
    </row>
    <row r="1074" spans="2:3" x14ac:dyDescent="0.2">
      <c r="B1074" s="13"/>
      <c r="C1074" s="13"/>
    </row>
    <row r="1075" spans="2:3" x14ac:dyDescent="0.2">
      <c r="B1075" s="13"/>
      <c r="C1075" s="13"/>
    </row>
    <row r="1076" spans="2:3" x14ac:dyDescent="0.2">
      <c r="B1076" s="13"/>
      <c r="C1076" s="13"/>
    </row>
    <row r="1077" spans="2:3" x14ac:dyDescent="0.2">
      <c r="B1077" s="13"/>
      <c r="C1077" s="13"/>
    </row>
    <row r="1078" spans="2:3" x14ac:dyDescent="0.2">
      <c r="B1078" s="13"/>
      <c r="C1078" s="13"/>
    </row>
    <row r="1079" spans="2:3" x14ac:dyDescent="0.2">
      <c r="B1079" s="13"/>
      <c r="C1079" s="13"/>
    </row>
    <row r="1080" spans="2:3" x14ac:dyDescent="0.2">
      <c r="B1080" s="13"/>
      <c r="C1080" s="13"/>
    </row>
    <row r="1081" spans="2:3" x14ac:dyDescent="0.2">
      <c r="B1081" s="13"/>
      <c r="C1081" s="13"/>
    </row>
    <row r="1082" spans="2:3" x14ac:dyDescent="0.2">
      <c r="B1082" s="13"/>
      <c r="C1082" s="13"/>
    </row>
    <row r="1083" spans="2:3" x14ac:dyDescent="0.2">
      <c r="B1083" s="13"/>
      <c r="C1083" s="13"/>
    </row>
    <row r="1084" spans="2:3" x14ac:dyDescent="0.2">
      <c r="B1084" s="13"/>
      <c r="C1084" s="13"/>
    </row>
    <row r="1085" spans="2:3" x14ac:dyDescent="0.2">
      <c r="B1085" s="13"/>
      <c r="C1085" s="13"/>
    </row>
    <row r="1086" spans="2:3" x14ac:dyDescent="0.2">
      <c r="B1086" s="13"/>
      <c r="C1086" s="13"/>
    </row>
    <row r="1087" spans="2:3" x14ac:dyDescent="0.2">
      <c r="B1087" s="13"/>
      <c r="C1087" s="13"/>
    </row>
    <row r="1088" spans="2:3" x14ac:dyDescent="0.2">
      <c r="B1088" s="13"/>
      <c r="C1088" s="13"/>
    </row>
    <row r="1089" spans="2:3" x14ac:dyDescent="0.2">
      <c r="B1089" s="13"/>
      <c r="C1089" s="13"/>
    </row>
    <row r="1090" spans="2:3" x14ac:dyDescent="0.2">
      <c r="B1090" s="13"/>
      <c r="C1090" s="13"/>
    </row>
    <row r="1091" spans="2:3" x14ac:dyDescent="0.2">
      <c r="B1091" s="13"/>
      <c r="C1091" s="13"/>
    </row>
    <row r="1092" spans="2:3" x14ac:dyDescent="0.2">
      <c r="B1092" s="13"/>
      <c r="C1092" s="13"/>
    </row>
    <row r="1093" spans="2:3" x14ac:dyDescent="0.2">
      <c r="B1093" s="13"/>
      <c r="C1093" s="13"/>
    </row>
    <row r="1094" spans="2:3" x14ac:dyDescent="0.2">
      <c r="B1094" s="13"/>
      <c r="C1094" s="13"/>
    </row>
    <row r="1095" spans="2:3" x14ac:dyDescent="0.2">
      <c r="B1095" s="13"/>
      <c r="C1095" s="13"/>
    </row>
    <row r="1096" spans="2:3" x14ac:dyDescent="0.2">
      <c r="B1096" s="13"/>
      <c r="C1096" s="13"/>
    </row>
    <row r="1097" spans="2:3" x14ac:dyDescent="0.2">
      <c r="B1097" s="13"/>
      <c r="C1097" s="13"/>
    </row>
    <row r="1098" spans="2:3" x14ac:dyDescent="0.2">
      <c r="B1098" s="13"/>
      <c r="C1098" s="13"/>
    </row>
    <row r="1099" spans="2:3" x14ac:dyDescent="0.2">
      <c r="B1099" s="13"/>
      <c r="C1099" s="13"/>
    </row>
    <row r="1100" spans="2:3" x14ac:dyDescent="0.2">
      <c r="B1100" s="13"/>
      <c r="C1100" s="13"/>
    </row>
    <row r="1101" spans="2:3" x14ac:dyDescent="0.2">
      <c r="B1101" s="13"/>
      <c r="C1101" s="13"/>
    </row>
    <row r="1102" spans="2:3" x14ac:dyDescent="0.2">
      <c r="B1102" s="13"/>
      <c r="C1102" s="13"/>
    </row>
    <row r="1103" spans="2:3" x14ac:dyDescent="0.2">
      <c r="B1103" s="13"/>
      <c r="C1103" s="13"/>
    </row>
    <row r="1104" spans="2:3" x14ac:dyDescent="0.2">
      <c r="B1104" s="13"/>
      <c r="C1104" s="13"/>
    </row>
    <row r="1105" spans="2:3" x14ac:dyDescent="0.2">
      <c r="B1105" s="13"/>
      <c r="C1105" s="13"/>
    </row>
    <row r="1106" spans="2:3" x14ac:dyDescent="0.2">
      <c r="B1106" s="13"/>
      <c r="C1106" s="13"/>
    </row>
    <row r="1107" spans="2:3" x14ac:dyDescent="0.2">
      <c r="B1107" s="13"/>
      <c r="C1107" s="13"/>
    </row>
    <row r="1108" spans="2:3" x14ac:dyDescent="0.2">
      <c r="B1108" s="13"/>
      <c r="C1108" s="13"/>
    </row>
    <row r="1109" spans="2:3" x14ac:dyDescent="0.2">
      <c r="B1109" s="13"/>
      <c r="C1109" s="13"/>
    </row>
    <row r="1110" spans="2:3" x14ac:dyDescent="0.2">
      <c r="B1110" s="13"/>
      <c r="C1110" s="13"/>
    </row>
    <row r="1111" spans="2:3" x14ac:dyDescent="0.2">
      <c r="B1111" s="13"/>
      <c r="C1111" s="13"/>
    </row>
    <row r="1112" spans="2:3" x14ac:dyDescent="0.2">
      <c r="B1112" s="13"/>
      <c r="C1112" s="13"/>
    </row>
    <row r="1113" spans="2:3" x14ac:dyDescent="0.2">
      <c r="B1113" s="13"/>
      <c r="C1113" s="13"/>
    </row>
    <row r="1114" spans="2:3" x14ac:dyDescent="0.2">
      <c r="B1114" s="13"/>
      <c r="C1114" s="13"/>
    </row>
    <row r="1115" spans="2:3" x14ac:dyDescent="0.2">
      <c r="B1115" s="13"/>
      <c r="C1115" s="13"/>
    </row>
    <row r="1116" spans="2:3" x14ac:dyDescent="0.2">
      <c r="B1116" s="13"/>
      <c r="C1116" s="13"/>
    </row>
    <row r="1117" spans="2:3" x14ac:dyDescent="0.2">
      <c r="B1117" s="13"/>
      <c r="C1117" s="13"/>
    </row>
    <row r="1118" spans="2:3" x14ac:dyDescent="0.2">
      <c r="B1118" s="13"/>
      <c r="C1118" s="13"/>
    </row>
    <row r="1119" spans="2:3" x14ac:dyDescent="0.2">
      <c r="B1119" s="13"/>
      <c r="C1119" s="13"/>
    </row>
    <row r="1120" spans="2:3" x14ac:dyDescent="0.2">
      <c r="B1120" s="13"/>
      <c r="C1120" s="13"/>
    </row>
    <row r="1121" spans="2:3" x14ac:dyDescent="0.2">
      <c r="B1121" s="13"/>
      <c r="C1121" s="13"/>
    </row>
    <row r="1122" spans="2:3" x14ac:dyDescent="0.2">
      <c r="B1122" s="13"/>
      <c r="C1122" s="13"/>
    </row>
    <row r="1123" spans="2:3" x14ac:dyDescent="0.2">
      <c r="B1123" s="13"/>
      <c r="C1123" s="13"/>
    </row>
    <row r="1124" spans="2:3" x14ac:dyDescent="0.2">
      <c r="B1124" s="13"/>
      <c r="C1124" s="13"/>
    </row>
    <row r="1125" spans="2:3" x14ac:dyDescent="0.2">
      <c r="B1125" s="13"/>
      <c r="C1125" s="13"/>
    </row>
    <row r="1126" spans="2:3" x14ac:dyDescent="0.2">
      <c r="B1126" s="13"/>
      <c r="C1126" s="13"/>
    </row>
    <row r="1127" spans="2:3" x14ac:dyDescent="0.2">
      <c r="B1127" s="13"/>
      <c r="C1127" s="13"/>
    </row>
    <row r="1128" spans="2:3" x14ac:dyDescent="0.2">
      <c r="B1128" s="13"/>
      <c r="C1128" s="13"/>
    </row>
    <row r="1129" spans="2:3" x14ac:dyDescent="0.2">
      <c r="B1129" s="13"/>
      <c r="C1129" s="13"/>
    </row>
    <row r="1130" spans="2:3" x14ac:dyDescent="0.2">
      <c r="B1130" s="13"/>
      <c r="C1130" s="13"/>
    </row>
    <row r="1131" spans="2:3" x14ac:dyDescent="0.2">
      <c r="B1131" s="13"/>
      <c r="C1131" s="13"/>
    </row>
    <row r="1132" spans="2:3" x14ac:dyDescent="0.2">
      <c r="B1132" s="13"/>
      <c r="C1132" s="13"/>
    </row>
    <row r="1133" spans="2:3" x14ac:dyDescent="0.2">
      <c r="B1133" s="13"/>
      <c r="C1133" s="13"/>
    </row>
    <row r="1134" spans="2:3" x14ac:dyDescent="0.2">
      <c r="B1134" s="13"/>
      <c r="C1134" s="13"/>
    </row>
    <row r="1135" spans="2:3" x14ac:dyDescent="0.2">
      <c r="B1135" s="13"/>
      <c r="C1135" s="13"/>
    </row>
    <row r="1136" spans="2:3" x14ac:dyDescent="0.2">
      <c r="B1136" s="13"/>
      <c r="C1136" s="13"/>
    </row>
    <row r="1137" spans="2:3" x14ac:dyDescent="0.2">
      <c r="B1137" s="13"/>
      <c r="C1137" s="13"/>
    </row>
    <row r="1138" spans="2:3" x14ac:dyDescent="0.2">
      <c r="B1138" s="13"/>
      <c r="C1138" s="13"/>
    </row>
    <row r="1139" spans="2:3" x14ac:dyDescent="0.2">
      <c r="B1139" s="13"/>
      <c r="C1139" s="13"/>
    </row>
    <row r="1140" spans="2:3" x14ac:dyDescent="0.2">
      <c r="B1140" s="13"/>
      <c r="C1140" s="13"/>
    </row>
    <row r="1141" spans="2:3" x14ac:dyDescent="0.2">
      <c r="B1141" s="13"/>
      <c r="C1141" s="13"/>
    </row>
    <row r="1142" spans="2:3" x14ac:dyDescent="0.2">
      <c r="B1142" s="13"/>
      <c r="C1142" s="13"/>
    </row>
    <row r="1143" spans="2:3" x14ac:dyDescent="0.2">
      <c r="B1143" s="13"/>
      <c r="C1143" s="13"/>
    </row>
    <row r="1144" spans="2:3" x14ac:dyDescent="0.2">
      <c r="B1144" s="13"/>
      <c r="C1144" s="13"/>
    </row>
    <row r="1145" spans="2:3" x14ac:dyDescent="0.2">
      <c r="B1145" s="13"/>
      <c r="C1145" s="13"/>
    </row>
    <row r="1146" spans="2:3" x14ac:dyDescent="0.2">
      <c r="B1146" s="13"/>
      <c r="C1146" s="13"/>
    </row>
    <row r="1147" spans="2:3" x14ac:dyDescent="0.2">
      <c r="B1147" s="13"/>
      <c r="C1147" s="13"/>
    </row>
    <row r="1148" spans="2:3" x14ac:dyDescent="0.2">
      <c r="B1148" s="13"/>
      <c r="C1148" s="13"/>
    </row>
    <row r="1149" spans="2:3" x14ac:dyDescent="0.2">
      <c r="B1149" s="13"/>
      <c r="C1149" s="13"/>
    </row>
    <row r="1150" spans="2:3" x14ac:dyDescent="0.2">
      <c r="B1150" s="13"/>
      <c r="C1150" s="13"/>
    </row>
    <row r="1151" spans="2:3" x14ac:dyDescent="0.2">
      <c r="B1151" s="13"/>
      <c r="C1151" s="13"/>
    </row>
    <row r="1152" spans="2:3" x14ac:dyDescent="0.2">
      <c r="B1152" s="13"/>
      <c r="C1152" s="13"/>
    </row>
    <row r="1153" spans="2:3" x14ac:dyDescent="0.2">
      <c r="B1153" s="13"/>
      <c r="C1153" s="13"/>
    </row>
    <row r="1154" spans="2:3" x14ac:dyDescent="0.2">
      <c r="B1154" s="13"/>
      <c r="C1154" s="13"/>
    </row>
    <row r="1155" spans="2:3" x14ac:dyDescent="0.2">
      <c r="B1155" s="13"/>
      <c r="C1155" s="13"/>
    </row>
    <row r="1156" spans="2:3" x14ac:dyDescent="0.2">
      <c r="B1156" s="13"/>
      <c r="C1156" s="13"/>
    </row>
    <row r="1157" spans="2:3" x14ac:dyDescent="0.2">
      <c r="B1157" s="13"/>
      <c r="C1157" s="13"/>
    </row>
    <row r="1158" spans="2:3" x14ac:dyDescent="0.2">
      <c r="B1158" s="13"/>
      <c r="C1158" s="13"/>
    </row>
    <row r="1159" spans="2:3" x14ac:dyDescent="0.2">
      <c r="B1159" s="13"/>
      <c r="C1159" s="13"/>
    </row>
    <row r="1160" spans="2:3" x14ac:dyDescent="0.2">
      <c r="B1160" s="13"/>
      <c r="C1160" s="13"/>
    </row>
    <row r="1161" spans="2:3" x14ac:dyDescent="0.2">
      <c r="B1161" s="13"/>
      <c r="C1161" s="13"/>
    </row>
    <row r="1162" spans="2:3" x14ac:dyDescent="0.2">
      <c r="B1162" s="13"/>
      <c r="C1162" s="13"/>
    </row>
    <row r="1163" spans="2:3" x14ac:dyDescent="0.2">
      <c r="B1163" s="13"/>
      <c r="C1163" s="13"/>
    </row>
    <row r="1164" spans="2:3" x14ac:dyDescent="0.2">
      <c r="B1164" s="13"/>
      <c r="C1164" s="13"/>
    </row>
    <row r="1165" spans="2:3" x14ac:dyDescent="0.2">
      <c r="B1165" s="13"/>
      <c r="C1165" s="13"/>
    </row>
    <row r="1166" spans="2:3" x14ac:dyDescent="0.2">
      <c r="B1166" s="13"/>
      <c r="C1166" s="13"/>
    </row>
    <row r="1167" spans="2:3" x14ac:dyDescent="0.2">
      <c r="B1167" s="13"/>
      <c r="C1167" s="13"/>
    </row>
    <row r="1168" spans="2:3" x14ac:dyDescent="0.2">
      <c r="B1168" s="13"/>
      <c r="C1168" s="13"/>
    </row>
    <row r="1169" spans="2:3" x14ac:dyDescent="0.2">
      <c r="B1169" s="13"/>
      <c r="C1169" s="13"/>
    </row>
    <row r="1170" spans="2:3" x14ac:dyDescent="0.2">
      <c r="B1170" s="13"/>
      <c r="C1170" s="13"/>
    </row>
    <row r="1171" spans="2:3" x14ac:dyDescent="0.2">
      <c r="B1171" s="13"/>
      <c r="C1171" s="13"/>
    </row>
    <row r="1172" spans="2:3" x14ac:dyDescent="0.2">
      <c r="B1172" s="13"/>
      <c r="C1172" s="13"/>
    </row>
    <row r="1173" spans="2:3" x14ac:dyDescent="0.2">
      <c r="B1173" s="13"/>
      <c r="C1173" s="13"/>
    </row>
    <row r="1174" spans="2:3" x14ac:dyDescent="0.2">
      <c r="B1174" s="13"/>
      <c r="C1174" s="13"/>
    </row>
    <row r="1175" spans="2:3" x14ac:dyDescent="0.2">
      <c r="B1175" s="13"/>
      <c r="C1175" s="13"/>
    </row>
    <row r="1176" spans="2:3" x14ac:dyDescent="0.2">
      <c r="B1176" s="13"/>
      <c r="C1176" s="13"/>
    </row>
    <row r="1177" spans="2:3" x14ac:dyDescent="0.2">
      <c r="B1177" s="13"/>
      <c r="C1177" s="13"/>
    </row>
    <row r="1178" spans="2:3" x14ac:dyDescent="0.2">
      <c r="B1178" s="13"/>
      <c r="C1178" s="13"/>
    </row>
    <row r="1179" spans="2:3" x14ac:dyDescent="0.2">
      <c r="B1179" s="13"/>
      <c r="C1179" s="13"/>
    </row>
    <row r="1180" spans="2:3" x14ac:dyDescent="0.2">
      <c r="B1180" s="13"/>
      <c r="C1180" s="13"/>
    </row>
    <row r="1181" spans="2:3" x14ac:dyDescent="0.2">
      <c r="B1181" s="13"/>
      <c r="C1181" s="13"/>
    </row>
    <row r="1182" spans="2:3" x14ac:dyDescent="0.2">
      <c r="B1182" s="13"/>
      <c r="C1182" s="13"/>
    </row>
    <row r="1183" spans="2:3" x14ac:dyDescent="0.2">
      <c r="B1183" s="13"/>
      <c r="C1183" s="13"/>
    </row>
    <row r="1184" spans="2:3" x14ac:dyDescent="0.2">
      <c r="B1184" s="13"/>
      <c r="C1184" s="13"/>
    </row>
    <row r="1185" spans="2:3" x14ac:dyDescent="0.2">
      <c r="B1185" s="13"/>
      <c r="C1185" s="13"/>
    </row>
    <row r="1186" spans="2:3" x14ac:dyDescent="0.2">
      <c r="B1186" s="13"/>
      <c r="C1186" s="13"/>
    </row>
    <row r="1187" spans="2:3" x14ac:dyDescent="0.2">
      <c r="B1187" s="13"/>
      <c r="C1187" s="13"/>
    </row>
    <row r="1188" spans="2:3" x14ac:dyDescent="0.2">
      <c r="B1188" s="13"/>
      <c r="C1188" s="13"/>
    </row>
    <row r="1189" spans="2:3" x14ac:dyDescent="0.2">
      <c r="B1189" s="13"/>
      <c r="C1189" s="13"/>
    </row>
    <row r="1190" spans="2:3" x14ac:dyDescent="0.2">
      <c r="B1190" s="13"/>
      <c r="C1190" s="13"/>
    </row>
    <row r="1191" spans="2:3" x14ac:dyDescent="0.2">
      <c r="B1191" s="13"/>
      <c r="C1191" s="13"/>
    </row>
    <row r="1192" spans="2:3" x14ac:dyDescent="0.2">
      <c r="B1192" s="13"/>
      <c r="C1192" s="13"/>
    </row>
    <row r="1193" spans="2:3" x14ac:dyDescent="0.2">
      <c r="B1193" s="13"/>
      <c r="C1193" s="13"/>
    </row>
    <row r="1194" spans="2:3" x14ac:dyDescent="0.2">
      <c r="B1194" s="13"/>
      <c r="C1194" s="13"/>
    </row>
    <row r="1195" spans="2:3" x14ac:dyDescent="0.2">
      <c r="B1195" s="13"/>
      <c r="C1195" s="13"/>
    </row>
    <row r="1196" spans="2:3" x14ac:dyDescent="0.2">
      <c r="B1196" s="13"/>
      <c r="C1196" s="13"/>
    </row>
    <row r="1197" spans="2:3" x14ac:dyDescent="0.2">
      <c r="B1197" s="13"/>
      <c r="C1197" s="13"/>
    </row>
    <row r="1198" spans="2:3" x14ac:dyDescent="0.2">
      <c r="B1198" s="13"/>
      <c r="C1198" s="13"/>
    </row>
    <row r="1199" spans="2:3" x14ac:dyDescent="0.2">
      <c r="B1199" s="13"/>
      <c r="C1199" s="13"/>
    </row>
    <row r="1200" spans="2:3" x14ac:dyDescent="0.2">
      <c r="B1200" s="13"/>
      <c r="C1200" s="13"/>
    </row>
    <row r="1201" spans="2:3" x14ac:dyDescent="0.2">
      <c r="B1201" s="13"/>
      <c r="C1201" s="13"/>
    </row>
    <row r="1202" spans="2:3" x14ac:dyDescent="0.2">
      <c r="B1202" s="13"/>
      <c r="C1202" s="13"/>
    </row>
    <row r="1203" spans="2:3" x14ac:dyDescent="0.2">
      <c r="B1203" s="13"/>
      <c r="C1203" s="13"/>
    </row>
    <row r="1204" spans="2:3" x14ac:dyDescent="0.2">
      <c r="B1204" s="13"/>
      <c r="C1204" s="13"/>
    </row>
    <row r="1205" spans="2:3" x14ac:dyDescent="0.2">
      <c r="B1205" s="13"/>
      <c r="C1205" s="13"/>
    </row>
    <row r="1206" spans="2:3" x14ac:dyDescent="0.2">
      <c r="B1206" s="13"/>
      <c r="C1206" s="13"/>
    </row>
    <row r="1207" spans="2:3" x14ac:dyDescent="0.2">
      <c r="B1207" s="13"/>
      <c r="C1207" s="13"/>
    </row>
    <row r="1208" spans="2:3" x14ac:dyDescent="0.2">
      <c r="B1208" s="13"/>
      <c r="C1208" s="13"/>
    </row>
    <row r="1209" spans="2:3" x14ac:dyDescent="0.2">
      <c r="B1209" s="13"/>
      <c r="C1209" s="13"/>
    </row>
    <row r="1210" spans="2:3" x14ac:dyDescent="0.2">
      <c r="B1210" s="13"/>
      <c r="C1210" s="13"/>
    </row>
    <row r="1211" spans="2:3" x14ac:dyDescent="0.2">
      <c r="B1211" s="13"/>
      <c r="C1211" s="13"/>
    </row>
    <row r="1212" spans="2:3" x14ac:dyDescent="0.2">
      <c r="B1212" s="13"/>
      <c r="C1212" s="13"/>
    </row>
    <row r="1213" spans="2:3" x14ac:dyDescent="0.2">
      <c r="B1213" s="13"/>
      <c r="C1213" s="13"/>
    </row>
    <row r="1214" spans="2:3" x14ac:dyDescent="0.2">
      <c r="B1214" s="13"/>
      <c r="C1214" s="13"/>
    </row>
    <row r="1215" spans="2:3" x14ac:dyDescent="0.2">
      <c r="B1215" s="13"/>
      <c r="C1215" s="13"/>
    </row>
    <row r="1216" spans="2:3" x14ac:dyDescent="0.2">
      <c r="B1216" s="13"/>
      <c r="C1216" s="13"/>
    </row>
    <row r="1217" spans="2:3" x14ac:dyDescent="0.2">
      <c r="B1217" s="13"/>
      <c r="C1217" s="13"/>
    </row>
    <row r="1218" spans="2:3" x14ac:dyDescent="0.2">
      <c r="B1218" s="13"/>
      <c r="C1218" s="13"/>
    </row>
    <row r="1219" spans="2:3" x14ac:dyDescent="0.2">
      <c r="B1219" s="13"/>
      <c r="C1219" s="13"/>
    </row>
    <row r="1220" spans="2:3" x14ac:dyDescent="0.2">
      <c r="B1220" s="13"/>
      <c r="C1220" s="13"/>
    </row>
    <row r="1221" spans="2:3" x14ac:dyDescent="0.2">
      <c r="B1221" s="13"/>
      <c r="C1221" s="13"/>
    </row>
    <row r="1222" spans="2:3" x14ac:dyDescent="0.2">
      <c r="B1222" s="13"/>
      <c r="C1222" s="13"/>
    </row>
    <row r="1223" spans="2:3" x14ac:dyDescent="0.2">
      <c r="B1223" s="13"/>
      <c r="C1223" s="13"/>
    </row>
    <row r="1224" spans="2:3" x14ac:dyDescent="0.2">
      <c r="B1224" s="13"/>
      <c r="C1224" s="13"/>
    </row>
    <row r="1225" spans="2:3" x14ac:dyDescent="0.2">
      <c r="B1225" s="13"/>
      <c r="C1225" s="13"/>
    </row>
    <row r="1226" spans="2:3" x14ac:dyDescent="0.2">
      <c r="B1226" s="13"/>
      <c r="C1226" s="13"/>
    </row>
    <row r="1227" spans="2:3" x14ac:dyDescent="0.2">
      <c r="B1227" s="13"/>
      <c r="C1227" s="13"/>
    </row>
    <row r="1228" spans="2:3" x14ac:dyDescent="0.2">
      <c r="B1228" s="13"/>
      <c r="C1228" s="13"/>
    </row>
    <row r="1229" spans="2:3" x14ac:dyDescent="0.2">
      <c r="B1229" s="13"/>
      <c r="C1229" s="13"/>
    </row>
    <row r="1230" spans="2:3" x14ac:dyDescent="0.2">
      <c r="B1230" s="13"/>
      <c r="C1230" s="13"/>
    </row>
    <row r="1231" spans="2:3" x14ac:dyDescent="0.2">
      <c r="B1231" s="13"/>
      <c r="C1231" s="13"/>
    </row>
    <row r="1232" spans="2:3" x14ac:dyDescent="0.2">
      <c r="B1232" s="13"/>
      <c r="C1232" s="13"/>
    </row>
    <row r="1233" spans="2:3" x14ac:dyDescent="0.2">
      <c r="B1233" s="13"/>
      <c r="C1233" s="13"/>
    </row>
    <row r="1234" spans="2:3" x14ac:dyDescent="0.2">
      <c r="B1234" s="13"/>
      <c r="C1234" s="13"/>
    </row>
    <row r="1235" spans="2:3" x14ac:dyDescent="0.2">
      <c r="B1235" s="13"/>
      <c r="C1235" s="13"/>
    </row>
    <row r="1236" spans="2:3" x14ac:dyDescent="0.2">
      <c r="B1236" s="13"/>
      <c r="C1236" s="13"/>
    </row>
    <row r="1237" spans="2:3" x14ac:dyDescent="0.2">
      <c r="B1237" s="13"/>
      <c r="C1237" s="13"/>
    </row>
    <row r="1238" spans="2:3" x14ac:dyDescent="0.2">
      <c r="B1238" s="13"/>
      <c r="C1238" s="13"/>
    </row>
    <row r="1239" spans="2:3" x14ac:dyDescent="0.2">
      <c r="B1239" s="13"/>
      <c r="C1239" s="13"/>
    </row>
    <row r="1240" spans="2:3" x14ac:dyDescent="0.2">
      <c r="B1240" s="13"/>
      <c r="C1240" s="13"/>
    </row>
    <row r="1241" spans="2:3" x14ac:dyDescent="0.2">
      <c r="B1241" s="13"/>
      <c r="C1241" s="13"/>
    </row>
    <row r="1242" spans="2:3" x14ac:dyDescent="0.2">
      <c r="B1242" s="13"/>
      <c r="C1242" s="13"/>
    </row>
    <row r="1243" spans="2:3" x14ac:dyDescent="0.2">
      <c r="B1243" s="13"/>
      <c r="C1243" s="13"/>
    </row>
    <row r="1244" spans="2:3" x14ac:dyDescent="0.2">
      <c r="B1244" s="13"/>
      <c r="C1244" s="13"/>
    </row>
    <row r="1245" spans="2:3" x14ac:dyDescent="0.2">
      <c r="B1245" s="13"/>
      <c r="C1245" s="13"/>
    </row>
    <row r="1246" spans="2:3" x14ac:dyDescent="0.2">
      <c r="B1246" s="13"/>
      <c r="C1246" s="13"/>
    </row>
    <row r="1247" spans="2:3" x14ac:dyDescent="0.2">
      <c r="B1247" s="13"/>
      <c r="C1247" s="13"/>
    </row>
    <row r="1248" spans="2:3" x14ac:dyDescent="0.2">
      <c r="B1248" s="13"/>
      <c r="C1248" s="13"/>
    </row>
    <row r="1249" spans="2:3" x14ac:dyDescent="0.2">
      <c r="B1249" s="13"/>
      <c r="C1249" s="13"/>
    </row>
    <row r="1250" spans="2:3" x14ac:dyDescent="0.2">
      <c r="B1250" s="13"/>
      <c r="C1250" s="13"/>
    </row>
    <row r="1251" spans="2:3" x14ac:dyDescent="0.2">
      <c r="B1251" s="13"/>
      <c r="C1251" s="13"/>
    </row>
    <row r="1252" spans="2:3" x14ac:dyDescent="0.2">
      <c r="B1252" s="13"/>
      <c r="C1252" s="13"/>
    </row>
    <row r="1253" spans="2:3" x14ac:dyDescent="0.2">
      <c r="B1253" s="13"/>
      <c r="C1253" s="13"/>
    </row>
    <row r="1254" spans="2:3" x14ac:dyDescent="0.2">
      <c r="B1254" s="13"/>
      <c r="C1254" s="13"/>
    </row>
    <row r="1255" spans="2:3" x14ac:dyDescent="0.2">
      <c r="B1255" s="13"/>
      <c r="C1255" s="13"/>
    </row>
    <row r="1256" spans="2:3" x14ac:dyDescent="0.2">
      <c r="B1256" s="13"/>
      <c r="C1256" s="13"/>
    </row>
    <row r="1257" spans="2:3" x14ac:dyDescent="0.2">
      <c r="B1257" s="13"/>
      <c r="C1257" s="13"/>
    </row>
    <row r="1258" spans="2:3" x14ac:dyDescent="0.2">
      <c r="B1258" s="13"/>
      <c r="C1258" s="13"/>
    </row>
    <row r="1259" spans="2:3" x14ac:dyDescent="0.2">
      <c r="B1259" s="13"/>
      <c r="C1259" s="13"/>
    </row>
    <row r="1260" spans="2:3" x14ac:dyDescent="0.2">
      <c r="B1260" s="13"/>
      <c r="C1260" s="13"/>
    </row>
    <row r="1261" spans="2:3" x14ac:dyDescent="0.2">
      <c r="B1261" s="13"/>
      <c r="C1261" s="13"/>
    </row>
    <row r="1262" spans="2:3" x14ac:dyDescent="0.2">
      <c r="B1262" s="13"/>
      <c r="C1262" s="13"/>
    </row>
    <row r="1263" spans="2:3" x14ac:dyDescent="0.2">
      <c r="B1263" s="13"/>
      <c r="C1263" s="13"/>
    </row>
    <row r="1264" spans="2:3" x14ac:dyDescent="0.2">
      <c r="B1264" s="13"/>
      <c r="C1264" s="13"/>
    </row>
    <row r="1265" spans="2:3" x14ac:dyDescent="0.2">
      <c r="B1265" s="13"/>
      <c r="C1265" s="13"/>
    </row>
    <row r="1266" spans="2:3" x14ac:dyDescent="0.2">
      <c r="B1266" s="13"/>
      <c r="C1266" s="13"/>
    </row>
    <row r="1267" spans="2:3" x14ac:dyDescent="0.2">
      <c r="B1267" s="13"/>
      <c r="C1267" s="13"/>
    </row>
    <row r="1268" spans="2:3" x14ac:dyDescent="0.2">
      <c r="B1268" s="13"/>
      <c r="C1268" s="13"/>
    </row>
    <row r="1269" spans="2:3" x14ac:dyDescent="0.2">
      <c r="B1269" s="13"/>
      <c r="C1269" s="13"/>
    </row>
    <row r="1270" spans="2:3" x14ac:dyDescent="0.2">
      <c r="B1270" s="13"/>
      <c r="C1270" s="13"/>
    </row>
    <row r="1271" spans="2:3" x14ac:dyDescent="0.2">
      <c r="B1271" s="13"/>
      <c r="C1271" s="13"/>
    </row>
    <row r="1272" spans="2:3" x14ac:dyDescent="0.2">
      <c r="B1272" s="13"/>
      <c r="C1272" s="13"/>
    </row>
    <row r="1273" spans="2:3" x14ac:dyDescent="0.2">
      <c r="B1273" s="13"/>
      <c r="C1273" s="13"/>
    </row>
    <row r="1274" spans="2:3" x14ac:dyDescent="0.2">
      <c r="B1274" s="13"/>
      <c r="C1274" s="13"/>
    </row>
    <row r="1275" spans="2:3" x14ac:dyDescent="0.2">
      <c r="B1275" s="13"/>
      <c r="C1275" s="13"/>
    </row>
    <row r="1276" spans="2:3" x14ac:dyDescent="0.2">
      <c r="B1276" s="13"/>
      <c r="C1276" s="13"/>
    </row>
    <row r="1277" spans="2:3" x14ac:dyDescent="0.2">
      <c r="B1277" s="13"/>
      <c r="C1277" s="13"/>
    </row>
    <row r="1278" spans="2:3" x14ac:dyDescent="0.2">
      <c r="B1278" s="13"/>
      <c r="C1278" s="13"/>
    </row>
    <row r="1279" spans="2:3" x14ac:dyDescent="0.2">
      <c r="B1279" s="13"/>
      <c r="C1279" s="13"/>
    </row>
    <row r="1280" spans="2:3" x14ac:dyDescent="0.2">
      <c r="B1280" s="13"/>
      <c r="C1280" s="13"/>
    </row>
    <row r="1281" spans="2:3" x14ac:dyDescent="0.2">
      <c r="B1281" s="13"/>
      <c r="C1281" s="13"/>
    </row>
    <row r="1282" spans="2:3" x14ac:dyDescent="0.2">
      <c r="B1282" s="13"/>
      <c r="C1282" s="13"/>
    </row>
    <row r="1283" spans="2:3" x14ac:dyDescent="0.2">
      <c r="B1283" s="13"/>
      <c r="C1283" s="13"/>
    </row>
    <row r="1284" spans="2:3" x14ac:dyDescent="0.2">
      <c r="B1284" s="13"/>
      <c r="C1284" s="13"/>
    </row>
    <row r="1285" spans="2:3" x14ac:dyDescent="0.2">
      <c r="B1285" s="13"/>
      <c r="C1285" s="13"/>
    </row>
    <row r="1286" spans="2:3" x14ac:dyDescent="0.2">
      <c r="B1286" s="13"/>
      <c r="C1286" s="13"/>
    </row>
    <row r="1287" spans="2:3" x14ac:dyDescent="0.2">
      <c r="B1287" s="13"/>
      <c r="C1287" s="13"/>
    </row>
    <row r="1288" spans="2:3" x14ac:dyDescent="0.2">
      <c r="B1288" s="13"/>
      <c r="C1288" s="13"/>
    </row>
    <row r="1289" spans="2:3" x14ac:dyDescent="0.2">
      <c r="B1289" s="13"/>
      <c r="C1289" s="13"/>
    </row>
    <row r="1290" spans="2:3" x14ac:dyDescent="0.2">
      <c r="B1290" s="13"/>
      <c r="C1290" s="13"/>
    </row>
    <row r="1291" spans="2:3" x14ac:dyDescent="0.2">
      <c r="B1291" s="13"/>
      <c r="C1291" s="13"/>
    </row>
    <row r="1292" spans="2:3" x14ac:dyDescent="0.2">
      <c r="B1292" s="13"/>
      <c r="C1292" s="13"/>
    </row>
    <row r="1293" spans="2:3" x14ac:dyDescent="0.2">
      <c r="B1293" s="13"/>
      <c r="C1293" s="13"/>
    </row>
    <row r="1294" spans="2:3" x14ac:dyDescent="0.2">
      <c r="B1294" s="13"/>
      <c r="C1294" s="13"/>
    </row>
    <row r="1295" spans="2:3" x14ac:dyDescent="0.2">
      <c r="B1295" s="13"/>
      <c r="C1295" s="13"/>
    </row>
    <row r="1296" spans="2:3" x14ac:dyDescent="0.2">
      <c r="B1296" s="13"/>
      <c r="C1296" s="13"/>
    </row>
    <row r="1297" spans="2:3" x14ac:dyDescent="0.2">
      <c r="B1297" s="13"/>
      <c r="C1297" s="13"/>
    </row>
    <row r="1298" spans="2:3" x14ac:dyDescent="0.2">
      <c r="B1298" s="13"/>
      <c r="C1298" s="13"/>
    </row>
    <row r="1299" spans="2:3" x14ac:dyDescent="0.2">
      <c r="B1299" s="13"/>
      <c r="C1299" s="13"/>
    </row>
    <row r="1300" spans="2:3" x14ac:dyDescent="0.2">
      <c r="B1300" s="13"/>
      <c r="C1300" s="13"/>
    </row>
    <row r="1301" spans="2:3" x14ac:dyDescent="0.2">
      <c r="B1301" s="13"/>
      <c r="C1301" s="13"/>
    </row>
    <row r="1302" spans="2:3" x14ac:dyDescent="0.2">
      <c r="B1302" s="13"/>
      <c r="C1302" s="13"/>
    </row>
    <row r="1303" spans="2:3" x14ac:dyDescent="0.2">
      <c r="B1303" s="13"/>
      <c r="C1303" s="13"/>
    </row>
    <row r="1304" spans="2:3" x14ac:dyDescent="0.2">
      <c r="B1304" s="13"/>
      <c r="C1304" s="13"/>
    </row>
    <row r="1305" spans="2:3" x14ac:dyDescent="0.2">
      <c r="B1305" s="13"/>
      <c r="C1305" s="13"/>
    </row>
    <row r="1306" spans="2:3" x14ac:dyDescent="0.2">
      <c r="B1306" s="13"/>
      <c r="C1306" s="13"/>
    </row>
    <row r="1307" spans="2:3" x14ac:dyDescent="0.2">
      <c r="B1307" s="13"/>
      <c r="C1307" s="13"/>
    </row>
    <row r="1308" spans="2:3" x14ac:dyDescent="0.2">
      <c r="B1308" s="13"/>
      <c r="C1308" s="13"/>
    </row>
    <row r="1309" spans="2:3" x14ac:dyDescent="0.2">
      <c r="B1309" s="13"/>
      <c r="C1309" s="13"/>
    </row>
    <row r="1310" spans="2:3" x14ac:dyDescent="0.2">
      <c r="B1310" s="13"/>
      <c r="C1310" s="13"/>
    </row>
    <row r="1311" spans="2:3" x14ac:dyDescent="0.2">
      <c r="B1311" s="13"/>
      <c r="C1311" s="13"/>
    </row>
    <row r="1312" spans="2:3" x14ac:dyDescent="0.2">
      <c r="B1312" s="13"/>
      <c r="C1312" s="13"/>
    </row>
    <row r="1313" spans="2:3" x14ac:dyDescent="0.2">
      <c r="B1313" s="13"/>
      <c r="C1313" s="13"/>
    </row>
    <row r="1314" spans="2:3" x14ac:dyDescent="0.2">
      <c r="B1314" s="13"/>
      <c r="C1314" s="13"/>
    </row>
    <row r="1315" spans="2:3" x14ac:dyDescent="0.2">
      <c r="B1315" s="13"/>
      <c r="C1315" s="13"/>
    </row>
    <row r="1316" spans="2:3" x14ac:dyDescent="0.2">
      <c r="B1316" s="13"/>
      <c r="C1316" s="13"/>
    </row>
    <row r="1317" spans="2:3" x14ac:dyDescent="0.2">
      <c r="B1317" s="13"/>
      <c r="C1317" s="13"/>
    </row>
    <row r="1318" spans="2:3" x14ac:dyDescent="0.2">
      <c r="B1318" s="13"/>
      <c r="C1318" s="13"/>
    </row>
    <row r="1319" spans="2:3" x14ac:dyDescent="0.2">
      <c r="B1319" s="13"/>
      <c r="C1319" s="13"/>
    </row>
    <row r="1320" spans="2:3" x14ac:dyDescent="0.2">
      <c r="B1320" s="13"/>
      <c r="C1320" s="13"/>
    </row>
    <row r="1321" spans="2:3" x14ac:dyDescent="0.2">
      <c r="B1321" s="13"/>
      <c r="C1321" s="13"/>
    </row>
    <row r="1322" spans="2:3" x14ac:dyDescent="0.2">
      <c r="B1322" s="13"/>
      <c r="C1322" s="13"/>
    </row>
    <row r="1323" spans="2:3" x14ac:dyDescent="0.2">
      <c r="B1323" s="13"/>
      <c r="C1323" s="13"/>
    </row>
    <row r="1324" spans="2:3" x14ac:dyDescent="0.2">
      <c r="B1324" s="13"/>
      <c r="C1324" s="13"/>
    </row>
    <row r="1325" spans="2:3" x14ac:dyDescent="0.2">
      <c r="B1325" s="13"/>
      <c r="C1325" s="13"/>
    </row>
    <row r="1326" spans="2:3" x14ac:dyDescent="0.2">
      <c r="B1326" s="13"/>
      <c r="C1326" s="13"/>
    </row>
    <row r="1327" spans="2:3" x14ac:dyDescent="0.2">
      <c r="B1327" s="13"/>
      <c r="C1327" s="13"/>
    </row>
    <row r="1328" spans="2:3" x14ac:dyDescent="0.2">
      <c r="B1328" s="13"/>
      <c r="C1328" s="13"/>
    </row>
    <row r="1329" spans="2:3" x14ac:dyDescent="0.2">
      <c r="B1329" s="13"/>
      <c r="C1329" s="13"/>
    </row>
    <row r="1330" spans="2:3" x14ac:dyDescent="0.2">
      <c r="B1330" s="13"/>
      <c r="C1330" s="13"/>
    </row>
    <row r="1331" spans="2:3" x14ac:dyDescent="0.2">
      <c r="B1331" s="13"/>
      <c r="C1331" s="13"/>
    </row>
    <row r="1332" spans="2:3" x14ac:dyDescent="0.2">
      <c r="B1332" s="13"/>
      <c r="C1332" s="13"/>
    </row>
    <row r="1333" spans="2:3" x14ac:dyDescent="0.2">
      <c r="B1333" s="13"/>
      <c r="C1333" s="13"/>
    </row>
    <row r="1334" spans="2:3" x14ac:dyDescent="0.2">
      <c r="B1334" s="13"/>
      <c r="C1334" s="13"/>
    </row>
    <row r="1335" spans="2:3" x14ac:dyDescent="0.2">
      <c r="B1335" s="13"/>
      <c r="C1335" s="13"/>
    </row>
    <row r="1336" spans="2:3" x14ac:dyDescent="0.2">
      <c r="B1336" s="13"/>
      <c r="C1336" s="13"/>
    </row>
    <row r="1337" spans="2:3" x14ac:dyDescent="0.2">
      <c r="B1337" s="13"/>
      <c r="C1337" s="13"/>
    </row>
    <row r="1338" spans="2:3" x14ac:dyDescent="0.2">
      <c r="B1338" s="13"/>
      <c r="C1338" s="13"/>
    </row>
    <row r="1339" spans="2:3" x14ac:dyDescent="0.2">
      <c r="B1339" s="13"/>
      <c r="C1339" s="13"/>
    </row>
    <row r="1340" spans="2:3" x14ac:dyDescent="0.2">
      <c r="B1340" s="13"/>
      <c r="C1340" s="13"/>
    </row>
    <row r="1341" spans="2:3" x14ac:dyDescent="0.2">
      <c r="B1341" s="13"/>
      <c r="C1341" s="13"/>
    </row>
    <row r="1342" spans="2:3" x14ac:dyDescent="0.2">
      <c r="B1342" s="13"/>
      <c r="C1342" s="13"/>
    </row>
    <row r="1343" spans="2:3" x14ac:dyDescent="0.2">
      <c r="B1343" s="13"/>
      <c r="C1343" s="13"/>
    </row>
    <row r="1344" spans="2:3" x14ac:dyDescent="0.2">
      <c r="B1344" s="13"/>
      <c r="C1344" s="13"/>
    </row>
    <row r="1345" spans="2:3" x14ac:dyDescent="0.2">
      <c r="B1345" s="13"/>
      <c r="C1345" s="13"/>
    </row>
    <row r="1346" spans="2:3" x14ac:dyDescent="0.2">
      <c r="B1346" s="13"/>
      <c r="C1346" s="13"/>
    </row>
    <row r="1347" spans="2:3" x14ac:dyDescent="0.2">
      <c r="B1347" s="13"/>
      <c r="C1347" s="13"/>
    </row>
    <row r="1348" spans="2:3" x14ac:dyDescent="0.2">
      <c r="B1348" s="13"/>
      <c r="C1348" s="13"/>
    </row>
    <row r="1349" spans="2:3" x14ac:dyDescent="0.2">
      <c r="B1349" s="13"/>
      <c r="C1349" s="13"/>
    </row>
    <row r="1350" spans="2:3" x14ac:dyDescent="0.2">
      <c r="B1350" s="13"/>
      <c r="C1350" s="13"/>
    </row>
    <row r="1351" spans="2:3" x14ac:dyDescent="0.2">
      <c r="B1351" s="13"/>
      <c r="C1351" s="13"/>
    </row>
    <row r="1352" spans="2:3" x14ac:dyDescent="0.2">
      <c r="B1352" s="13"/>
      <c r="C1352" s="13"/>
    </row>
    <row r="1353" spans="2:3" x14ac:dyDescent="0.2">
      <c r="B1353" s="13"/>
      <c r="C1353" s="13"/>
    </row>
    <row r="1354" spans="2:3" x14ac:dyDescent="0.2">
      <c r="B1354" s="13"/>
      <c r="C1354" s="13"/>
    </row>
    <row r="1355" spans="2:3" x14ac:dyDescent="0.2">
      <c r="B1355" s="13"/>
      <c r="C1355" s="13"/>
    </row>
    <row r="1356" spans="2:3" x14ac:dyDescent="0.2">
      <c r="B1356" s="13"/>
      <c r="C1356" s="13"/>
    </row>
    <row r="1357" spans="2:3" x14ac:dyDescent="0.2">
      <c r="B1357" s="13"/>
      <c r="C1357" s="13"/>
    </row>
    <row r="1358" spans="2:3" x14ac:dyDescent="0.2">
      <c r="B1358" s="13"/>
      <c r="C1358" s="13"/>
    </row>
    <row r="1359" spans="2:3" x14ac:dyDescent="0.2">
      <c r="B1359" s="13"/>
      <c r="C1359" s="13"/>
    </row>
    <row r="1360" spans="2:3" x14ac:dyDescent="0.2">
      <c r="B1360" s="13"/>
      <c r="C1360" s="13"/>
    </row>
    <row r="1361" spans="2:3" x14ac:dyDescent="0.2">
      <c r="B1361" s="13"/>
      <c r="C1361" s="13"/>
    </row>
    <row r="1362" spans="2:3" x14ac:dyDescent="0.2">
      <c r="B1362" s="13"/>
      <c r="C1362" s="13"/>
    </row>
    <row r="1363" spans="2:3" x14ac:dyDescent="0.2">
      <c r="B1363" s="13"/>
      <c r="C1363" s="13"/>
    </row>
    <row r="1364" spans="2:3" x14ac:dyDescent="0.2">
      <c r="B1364" s="13"/>
      <c r="C1364" s="13"/>
    </row>
    <row r="1365" spans="2:3" x14ac:dyDescent="0.2">
      <c r="B1365" s="13"/>
      <c r="C1365" s="13"/>
    </row>
    <row r="1366" spans="2:3" x14ac:dyDescent="0.2">
      <c r="B1366" s="13"/>
      <c r="C1366" s="13"/>
    </row>
    <row r="1367" spans="2:3" x14ac:dyDescent="0.2">
      <c r="B1367" s="13"/>
      <c r="C1367" s="13"/>
    </row>
    <row r="1368" spans="2:3" x14ac:dyDescent="0.2">
      <c r="B1368" s="13"/>
      <c r="C1368" s="13"/>
    </row>
    <row r="1369" spans="2:3" x14ac:dyDescent="0.2">
      <c r="B1369" s="13"/>
      <c r="C1369" s="13"/>
    </row>
    <row r="1370" spans="2:3" x14ac:dyDescent="0.2">
      <c r="B1370" s="13"/>
      <c r="C1370" s="13"/>
    </row>
    <row r="1371" spans="2:3" x14ac:dyDescent="0.2">
      <c r="B1371" s="13"/>
      <c r="C1371" s="13"/>
    </row>
    <row r="1372" spans="2:3" x14ac:dyDescent="0.2">
      <c r="B1372" s="13"/>
      <c r="C1372" s="13"/>
    </row>
    <row r="1373" spans="2:3" x14ac:dyDescent="0.2">
      <c r="B1373" s="13"/>
      <c r="C1373" s="13"/>
    </row>
    <row r="1374" spans="2:3" x14ac:dyDescent="0.2">
      <c r="B1374" s="13"/>
      <c r="C1374" s="13"/>
    </row>
    <row r="1375" spans="2:3" x14ac:dyDescent="0.2">
      <c r="B1375" s="13"/>
      <c r="C1375" s="13"/>
    </row>
    <row r="1376" spans="2:3" x14ac:dyDescent="0.2">
      <c r="B1376" s="13"/>
      <c r="C1376" s="13"/>
    </row>
    <row r="1377" spans="2:3" x14ac:dyDescent="0.2">
      <c r="B1377" s="13"/>
      <c r="C1377" s="13"/>
    </row>
    <row r="1378" spans="2:3" x14ac:dyDescent="0.2">
      <c r="B1378" s="13"/>
      <c r="C1378" s="13"/>
    </row>
    <row r="1379" spans="2:3" x14ac:dyDescent="0.2">
      <c r="B1379" s="13"/>
      <c r="C1379" s="13"/>
    </row>
    <row r="1380" spans="2:3" x14ac:dyDescent="0.2">
      <c r="B1380" s="13"/>
      <c r="C1380" s="13"/>
    </row>
    <row r="1381" spans="2:3" x14ac:dyDescent="0.2">
      <c r="B1381" s="13"/>
      <c r="C1381" s="13"/>
    </row>
    <row r="1382" spans="2:3" x14ac:dyDescent="0.2">
      <c r="B1382" s="13"/>
      <c r="C1382" s="13"/>
    </row>
    <row r="1383" spans="2:3" x14ac:dyDescent="0.2">
      <c r="B1383" s="13"/>
      <c r="C1383" s="13"/>
    </row>
    <row r="1384" spans="2:3" x14ac:dyDescent="0.2">
      <c r="B1384" s="13"/>
      <c r="C1384" s="13"/>
    </row>
    <row r="1385" spans="2:3" x14ac:dyDescent="0.2">
      <c r="B1385" s="13"/>
      <c r="C1385" s="13"/>
    </row>
    <row r="1386" spans="2:3" x14ac:dyDescent="0.2">
      <c r="B1386" s="13"/>
      <c r="C1386" s="13"/>
    </row>
    <row r="1387" spans="2:3" x14ac:dyDescent="0.2">
      <c r="B1387" s="13"/>
      <c r="C1387" s="13"/>
    </row>
    <row r="1388" spans="2:3" x14ac:dyDescent="0.2">
      <c r="B1388" s="13"/>
      <c r="C1388" s="13"/>
    </row>
    <row r="1389" spans="2:3" x14ac:dyDescent="0.2">
      <c r="B1389" s="13"/>
      <c r="C1389" s="13"/>
    </row>
    <row r="1390" spans="2:3" x14ac:dyDescent="0.2">
      <c r="B1390" s="13"/>
      <c r="C1390" s="13"/>
    </row>
    <row r="1391" spans="2:3" x14ac:dyDescent="0.2">
      <c r="B1391" s="13"/>
      <c r="C1391" s="13"/>
    </row>
    <row r="1392" spans="2:3" x14ac:dyDescent="0.2">
      <c r="B1392" s="13"/>
      <c r="C1392" s="13"/>
    </row>
    <row r="1393" spans="2:3" x14ac:dyDescent="0.2">
      <c r="B1393" s="13"/>
      <c r="C1393" s="13"/>
    </row>
    <row r="1394" spans="2:3" x14ac:dyDescent="0.2">
      <c r="B1394" s="13"/>
      <c r="C1394" s="13"/>
    </row>
    <row r="1395" spans="2:3" x14ac:dyDescent="0.2">
      <c r="B1395" s="13"/>
      <c r="C1395" s="13"/>
    </row>
    <row r="1396" spans="2:3" x14ac:dyDescent="0.2">
      <c r="B1396" s="13"/>
      <c r="C1396" s="13"/>
    </row>
    <row r="1397" spans="2:3" x14ac:dyDescent="0.2">
      <c r="B1397" s="13"/>
      <c r="C1397" s="13"/>
    </row>
    <row r="1398" spans="2:3" x14ac:dyDescent="0.2">
      <c r="B1398" s="13"/>
      <c r="C1398" s="13"/>
    </row>
    <row r="1399" spans="2:3" x14ac:dyDescent="0.2">
      <c r="B1399" s="13"/>
      <c r="C1399" s="13"/>
    </row>
    <row r="1400" spans="2:3" x14ac:dyDescent="0.2">
      <c r="B1400" s="13"/>
      <c r="C1400" s="13"/>
    </row>
    <row r="1401" spans="2:3" x14ac:dyDescent="0.2">
      <c r="B1401" s="13"/>
      <c r="C1401" s="13"/>
    </row>
    <row r="1402" spans="2:3" x14ac:dyDescent="0.2">
      <c r="B1402" s="13"/>
      <c r="C1402" s="13"/>
    </row>
    <row r="1403" spans="2:3" x14ac:dyDescent="0.2">
      <c r="B1403" s="13"/>
      <c r="C1403" s="13"/>
    </row>
    <row r="1404" spans="2:3" x14ac:dyDescent="0.2">
      <c r="B1404" s="13"/>
      <c r="C1404" s="13"/>
    </row>
    <row r="1405" spans="2:3" x14ac:dyDescent="0.2">
      <c r="B1405" s="13"/>
      <c r="C1405" s="13"/>
    </row>
    <row r="1406" spans="2:3" x14ac:dyDescent="0.2">
      <c r="B1406" s="13"/>
      <c r="C1406" s="13"/>
    </row>
    <row r="1407" spans="2:3" x14ac:dyDescent="0.2">
      <c r="B1407" s="13"/>
      <c r="C1407" s="13"/>
    </row>
    <row r="1408" spans="2:3" x14ac:dyDescent="0.2">
      <c r="B1408" s="13"/>
      <c r="C1408" s="13"/>
    </row>
    <row r="1409" spans="2:3" x14ac:dyDescent="0.2">
      <c r="B1409" s="13"/>
      <c r="C1409" s="13"/>
    </row>
    <row r="1410" spans="2:3" x14ac:dyDescent="0.2">
      <c r="B1410" s="13"/>
      <c r="C1410" s="13"/>
    </row>
    <row r="1411" spans="2:3" x14ac:dyDescent="0.2">
      <c r="B1411" s="13"/>
      <c r="C1411" s="13"/>
    </row>
    <row r="1412" spans="2:3" x14ac:dyDescent="0.2">
      <c r="B1412" s="13"/>
      <c r="C1412" s="13"/>
    </row>
    <row r="1413" spans="2:3" x14ac:dyDescent="0.2">
      <c r="B1413" s="13"/>
      <c r="C1413" s="13"/>
    </row>
    <row r="1414" spans="2:3" x14ac:dyDescent="0.2">
      <c r="B1414" s="13"/>
      <c r="C1414" s="13"/>
    </row>
    <row r="1415" spans="2:3" x14ac:dyDescent="0.2">
      <c r="B1415" s="13"/>
      <c r="C1415" s="13"/>
    </row>
    <row r="1416" spans="2:3" x14ac:dyDescent="0.2">
      <c r="B1416" s="13"/>
      <c r="C1416" s="13"/>
    </row>
    <row r="1417" spans="2:3" x14ac:dyDescent="0.2">
      <c r="B1417" s="13"/>
      <c r="C1417" s="13"/>
    </row>
    <row r="1418" spans="2:3" x14ac:dyDescent="0.2">
      <c r="B1418" s="13"/>
      <c r="C1418" s="13"/>
    </row>
    <row r="1419" spans="2:3" x14ac:dyDescent="0.2">
      <c r="B1419" s="13"/>
      <c r="C1419" s="13"/>
    </row>
    <row r="1420" spans="2:3" x14ac:dyDescent="0.2">
      <c r="B1420" s="13"/>
      <c r="C1420" s="13"/>
    </row>
    <row r="1421" spans="2:3" x14ac:dyDescent="0.2">
      <c r="B1421" s="13"/>
      <c r="C1421" s="13"/>
    </row>
    <row r="1422" spans="2:3" x14ac:dyDescent="0.2">
      <c r="B1422" s="13"/>
      <c r="C1422" s="13"/>
    </row>
    <row r="1423" spans="2:3" x14ac:dyDescent="0.2">
      <c r="B1423" s="13"/>
      <c r="C1423" s="13"/>
    </row>
    <row r="1424" spans="2:3" x14ac:dyDescent="0.2">
      <c r="B1424" s="13"/>
      <c r="C1424" s="13"/>
    </row>
    <row r="1425" spans="2:3" x14ac:dyDescent="0.2">
      <c r="B1425" s="13"/>
      <c r="C1425" s="13"/>
    </row>
    <row r="1426" spans="2:3" x14ac:dyDescent="0.2">
      <c r="B1426" s="13"/>
      <c r="C1426" s="13"/>
    </row>
    <row r="1427" spans="2:3" x14ac:dyDescent="0.2">
      <c r="B1427" s="13"/>
      <c r="C1427" s="13"/>
    </row>
    <row r="1428" spans="2:3" x14ac:dyDescent="0.2">
      <c r="B1428" s="13"/>
      <c r="C1428" s="13"/>
    </row>
    <row r="1429" spans="2:3" x14ac:dyDescent="0.2">
      <c r="B1429" s="13"/>
      <c r="C1429" s="13"/>
    </row>
    <row r="1430" spans="2:3" x14ac:dyDescent="0.2">
      <c r="B1430" s="13"/>
      <c r="C1430" s="13"/>
    </row>
    <row r="1431" spans="2:3" x14ac:dyDescent="0.2">
      <c r="B1431" s="13"/>
      <c r="C1431" s="13"/>
    </row>
    <row r="1432" spans="2:3" x14ac:dyDescent="0.2">
      <c r="B1432" s="13"/>
      <c r="C1432" s="13"/>
    </row>
    <row r="1433" spans="2:3" x14ac:dyDescent="0.2">
      <c r="B1433" s="13"/>
      <c r="C1433" s="13"/>
    </row>
    <row r="1434" spans="2:3" x14ac:dyDescent="0.2">
      <c r="B1434" s="13"/>
      <c r="C1434" s="13"/>
    </row>
    <row r="1435" spans="2:3" x14ac:dyDescent="0.2">
      <c r="B1435" s="13"/>
      <c r="C1435" s="13"/>
    </row>
    <row r="1436" spans="2:3" x14ac:dyDescent="0.2">
      <c r="B1436" s="13"/>
      <c r="C1436" s="13"/>
    </row>
    <row r="1437" spans="2:3" x14ac:dyDescent="0.2">
      <c r="B1437" s="13"/>
      <c r="C1437" s="13"/>
    </row>
    <row r="1438" spans="2:3" x14ac:dyDescent="0.2">
      <c r="B1438" s="13"/>
      <c r="C1438" s="13"/>
    </row>
    <row r="1439" spans="2:3" x14ac:dyDescent="0.2">
      <c r="B1439" s="13"/>
      <c r="C1439" s="13"/>
    </row>
    <row r="1440" spans="2:3" x14ac:dyDescent="0.2">
      <c r="B1440" s="13"/>
      <c r="C1440" s="13"/>
    </row>
    <row r="1441" spans="2:3" x14ac:dyDescent="0.2">
      <c r="B1441" s="13"/>
      <c r="C1441" s="13"/>
    </row>
    <row r="1442" spans="2:3" x14ac:dyDescent="0.2">
      <c r="B1442" s="13"/>
      <c r="C1442" s="13"/>
    </row>
    <row r="1443" spans="2:3" x14ac:dyDescent="0.2">
      <c r="B1443" s="13"/>
      <c r="C1443" s="13"/>
    </row>
    <row r="1444" spans="2:3" x14ac:dyDescent="0.2">
      <c r="B1444" s="13"/>
      <c r="C1444" s="13"/>
    </row>
    <row r="1445" spans="2:3" x14ac:dyDescent="0.2">
      <c r="B1445" s="13"/>
      <c r="C1445" s="13"/>
    </row>
    <row r="1446" spans="2:3" x14ac:dyDescent="0.2">
      <c r="B1446" s="13"/>
      <c r="C1446" s="13"/>
    </row>
    <row r="1447" spans="2:3" x14ac:dyDescent="0.2">
      <c r="B1447" s="13"/>
      <c r="C1447" s="13"/>
    </row>
    <row r="1448" spans="2:3" x14ac:dyDescent="0.2">
      <c r="B1448" s="13"/>
      <c r="C1448" s="13"/>
    </row>
    <row r="1449" spans="2:3" x14ac:dyDescent="0.2">
      <c r="B1449" s="13"/>
      <c r="C1449" s="13"/>
    </row>
    <row r="1450" spans="2:3" x14ac:dyDescent="0.2">
      <c r="B1450" s="13"/>
      <c r="C1450" s="13"/>
    </row>
    <row r="1451" spans="2:3" x14ac:dyDescent="0.2">
      <c r="B1451" s="13"/>
      <c r="C1451" s="13"/>
    </row>
  </sheetData>
  <sheetProtection algorithmName="SHA-512" hashValue="pW3IJOW2Eo8RKlc1SePbu5b2P6dWs4cjOdsFntF/8tB8DzdcaiN2wGFYSzykfwq39+kY3WiLqSGuMWthTa5jQQ==" saltValue="DffO8tNQIyAvaTGDXjRODQ==" spinCount="100000" sheet="1" objects="1" scenarios="1" formatCells="0" formatColumns="0" formatRows="0" insertHyperlinks="0"/>
  <autoFilter ref="A9:CF329"/>
  <customSheetViews>
    <customSheetView guid="{C32C0FCD-AE7D-41A3-975E-D7367DDEA994}" showPageBreaks="1" printArea="1" topLeftCell="A46">
      <selection activeCell="K63" sqref="K63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1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  <customSheetView guid="{8E07C9B9-277B-448A-92DB-DFFDE2869977}" showPageBreaks="1">
      <selection activeCell="A2" sqref="A2"/>
      <pageMargins left="0.19685039370078741" right="0.19685039370078741" top="0.70866141732283472" bottom="0.35433070866141736" header="0.15748031496062992" footer="0.15748031496062992"/>
      <printOptions horizontalCentered="1"/>
      <pageSetup paperSize="9" scale="65" orientation="landscape" r:id="rId2"/>
      <headerFooter alignWithMargins="0">
        <oddHeader>&amp;R&amp;"Times New Roman,Regular"&amp;8 2.pielikums
apstiprināts ar Jūrmalas pilsētas domes
2011.gada saistošajiem
noteikumiem Nr. _____</oddHeader>
        <oddFooter>&amp;L&amp;D  /  &amp;T&amp;R&amp;P  no  &amp;N</oddFooter>
      </headerFooter>
    </customSheetView>
  </customSheetViews>
  <mergeCells count="75">
    <mergeCell ref="B322:C322"/>
    <mergeCell ref="B324:C324"/>
    <mergeCell ref="B271:C271"/>
    <mergeCell ref="C6:C8"/>
    <mergeCell ref="B314:C314"/>
    <mergeCell ref="B315:C315"/>
    <mergeCell ref="B310:C310"/>
    <mergeCell ref="B298:C298"/>
    <mergeCell ref="B281:C281"/>
    <mergeCell ref="B282:C282"/>
    <mergeCell ref="B285:C285"/>
    <mergeCell ref="B290:C290"/>
    <mergeCell ref="B287:C287"/>
    <mergeCell ref="B288:C288"/>
    <mergeCell ref="B321:C321"/>
    <mergeCell ref="B302:C302"/>
    <mergeCell ref="B318:C318"/>
    <mergeCell ref="A4:CF4"/>
    <mergeCell ref="B272:C272"/>
    <mergeCell ref="B277:C277"/>
    <mergeCell ref="B278:C278"/>
    <mergeCell ref="B279:C279"/>
    <mergeCell ref="A6:A8"/>
    <mergeCell ref="AG7:AG8"/>
    <mergeCell ref="F7:F8"/>
    <mergeCell ref="CF6:CF8"/>
    <mergeCell ref="CE6:CE8"/>
    <mergeCell ref="BH7:BH8"/>
    <mergeCell ref="BP7:BP8"/>
    <mergeCell ref="H7:H8"/>
    <mergeCell ref="G7:G8"/>
    <mergeCell ref="D6:BQ6"/>
    <mergeCell ref="B269:C269"/>
    <mergeCell ref="I7:AF7"/>
    <mergeCell ref="AH7:AH8"/>
    <mergeCell ref="B313:C313"/>
    <mergeCell ref="B304:C304"/>
    <mergeCell ref="B305:C305"/>
    <mergeCell ref="B306:C306"/>
    <mergeCell ref="B307:C307"/>
    <mergeCell ref="B276:C276"/>
    <mergeCell ref="B283:C283"/>
    <mergeCell ref="B284:C284"/>
    <mergeCell ref="BR7:BR8"/>
    <mergeCell ref="BK7:BO7"/>
    <mergeCell ref="B317:C317"/>
    <mergeCell ref="B292:C292"/>
    <mergeCell ref="AI7:AI8"/>
    <mergeCell ref="AJ7:AS7"/>
    <mergeCell ref="B309:C309"/>
    <mergeCell ref="B311:C311"/>
    <mergeCell ref="B297:C297"/>
    <mergeCell ref="B291:C291"/>
    <mergeCell ref="B293:C293"/>
    <mergeCell ref="B294:C294"/>
    <mergeCell ref="B295:C295"/>
    <mergeCell ref="B280:C280"/>
    <mergeCell ref="B286:C286"/>
    <mergeCell ref="E7:E8"/>
    <mergeCell ref="BS7:CD7"/>
    <mergeCell ref="B299:C299"/>
    <mergeCell ref="AU7:AU8"/>
    <mergeCell ref="AV7:AV8"/>
    <mergeCell ref="AW7:BG7"/>
    <mergeCell ref="BI7:BI8"/>
    <mergeCell ref="BJ7:BJ8"/>
    <mergeCell ref="B273:C273"/>
    <mergeCell ref="B289:C289"/>
    <mergeCell ref="B296:C296"/>
    <mergeCell ref="AT7:AT8"/>
    <mergeCell ref="D7:D8"/>
    <mergeCell ref="B6:B8"/>
    <mergeCell ref="B274:C274"/>
    <mergeCell ref="B275:C275"/>
    <mergeCell ref="BQ7:BQ8"/>
  </mergeCells>
  <phoneticPr fontId="1" type="noConversion"/>
  <printOptions horizontalCentered="1"/>
  <pageMargins left="0.59055118110236227" right="0.31496062992125984" top="0.59055118110236227" bottom="0.35433070866141736" header="0.11811023622047245" footer="0.15748031496062992"/>
  <pageSetup paperSize="9" scale="65" orientation="portrait" r:id="rId3"/>
  <headerFooter differentFirst="1">
    <oddHeader xml:space="preserve">&amp;R&amp;"Times New Roman,Regular"&amp;8 &amp;10 &amp;8 </oddHeader>
    <oddFooter>&amp;L&amp;"Times New Roman,Regular"&amp;8&amp;D; &amp;T&amp;R&amp;"Times New Roman,Regular"&amp;8&amp;P (&amp;N)</oddFooter>
    <firstHeader xml:space="preserve">&amp;R &amp;"Times New Roman,Regular"&amp;9 2.pielikums Jūrmalas pilsētas domes
2019.gada 19.decembra saistošajiem noteikumiem Nr.56
(protokols Nr.16, 31.punkts) </firstHead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35"/>
  </sheetPr>
  <dimension ref="A1:AM168"/>
  <sheetViews>
    <sheetView tabSelected="1" view="pageLayout" zoomScaleNormal="100" workbookViewId="0">
      <selection activeCell="AP1" sqref="AP1"/>
    </sheetView>
  </sheetViews>
  <sheetFormatPr defaultColWidth="9.140625" defaultRowHeight="12" outlineLevelRow="1" outlineLevelCol="1" x14ac:dyDescent="0.2"/>
  <cols>
    <col min="1" max="1" width="1.42578125" style="70" customWidth="1"/>
    <col min="2" max="2" width="3" style="70" customWidth="1"/>
    <col min="3" max="3" width="7.7109375" style="70" customWidth="1"/>
    <col min="4" max="4" width="38.42578125" style="70" customWidth="1"/>
    <col min="5" max="5" width="9.85546875" style="70" hidden="1" customWidth="1" outlineLevel="1"/>
    <col min="6" max="6" width="9.7109375" style="70" customWidth="1" collapsed="1"/>
    <col min="7" max="7" width="9.140625" style="70" hidden="1" customWidth="1" outlineLevel="1"/>
    <col min="8" max="8" width="7.5703125" style="70" hidden="1" customWidth="1" outlineLevel="1"/>
    <col min="9" max="9" width="9" style="70" hidden="1" customWidth="1" outlineLevel="1"/>
    <col min="10" max="10" width="8" style="70" hidden="1" customWidth="1" outlineLevel="1"/>
    <col min="11" max="11" width="7.85546875" style="70" hidden="1" customWidth="1" outlineLevel="1"/>
    <col min="12" max="12" width="7.5703125" style="70" hidden="1" customWidth="1" outlineLevel="1"/>
    <col min="13" max="13" width="7.7109375" style="70" hidden="1" customWidth="1" outlineLevel="1"/>
    <col min="14" max="14" width="9.28515625" style="70" hidden="1" customWidth="1" outlineLevel="1"/>
    <col min="15" max="18" width="9" style="70" hidden="1" customWidth="1" outlineLevel="1"/>
    <col min="19" max="20" width="9.7109375" style="70" hidden="1" customWidth="1" outlineLevel="1"/>
    <col min="21" max="21" width="9" style="70" hidden="1" customWidth="1" outlineLevel="1"/>
    <col min="22" max="22" width="10" style="70" hidden="1" customWidth="1" outlineLevel="1"/>
    <col min="23" max="23" width="10" style="70" customWidth="1" collapsed="1"/>
    <col min="24" max="24" width="8.7109375" style="70" hidden="1" customWidth="1" outlineLevel="1"/>
    <col min="25" max="25" width="7" style="70" hidden="1" customWidth="1" outlineLevel="1"/>
    <col min="26" max="26" width="9" style="70" hidden="1" customWidth="1" outlineLevel="1"/>
    <col min="27" max="28" width="7.42578125" style="70" hidden="1" customWidth="1" outlineLevel="1"/>
    <col min="29" max="36" width="8.42578125" style="70" hidden="1" customWidth="1" outlineLevel="1"/>
    <col min="37" max="37" width="11" style="70" hidden="1" customWidth="1" outlineLevel="1"/>
    <col min="38" max="38" width="9.85546875" style="25" customWidth="1" collapsed="1"/>
    <col min="39" max="16384" width="9.140625" style="25"/>
  </cols>
  <sheetData>
    <row r="1" spans="1:38" x14ac:dyDescent="0.2">
      <c r="AL1" s="336" t="s">
        <v>741</v>
      </c>
    </row>
    <row r="2" spans="1:38" x14ac:dyDescent="0.2">
      <c r="AL2" s="336" t="s">
        <v>739</v>
      </c>
    </row>
    <row r="3" spans="1:38" x14ac:dyDescent="0.2">
      <c r="AL3" s="336" t="s">
        <v>740</v>
      </c>
    </row>
    <row r="4" spans="1:38" ht="18" customHeight="1" x14ac:dyDescent="0.35">
      <c r="A4" s="482" t="s">
        <v>575</v>
      </c>
      <c r="B4" s="482"/>
      <c r="C4" s="482"/>
      <c r="D4" s="482"/>
      <c r="E4" s="482"/>
      <c r="F4" s="482"/>
      <c r="G4" s="482"/>
      <c r="H4" s="482"/>
      <c r="I4" s="482"/>
      <c r="J4" s="482"/>
      <c r="K4" s="482"/>
      <c r="L4" s="482"/>
      <c r="M4" s="482"/>
      <c r="N4" s="482"/>
      <c r="O4" s="482"/>
      <c r="P4" s="482"/>
      <c r="Q4" s="482"/>
      <c r="R4" s="482"/>
      <c r="S4" s="482"/>
      <c r="T4" s="482"/>
      <c r="U4" s="482"/>
      <c r="V4" s="482"/>
      <c r="W4" s="482"/>
      <c r="X4" s="482"/>
      <c r="Y4" s="482"/>
      <c r="Z4" s="482"/>
      <c r="AA4" s="482"/>
      <c r="AB4" s="482"/>
      <c r="AC4" s="482"/>
      <c r="AD4" s="482"/>
      <c r="AE4" s="482"/>
      <c r="AF4" s="482"/>
      <c r="AG4" s="482"/>
      <c r="AH4" s="482"/>
      <c r="AI4" s="482"/>
      <c r="AJ4" s="482"/>
      <c r="AK4" s="482"/>
      <c r="AL4" s="482"/>
    </row>
    <row r="5" spans="1:38" ht="12.75" thickBot="1" x14ac:dyDescent="0.2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</row>
    <row r="6" spans="1:38" ht="43.5" customHeight="1" x14ac:dyDescent="0.2">
      <c r="A6" s="470" t="s">
        <v>25</v>
      </c>
      <c r="B6" s="471"/>
      <c r="C6" s="471"/>
      <c r="D6" s="112" t="s">
        <v>26</v>
      </c>
      <c r="E6" s="120" t="s">
        <v>712</v>
      </c>
      <c r="F6" s="142" t="s">
        <v>711</v>
      </c>
      <c r="G6" s="142" t="s">
        <v>713</v>
      </c>
      <c r="H6" s="142" t="s">
        <v>747</v>
      </c>
      <c r="I6" s="142" t="s">
        <v>782</v>
      </c>
      <c r="J6" s="142" t="s">
        <v>797</v>
      </c>
      <c r="K6" s="142" t="s">
        <v>808</v>
      </c>
      <c r="L6" s="142" t="s">
        <v>809</v>
      </c>
      <c r="M6" s="142" t="s">
        <v>814</v>
      </c>
      <c r="N6" s="142" t="s">
        <v>823</v>
      </c>
      <c r="O6" s="142" t="s">
        <v>833</v>
      </c>
      <c r="P6" s="142" t="s">
        <v>839</v>
      </c>
      <c r="Q6" s="142" t="s">
        <v>849</v>
      </c>
      <c r="R6" s="142" t="s">
        <v>859</v>
      </c>
      <c r="S6" s="409" t="s">
        <v>863</v>
      </c>
      <c r="T6" s="333" t="s">
        <v>731</v>
      </c>
      <c r="U6" s="142"/>
      <c r="V6" s="142" t="s">
        <v>714</v>
      </c>
      <c r="W6" s="142" t="s">
        <v>462</v>
      </c>
      <c r="X6" s="142" t="s">
        <v>715</v>
      </c>
      <c r="Y6" s="142" t="s">
        <v>747</v>
      </c>
      <c r="Z6" s="142" t="s">
        <v>782</v>
      </c>
      <c r="AA6" s="142" t="s">
        <v>797</v>
      </c>
      <c r="AB6" s="142" t="s">
        <v>808</v>
      </c>
      <c r="AC6" s="142" t="s">
        <v>814</v>
      </c>
      <c r="AD6" s="142" t="s">
        <v>823</v>
      </c>
      <c r="AE6" s="142" t="s">
        <v>833</v>
      </c>
      <c r="AF6" s="142" t="s">
        <v>839</v>
      </c>
      <c r="AG6" s="142" t="s">
        <v>849</v>
      </c>
      <c r="AH6" s="142" t="s">
        <v>859</v>
      </c>
      <c r="AI6" s="333" t="s">
        <v>731</v>
      </c>
      <c r="AJ6" s="142"/>
      <c r="AK6" s="290" t="s">
        <v>840</v>
      </c>
      <c r="AL6" s="290" t="s">
        <v>742</v>
      </c>
    </row>
    <row r="7" spans="1:38" ht="10.5" customHeight="1" thickBot="1" x14ac:dyDescent="0.25">
      <c r="A7" s="472">
        <v>1</v>
      </c>
      <c r="B7" s="473"/>
      <c r="C7" s="474"/>
      <c r="D7" s="75">
        <v>2</v>
      </c>
      <c r="E7" s="119">
        <v>7</v>
      </c>
      <c r="F7" s="119">
        <v>3</v>
      </c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>
        <v>8</v>
      </c>
      <c r="W7" s="119">
        <v>4</v>
      </c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76">
        <v>9</v>
      </c>
      <c r="AL7" s="76">
        <v>5</v>
      </c>
    </row>
    <row r="8" spans="1:38" s="113" customFormat="1" ht="14.25" customHeight="1" thickTop="1" x14ac:dyDescent="0.2">
      <c r="A8" s="475" t="s">
        <v>114</v>
      </c>
      <c r="B8" s="476"/>
      <c r="C8" s="476"/>
      <c r="D8" s="477"/>
      <c r="E8" s="26">
        <f>SUM(E94,E126,E96)</f>
        <v>109730956</v>
      </c>
      <c r="F8" s="26">
        <f>SUM(F94,F126,F96)</f>
        <v>115327890</v>
      </c>
      <c r="G8" s="26">
        <f t="shared" ref="G8:U8" si="0">SUM(G94,G126,G96)</f>
        <v>5596934</v>
      </c>
      <c r="H8" s="26">
        <f t="shared" si="0"/>
        <v>122832</v>
      </c>
      <c r="I8" s="26">
        <f t="shared" si="0"/>
        <v>6848696</v>
      </c>
      <c r="J8" s="26">
        <f t="shared" si="0"/>
        <v>562688</v>
      </c>
      <c r="K8" s="26">
        <f t="shared" si="0"/>
        <v>597993</v>
      </c>
      <c r="L8" s="26">
        <f t="shared" si="0"/>
        <v>2875</v>
      </c>
      <c r="M8" s="26">
        <f t="shared" si="0"/>
        <v>-498367</v>
      </c>
      <c r="N8" s="26">
        <f t="shared" si="0"/>
        <v>-5899360</v>
      </c>
      <c r="O8" s="26">
        <f t="shared" si="0"/>
        <v>3533959</v>
      </c>
      <c r="P8" s="26">
        <f t="shared" si="0"/>
        <v>-181293</v>
      </c>
      <c r="Q8" s="26">
        <f t="shared" ref="Q8:T8" si="1">SUM(Q94,Q126,Q96)</f>
        <v>39496</v>
      </c>
      <c r="R8" s="26">
        <f t="shared" si="1"/>
        <v>137176</v>
      </c>
      <c r="S8" s="26">
        <f t="shared" si="1"/>
        <v>330244</v>
      </c>
      <c r="T8" s="26">
        <f t="shared" si="1"/>
        <v>-5</v>
      </c>
      <c r="U8" s="26">
        <f t="shared" si="0"/>
        <v>0</v>
      </c>
      <c r="V8" s="26">
        <f>SUM(V94,V126,V96)</f>
        <v>-1047228</v>
      </c>
      <c r="W8" s="26">
        <f>SUM(W94,W126,W96)</f>
        <v>-1261390</v>
      </c>
      <c r="X8" s="26">
        <f t="shared" ref="X8:AJ8" si="2">SUM(X94,X126,X96)</f>
        <v>-214162</v>
      </c>
      <c r="Y8" s="26">
        <f t="shared" si="2"/>
        <v>-11045</v>
      </c>
      <c r="Z8" s="26">
        <f t="shared" si="2"/>
        <v>-206523</v>
      </c>
      <c r="AA8" s="26">
        <f t="shared" si="2"/>
        <v>-18678</v>
      </c>
      <c r="AB8" s="26">
        <f t="shared" si="2"/>
        <v>45158</v>
      </c>
      <c r="AC8" s="26">
        <f t="shared" si="2"/>
        <v>-7681</v>
      </c>
      <c r="AD8" s="26">
        <f t="shared" si="2"/>
        <v>20825</v>
      </c>
      <c r="AE8" s="26">
        <f t="shared" si="2"/>
        <v>-1738</v>
      </c>
      <c r="AF8" s="26">
        <f t="shared" si="2"/>
        <v>-336</v>
      </c>
      <c r="AG8" s="26">
        <f t="shared" si="2"/>
        <v>-32196</v>
      </c>
      <c r="AH8" s="26">
        <f t="shared" ref="AH8:AI8" si="3">SUM(AH94,AH126,AH96)</f>
        <v>-1945</v>
      </c>
      <c r="AI8" s="26">
        <f t="shared" si="3"/>
        <v>-3</v>
      </c>
      <c r="AJ8" s="26">
        <f t="shared" si="2"/>
        <v>0</v>
      </c>
      <c r="AK8" s="26">
        <f>SUM(AK94,AK126,AK96)</f>
        <v>108920152</v>
      </c>
      <c r="AL8" s="26">
        <f t="shared" ref="AL8" si="4">SUM(AL94,AL126,AL96)</f>
        <v>114066500</v>
      </c>
    </row>
    <row r="9" spans="1:38" s="113" customFormat="1" ht="16.5" customHeight="1" x14ac:dyDescent="0.2">
      <c r="A9" s="27"/>
      <c r="B9" s="28"/>
      <c r="C9" s="29"/>
      <c r="D9" s="3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</row>
    <row r="10" spans="1:38" s="114" customFormat="1" x14ac:dyDescent="0.2">
      <c r="A10" s="458" t="s">
        <v>27</v>
      </c>
      <c r="B10" s="459"/>
      <c r="C10" s="459"/>
      <c r="D10" s="32" t="s">
        <v>28</v>
      </c>
      <c r="E10" s="33">
        <f t="shared" ref="E10:AK11" si="5">E11</f>
        <v>50828804</v>
      </c>
      <c r="F10" s="33">
        <f t="shared" si="5"/>
        <v>51716764</v>
      </c>
      <c r="G10" s="33">
        <f t="shared" si="5"/>
        <v>887960</v>
      </c>
      <c r="H10" s="33">
        <f t="shared" si="5"/>
        <v>0</v>
      </c>
      <c r="I10" s="33">
        <f t="shared" si="5"/>
        <v>228732</v>
      </c>
      <c r="J10" s="33">
        <f t="shared" si="5"/>
        <v>0</v>
      </c>
      <c r="K10" s="33">
        <f t="shared" si="5"/>
        <v>659228</v>
      </c>
      <c r="L10" s="33">
        <f t="shared" si="5"/>
        <v>0</v>
      </c>
      <c r="M10" s="33">
        <f t="shared" si="5"/>
        <v>0</v>
      </c>
      <c r="N10" s="33">
        <f t="shared" si="5"/>
        <v>0</v>
      </c>
      <c r="O10" s="33">
        <f t="shared" si="5"/>
        <v>0</v>
      </c>
      <c r="P10" s="33">
        <f t="shared" si="5"/>
        <v>0</v>
      </c>
      <c r="Q10" s="33">
        <f t="shared" si="5"/>
        <v>0</v>
      </c>
      <c r="R10" s="33">
        <f t="shared" si="5"/>
        <v>0</v>
      </c>
      <c r="S10" s="33">
        <f t="shared" si="5"/>
        <v>0</v>
      </c>
      <c r="T10" s="33">
        <f t="shared" si="5"/>
        <v>0</v>
      </c>
      <c r="U10" s="33">
        <f t="shared" si="5"/>
        <v>0</v>
      </c>
      <c r="V10" s="33">
        <f t="shared" si="5"/>
        <v>0</v>
      </c>
      <c r="W10" s="33">
        <f>W11</f>
        <v>0</v>
      </c>
      <c r="X10" s="33">
        <f t="shared" ref="W10:AL11" si="6">X11</f>
        <v>0</v>
      </c>
      <c r="Y10" s="33">
        <f t="shared" si="6"/>
        <v>0</v>
      </c>
      <c r="Z10" s="33">
        <f t="shared" si="6"/>
        <v>0</v>
      </c>
      <c r="AA10" s="33">
        <f t="shared" si="6"/>
        <v>0</v>
      </c>
      <c r="AB10" s="33">
        <f t="shared" si="6"/>
        <v>0</v>
      </c>
      <c r="AC10" s="33">
        <f t="shared" si="6"/>
        <v>0</v>
      </c>
      <c r="AD10" s="33">
        <f t="shared" si="6"/>
        <v>0</v>
      </c>
      <c r="AE10" s="33">
        <f t="shared" si="6"/>
        <v>0</v>
      </c>
      <c r="AF10" s="33">
        <f t="shared" si="6"/>
        <v>0</v>
      </c>
      <c r="AG10" s="33">
        <f t="shared" si="6"/>
        <v>0</v>
      </c>
      <c r="AH10" s="33">
        <f t="shared" si="6"/>
        <v>0</v>
      </c>
      <c r="AI10" s="33">
        <f t="shared" si="6"/>
        <v>0</v>
      </c>
      <c r="AJ10" s="33">
        <f t="shared" si="6"/>
        <v>0</v>
      </c>
      <c r="AK10" s="33">
        <f t="shared" si="5"/>
        <v>50828804</v>
      </c>
      <c r="AL10" s="33">
        <f t="shared" si="6"/>
        <v>51716764</v>
      </c>
    </row>
    <row r="11" spans="1:38" s="113" customFormat="1" x14ac:dyDescent="0.2">
      <c r="A11" s="34"/>
      <c r="B11" s="453" t="s">
        <v>29</v>
      </c>
      <c r="C11" s="453"/>
      <c r="D11" s="35" t="s">
        <v>30</v>
      </c>
      <c r="E11" s="180">
        <f t="shared" si="5"/>
        <v>50828804</v>
      </c>
      <c r="F11" s="180">
        <f t="shared" si="5"/>
        <v>51716764</v>
      </c>
      <c r="G11" s="180">
        <f t="shared" si="5"/>
        <v>887960</v>
      </c>
      <c r="H11" s="180">
        <f t="shared" si="5"/>
        <v>0</v>
      </c>
      <c r="I11" s="180">
        <f t="shared" si="5"/>
        <v>228732</v>
      </c>
      <c r="J11" s="180">
        <f t="shared" si="5"/>
        <v>0</v>
      </c>
      <c r="K11" s="180">
        <f t="shared" si="5"/>
        <v>659228</v>
      </c>
      <c r="L11" s="180">
        <f t="shared" si="5"/>
        <v>0</v>
      </c>
      <c r="M11" s="180">
        <f t="shared" si="5"/>
        <v>0</v>
      </c>
      <c r="N11" s="180">
        <f t="shared" si="5"/>
        <v>0</v>
      </c>
      <c r="O11" s="180">
        <f t="shared" si="5"/>
        <v>0</v>
      </c>
      <c r="P11" s="180">
        <f t="shared" si="5"/>
        <v>0</v>
      </c>
      <c r="Q11" s="180">
        <f t="shared" si="5"/>
        <v>0</v>
      </c>
      <c r="R11" s="180">
        <f t="shared" si="5"/>
        <v>0</v>
      </c>
      <c r="S11" s="180">
        <f t="shared" si="5"/>
        <v>0</v>
      </c>
      <c r="T11" s="180">
        <f t="shared" si="5"/>
        <v>0</v>
      </c>
      <c r="U11" s="180">
        <f t="shared" si="5"/>
        <v>0</v>
      </c>
      <c r="V11" s="180">
        <f t="shared" si="5"/>
        <v>0</v>
      </c>
      <c r="W11" s="180">
        <f t="shared" si="6"/>
        <v>0</v>
      </c>
      <c r="X11" s="180">
        <f t="shared" si="6"/>
        <v>0</v>
      </c>
      <c r="Y11" s="180">
        <f t="shared" si="6"/>
        <v>0</v>
      </c>
      <c r="Z11" s="180">
        <f t="shared" si="6"/>
        <v>0</v>
      </c>
      <c r="AA11" s="180">
        <f t="shared" si="6"/>
        <v>0</v>
      </c>
      <c r="AB11" s="180">
        <f t="shared" si="6"/>
        <v>0</v>
      </c>
      <c r="AC11" s="180">
        <f t="shared" si="6"/>
        <v>0</v>
      </c>
      <c r="AD11" s="180">
        <f t="shared" si="6"/>
        <v>0</v>
      </c>
      <c r="AE11" s="180">
        <f t="shared" si="6"/>
        <v>0</v>
      </c>
      <c r="AF11" s="180">
        <f t="shared" si="6"/>
        <v>0</v>
      </c>
      <c r="AG11" s="180">
        <f t="shared" si="6"/>
        <v>0</v>
      </c>
      <c r="AH11" s="180">
        <f t="shared" si="6"/>
        <v>0</v>
      </c>
      <c r="AI11" s="180">
        <f t="shared" si="6"/>
        <v>0</v>
      </c>
      <c r="AJ11" s="180">
        <f t="shared" si="6"/>
        <v>0</v>
      </c>
      <c r="AK11" s="180">
        <f t="shared" si="5"/>
        <v>50828804</v>
      </c>
      <c r="AL11" s="180">
        <f t="shared" si="6"/>
        <v>51716764</v>
      </c>
    </row>
    <row r="12" spans="1:38" x14ac:dyDescent="0.2">
      <c r="A12" s="36"/>
      <c r="B12" s="462" t="s">
        <v>31</v>
      </c>
      <c r="C12" s="462"/>
      <c r="D12" s="37" t="s">
        <v>32</v>
      </c>
      <c r="E12" s="181">
        <f>SUM(E13:E14)</f>
        <v>50828804</v>
      </c>
      <c r="F12" s="181">
        <f>SUM(F13:F14)</f>
        <v>51716764</v>
      </c>
      <c r="G12" s="181">
        <f t="shared" ref="G12:AL12" si="7">SUM(G13:G14)</f>
        <v>887960</v>
      </c>
      <c r="H12" s="181">
        <f t="shared" si="7"/>
        <v>0</v>
      </c>
      <c r="I12" s="181">
        <f t="shared" si="7"/>
        <v>228732</v>
      </c>
      <c r="J12" s="181">
        <f t="shared" si="7"/>
        <v>0</v>
      </c>
      <c r="K12" s="181">
        <f t="shared" si="7"/>
        <v>659228</v>
      </c>
      <c r="L12" s="181">
        <f t="shared" si="7"/>
        <v>0</v>
      </c>
      <c r="M12" s="181">
        <f t="shared" si="7"/>
        <v>0</v>
      </c>
      <c r="N12" s="181">
        <f t="shared" si="7"/>
        <v>0</v>
      </c>
      <c r="O12" s="181">
        <f t="shared" si="7"/>
        <v>0</v>
      </c>
      <c r="P12" s="181">
        <f t="shared" si="7"/>
        <v>0</v>
      </c>
      <c r="Q12" s="181">
        <f t="shared" ref="Q12:T12" si="8">SUM(Q13:Q14)</f>
        <v>0</v>
      </c>
      <c r="R12" s="181">
        <f t="shared" si="8"/>
        <v>0</v>
      </c>
      <c r="S12" s="181">
        <f t="shared" si="8"/>
        <v>0</v>
      </c>
      <c r="T12" s="181">
        <f t="shared" si="8"/>
        <v>0</v>
      </c>
      <c r="U12" s="181">
        <f t="shared" si="7"/>
        <v>0</v>
      </c>
      <c r="V12" s="181">
        <f t="shared" si="7"/>
        <v>0</v>
      </c>
      <c r="W12" s="181">
        <f t="shared" si="7"/>
        <v>0</v>
      </c>
      <c r="X12" s="181">
        <f t="shared" si="7"/>
        <v>0</v>
      </c>
      <c r="Y12" s="181">
        <f t="shared" si="7"/>
        <v>0</v>
      </c>
      <c r="Z12" s="181">
        <f t="shared" si="7"/>
        <v>0</v>
      </c>
      <c r="AA12" s="181">
        <f t="shared" si="7"/>
        <v>0</v>
      </c>
      <c r="AB12" s="181">
        <f t="shared" si="7"/>
        <v>0</v>
      </c>
      <c r="AC12" s="181">
        <f t="shared" si="7"/>
        <v>0</v>
      </c>
      <c r="AD12" s="181">
        <f t="shared" si="7"/>
        <v>0</v>
      </c>
      <c r="AE12" s="181">
        <f t="shared" si="7"/>
        <v>0</v>
      </c>
      <c r="AF12" s="181">
        <f t="shared" si="7"/>
        <v>0</v>
      </c>
      <c r="AG12" s="181">
        <f t="shared" si="7"/>
        <v>0</v>
      </c>
      <c r="AH12" s="181">
        <f t="shared" ref="AH12:AI12" si="9">SUM(AH13:AH14)</f>
        <v>0</v>
      </c>
      <c r="AI12" s="181">
        <f t="shared" si="9"/>
        <v>0</v>
      </c>
      <c r="AJ12" s="181">
        <f t="shared" si="7"/>
        <v>0</v>
      </c>
      <c r="AK12" s="181">
        <f t="shared" si="7"/>
        <v>50828804</v>
      </c>
      <c r="AL12" s="181">
        <f t="shared" si="7"/>
        <v>51716764</v>
      </c>
    </row>
    <row r="13" spans="1:38" ht="36" x14ac:dyDescent="0.2">
      <c r="A13" s="38"/>
      <c r="B13" s="478" t="s">
        <v>33</v>
      </c>
      <c r="C13" s="478"/>
      <c r="D13" s="272" t="s">
        <v>138</v>
      </c>
      <c r="E13" s="182">
        <v>50828804</v>
      </c>
      <c r="F13" s="182">
        <f>E13+G13</f>
        <v>228732</v>
      </c>
      <c r="G13" s="182">
        <f>SUBTOTAL(9,H13:U13)</f>
        <v>-50600072</v>
      </c>
      <c r="H13" s="182"/>
      <c r="I13" s="182">
        <f>-50828804+228732</f>
        <v>-50600072</v>
      </c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>
        <f>V13+X13</f>
        <v>0</v>
      </c>
      <c r="X13" s="182">
        <f>SUBTOTAL(9,Y13:AJ13)</f>
        <v>0</v>
      </c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>
        <f>E13+V13</f>
        <v>50828804</v>
      </c>
      <c r="AL13" s="182">
        <f>W13+F13</f>
        <v>228732</v>
      </c>
    </row>
    <row r="14" spans="1:38" ht="24" x14ac:dyDescent="0.2">
      <c r="A14" s="46"/>
      <c r="B14" s="479" t="s">
        <v>754</v>
      </c>
      <c r="C14" s="479"/>
      <c r="D14" s="40" t="s">
        <v>755</v>
      </c>
      <c r="E14" s="184"/>
      <c r="F14" s="184">
        <f>E14+G14</f>
        <v>51488032</v>
      </c>
      <c r="G14" s="184">
        <f>SUBTOTAL(9,H14:U14)</f>
        <v>51488032</v>
      </c>
      <c r="H14" s="184"/>
      <c r="I14" s="184">
        <f>50828804</f>
        <v>50828804</v>
      </c>
      <c r="J14" s="184"/>
      <c r="K14" s="184">
        <v>659228</v>
      </c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>
        <f>V14+X14</f>
        <v>0</v>
      </c>
      <c r="X14" s="184">
        <f>SUBTOTAL(9,Y14:AJ14)</f>
        <v>0</v>
      </c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>
        <f>E14+V14</f>
        <v>0</v>
      </c>
      <c r="AL14" s="184">
        <f>W14+F14</f>
        <v>51488032</v>
      </c>
    </row>
    <row r="15" spans="1:38" s="114" customFormat="1" x14ac:dyDescent="0.2">
      <c r="A15" s="458" t="s">
        <v>34</v>
      </c>
      <c r="B15" s="459"/>
      <c r="C15" s="459"/>
      <c r="D15" s="32" t="s">
        <v>35</v>
      </c>
      <c r="E15" s="41">
        <f t="shared" ref="E15:V15" si="10">SUM(E16)</f>
        <v>8782613</v>
      </c>
      <c r="F15" s="41">
        <f t="shared" si="10"/>
        <v>9129613</v>
      </c>
      <c r="G15" s="41">
        <f t="shared" si="10"/>
        <v>347000</v>
      </c>
      <c r="H15" s="41">
        <f t="shared" si="10"/>
        <v>0</v>
      </c>
      <c r="I15" s="41">
        <f t="shared" si="10"/>
        <v>0</v>
      </c>
      <c r="J15" s="41">
        <f t="shared" si="10"/>
        <v>0</v>
      </c>
      <c r="K15" s="41">
        <f t="shared" si="10"/>
        <v>0</v>
      </c>
      <c r="L15" s="41">
        <f t="shared" si="10"/>
        <v>0</v>
      </c>
      <c r="M15" s="41">
        <f t="shared" si="10"/>
        <v>0</v>
      </c>
      <c r="N15" s="41">
        <f t="shared" si="10"/>
        <v>347000</v>
      </c>
      <c r="O15" s="41">
        <f t="shared" si="10"/>
        <v>0</v>
      </c>
      <c r="P15" s="41">
        <f t="shared" si="10"/>
        <v>0</v>
      </c>
      <c r="Q15" s="41">
        <f t="shared" si="10"/>
        <v>0</v>
      </c>
      <c r="R15" s="41">
        <f t="shared" si="10"/>
        <v>0</v>
      </c>
      <c r="S15" s="41">
        <f t="shared" si="10"/>
        <v>0</v>
      </c>
      <c r="T15" s="41">
        <f t="shared" si="10"/>
        <v>0</v>
      </c>
      <c r="U15" s="41">
        <f t="shared" si="10"/>
        <v>0</v>
      </c>
      <c r="V15" s="41">
        <f t="shared" si="10"/>
        <v>0</v>
      </c>
      <c r="W15" s="41">
        <f t="shared" ref="W15:AL15" si="11">SUM(W16)</f>
        <v>0</v>
      </c>
      <c r="X15" s="41">
        <f t="shared" si="11"/>
        <v>0</v>
      </c>
      <c r="Y15" s="41">
        <f t="shared" si="11"/>
        <v>0</v>
      </c>
      <c r="Z15" s="41">
        <f t="shared" si="11"/>
        <v>0</v>
      </c>
      <c r="AA15" s="41">
        <f t="shared" si="11"/>
        <v>0</v>
      </c>
      <c r="AB15" s="41">
        <f t="shared" si="11"/>
        <v>0</v>
      </c>
      <c r="AC15" s="41">
        <f t="shared" si="11"/>
        <v>0</v>
      </c>
      <c r="AD15" s="41">
        <f t="shared" si="11"/>
        <v>0</v>
      </c>
      <c r="AE15" s="41">
        <f t="shared" si="11"/>
        <v>0</v>
      </c>
      <c r="AF15" s="41">
        <f t="shared" si="11"/>
        <v>0</v>
      </c>
      <c r="AG15" s="41">
        <f t="shared" si="11"/>
        <v>0</v>
      </c>
      <c r="AH15" s="41">
        <f t="shared" si="11"/>
        <v>0</v>
      </c>
      <c r="AI15" s="41">
        <f t="shared" si="11"/>
        <v>0</v>
      </c>
      <c r="AJ15" s="41">
        <f t="shared" si="11"/>
        <v>0</v>
      </c>
      <c r="AK15" s="41">
        <f t="shared" si="11"/>
        <v>8782613</v>
      </c>
      <c r="AL15" s="41">
        <f t="shared" si="11"/>
        <v>9129613</v>
      </c>
    </row>
    <row r="16" spans="1:38" s="113" customFormat="1" x14ac:dyDescent="0.2">
      <c r="A16" s="34"/>
      <c r="B16" s="453" t="s">
        <v>36</v>
      </c>
      <c r="C16" s="453"/>
      <c r="D16" s="35" t="s">
        <v>37</v>
      </c>
      <c r="E16" s="185">
        <f t="shared" ref="E16:V16" si="12">SUM(E17,E20,E23)</f>
        <v>8782613</v>
      </c>
      <c r="F16" s="185">
        <f t="shared" ref="F16:U16" si="13">SUM(F17,F20,F23)</f>
        <v>9129613</v>
      </c>
      <c r="G16" s="185">
        <f t="shared" si="13"/>
        <v>347000</v>
      </c>
      <c r="H16" s="185">
        <f t="shared" si="13"/>
        <v>0</v>
      </c>
      <c r="I16" s="185">
        <f t="shared" si="13"/>
        <v>0</v>
      </c>
      <c r="J16" s="185">
        <f t="shared" si="13"/>
        <v>0</v>
      </c>
      <c r="K16" s="185">
        <f t="shared" si="13"/>
        <v>0</v>
      </c>
      <c r="L16" s="185">
        <f t="shared" si="13"/>
        <v>0</v>
      </c>
      <c r="M16" s="185">
        <f t="shared" si="13"/>
        <v>0</v>
      </c>
      <c r="N16" s="185">
        <f t="shared" si="13"/>
        <v>347000</v>
      </c>
      <c r="O16" s="185">
        <f t="shared" si="13"/>
        <v>0</v>
      </c>
      <c r="P16" s="185">
        <f t="shared" si="13"/>
        <v>0</v>
      </c>
      <c r="Q16" s="185">
        <f t="shared" ref="Q16:T16" si="14">SUM(Q17,Q20,Q23)</f>
        <v>0</v>
      </c>
      <c r="R16" s="185">
        <f t="shared" si="14"/>
        <v>0</v>
      </c>
      <c r="S16" s="185">
        <f t="shared" si="14"/>
        <v>0</v>
      </c>
      <c r="T16" s="185">
        <f t="shared" si="14"/>
        <v>0</v>
      </c>
      <c r="U16" s="185">
        <f t="shared" si="13"/>
        <v>0</v>
      </c>
      <c r="V16" s="185">
        <f t="shared" si="12"/>
        <v>0</v>
      </c>
      <c r="W16" s="185">
        <f t="shared" ref="W16:AJ16" si="15">SUM(W17,W20,W23)</f>
        <v>0</v>
      </c>
      <c r="X16" s="185">
        <f t="shared" si="15"/>
        <v>0</v>
      </c>
      <c r="Y16" s="185">
        <f t="shared" si="15"/>
        <v>0</v>
      </c>
      <c r="Z16" s="185">
        <f t="shared" si="15"/>
        <v>0</v>
      </c>
      <c r="AA16" s="185">
        <f t="shared" si="15"/>
        <v>0</v>
      </c>
      <c r="AB16" s="185">
        <f t="shared" si="15"/>
        <v>0</v>
      </c>
      <c r="AC16" s="185">
        <f t="shared" si="15"/>
        <v>0</v>
      </c>
      <c r="AD16" s="185">
        <f t="shared" si="15"/>
        <v>0</v>
      </c>
      <c r="AE16" s="185">
        <f t="shared" si="15"/>
        <v>0</v>
      </c>
      <c r="AF16" s="185">
        <f t="shared" si="15"/>
        <v>0</v>
      </c>
      <c r="AG16" s="185">
        <f t="shared" si="15"/>
        <v>0</v>
      </c>
      <c r="AH16" s="185">
        <f t="shared" ref="AH16:AI16" si="16">SUM(AH17,AH20,AH23)</f>
        <v>0</v>
      </c>
      <c r="AI16" s="185">
        <f t="shared" si="16"/>
        <v>0</v>
      </c>
      <c r="AJ16" s="185">
        <f t="shared" si="15"/>
        <v>0</v>
      </c>
      <c r="AK16" s="185">
        <f>SUM(AK17,AK20,AK23)</f>
        <v>8782613</v>
      </c>
      <c r="AL16" s="185">
        <f t="shared" ref="AL16" si="17">SUM(AL17,AL20,AL23)</f>
        <v>9129613</v>
      </c>
    </row>
    <row r="17" spans="1:38" x14ac:dyDescent="0.2">
      <c r="A17" s="42"/>
      <c r="B17" s="457" t="s">
        <v>171</v>
      </c>
      <c r="C17" s="457"/>
      <c r="D17" s="43" t="s">
        <v>170</v>
      </c>
      <c r="E17" s="44">
        <f>SUM(E18:E19)</f>
        <v>3921267</v>
      </c>
      <c r="F17" s="44">
        <f>SUM(F18:F19)</f>
        <v>4108267</v>
      </c>
      <c r="G17" s="44">
        <f t="shared" ref="G17:U17" si="18">SUM(G18:G19)</f>
        <v>187000</v>
      </c>
      <c r="H17" s="44">
        <f t="shared" si="18"/>
        <v>0</v>
      </c>
      <c r="I17" s="44">
        <f t="shared" si="18"/>
        <v>0</v>
      </c>
      <c r="J17" s="44">
        <f t="shared" si="18"/>
        <v>0</v>
      </c>
      <c r="K17" s="44">
        <f t="shared" si="18"/>
        <v>0</v>
      </c>
      <c r="L17" s="44">
        <f t="shared" si="18"/>
        <v>0</v>
      </c>
      <c r="M17" s="44">
        <f t="shared" si="18"/>
        <v>0</v>
      </c>
      <c r="N17" s="44">
        <f t="shared" si="18"/>
        <v>187000</v>
      </c>
      <c r="O17" s="44">
        <f t="shared" si="18"/>
        <v>0</v>
      </c>
      <c r="P17" s="44">
        <f t="shared" si="18"/>
        <v>0</v>
      </c>
      <c r="Q17" s="44">
        <f t="shared" ref="Q17:T17" si="19">SUM(Q18:Q19)</f>
        <v>0</v>
      </c>
      <c r="R17" s="44">
        <f t="shared" si="19"/>
        <v>0</v>
      </c>
      <c r="S17" s="44">
        <f t="shared" si="19"/>
        <v>0</v>
      </c>
      <c r="T17" s="44">
        <f t="shared" si="19"/>
        <v>0</v>
      </c>
      <c r="U17" s="44">
        <f t="shared" si="18"/>
        <v>0</v>
      </c>
      <c r="V17" s="44">
        <f>SUM(V18:V19)</f>
        <v>0</v>
      </c>
      <c r="W17" s="44">
        <f>SUM(W18:W19)</f>
        <v>0</v>
      </c>
      <c r="X17" s="44">
        <f t="shared" ref="X17" si="20">SUM(X18:X19)</f>
        <v>0</v>
      </c>
      <c r="Y17" s="44">
        <f t="shared" ref="Y17" si="21">SUM(Y18:Y19)</f>
        <v>0</v>
      </c>
      <c r="Z17" s="44">
        <f t="shared" ref="Z17" si="22">SUM(Z18:Z19)</f>
        <v>0</v>
      </c>
      <c r="AA17" s="44">
        <f t="shared" ref="AA17" si="23">SUM(AA18:AA19)</f>
        <v>0</v>
      </c>
      <c r="AB17" s="44">
        <f t="shared" ref="AB17" si="24">SUM(AB18:AB19)</f>
        <v>0</v>
      </c>
      <c r="AC17" s="44">
        <f t="shared" ref="AC17" si="25">SUM(AC18:AC19)</f>
        <v>0</v>
      </c>
      <c r="AD17" s="44">
        <f t="shared" ref="AD17" si="26">SUM(AD18:AD19)</f>
        <v>0</v>
      </c>
      <c r="AE17" s="44">
        <f t="shared" ref="AE17" si="27">SUM(AE18:AE19)</f>
        <v>0</v>
      </c>
      <c r="AF17" s="44">
        <f t="shared" ref="AF17" si="28">SUM(AF18:AF19)</f>
        <v>0</v>
      </c>
      <c r="AG17" s="44">
        <f t="shared" ref="AG17:AI17" si="29">SUM(AG18:AG19)</f>
        <v>0</v>
      </c>
      <c r="AH17" s="44">
        <f t="shared" si="29"/>
        <v>0</v>
      </c>
      <c r="AI17" s="44">
        <f t="shared" si="29"/>
        <v>0</v>
      </c>
      <c r="AJ17" s="44">
        <f t="shared" ref="AJ17:AL17" si="30">SUM(AJ18:AJ19)</f>
        <v>0</v>
      </c>
      <c r="AK17" s="44">
        <f>SUM(AK18:AK19)</f>
        <v>3921267</v>
      </c>
      <c r="AL17" s="44">
        <f t="shared" si="30"/>
        <v>4108267</v>
      </c>
    </row>
    <row r="18" spans="1:38" ht="24" x14ac:dyDescent="0.2">
      <c r="A18" s="38"/>
      <c r="B18" s="478" t="s">
        <v>38</v>
      </c>
      <c r="C18" s="478"/>
      <c r="D18" s="272" t="s">
        <v>39</v>
      </c>
      <c r="E18" s="182">
        <v>3445367</v>
      </c>
      <c r="F18" s="182">
        <f t="shared" ref="F18:F19" si="31">E18+G18</f>
        <v>3632367</v>
      </c>
      <c r="G18" s="182">
        <f t="shared" ref="G18:G19" si="32">SUBTOTAL(9,H18:U18)</f>
        <v>187000</v>
      </c>
      <c r="H18" s="182"/>
      <c r="I18" s="182"/>
      <c r="J18" s="182"/>
      <c r="K18" s="182"/>
      <c r="L18" s="182"/>
      <c r="M18" s="182"/>
      <c r="N18" s="182">
        <v>187000</v>
      </c>
      <c r="O18" s="182"/>
      <c r="P18" s="182"/>
      <c r="Q18" s="182"/>
      <c r="R18" s="182"/>
      <c r="S18" s="182"/>
      <c r="T18" s="182"/>
      <c r="U18" s="182"/>
      <c r="V18" s="182"/>
      <c r="W18" s="182">
        <f t="shared" ref="W18:W19" si="33">V18+X18</f>
        <v>0</v>
      </c>
      <c r="X18" s="182">
        <f t="shared" ref="X18:X19" si="34">SUBTOTAL(9,Y18:AJ18)</f>
        <v>0</v>
      </c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>
        <f>E18+V18</f>
        <v>3445367</v>
      </c>
      <c r="AL18" s="182">
        <f>W18+F18</f>
        <v>3632367</v>
      </c>
    </row>
    <row r="19" spans="1:38" ht="24" x14ac:dyDescent="0.2">
      <c r="A19" s="39"/>
      <c r="B19" s="463" t="s">
        <v>40</v>
      </c>
      <c r="C19" s="463"/>
      <c r="D19" s="40" t="s">
        <v>41</v>
      </c>
      <c r="E19" s="183">
        <v>475900</v>
      </c>
      <c r="F19" s="184">
        <f t="shared" si="31"/>
        <v>475900</v>
      </c>
      <c r="G19" s="184">
        <f t="shared" si="32"/>
        <v>0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>
        <f t="shared" si="33"/>
        <v>0</v>
      </c>
      <c r="X19" s="184">
        <f t="shared" si="34"/>
        <v>0</v>
      </c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>
        <f>E19+V19</f>
        <v>475900</v>
      </c>
      <c r="AL19" s="184">
        <f>W19+F19</f>
        <v>475900</v>
      </c>
    </row>
    <row r="20" spans="1:38" x14ac:dyDescent="0.2">
      <c r="A20" s="42"/>
      <c r="B20" s="457" t="s">
        <v>42</v>
      </c>
      <c r="C20" s="457"/>
      <c r="D20" s="43" t="s">
        <v>139</v>
      </c>
      <c r="E20" s="44">
        <f>SUM(E21:E22)</f>
        <v>3161300</v>
      </c>
      <c r="F20" s="44">
        <f>SUM(F21:F22)</f>
        <v>3261300</v>
      </c>
      <c r="G20" s="44">
        <f t="shared" ref="G20:U20" si="35">SUM(G21:G22)</f>
        <v>100000</v>
      </c>
      <c r="H20" s="44">
        <f t="shared" si="35"/>
        <v>0</v>
      </c>
      <c r="I20" s="44">
        <f t="shared" si="35"/>
        <v>0</v>
      </c>
      <c r="J20" s="44">
        <f t="shared" si="35"/>
        <v>0</v>
      </c>
      <c r="K20" s="44">
        <f t="shared" si="35"/>
        <v>0</v>
      </c>
      <c r="L20" s="44">
        <f t="shared" si="35"/>
        <v>0</v>
      </c>
      <c r="M20" s="44">
        <f t="shared" si="35"/>
        <v>0</v>
      </c>
      <c r="N20" s="44">
        <f t="shared" si="35"/>
        <v>100000</v>
      </c>
      <c r="O20" s="44">
        <f t="shared" si="35"/>
        <v>0</v>
      </c>
      <c r="P20" s="44">
        <f t="shared" si="35"/>
        <v>0</v>
      </c>
      <c r="Q20" s="44">
        <f t="shared" ref="Q20:T20" si="36">SUM(Q21:Q22)</f>
        <v>0</v>
      </c>
      <c r="R20" s="44">
        <f t="shared" si="36"/>
        <v>0</v>
      </c>
      <c r="S20" s="44">
        <f t="shared" si="36"/>
        <v>0</v>
      </c>
      <c r="T20" s="44">
        <f t="shared" si="36"/>
        <v>0</v>
      </c>
      <c r="U20" s="44">
        <f t="shared" si="35"/>
        <v>0</v>
      </c>
      <c r="V20" s="44">
        <f>SUM(V21:V22)</f>
        <v>0</v>
      </c>
      <c r="W20" s="44">
        <f>SUM(W21:W22)</f>
        <v>0</v>
      </c>
      <c r="X20" s="44">
        <f t="shared" ref="X20" si="37">SUM(X21:X22)</f>
        <v>0</v>
      </c>
      <c r="Y20" s="44">
        <f t="shared" ref="Y20" si="38">SUM(Y21:Y22)</f>
        <v>0</v>
      </c>
      <c r="Z20" s="44">
        <f t="shared" ref="Z20" si="39">SUM(Z21:Z22)</f>
        <v>0</v>
      </c>
      <c r="AA20" s="44">
        <f t="shared" ref="AA20" si="40">SUM(AA21:AA22)</f>
        <v>0</v>
      </c>
      <c r="AB20" s="44">
        <f t="shared" ref="AB20" si="41">SUM(AB21:AB22)</f>
        <v>0</v>
      </c>
      <c r="AC20" s="44">
        <f t="shared" ref="AC20" si="42">SUM(AC21:AC22)</f>
        <v>0</v>
      </c>
      <c r="AD20" s="44">
        <f t="shared" ref="AD20" si="43">SUM(AD21:AD22)</f>
        <v>0</v>
      </c>
      <c r="AE20" s="44">
        <f t="shared" ref="AE20" si="44">SUM(AE21:AE22)</f>
        <v>0</v>
      </c>
      <c r="AF20" s="44">
        <f t="shared" ref="AF20" si="45">SUM(AF21:AF22)</f>
        <v>0</v>
      </c>
      <c r="AG20" s="44">
        <f t="shared" ref="AG20:AI20" si="46">SUM(AG21:AG22)</f>
        <v>0</v>
      </c>
      <c r="AH20" s="44">
        <f t="shared" si="46"/>
        <v>0</v>
      </c>
      <c r="AI20" s="44">
        <f t="shared" si="46"/>
        <v>0</v>
      </c>
      <c r="AJ20" s="44">
        <f t="shared" ref="AJ20:AL20" si="47">SUM(AJ21:AJ22)</f>
        <v>0</v>
      </c>
      <c r="AK20" s="44">
        <f>SUM(AK21:AK22)</f>
        <v>3161300</v>
      </c>
      <c r="AL20" s="44">
        <f t="shared" si="47"/>
        <v>3261300</v>
      </c>
    </row>
    <row r="21" spans="1:38" ht="24" x14ac:dyDescent="0.2">
      <c r="A21" s="38"/>
      <c r="B21" s="464" t="s">
        <v>43</v>
      </c>
      <c r="C21" s="464"/>
      <c r="D21" s="272" t="s">
        <v>148</v>
      </c>
      <c r="E21" s="182">
        <v>2731300</v>
      </c>
      <c r="F21" s="182">
        <f t="shared" ref="F21:F22" si="48">E21+G21</f>
        <v>2831300</v>
      </c>
      <c r="G21" s="182">
        <f t="shared" ref="G21:G22" si="49">SUBTOTAL(9,H21:U21)</f>
        <v>100000</v>
      </c>
      <c r="H21" s="182"/>
      <c r="I21" s="182"/>
      <c r="J21" s="182"/>
      <c r="K21" s="182"/>
      <c r="L21" s="182"/>
      <c r="M21" s="182"/>
      <c r="N21" s="182">
        <v>100000</v>
      </c>
      <c r="O21" s="182"/>
      <c r="P21" s="182"/>
      <c r="Q21" s="182"/>
      <c r="R21" s="182"/>
      <c r="S21" s="182"/>
      <c r="T21" s="182"/>
      <c r="U21" s="182"/>
      <c r="V21" s="182"/>
      <c r="W21" s="182">
        <f t="shared" ref="W21:W22" si="50">V21+X21</f>
        <v>0</v>
      </c>
      <c r="X21" s="182">
        <f t="shared" ref="X21:X22" si="51">SUBTOTAL(9,Y21:AJ21)</f>
        <v>0</v>
      </c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>
        <f>E21+V21</f>
        <v>2731300</v>
      </c>
      <c r="AL21" s="182">
        <f>W21+F21</f>
        <v>2831300</v>
      </c>
    </row>
    <row r="22" spans="1:38" ht="24" x14ac:dyDescent="0.2">
      <c r="A22" s="39"/>
      <c r="B22" s="463" t="s">
        <v>44</v>
      </c>
      <c r="C22" s="463"/>
      <c r="D22" s="40" t="s">
        <v>149</v>
      </c>
      <c r="E22" s="183">
        <v>430000</v>
      </c>
      <c r="F22" s="184">
        <f t="shared" si="48"/>
        <v>430000</v>
      </c>
      <c r="G22" s="184">
        <f t="shared" si="49"/>
        <v>0</v>
      </c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>
        <f t="shared" si="50"/>
        <v>0</v>
      </c>
      <c r="X22" s="184">
        <f t="shared" si="51"/>
        <v>0</v>
      </c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273">
        <f>E22+V22</f>
        <v>430000</v>
      </c>
      <c r="AL22" s="184">
        <f>W22+F22</f>
        <v>430000</v>
      </c>
    </row>
    <row r="23" spans="1:38" x14ac:dyDescent="0.2">
      <c r="A23" s="46"/>
      <c r="B23" s="457" t="s">
        <v>292</v>
      </c>
      <c r="C23" s="457"/>
      <c r="D23" s="43" t="s">
        <v>295</v>
      </c>
      <c r="E23" s="44">
        <f>SUM(E24:E25)</f>
        <v>1700046</v>
      </c>
      <c r="F23" s="44">
        <f>SUM(F24:F25)</f>
        <v>1760046</v>
      </c>
      <c r="G23" s="44">
        <f t="shared" ref="G23:U23" si="52">SUM(G24:G25)</f>
        <v>60000</v>
      </c>
      <c r="H23" s="44">
        <f t="shared" si="52"/>
        <v>0</v>
      </c>
      <c r="I23" s="44">
        <f t="shared" si="52"/>
        <v>0</v>
      </c>
      <c r="J23" s="44">
        <f t="shared" si="52"/>
        <v>0</v>
      </c>
      <c r="K23" s="44">
        <f t="shared" si="52"/>
        <v>0</v>
      </c>
      <c r="L23" s="44">
        <f t="shared" si="52"/>
        <v>0</v>
      </c>
      <c r="M23" s="44">
        <f t="shared" si="52"/>
        <v>0</v>
      </c>
      <c r="N23" s="44">
        <f t="shared" si="52"/>
        <v>60000</v>
      </c>
      <c r="O23" s="44">
        <f t="shared" si="52"/>
        <v>0</v>
      </c>
      <c r="P23" s="44">
        <f t="shared" si="52"/>
        <v>0</v>
      </c>
      <c r="Q23" s="44">
        <f t="shared" ref="Q23:T23" si="53">SUM(Q24:Q25)</f>
        <v>0</v>
      </c>
      <c r="R23" s="44">
        <f t="shared" si="53"/>
        <v>0</v>
      </c>
      <c r="S23" s="44">
        <f t="shared" si="53"/>
        <v>0</v>
      </c>
      <c r="T23" s="44">
        <f t="shared" si="53"/>
        <v>0</v>
      </c>
      <c r="U23" s="44">
        <f t="shared" si="52"/>
        <v>0</v>
      </c>
      <c r="V23" s="44">
        <f>SUM(V24:V25)</f>
        <v>0</v>
      </c>
      <c r="W23" s="44">
        <f>SUM(W24:W25)</f>
        <v>0</v>
      </c>
      <c r="X23" s="44">
        <f t="shared" ref="X23" si="54">SUM(X24:X25)</f>
        <v>0</v>
      </c>
      <c r="Y23" s="44">
        <f t="shared" ref="Y23" si="55">SUM(Y24:Y25)</f>
        <v>0</v>
      </c>
      <c r="Z23" s="44">
        <f t="shared" ref="Z23" si="56">SUM(Z24:Z25)</f>
        <v>0</v>
      </c>
      <c r="AA23" s="44">
        <f t="shared" ref="AA23" si="57">SUM(AA24:AA25)</f>
        <v>0</v>
      </c>
      <c r="AB23" s="44">
        <f t="shared" ref="AB23" si="58">SUM(AB24:AB25)</f>
        <v>0</v>
      </c>
      <c r="AC23" s="44">
        <f t="shared" ref="AC23" si="59">SUM(AC24:AC25)</f>
        <v>0</v>
      </c>
      <c r="AD23" s="44">
        <f t="shared" ref="AD23" si="60">SUM(AD24:AD25)</f>
        <v>0</v>
      </c>
      <c r="AE23" s="44">
        <f t="shared" ref="AE23" si="61">SUM(AE24:AE25)</f>
        <v>0</v>
      </c>
      <c r="AF23" s="44">
        <f t="shared" ref="AF23" si="62">SUM(AF24:AF25)</f>
        <v>0</v>
      </c>
      <c r="AG23" s="44">
        <f t="shared" ref="AG23:AI23" si="63">SUM(AG24:AG25)</f>
        <v>0</v>
      </c>
      <c r="AH23" s="44">
        <f t="shared" si="63"/>
        <v>0</v>
      </c>
      <c r="AI23" s="44">
        <f t="shared" si="63"/>
        <v>0</v>
      </c>
      <c r="AJ23" s="44">
        <f t="shared" ref="AJ23:AL23" si="64">SUM(AJ24:AJ25)</f>
        <v>0</v>
      </c>
      <c r="AK23" s="181">
        <f>SUM(AK24:AK25)</f>
        <v>1700046</v>
      </c>
      <c r="AL23" s="44">
        <f t="shared" si="64"/>
        <v>1760046</v>
      </c>
    </row>
    <row r="24" spans="1:38" ht="24" x14ac:dyDescent="0.2">
      <c r="A24" s="46"/>
      <c r="B24" s="464" t="s">
        <v>293</v>
      </c>
      <c r="C24" s="464"/>
      <c r="D24" s="272" t="s">
        <v>296</v>
      </c>
      <c r="E24" s="274">
        <v>1552346</v>
      </c>
      <c r="F24" s="274">
        <f t="shared" ref="F24:F25" si="65">E24+G24</f>
        <v>1612346</v>
      </c>
      <c r="G24" s="274">
        <f t="shared" ref="G24:G25" si="66">SUBTOTAL(9,H24:U24)</f>
        <v>60000</v>
      </c>
      <c r="H24" s="274"/>
      <c r="I24" s="274"/>
      <c r="J24" s="274"/>
      <c r="K24" s="274"/>
      <c r="L24" s="274"/>
      <c r="M24" s="274"/>
      <c r="N24" s="274">
        <v>60000</v>
      </c>
      <c r="O24" s="274"/>
      <c r="P24" s="274"/>
      <c r="Q24" s="274"/>
      <c r="R24" s="274"/>
      <c r="S24" s="274"/>
      <c r="T24" s="274"/>
      <c r="U24" s="274"/>
      <c r="V24" s="274"/>
      <c r="W24" s="274">
        <f t="shared" ref="W24:W25" si="67">V24+X24</f>
        <v>0</v>
      </c>
      <c r="X24" s="274">
        <f t="shared" ref="X24:X25" si="68">SUBTOTAL(9,Y24:AJ24)</f>
        <v>0</v>
      </c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>
        <f>E24+V24</f>
        <v>1552346</v>
      </c>
      <c r="AL24" s="274">
        <f>W24+F24</f>
        <v>1612346</v>
      </c>
    </row>
    <row r="25" spans="1:38" ht="24" x14ac:dyDescent="0.2">
      <c r="A25" s="46"/>
      <c r="B25" s="463" t="s">
        <v>294</v>
      </c>
      <c r="C25" s="463"/>
      <c r="D25" s="40" t="s">
        <v>297</v>
      </c>
      <c r="E25" s="184">
        <v>147700</v>
      </c>
      <c r="F25" s="184">
        <f t="shared" si="65"/>
        <v>147700</v>
      </c>
      <c r="G25" s="184">
        <f t="shared" si="66"/>
        <v>0</v>
      </c>
      <c r="H25" s="184"/>
      <c r="I25" s="184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>
        <f t="shared" si="67"/>
        <v>0</v>
      </c>
      <c r="X25" s="184">
        <f t="shared" si="68"/>
        <v>0</v>
      </c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>
        <f>E25+V25</f>
        <v>147700</v>
      </c>
      <c r="AL25" s="184">
        <f>W25+F25</f>
        <v>147700</v>
      </c>
    </row>
    <row r="26" spans="1:38" s="114" customFormat="1" ht="24" x14ac:dyDescent="0.2">
      <c r="A26" s="458" t="s">
        <v>45</v>
      </c>
      <c r="B26" s="459"/>
      <c r="C26" s="459"/>
      <c r="D26" s="32" t="s">
        <v>46</v>
      </c>
      <c r="E26" s="41">
        <f t="shared" ref="E26:F26" si="69">SUM(E27,E29)</f>
        <v>328000</v>
      </c>
      <c r="F26" s="41">
        <f t="shared" si="69"/>
        <v>365692</v>
      </c>
      <c r="G26" s="41">
        <f t="shared" ref="G26:U26" si="70">SUM(G27,G29)</f>
        <v>37692</v>
      </c>
      <c r="H26" s="41">
        <f t="shared" si="70"/>
        <v>0</v>
      </c>
      <c r="I26" s="41">
        <f t="shared" si="70"/>
        <v>7692</v>
      </c>
      <c r="J26" s="41">
        <f t="shared" si="70"/>
        <v>0</v>
      </c>
      <c r="K26" s="41">
        <f t="shared" si="70"/>
        <v>0</v>
      </c>
      <c r="L26" s="41">
        <f t="shared" si="70"/>
        <v>0</v>
      </c>
      <c r="M26" s="41">
        <f t="shared" si="70"/>
        <v>0</v>
      </c>
      <c r="N26" s="41">
        <f t="shared" si="70"/>
        <v>30000</v>
      </c>
      <c r="O26" s="41">
        <f t="shared" si="70"/>
        <v>0</v>
      </c>
      <c r="P26" s="41">
        <f t="shared" si="70"/>
        <v>0</v>
      </c>
      <c r="Q26" s="41">
        <f t="shared" ref="Q26:T26" si="71">SUM(Q27,Q29)</f>
        <v>0</v>
      </c>
      <c r="R26" s="41">
        <f t="shared" si="71"/>
        <v>0</v>
      </c>
      <c r="S26" s="41">
        <f t="shared" si="71"/>
        <v>0</v>
      </c>
      <c r="T26" s="41">
        <f t="shared" si="71"/>
        <v>0</v>
      </c>
      <c r="U26" s="41">
        <f t="shared" si="70"/>
        <v>0</v>
      </c>
      <c r="V26" s="41">
        <f t="shared" ref="V26" si="72">SUM(V27,V29)</f>
        <v>0</v>
      </c>
      <c r="W26" s="41">
        <f t="shared" ref="W26:AJ26" si="73">SUM(W27,W29)</f>
        <v>0</v>
      </c>
      <c r="X26" s="41">
        <f t="shared" si="73"/>
        <v>0</v>
      </c>
      <c r="Y26" s="41">
        <f t="shared" si="73"/>
        <v>0</v>
      </c>
      <c r="Z26" s="41">
        <f t="shared" si="73"/>
        <v>0</v>
      </c>
      <c r="AA26" s="41">
        <f t="shared" si="73"/>
        <v>0</v>
      </c>
      <c r="AB26" s="41">
        <f t="shared" si="73"/>
        <v>0</v>
      </c>
      <c r="AC26" s="41">
        <f t="shared" si="73"/>
        <v>0</v>
      </c>
      <c r="AD26" s="41">
        <f t="shared" si="73"/>
        <v>0</v>
      </c>
      <c r="AE26" s="41">
        <f t="shared" si="73"/>
        <v>0</v>
      </c>
      <c r="AF26" s="41">
        <f t="shared" si="73"/>
        <v>0</v>
      </c>
      <c r="AG26" s="41">
        <f t="shared" si="73"/>
        <v>0</v>
      </c>
      <c r="AH26" s="41">
        <f t="shared" ref="AH26:AI26" si="74">SUM(AH27,AH29)</f>
        <v>0</v>
      </c>
      <c r="AI26" s="41">
        <f t="shared" si="74"/>
        <v>0</v>
      </c>
      <c r="AJ26" s="41">
        <f t="shared" si="73"/>
        <v>0</v>
      </c>
      <c r="AK26" s="41">
        <f t="shared" ref="AK26" si="75">SUM(AK27,AK29)</f>
        <v>328000</v>
      </c>
      <c r="AL26" s="41">
        <f>SUM(AL27,AL29)</f>
        <v>365692</v>
      </c>
    </row>
    <row r="27" spans="1:38" s="113" customFormat="1" ht="24" customHeight="1" x14ac:dyDescent="0.2">
      <c r="A27" s="34"/>
      <c r="B27" s="453" t="s">
        <v>47</v>
      </c>
      <c r="C27" s="453"/>
      <c r="D27" s="45" t="s">
        <v>48</v>
      </c>
      <c r="E27" s="185">
        <f t="shared" ref="E27:AK27" si="76">E28</f>
        <v>220000</v>
      </c>
      <c r="F27" s="185">
        <f t="shared" si="76"/>
        <v>250000</v>
      </c>
      <c r="G27" s="185">
        <f t="shared" si="76"/>
        <v>30000</v>
      </c>
      <c r="H27" s="185">
        <f t="shared" si="76"/>
        <v>0</v>
      </c>
      <c r="I27" s="185">
        <f t="shared" si="76"/>
        <v>0</v>
      </c>
      <c r="J27" s="185">
        <f t="shared" si="76"/>
        <v>0</v>
      </c>
      <c r="K27" s="185">
        <f t="shared" si="76"/>
        <v>0</v>
      </c>
      <c r="L27" s="185">
        <f t="shared" si="76"/>
        <v>0</v>
      </c>
      <c r="M27" s="185">
        <f t="shared" si="76"/>
        <v>0</v>
      </c>
      <c r="N27" s="185">
        <f t="shared" si="76"/>
        <v>30000</v>
      </c>
      <c r="O27" s="185">
        <f t="shared" si="76"/>
        <v>0</v>
      </c>
      <c r="P27" s="185">
        <f t="shared" si="76"/>
        <v>0</v>
      </c>
      <c r="Q27" s="185">
        <f t="shared" si="76"/>
        <v>0</v>
      </c>
      <c r="R27" s="185">
        <f t="shared" si="76"/>
        <v>0</v>
      </c>
      <c r="S27" s="185">
        <f t="shared" si="76"/>
        <v>0</v>
      </c>
      <c r="T27" s="185">
        <f t="shared" si="76"/>
        <v>0</v>
      </c>
      <c r="U27" s="185">
        <f t="shared" si="76"/>
        <v>0</v>
      </c>
      <c r="V27" s="185">
        <f t="shared" si="76"/>
        <v>0</v>
      </c>
      <c r="W27" s="185">
        <f t="shared" ref="W27:AJ27" si="77">W28</f>
        <v>0</v>
      </c>
      <c r="X27" s="185">
        <f t="shared" si="77"/>
        <v>0</v>
      </c>
      <c r="Y27" s="185">
        <f t="shared" si="77"/>
        <v>0</v>
      </c>
      <c r="Z27" s="185">
        <f t="shared" si="77"/>
        <v>0</v>
      </c>
      <c r="AA27" s="185">
        <f t="shared" si="77"/>
        <v>0</v>
      </c>
      <c r="AB27" s="185">
        <f t="shared" si="77"/>
        <v>0</v>
      </c>
      <c r="AC27" s="185">
        <f t="shared" si="77"/>
        <v>0</v>
      </c>
      <c r="AD27" s="185">
        <f t="shared" si="77"/>
        <v>0</v>
      </c>
      <c r="AE27" s="185">
        <f t="shared" si="77"/>
        <v>0</v>
      </c>
      <c r="AF27" s="185">
        <f t="shared" si="77"/>
        <v>0</v>
      </c>
      <c r="AG27" s="185">
        <f t="shared" si="77"/>
        <v>0</v>
      </c>
      <c r="AH27" s="185">
        <f t="shared" si="77"/>
        <v>0</v>
      </c>
      <c r="AI27" s="185">
        <f t="shared" si="77"/>
        <v>0</v>
      </c>
      <c r="AJ27" s="185">
        <f t="shared" si="77"/>
        <v>0</v>
      </c>
      <c r="AK27" s="185">
        <f t="shared" si="76"/>
        <v>220000</v>
      </c>
      <c r="AL27" s="185">
        <f>AL28</f>
        <v>250000</v>
      </c>
    </row>
    <row r="28" spans="1:38" x14ac:dyDescent="0.2">
      <c r="A28" s="46"/>
      <c r="B28" s="465" t="s">
        <v>49</v>
      </c>
      <c r="C28" s="465"/>
      <c r="D28" s="47" t="s">
        <v>50</v>
      </c>
      <c r="E28" s="184">
        <v>220000</v>
      </c>
      <c r="F28" s="184">
        <f>E28+G28</f>
        <v>250000</v>
      </c>
      <c r="G28" s="184">
        <f>SUBTOTAL(9,H28:U28)</f>
        <v>30000</v>
      </c>
      <c r="H28" s="184"/>
      <c r="I28" s="184"/>
      <c r="J28" s="184"/>
      <c r="K28" s="184"/>
      <c r="L28" s="184"/>
      <c r="M28" s="184"/>
      <c r="N28" s="184">
        <v>30000</v>
      </c>
      <c r="O28" s="184"/>
      <c r="P28" s="184"/>
      <c r="Q28" s="184"/>
      <c r="R28" s="184"/>
      <c r="S28" s="184"/>
      <c r="T28" s="184"/>
      <c r="U28" s="184"/>
      <c r="V28" s="184"/>
      <c r="W28" s="184">
        <f>V28+X28</f>
        <v>0</v>
      </c>
      <c r="X28" s="184">
        <f>SUBTOTAL(9,Y28:AJ28)</f>
        <v>0</v>
      </c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>
        <f>E28+V28</f>
        <v>220000</v>
      </c>
      <c r="AL28" s="184">
        <f>W28+F28</f>
        <v>250000</v>
      </c>
    </row>
    <row r="29" spans="1:38" s="113" customFormat="1" ht="24" x14ac:dyDescent="0.2">
      <c r="A29" s="34"/>
      <c r="B29" s="466" t="s">
        <v>51</v>
      </c>
      <c r="C29" s="467"/>
      <c r="D29" s="48" t="s">
        <v>52</v>
      </c>
      <c r="E29" s="185">
        <f t="shared" ref="E29:AK30" si="78">SUM(E30)</f>
        <v>108000</v>
      </c>
      <c r="F29" s="185">
        <f t="shared" si="78"/>
        <v>115692</v>
      </c>
      <c r="G29" s="185">
        <f t="shared" si="78"/>
        <v>7692</v>
      </c>
      <c r="H29" s="185">
        <f t="shared" si="78"/>
        <v>0</v>
      </c>
      <c r="I29" s="185">
        <f t="shared" si="78"/>
        <v>7692</v>
      </c>
      <c r="J29" s="185">
        <f t="shared" si="78"/>
        <v>0</v>
      </c>
      <c r="K29" s="185">
        <f t="shared" si="78"/>
        <v>0</v>
      </c>
      <c r="L29" s="185">
        <f t="shared" si="78"/>
        <v>0</v>
      </c>
      <c r="M29" s="185">
        <f t="shared" si="78"/>
        <v>0</v>
      </c>
      <c r="N29" s="185">
        <f t="shared" si="78"/>
        <v>0</v>
      </c>
      <c r="O29" s="185">
        <f t="shared" si="78"/>
        <v>0</v>
      </c>
      <c r="P29" s="185">
        <f t="shared" si="78"/>
        <v>0</v>
      </c>
      <c r="Q29" s="185">
        <f t="shared" si="78"/>
        <v>0</v>
      </c>
      <c r="R29" s="185">
        <f t="shared" si="78"/>
        <v>0</v>
      </c>
      <c r="S29" s="185">
        <f t="shared" si="78"/>
        <v>0</v>
      </c>
      <c r="T29" s="185">
        <f t="shared" si="78"/>
        <v>0</v>
      </c>
      <c r="U29" s="185">
        <f t="shared" si="78"/>
        <v>0</v>
      </c>
      <c r="V29" s="185">
        <f t="shared" si="78"/>
        <v>0</v>
      </c>
      <c r="W29" s="185">
        <f>SUM(W30)</f>
        <v>0</v>
      </c>
      <c r="X29" s="185">
        <f t="shared" ref="W29:AL30" si="79">SUM(X30)</f>
        <v>0</v>
      </c>
      <c r="Y29" s="185">
        <f t="shared" si="79"/>
        <v>0</v>
      </c>
      <c r="Z29" s="185">
        <f t="shared" si="79"/>
        <v>0</v>
      </c>
      <c r="AA29" s="185">
        <f t="shared" si="79"/>
        <v>0</v>
      </c>
      <c r="AB29" s="185">
        <f t="shared" si="79"/>
        <v>0</v>
      </c>
      <c r="AC29" s="185">
        <f t="shared" si="79"/>
        <v>0</v>
      </c>
      <c r="AD29" s="185">
        <f t="shared" si="79"/>
        <v>0</v>
      </c>
      <c r="AE29" s="185">
        <f t="shared" si="79"/>
        <v>0</v>
      </c>
      <c r="AF29" s="185">
        <f t="shared" si="79"/>
        <v>0</v>
      </c>
      <c r="AG29" s="185">
        <f t="shared" si="79"/>
        <v>0</v>
      </c>
      <c r="AH29" s="185">
        <f t="shared" si="79"/>
        <v>0</v>
      </c>
      <c r="AI29" s="185">
        <f t="shared" si="79"/>
        <v>0</v>
      </c>
      <c r="AJ29" s="185">
        <f t="shared" si="79"/>
        <v>0</v>
      </c>
      <c r="AK29" s="185">
        <f t="shared" si="78"/>
        <v>108000</v>
      </c>
      <c r="AL29" s="185">
        <f t="shared" si="79"/>
        <v>115692</v>
      </c>
    </row>
    <row r="30" spans="1:38" x14ac:dyDescent="0.2">
      <c r="A30" s="46"/>
      <c r="B30" s="468" t="s">
        <v>53</v>
      </c>
      <c r="C30" s="469"/>
      <c r="D30" s="50" t="s">
        <v>54</v>
      </c>
      <c r="E30" s="44">
        <f t="shared" si="78"/>
        <v>108000</v>
      </c>
      <c r="F30" s="44">
        <f t="shared" si="78"/>
        <v>115692</v>
      </c>
      <c r="G30" s="44">
        <f t="shared" si="78"/>
        <v>7692</v>
      </c>
      <c r="H30" s="44">
        <f>SUM(H31)</f>
        <v>0</v>
      </c>
      <c r="I30" s="44">
        <f>SUM(I31)</f>
        <v>7692</v>
      </c>
      <c r="J30" s="44">
        <f t="shared" si="78"/>
        <v>0</v>
      </c>
      <c r="K30" s="44">
        <f t="shared" si="78"/>
        <v>0</v>
      </c>
      <c r="L30" s="44">
        <f t="shared" si="78"/>
        <v>0</v>
      </c>
      <c r="M30" s="44">
        <f t="shared" si="78"/>
        <v>0</v>
      </c>
      <c r="N30" s="44">
        <f t="shared" si="78"/>
        <v>0</v>
      </c>
      <c r="O30" s="44">
        <f t="shared" si="78"/>
        <v>0</v>
      </c>
      <c r="P30" s="44">
        <f t="shared" si="78"/>
        <v>0</v>
      </c>
      <c r="Q30" s="44">
        <f t="shared" si="78"/>
        <v>0</v>
      </c>
      <c r="R30" s="44">
        <f t="shared" si="78"/>
        <v>0</v>
      </c>
      <c r="S30" s="44">
        <f t="shared" si="78"/>
        <v>0</v>
      </c>
      <c r="T30" s="44">
        <f t="shared" si="78"/>
        <v>0</v>
      </c>
      <c r="U30" s="44">
        <f t="shared" si="78"/>
        <v>0</v>
      </c>
      <c r="V30" s="44">
        <f t="shared" si="78"/>
        <v>0</v>
      </c>
      <c r="W30" s="44">
        <f t="shared" si="79"/>
        <v>0</v>
      </c>
      <c r="X30" s="44">
        <f t="shared" si="79"/>
        <v>0</v>
      </c>
      <c r="Y30" s="44">
        <f t="shared" si="79"/>
        <v>0</v>
      </c>
      <c r="Z30" s="44">
        <f t="shared" si="79"/>
        <v>0</v>
      </c>
      <c r="AA30" s="44">
        <f t="shared" si="79"/>
        <v>0</v>
      </c>
      <c r="AB30" s="44">
        <f t="shared" si="79"/>
        <v>0</v>
      </c>
      <c r="AC30" s="44">
        <f t="shared" si="79"/>
        <v>0</v>
      </c>
      <c r="AD30" s="44">
        <f t="shared" si="79"/>
        <v>0</v>
      </c>
      <c r="AE30" s="44">
        <f t="shared" si="79"/>
        <v>0</v>
      </c>
      <c r="AF30" s="44">
        <f t="shared" si="79"/>
        <v>0</v>
      </c>
      <c r="AG30" s="44">
        <f t="shared" si="79"/>
        <v>0</v>
      </c>
      <c r="AH30" s="44">
        <f t="shared" si="79"/>
        <v>0</v>
      </c>
      <c r="AI30" s="44">
        <f t="shared" si="79"/>
        <v>0</v>
      </c>
      <c r="AJ30" s="44">
        <f t="shared" si="79"/>
        <v>0</v>
      </c>
      <c r="AK30" s="44">
        <f t="shared" si="78"/>
        <v>108000</v>
      </c>
      <c r="AL30" s="44">
        <f>SUM(AL31)</f>
        <v>115692</v>
      </c>
    </row>
    <row r="31" spans="1:38" ht="24" x14ac:dyDescent="0.2">
      <c r="A31" s="46"/>
      <c r="B31" s="267"/>
      <c r="C31" s="275" t="s">
        <v>249</v>
      </c>
      <c r="D31" s="99" t="s">
        <v>250</v>
      </c>
      <c r="E31" s="184">
        <v>108000</v>
      </c>
      <c r="F31" s="184">
        <f>E31+G31</f>
        <v>115692</v>
      </c>
      <c r="G31" s="184">
        <f>SUBTOTAL(9,H31:U31)</f>
        <v>7692</v>
      </c>
      <c r="H31" s="184"/>
      <c r="I31" s="184">
        <v>7692</v>
      </c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>
        <f>V31+X31</f>
        <v>0</v>
      </c>
      <c r="X31" s="184">
        <f>SUBTOTAL(9,Y31:AJ31)</f>
        <v>0</v>
      </c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>
        <f>E31+V31</f>
        <v>108000</v>
      </c>
      <c r="AL31" s="184">
        <f>W31+F31</f>
        <v>115692</v>
      </c>
    </row>
    <row r="32" spans="1:38" s="114" customFormat="1" ht="26.25" customHeight="1" x14ac:dyDescent="0.2">
      <c r="A32" s="458" t="s">
        <v>55</v>
      </c>
      <c r="B32" s="459"/>
      <c r="C32" s="459"/>
      <c r="D32" s="51" t="s">
        <v>123</v>
      </c>
      <c r="E32" s="41">
        <f>SUM(E33)</f>
        <v>2000</v>
      </c>
      <c r="F32" s="41">
        <f>SUM(F33)</f>
        <v>2000</v>
      </c>
      <c r="G32" s="41">
        <f t="shared" ref="G32" si="80">SUM(G33)</f>
        <v>0</v>
      </c>
      <c r="H32" s="41">
        <f t="shared" ref="H32" si="81">SUM(H33)</f>
        <v>0</v>
      </c>
      <c r="I32" s="41">
        <f t="shared" ref="I32" si="82">SUM(I33)</f>
        <v>0</v>
      </c>
      <c r="J32" s="41">
        <f t="shared" ref="J32" si="83">SUM(J33)</f>
        <v>0</v>
      </c>
      <c r="K32" s="41">
        <f t="shared" ref="K32" si="84">SUM(K33)</f>
        <v>0</v>
      </c>
      <c r="L32" s="41">
        <f t="shared" ref="L32" si="85">SUM(L33)</f>
        <v>0</v>
      </c>
      <c r="M32" s="41">
        <f t="shared" ref="M32" si="86">SUM(M33)</f>
        <v>0</v>
      </c>
      <c r="N32" s="41">
        <f t="shared" ref="N32" si="87">SUM(N33)</f>
        <v>0</v>
      </c>
      <c r="O32" s="41">
        <f t="shared" ref="O32" si="88">SUM(O33)</f>
        <v>0</v>
      </c>
      <c r="P32" s="41">
        <f t="shared" ref="P32" si="89">SUM(P33)</f>
        <v>0</v>
      </c>
      <c r="Q32" s="41">
        <f t="shared" ref="Q32:U32" si="90">SUM(Q33)</f>
        <v>0</v>
      </c>
      <c r="R32" s="41">
        <f t="shared" si="90"/>
        <v>0</v>
      </c>
      <c r="S32" s="41">
        <f t="shared" si="90"/>
        <v>0</v>
      </c>
      <c r="T32" s="41">
        <f t="shared" si="90"/>
        <v>0</v>
      </c>
      <c r="U32" s="41">
        <f t="shared" si="90"/>
        <v>0</v>
      </c>
      <c r="V32" s="41">
        <f t="shared" ref="V32:AK32" si="91">SUM(V33)</f>
        <v>0</v>
      </c>
      <c r="W32" s="41">
        <f t="shared" ref="W32" si="92">SUM(W33)</f>
        <v>0</v>
      </c>
      <c r="X32" s="41">
        <f t="shared" ref="X32" si="93">SUM(X33)</f>
        <v>0</v>
      </c>
      <c r="Y32" s="41">
        <f t="shared" ref="Y32" si="94">SUM(Y33)</f>
        <v>0</v>
      </c>
      <c r="Z32" s="41">
        <f t="shared" ref="Z32" si="95">SUM(Z33)</f>
        <v>0</v>
      </c>
      <c r="AA32" s="41">
        <f t="shared" ref="AA32" si="96">SUM(AA33)</f>
        <v>0</v>
      </c>
      <c r="AB32" s="41">
        <f t="shared" ref="AB32" si="97">SUM(AB33)</f>
        <v>0</v>
      </c>
      <c r="AC32" s="41">
        <f t="shared" ref="AC32" si="98">SUM(AC33)</f>
        <v>0</v>
      </c>
      <c r="AD32" s="41">
        <f t="shared" ref="AD32" si="99">SUM(AD33)</f>
        <v>0</v>
      </c>
      <c r="AE32" s="41">
        <f t="shared" ref="AE32" si="100">SUM(AE33)</f>
        <v>0</v>
      </c>
      <c r="AF32" s="41">
        <f t="shared" ref="AF32" si="101">SUM(AF33)</f>
        <v>0</v>
      </c>
      <c r="AG32" s="41">
        <f t="shared" ref="AG32" si="102">SUM(AG33)</f>
        <v>0</v>
      </c>
      <c r="AH32" s="41">
        <f t="shared" ref="AH32:AL32" si="103">SUM(AH33)</f>
        <v>0</v>
      </c>
      <c r="AI32" s="41">
        <f t="shared" si="103"/>
        <v>0</v>
      </c>
      <c r="AJ32" s="41">
        <f t="shared" si="103"/>
        <v>0</v>
      </c>
      <c r="AK32" s="41">
        <f t="shared" si="91"/>
        <v>2000</v>
      </c>
      <c r="AL32" s="41">
        <f t="shared" si="103"/>
        <v>2000</v>
      </c>
    </row>
    <row r="33" spans="1:38" s="113" customFormat="1" ht="36" x14ac:dyDescent="0.2">
      <c r="A33" s="34"/>
      <c r="B33" s="453" t="s">
        <v>56</v>
      </c>
      <c r="C33" s="453"/>
      <c r="D33" s="35" t="s">
        <v>287</v>
      </c>
      <c r="E33" s="185">
        <f>SUM(E34)</f>
        <v>2000</v>
      </c>
      <c r="F33" s="185">
        <f t="shared" ref="F33:AK33" si="104">SUM(F34)</f>
        <v>2000</v>
      </c>
      <c r="G33" s="185">
        <f t="shared" si="104"/>
        <v>0</v>
      </c>
      <c r="H33" s="185">
        <f>SUM(H34)</f>
        <v>0</v>
      </c>
      <c r="I33" s="185">
        <f t="shared" si="104"/>
        <v>0</v>
      </c>
      <c r="J33" s="185">
        <f t="shared" si="104"/>
        <v>0</v>
      </c>
      <c r="K33" s="185">
        <f t="shared" si="104"/>
        <v>0</v>
      </c>
      <c r="L33" s="185">
        <f t="shared" si="104"/>
        <v>0</v>
      </c>
      <c r="M33" s="185">
        <f t="shared" si="104"/>
        <v>0</v>
      </c>
      <c r="N33" s="185">
        <f t="shared" si="104"/>
        <v>0</v>
      </c>
      <c r="O33" s="185">
        <f t="shared" si="104"/>
        <v>0</v>
      </c>
      <c r="P33" s="185">
        <f t="shared" si="104"/>
        <v>0</v>
      </c>
      <c r="Q33" s="185">
        <f t="shared" si="104"/>
        <v>0</v>
      </c>
      <c r="R33" s="185">
        <f t="shared" si="104"/>
        <v>0</v>
      </c>
      <c r="S33" s="185">
        <f t="shared" si="104"/>
        <v>0</v>
      </c>
      <c r="T33" s="185">
        <f t="shared" si="104"/>
        <v>0</v>
      </c>
      <c r="U33" s="185">
        <f t="shared" si="104"/>
        <v>0</v>
      </c>
      <c r="V33" s="185">
        <f t="shared" si="104"/>
        <v>0</v>
      </c>
      <c r="W33" s="185">
        <f t="shared" ref="W33:AJ33" si="105">SUM(W34)</f>
        <v>0</v>
      </c>
      <c r="X33" s="185">
        <f t="shared" si="105"/>
        <v>0</v>
      </c>
      <c r="Y33" s="185">
        <f t="shared" si="105"/>
        <v>0</v>
      </c>
      <c r="Z33" s="185">
        <f t="shared" si="105"/>
        <v>0</v>
      </c>
      <c r="AA33" s="185">
        <f t="shared" si="105"/>
        <v>0</v>
      </c>
      <c r="AB33" s="185">
        <f t="shared" si="105"/>
        <v>0</v>
      </c>
      <c r="AC33" s="185">
        <f t="shared" si="105"/>
        <v>0</v>
      </c>
      <c r="AD33" s="185">
        <f t="shared" si="105"/>
        <v>0</v>
      </c>
      <c r="AE33" s="185">
        <f t="shared" si="105"/>
        <v>0</v>
      </c>
      <c r="AF33" s="185">
        <f t="shared" si="105"/>
        <v>0</v>
      </c>
      <c r="AG33" s="185">
        <f t="shared" si="105"/>
        <v>0</v>
      </c>
      <c r="AH33" s="185">
        <f t="shared" si="105"/>
        <v>0</v>
      </c>
      <c r="AI33" s="185">
        <f t="shared" si="105"/>
        <v>0</v>
      </c>
      <c r="AJ33" s="185">
        <f t="shared" si="105"/>
        <v>0</v>
      </c>
      <c r="AK33" s="185">
        <f t="shared" si="104"/>
        <v>2000</v>
      </c>
      <c r="AL33" s="185">
        <f>SUM(AL34)</f>
        <v>2000</v>
      </c>
    </row>
    <row r="34" spans="1:38" ht="24" x14ac:dyDescent="0.2">
      <c r="A34" s="42"/>
      <c r="B34" s="457" t="s">
        <v>489</v>
      </c>
      <c r="C34" s="457"/>
      <c r="D34" s="43" t="s">
        <v>525</v>
      </c>
      <c r="E34" s="44">
        <v>2000</v>
      </c>
      <c r="F34" s="44">
        <f>E34+G34</f>
        <v>2000</v>
      </c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>
        <f>V34+X34</f>
        <v>0</v>
      </c>
      <c r="X34" s="44">
        <f>SUBTOTAL(9,Y34:AJ34)</f>
        <v>0</v>
      </c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>
        <f>E34+V34</f>
        <v>2000</v>
      </c>
      <c r="AL34" s="44">
        <f>W34+F34</f>
        <v>2000</v>
      </c>
    </row>
    <row r="35" spans="1:38" s="114" customFormat="1" ht="24" x14ac:dyDescent="0.2">
      <c r="A35" s="458" t="s">
        <v>57</v>
      </c>
      <c r="B35" s="459"/>
      <c r="C35" s="459"/>
      <c r="D35" s="51" t="s">
        <v>58</v>
      </c>
      <c r="E35" s="41">
        <f>SUM(E36,E39)</f>
        <v>3084715</v>
      </c>
      <c r="F35" s="41">
        <f>SUM(F36,F39)</f>
        <v>3094715</v>
      </c>
      <c r="G35" s="41">
        <f t="shared" ref="G35:U35" si="106">SUM(G36,G39)</f>
        <v>10000</v>
      </c>
      <c r="H35" s="41">
        <f t="shared" si="106"/>
        <v>0</v>
      </c>
      <c r="I35" s="41">
        <f t="shared" si="106"/>
        <v>0</v>
      </c>
      <c r="J35" s="41">
        <f t="shared" si="106"/>
        <v>0</v>
      </c>
      <c r="K35" s="41">
        <f t="shared" si="106"/>
        <v>0</v>
      </c>
      <c r="L35" s="41">
        <f t="shared" si="106"/>
        <v>0</v>
      </c>
      <c r="M35" s="41">
        <f t="shared" si="106"/>
        <v>0</v>
      </c>
      <c r="N35" s="41">
        <f t="shared" si="106"/>
        <v>10000</v>
      </c>
      <c r="O35" s="41">
        <f t="shared" si="106"/>
        <v>0</v>
      </c>
      <c r="P35" s="41">
        <f t="shared" si="106"/>
        <v>0</v>
      </c>
      <c r="Q35" s="41">
        <f t="shared" ref="Q35:T35" si="107">SUM(Q36,Q39)</f>
        <v>0</v>
      </c>
      <c r="R35" s="41">
        <f t="shared" si="107"/>
        <v>0</v>
      </c>
      <c r="S35" s="41">
        <f t="shared" si="107"/>
        <v>0</v>
      </c>
      <c r="T35" s="41">
        <f t="shared" si="107"/>
        <v>0</v>
      </c>
      <c r="U35" s="41">
        <f t="shared" si="106"/>
        <v>0</v>
      </c>
      <c r="V35" s="41">
        <f>SUM(V36,V39)</f>
        <v>0</v>
      </c>
      <c r="W35" s="41">
        <f>SUM(W36,W39)</f>
        <v>0</v>
      </c>
      <c r="X35" s="41">
        <f t="shared" ref="X35" si="108">SUM(X36,X39)</f>
        <v>0</v>
      </c>
      <c r="Y35" s="41">
        <f t="shared" ref="Y35" si="109">SUM(Y36,Y39)</f>
        <v>0</v>
      </c>
      <c r="Z35" s="41">
        <f t="shared" ref="Z35" si="110">SUM(Z36,Z39)</f>
        <v>0</v>
      </c>
      <c r="AA35" s="41">
        <f t="shared" ref="AA35" si="111">SUM(AA36,AA39)</f>
        <v>0</v>
      </c>
      <c r="AB35" s="41">
        <f t="shared" ref="AB35" si="112">SUM(AB36,AB39)</f>
        <v>0</v>
      </c>
      <c r="AC35" s="41">
        <f t="shared" ref="AC35" si="113">SUM(AC36,AC39)</f>
        <v>0</v>
      </c>
      <c r="AD35" s="41">
        <f t="shared" ref="AD35" si="114">SUM(AD36,AD39)</f>
        <v>0</v>
      </c>
      <c r="AE35" s="41">
        <f t="shared" ref="AE35" si="115">SUM(AE36,AE39)</f>
        <v>0</v>
      </c>
      <c r="AF35" s="41">
        <f t="shared" ref="AF35" si="116">SUM(AF36,AF39)</f>
        <v>0</v>
      </c>
      <c r="AG35" s="41">
        <f t="shared" ref="AG35:AI35" si="117">SUM(AG36,AG39)</f>
        <v>0</v>
      </c>
      <c r="AH35" s="41">
        <f t="shared" si="117"/>
        <v>0</v>
      </c>
      <c r="AI35" s="41">
        <f t="shared" si="117"/>
        <v>0</v>
      </c>
      <c r="AJ35" s="41">
        <f t="shared" ref="AJ35:AL35" si="118">SUM(AJ36,AJ39)</f>
        <v>0</v>
      </c>
      <c r="AK35" s="41">
        <f>SUM(AK36,AK39)</f>
        <v>3084715</v>
      </c>
      <c r="AL35" s="41">
        <f t="shared" si="118"/>
        <v>3094715</v>
      </c>
    </row>
    <row r="36" spans="1:38" s="113" customFormat="1" ht="24" x14ac:dyDescent="0.2">
      <c r="A36" s="34"/>
      <c r="B36" s="453" t="s">
        <v>59</v>
      </c>
      <c r="C36" s="453"/>
      <c r="D36" s="35" t="s">
        <v>60</v>
      </c>
      <c r="E36" s="185">
        <f>SUM(E37:E38)</f>
        <v>11715</v>
      </c>
      <c r="F36" s="185">
        <f>SUM(F37:F38)</f>
        <v>11715</v>
      </c>
      <c r="G36" s="185">
        <f t="shared" ref="G36:U36" si="119">SUM(G37:G38)</f>
        <v>0</v>
      </c>
      <c r="H36" s="185">
        <f t="shared" si="119"/>
        <v>0</v>
      </c>
      <c r="I36" s="185">
        <f t="shared" si="119"/>
        <v>0</v>
      </c>
      <c r="J36" s="185">
        <f t="shared" si="119"/>
        <v>0</v>
      </c>
      <c r="K36" s="185">
        <f t="shared" si="119"/>
        <v>0</v>
      </c>
      <c r="L36" s="185">
        <f t="shared" si="119"/>
        <v>0</v>
      </c>
      <c r="M36" s="185">
        <f t="shared" si="119"/>
        <v>0</v>
      </c>
      <c r="N36" s="185">
        <f t="shared" si="119"/>
        <v>0</v>
      </c>
      <c r="O36" s="185">
        <f t="shared" si="119"/>
        <v>0</v>
      </c>
      <c r="P36" s="185">
        <f t="shared" si="119"/>
        <v>0</v>
      </c>
      <c r="Q36" s="185">
        <f t="shared" ref="Q36:T36" si="120">SUM(Q37:Q38)</f>
        <v>0</v>
      </c>
      <c r="R36" s="185">
        <f t="shared" si="120"/>
        <v>0</v>
      </c>
      <c r="S36" s="185">
        <f t="shared" si="120"/>
        <v>0</v>
      </c>
      <c r="T36" s="185">
        <f t="shared" si="120"/>
        <v>0</v>
      </c>
      <c r="U36" s="185">
        <f t="shared" si="119"/>
        <v>0</v>
      </c>
      <c r="V36" s="185">
        <f>SUM(V37:V38)</f>
        <v>0</v>
      </c>
      <c r="W36" s="185">
        <f>SUM(W37:W38)</f>
        <v>0</v>
      </c>
      <c r="X36" s="185">
        <f t="shared" ref="X36" si="121">SUM(X37:X38)</f>
        <v>0</v>
      </c>
      <c r="Y36" s="185">
        <f t="shared" ref="Y36" si="122">SUM(Y37:Y38)</f>
        <v>0</v>
      </c>
      <c r="Z36" s="185">
        <f t="shared" ref="Z36" si="123">SUM(Z37:Z38)</f>
        <v>0</v>
      </c>
      <c r="AA36" s="185">
        <f t="shared" ref="AA36" si="124">SUM(AA37:AA38)</f>
        <v>0</v>
      </c>
      <c r="AB36" s="185">
        <f t="shared" ref="AB36" si="125">SUM(AB37:AB38)</f>
        <v>0</v>
      </c>
      <c r="AC36" s="185">
        <f t="shared" ref="AC36" si="126">SUM(AC37:AC38)</f>
        <v>0</v>
      </c>
      <c r="AD36" s="185">
        <f t="shared" ref="AD36" si="127">SUM(AD37:AD38)</f>
        <v>0</v>
      </c>
      <c r="AE36" s="185">
        <f t="shared" ref="AE36" si="128">SUM(AE37:AE38)</f>
        <v>0</v>
      </c>
      <c r="AF36" s="185">
        <f t="shared" ref="AF36" si="129">SUM(AF37:AF38)</f>
        <v>0</v>
      </c>
      <c r="AG36" s="185">
        <f t="shared" ref="AG36:AI36" si="130">SUM(AG37:AG38)</f>
        <v>0</v>
      </c>
      <c r="AH36" s="185">
        <f t="shared" si="130"/>
        <v>0</v>
      </c>
      <c r="AI36" s="185">
        <f t="shared" si="130"/>
        <v>0</v>
      </c>
      <c r="AJ36" s="185">
        <f t="shared" ref="AJ36:AL36" si="131">SUM(AJ37:AJ38)</f>
        <v>0</v>
      </c>
      <c r="AK36" s="185">
        <f>SUM(AK37:AK38)</f>
        <v>11715</v>
      </c>
      <c r="AL36" s="185">
        <f t="shared" si="131"/>
        <v>11715</v>
      </c>
    </row>
    <row r="37" spans="1:38" ht="48" x14ac:dyDescent="0.2">
      <c r="A37" s="42"/>
      <c r="B37" s="457" t="s">
        <v>61</v>
      </c>
      <c r="C37" s="457"/>
      <c r="D37" s="43" t="s">
        <v>526</v>
      </c>
      <c r="E37" s="44">
        <v>7815</v>
      </c>
      <c r="F37" s="181">
        <f t="shared" ref="F37:F38" si="132">E37+G37</f>
        <v>7815</v>
      </c>
      <c r="G37" s="181">
        <f t="shared" ref="G37:G38" si="133">SUBTOTAL(9,H37:U37)</f>
        <v>0</v>
      </c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>
        <f t="shared" ref="W37:W38" si="134">V37+X37</f>
        <v>0</v>
      </c>
      <c r="X37" s="181">
        <f t="shared" ref="X37:X38" si="135">SUBTOTAL(9,Y37:AJ37)</f>
        <v>0</v>
      </c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>
        <f>E37+V37</f>
        <v>7815</v>
      </c>
      <c r="AL37" s="181">
        <f>W37+F37</f>
        <v>7815</v>
      </c>
    </row>
    <row r="38" spans="1:38" ht="24.75" customHeight="1" x14ac:dyDescent="0.2">
      <c r="A38" s="52"/>
      <c r="B38" s="487" t="s">
        <v>62</v>
      </c>
      <c r="C38" s="487"/>
      <c r="D38" s="53" t="s">
        <v>193</v>
      </c>
      <c r="E38" s="54">
        <v>3900</v>
      </c>
      <c r="F38" s="54">
        <f t="shared" si="132"/>
        <v>3900</v>
      </c>
      <c r="G38" s="54">
        <f t="shared" si="133"/>
        <v>0</v>
      </c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44"/>
      <c r="W38" s="54">
        <f t="shared" si="134"/>
        <v>0</v>
      </c>
      <c r="X38" s="54">
        <f t="shared" si="135"/>
        <v>0</v>
      </c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44">
        <f>E38+V38</f>
        <v>3900</v>
      </c>
      <c r="AL38" s="54">
        <f>W38+F38</f>
        <v>3900</v>
      </c>
    </row>
    <row r="39" spans="1:38" s="113" customFormat="1" x14ac:dyDescent="0.2">
      <c r="A39" s="34"/>
      <c r="B39" s="453" t="s">
        <v>63</v>
      </c>
      <c r="C39" s="453"/>
      <c r="D39" s="35" t="s">
        <v>64</v>
      </c>
      <c r="E39" s="185">
        <f>SUM(E40:E43)</f>
        <v>3073000</v>
      </c>
      <c r="F39" s="185">
        <f>SUM(F40:F43)</f>
        <v>3083000</v>
      </c>
      <c r="G39" s="185">
        <f t="shared" ref="G39:U39" si="136">SUM(G40:G43)</f>
        <v>10000</v>
      </c>
      <c r="H39" s="185">
        <f t="shared" si="136"/>
        <v>0</v>
      </c>
      <c r="I39" s="185">
        <f t="shared" si="136"/>
        <v>0</v>
      </c>
      <c r="J39" s="185">
        <f t="shared" si="136"/>
        <v>0</v>
      </c>
      <c r="K39" s="185">
        <f t="shared" si="136"/>
        <v>0</v>
      </c>
      <c r="L39" s="185">
        <f t="shared" si="136"/>
        <v>0</v>
      </c>
      <c r="M39" s="185">
        <f t="shared" si="136"/>
        <v>0</v>
      </c>
      <c r="N39" s="185">
        <f t="shared" si="136"/>
        <v>10000</v>
      </c>
      <c r="O39" s="185">
        <f t="shared" si="136"/>
        <v>0</v>
      </c>
      <c r="P39" s="185">
        <f t="shared" si="136"/>
        <v>0</v>
      </c>
      <c r="Q39" s="185">
        <f t="shared" ref="Q39:T39" si="137">SUM(Q40:Q43)</f>
        <v>0</v>
      </c>
      <c r="R39" s="185">
        <f t="shared" si="137"/>
        <v>0</v>
      </c>
      <c r="S39" s="185">
        <f t="shared" si="137"/>
        <v>0</v>
      </c>
      <c r="T39" s="185">
        <f t="shared" si="137"/>
        <v>0</v>
      </c>
      <c r="U39" s="185">
        <f t="shared" si="136"/>
        <v>0</v>
      </c>
      <c r="V39" s="185">
        <f>SUM(V40:V43)</f>
        <v>0</v>
      </c>
      <c r="W39" s="185">
        <f>SUM(W40:W43)</f>
        <v>0</v>
      </c>
      <c r="X39" s="185">
        <f t="shared" ref="X39" si="138">SUM(X40:X43)</f>
        <v>0</v>
      </c>
      <c r="Y39" s="185">
        <f t="shared" ref="Y39" si="139">SUM(Y40:Y43)</f>
        <v>0</v>
      </c>
      <c r="Z39" s="185">
        <f t="shared" ref="Z39" si="140">SUM(Z40:Z43)</f>
        <v>0</v>
      </c>
      <c r="AA39" s="185">
        <f t="shared" ref="AA39" si="141">SUM(AA40:AA43)</f>
        <v>0</v>
      </c>
      <c r="AB39" s="185">
        <f t="shared" ref="AB39" si="142">SUM(AB40:AB43)</f>
        <v>0</v>
      </c>
      <c r="AC39" s="185">
        <f t="shared" ref="AC39" si="143">SUM(AC40:AC43)</f>
        <v>0</v>
      </c>
      <c r="AD39" s="185">
        <f t="shared" ref="AD39" si="144">SUM(AD40:AD43)</f>
        <v>0</v>
      </c>
      <c r="AE39" s="185">
        <f t="shared" ref="AE39" si="145">SUM(AE40:AE43)</f>
        <v>0</v>
      </c>
      <c r="AF39" s="185">
        <f t="shared" ref="AF39" si="146">SUM(AF40:AF43)</f>
        <v>0</v>
      </c>
      <c r="AG39" s="185">
        <f t="shared" ref="AG39:AI39" si="147">SUM(AG40:AG43)</f>
        <v>0</v>
      </c>
      <c r="AH39" s="185">
        <f t="shared" si="147"/>
        <v>0</v>
      </c>
      <c r="AI39" s="185">
        <f t="shared" si="147"/>
        <v>0</v>
      </c>
      <c r="AJ39" s="185">
        <f t="shared" ref="AJ39:AL39" si="148">SUM(AJ40:AJ43)</f>
        <v>0</v>
      </c>
      <c r="AK39" s="189">
        <f>SUM(AK40:AK43)</f>
        <v>3073000</v>
      </c>
      <c r="AL39" s="185">
        <f t="shared" si="148"/>
        <v>3083000</v>
      </c>
    </row>
    <row r="40" spans="1:38" x14ac:dyDescent="0.2">
      <c r="A40" s="55"/>
      <c r="B40" s="454" t="s">
        <v>65</v>
      </c>
      <c r="C40" s="454"/>
      <c r="D40" s="56" t="s">
        <v>140</v>
      </c>
      <c r="E40" s="186">
        <v>41000</v>
      </c>
      <c r="F40" s="186">
        <f t="shared" ref="F40:F43" si="149">E40+G40</f>
        <v>41000</v>
      </c>
      <c r="G40" s="186">
        <f t="shared" ref="G40:G43" si="150">SUBTOTAL(9,H40:U40)</f>
        <v>0</v>
      </c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>
        <f t="shared" ref="W40:W43" si="151">V40+X40</f>
        <v>0</v>
      </c>
      <c r="X40" s="186">
        <f t="shared" ref="X40:X43" si="152">SUBTOTAL(9,Y40:AJ40)</f>
        <v>0</v>
      </c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>
        <f>E40+V40</f>
        <v>41000</v>
      </c>
      <c r="AL40" s="186">
        <f>W40+F40</f>
        <v>41000</v>
      </c>
    </row>
    <row r="41" spans="1:38" ht="24" x14ac:dyDescent="0.2">
      <c r="A41" s="55"/>
      <c r="B41" s="454" t="s">
        <v>66</v>
      </c>
      <c r="C41" s="454"/>
      <c r="D41" s="56" t="s">
        <v>141</v>
      </c>
      <c r="E41" s="186">
        <v>2900000</v>
      </c>
      <c r="F41" s="186">
        <f t="shared" si="149"/>
        <v>2900000</v>
      </c>
      <c r="G41" s="186">
        <f t="shared" si="150"/>
        <v>0</v>
      </c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>
        <f t="shared" si="151"/>
        <v>0</v>
      </c>
      <c r="X41" s="186">
        <f t="shared" si="152"/>
        <v>0</v>
      </c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>
        <f>E41+V41</f>
        <v>2900000</v>
      </c>
      <c r="AL41" s="186">
        <f>W41+F41</f>
        <v>2900000</v>
      </c>
    </row>
    <row r="42" spans="1:38" ht="24" x14ac:dyDescent="0.2">
      <c r="A42" s="55"/>
      <c r="B42" s="454" t="s">
        <v>67</v>
      </c>
      <c r="C42" s="454"/>
      <c r="D42" s="56" t="s">
        <v>142</v>
      </c>
      <c r="E42" s="186">
        <v>52000</v>
      </c>
      <c r="F42" s="186">
        <f t="shared" si="149"/>
        <v>52000</v>
      </c>
      <c r="G42" s="186">
        <f t="shared" si="150"/>
        <v>0</v>
      </c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>
        <f t="shared" si="151"/>
        <v>0</v>
      </c>
      <c r="X42" s="186">
        <f t="shared" si="152"/>
        <v>0</v>
      </c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>
        <f>E42+V42</f>
        <v>52000</v>
      </c>
      <c r="AL42" s="186">
        <f>W42+F42</f>
        <v>52000</v>
      </c>
    </row>
    <row r="43" spans="1:38" ht="24" x14ac:dyDescent="0.2">
      <c r="A43" s="39"/>
      <c r="B43" s="463" t="s">
        <v>130</v>
      </c>
      <c r="C43" s="463"/>
      <c r="D43" s="40" t="s">
        <v>527</v>
      </c>
      <c r="E43" s="183">
        <v>80000</v>
      </c>
      <c r="F43" s="184">
        <f t="shared" si="149"/>
        <v>90000</v>
      </c>
      <c r="G43" s="184">
        <f t="shared" si="150"/>
        <v>10000</v>
      </c>
      <c r="H43" s="184"/>
      <c r="I43" s="184"/>
      <c r="J43" s="184"/>
      <c r="K43" s="184"/>
      <c r="L43" s="184"/>
      <c r="M43" s="184"/>
      <c r="N43" s="184">
        <v>10000</v>
      </c>
      <c r="O43" s="184"/>
      <c r="P43" s="184"/>
      <c r="Q43" s="184"/>
      <c r="R43" s="184"/>
      <c r="S43" s="184"/>
      <c r="T43" s="184"/>
      <c r="U43" s="184"/>
      <c r="V43" s="184"/>
      <c r="W43" s="184">
        <f t="shared" si="151"/>
        <v>0</v>
      </c>
      <c r="X43" s="184">
        <f t="shared" si="152"/>
        <v>0</v>
      </c>
      <c r="Y43" s="184"/>
      <c r="Z43" s="184"/>
      <c r="AA43" s="184"/>
      <c r="AB43" s="184"/>
      <c r="AC43" s="184"/>
      <c r="AD43" s="184"/>
      <c r="AE43" s="184"/>
      <c r="AF43" s="184"/>
      <c r="AG43" s="184"/>
      <c r="AH43" s="184"/>
      <c r="AI43" s="184"/>
      <c r="AJ43" s="184"/>
      <c r="AK43" s="184">
        <f>E43+V43</f>
        <v>80000</v>
      </c>
      <c r="AL43" s="184">
        <f>W43+F43</f>
        <v>90000</v>
      </c>
    </row>
    <row r="44" spans="1:38" s="114" customFormat="1" x14ac:dyDescent="0.2">
      <c r="A44" s="458" t="s">
        <v>68</v>
      </c>
      <c r="B44" s="459"/>
      <c r="C44" s="459"/>
      <c r="D44" s="51" t="s">
        <v>69</v>
      </c>
      <c r="E44" s="41">
        <f t="shared" ref="E44:AK44" si="153">SUM(E45)</f>
        <v>821100</v>
      </c>
      <c r="F44" s="41">
        <f t="shared" si="153"/>
        <v>961100</v>
      </c>
      <c r="G44" s="41">
        <f t="shared" si="153"/>
        <v>140000</v>
      </c>
      <c r="H44" s="41">
        <f t="shared" si="153"/>
        <v>0</v>
      </c>
      <c r="I44" s="41">
        <f t="shared" si="153"/>
        <v>0</v>
      </c>
      <c r="J44" s="41">
        <f t="shared" si="153"/>
        <v>0</v>
      </c>
      <c r="K44" s="41">
        <f t="shared" si="153"/>
        <v>0</v>
      </c>
      <c r="L44" s="41">
        <f t="shared" si="153"/>
        <v>0</v>
      </c>
      <c r="M44" s="41">
        <f t="shared" si="153"/>
        <v>0</v>
      </c>
      <c r="N44" s="41">
        <f t="shared" si="153"/>
        <v>140000</v>
      </c>
      <c r="O44" s="41">
        <f t="shared" si="153"/>
        <v>0</v>
      </c>
      <c r="P44" s="41">
        <f t="shared" si="153"/>
        <v>0</v>
      </c>
      <c r="Q44" s="41">
        <f t="shared" si="153"/>
        <v>0</v>
      </c>
      <c r="R44" s="41">
        <f t="shared" si="153"/>
        <v>0</v>
      </c>
      <c r="S44" s="41">
        <f t="shared" si="153"/>
        <v>0</v>
      </c>
      <c r="T44" s="41">
        <f t="shared" si="153"/>
        <v>0</v>
      </c>
      <c r="U44" s="41">
        <f t="shared" si="153"/>
        <v>0</v>
      </c>
      <c r="V44" s="41">
        <f t="shared" si="153"/>
        <v>0</v>
      </c>
      <c r="W44" s="41">
        <f t="shared" ref="W44:AJ44" si="154">SUM(W45)</f>
        <v>0</v>
      </c>
      <c r="X44" s="41">
        <f t="shared" si="154"/>
        <v>0</v>
      </c>
      <c r="Y44" s="41">
        <f t="shared" si="154"/>
        <v>0</v>
      </c>
      <c r="Z44" s="41">
        <f t="shared" si="154"/>
        <v>0</v>
      </c>
      <c r="AA44" s="41">
        <f t="shared" si="154"/>
        <v>0</v>
      </c>
      <c r="AB44" s="41">
        <f t="shared" si="154"/>
        <v>0</v>
      </c>
      <c r="AC44" s="41">
        <f t="shared" si="154"/>
        <v>0</v>
      </c>
      <c r="AD44" s="41">
        <f t="shared" si="154"/>
        <v>0</v>
      </c>
      <c r="AE44" s="41">
        <f t="shared" si="154"/>
        <v>0</v>
      </c>
      <c r="AF44" s="41">
        <f t="shared" si="154"/>
        <v>0</v>
      </c>
      <c r="AG44" s="41">
        <f t="shared" si="154"/>
        <v>0</v>
      </c>
      <c r="AH44" s="41">
        <f t="shared" si="154"/>
        <v>0</v>
      </c>
      <c r="AI44" s="41">
        <f t="shared" si="154"/>
        <v>0</v>
      </c>
      <c r="AJ44" s="41">
        <f t="shared" si="154"/>
        <v>0</v>
      </c>
      <c r="AK44" s="41">
        <f t="shared" si="153"/>
        <v>821100</v>
      </c>
      <c r="AL44" s="41">
        <f>SUM(AL45)</f>
        <v>961100</v>
      </c>
    </row>
    <row r="45" spans="1:38" s="113" customFormat="1" x14ac:dyDescent="0.2">
      <c r="A45" s="34"/>
      <c r="B45" s="453" t="s">
        <v>70</v>
      </c>
      <c r="C45" s="453"/>
      <c r="D45" s="35" t="s">
        <v>71</v>
      </c>
      <c r="E45" s="185">
        <f t="shared" ref="E45:AK45" si="155">E46</f>
        <v>821100</v>
      </c>
      <c r="F45" s="185">
        <f t="shared" si="155"/>
        <v>961100</v>
      </c>
      <c r="G45" s="185">
        <f t="shared" si="155"/>
        <v>140000</v>
      </c>
      <c r="H45" s="185">
        <f t="shared" si="155"/>
        <v>0</v>
      </c>
      <c r="I45" s="185">
        <f t="shared" si="155"/>
        <v>0</v>
      </c>
      <c r="J45" s="185">
        <f t="shared" si="155"/>
        <v>0</v>
      </c>
      <c r="K45" s="185">
        <f t="shared" si="155"/>
        <v>0</v>
      </c>
      <c r="L45" s="185">
        <f t="shared" si="155"/>
        <v>0</v>
      </c>
      <c r="M45" s="185">
        <f t="shared" si="155"/>
        <v>0</v>
      </c>
      <c r="N45" s="185">
        <f t="shared" si="155"/>
        <v>140000</v>
      </c>
      <c r="O45" s="185">
        <f t="shared" si="155"/>
        <v>0</v>
      </c>
      <c r="P45" s="185">
        <f t="shared" si="155"/>
        <v>0</v>
      </c>
      <c r="Q45" s="185">
        <f t="shared" si="155"/>
        <v>0</v>
      </c>
      <c r="R45" s="185">
        <f t="shared" si="155"/>
        <v>0</v>
      </c>
      <c r="S45" s="185">
        <f t="shared" si="155"/>
        <v>0</v>
      </c>
      <c r="T45" s="185">
        <f t="shared" si="155"/>
        <v>0</v>
      </c>
      <c r="U45" s="185">
        <f t="shared" si="155"/>
        <v>0</v>
      </c>
      <c r="V45" s="185">
        <f t="shared" si="155"/>
        <v>0</v>
      </c>
      <c r="W45" s="185">
        <f t="shared" ref="W45:AJ45" si="156">W46</f>
        <v>0</v>
      </c>
      <c r="X45" s="185">
        <f t="shared" si="156"/>
        <v>0</v>
      </c>
      <c r="Y45" s="185">
        <f t="shared" si="156"/>
        <v>0</v>
      </c>
      <c r="Z45" s="185">
        <f t="shared" si="156"/>
        <v>0</v>
      </c>
      <c r="AA45" s="185">
        <f t="shared" si="156"/>
        <v>0</v>
      </c>
      <c r="AB45" s="185">
        <f t="shared" si="156"/>
        <v>0</v>
      </c>
      <c r="AC45" s="185">
        <f t="shared" si="156"/>
        <v>0</v>
      </c>
      <c r="AD45" s="185">
        <f t="shared" si="156"/>
        <v>0</v>
      </c>
      <c r="AE45" s="185">
        <f t="shared" si="156"/>
        <v>0</v>
      </c>
      <c r="AF45" s="185">
        <f t="shared" si="156"/>
        <v>0</v>
      </c>
      <c r="AG45" s="185">
        <f t="shared" si="156"/>
        <v>0</v>
      </c>
      <c r="AH45" s="185">
        <f t="shared" si="156"/>
        <v>0</v>
      </c>
      <c r="AI45" s="185">
        <f t="shared" si="156"/>
        <v>0</v>
      </c>
      <c r="AJ45" s="185">
        <f t="shared" si="156"/>
        <v>0</v>
      </c>
      <c r="AK45" s="185">
        <f t="shared" si="155"/>
        <v>821100</v>
      </c>
      <c r="AL45" s="185">
        <f>AL46</f>
        <v>961100</v>
      </c>
    </row>
    <row r="46" spans="1:38" x14ac:dyDescent="0.2">
      <c r="A46" s="116"/>
      <c r="B46" s="461" t="s">
        <v>72</v>
      </c>
      <c r="C46" s="461"/>
      <c r="D46" s="276" t="s">
        <v>73</v>
      </c>
      <c r="E46" s="274">
        <f>48000+100000+673100</f>
        <v>821100</v>
      </c>
      <c r="F46" s="54">
        <f>E46+G46</f>
        <v>961100</v>
      </c>
      <c r="G46" s="54">
        <f>SUBTOTAL(9,H46:U46)</f>
        <v>140000</v>
      </c>
      <c r="H46" s="54"/>
      <c r="I46" s="54"/>
      <c r="J46" s="54"/>
      <c r="K46" s="54"/>
      <c r="L46" s="54"/>
      <c r="M46" s="54"/>
      <c r="N46" s="54">
        <v>140000</v>
      </c>
      <c r="O46" s="54"/>
      <c r="P46" s="54"/>
      <c r="Q46" s="54"/>
      <c r="R46" s="54"/>
      <c r="S46" s="54"/>
      <c r="T46" s="54"/>
      <c r="U46" s="54"/>
      <c r="V46" s="44"/>
      <c r="W46" s="54">
        <f>V46+X46</f>
        <v>0</v>
      </c>
      <c r="X46" s="54">
        <f>SUBTOTAL(9,Y46:AJ46)</f>
        <v>0</v>
      </c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44">
        <f>E46+V46</f>
        <v>821100</v>
      </c>
      <c r="AL46" s="54">
        <f>W46+F46</f>
        <v>961100</v>
      </c>
    </row>
    <row r="47" spans="1:38" s="114" customFormat="1" x14ac:dyDescent="0.2">
      <c r="A47" s="458" t="s">
        <v>74</v>
      </c>
      <c r="B47" s="459"/>
      <c r="C47" s="459"/>
      <c r="D47" s="51" t="s">
        <v>75</v>
      </c>
      <c r="E47" s="41">
        <f t="shared" ref="E47:F47" si="157">SUM(E48,E50)</f>
        <v>288124</v>
      </c>
      <c r="F47" s="41">
        <f t="shared" si="157"/>
        <v>328199</v>
      </c>
      <c r="G47" s="41">
        <f t="shared" ref="G47:U47" si="158">SUM(G48,G50)</f>
        <v>40075</v>
      </c>
      <c r="H47" s="41">
        <f t="shared" si="158"/>
        <v>0</v>
      </c>
      <c r="I47" s="41">
        <f t="shared" si="158"/>
        <v>40075</v>
      </c>
      <c r="J47" s="41">
        <f t="shared" si="158"/>
        <v>0</v>
      </c>
      <c r="K47" s="41">
        <f t="shared" si="158"/>
        <v>0</v>
      </c>
      <c r="L47" s="41">
        <f t="shared" si="158"/>
        <v>0</v>
      </c>
      <c r="M47" s="41">
        <f t="shared" si="158"/>
        <v>0</v>
      </c>
      <c r="N47" s="41">
        <f t="shared" si="158"/>
        <v>0</v>
      </c>
      <c r="O47" s="41">
        <f t="shared" si="158"/>
        <v>0</v>
      </c>
      <c r="P47" s="41">
        <f t="shared" si="158"/>
        <v>0</v>
      </c>
      <c r="Q47" s="41">
        <f t="shared" ref="Q47:T47" si="159">SUM(Q48,Q50)</f>
        <v>0</v>
      </c>
      <c r="R47" s="41">
        <f t="shared" si="159"/>
        <v>0</v>
      </c>
      <c r="S47" s="41">
        <f t="shared" si="159"/>
        <v>0</v>
      </c>
      <c r="T47" s="41">
        <f t="shared" si="159"/>
        <v>0</v>
      </c>
      <c r="U47" s="41">
        <f t="shared" si="158"/>
        <v>0</v>
      </c>
      <c r="V47" s="41">
        <f t="shared" ref="V47" si="160">SUM(V48,V50)</f>
        <v>0</v>
      </c>
      <c r="W47" s="41">
        <f t="shared" ref="W47:AJ47" si="161">SUM(W48,W50)</f>
        <v>0</v>
      </c>
      <c r="X47" s="41">
        <f t="shared" si="161"/>
        <v>0</v>
      </c>
      <c r="Y47" s="41">
        <f t="shared" si="161"/>
        <v>0</v>
      </c>
      <c r="Z47" s="41">
        <f t="shared" si="161"/>
        <v>0</v>
      </c>
      <c r="AA47" s="41">
        <f t="shared" si="161"/>
        <v>0</v>
      </c>
      <c r="AB47" s="41">
        <f t="shared" si="161"/>
        <v>0</v>
      </c>
      <c r="AC47" s="41">
        <f t="shared" si="161"/>
        <v>0</v>
      </c>
      <c r="AD47" s="41">
        <f t="shared" si="161"/>
        <v>0</v>
      </c>
      <c r="AE47" s="41">
        <f t="shared" si="161"/>
        <v>0</v>
      </c>
      <c r="AF47" s="41">
        <f t="shared" si="161"/>
        <v>0</v>
      </c>
      <c r="AG47" s="41">
        <f t="shared" si="161"/>
        <v>0</v>
      </c>
      <c r="AH47" s="41">
        <f t="shared" ref="AH47:AI47" si="162">SUM(AH48,AH50)</f>
        <v>0</v>
      </c>
      <c r="AI47" s="41">
        <f t="shared" si="162"/>
        <v>0</v>
      </c>
      <c r="AJ47" s="41">
        <f t="shared" si="161"/>
        <v>0</v>
      </c>
      <c r="AK47" s="41">
        <f t="shared" ref="AK47" si="163">SUM(AK48,AK50)</f>
        <v>524548</v>
      </c>
      <c r="AL47" s="41">
        <f>SUM(AL48,AL50)</f>
        <v>328199</v>
      </c>
    </row>
    <row r="48" spans="1:38" s="113" customFormat="1" ht="24" x14ac:dyDescent="0.2">
      <c r="A48" s="34"/>
      <c r="B48" s="483" t="s">
        <v>76</v>
      </c>
      <c r="C48" s="484"/>
      <c r="D48" s="57" t="s">
        <v>77</v>
      </c>
      <c r="E48" s="185">
        <f t="shared" ref="E48:AK48" si="164">SUM(E49)</f>
        <v>51700</v>
      </c>
      <c r="F48" s="185">
        <f t="shared" si="164"/>
        <v>51700</v>
      </c>
      <c r="G48" s="185">
        <f t="shared" si="164"/>
        <v>0</v>
      </c>
      <c r="H48" s="185">
        <f t="shared" si="164"/>
        <v>0</v>
      </c>
      <c r="I48" s="185">
        <f t="shared" si="164"/>
        <v>0</v>
      </c>
      <c r="J48" s="185">
        <f t="shared" si="164"/>
        <v>0</v>
      </c>
      <c r="K48" s="185">
        <f t="shared" si="164"/>
        <v>0</v>
      </c>
      <c r="L48" s="185">
        <f t="shared" si="164"/>
        <v>0</v>
      </c>
      <c r="M48" s="185">
        <f t="shared" si="164"/>
        <v>0</v>
      </c>
      <c r="N48" s="185">
        <f t="shared" si="164"/>
        <v>0</v>
      </c>
      <c r="O48" s="185">
        <f t="shared" si="164"/>
        <v>0</v>
      </c>
      <c r="P48" s="185">
        <f t="shared" si="164"/>
        <v>0</v>
      </c>
      <c r="Q48" s="185">
        <f t="shared" si="164"/>
        <v>0</v>
      </c>
      <c r="R48" s="185">
        <f t="shared" si="164"/>
        <v>0</v>
      </c>
      <c r="S48" s="185">
        <f t="shared" si="164"/>
        <v>0</v>
      </c>
      <c r="T48" s="185">
        <f t="shared" si="164"/>
        <v>0</v>
      </c>
      <c r="U48" s="185">
        <f t="shared" si="164"/>
        <v>0</v>
      </c>
      <c r="V48" s="185">
        <f t="shared" si="164"/>
        <v>0</v>
      </c>
      <c r="W48" s="185">
        <f t="shared" ref="W48:AJ48" si="165">SUM(W49)</f>
        <v>0</v>
      </c>
      <c r="X48" s="185">
        <f t="shared" si="165"/>
        <v>0</v>
      </c>
      <c r="Y48" s="185">
        <f t="shared" si="165"/>
        <v>0</v>
      </c>
      <c r="Z48" s="185">
        <f t="shared" si="165"/>
        <v>0</v>
      </c>
      <c r="AA48" s="185">
        <f t="shared" si="165"/>
        <v>0</v>
      </c>
      <c r="AB48" s="185">
        <f t="shared" si="165"/>
        <v>0</v>
      </c>
      <c r="AC48" s="185">
        <f t="shared" si="165"/>
        <v>0</v>
      </c>
      <c r="AD48" s="185">
        <f t="shared" si="165"/>
        <v>0</v>
      </c>
      <c r="AE48" s="185">
        <f t="shared" si="165"/>
        <v>0</v>
      </c>
      <c r="AF48" s="185">
        <f t="shared" si="165"/>
        <v>0</v>
      </c>
      <c r="AG48" s="185">
        <f t="shared" si="165"/>
        <v>0</v>
      </c>
      <c r="AH48" s="185">
        <f t="shared" si="165"/>
        <v>0</v>
      </c>
      <c r="AI48" s="185">
        <f t="shared" si="165"/>
        <v>0</v>
      </c>
      <c r="AJ48" s="185">
        <f t="shared" si="165"/>
        <v>0</v>
      </c>
      <c r="AK48" s="189">
        <f t="shared" si="164"/>
        <v>51700</v>
      </c>
      <c r="AL48" s="185">
        <f>SUM(AL49)</f>
        <v>51700</v>
      </c>
    </row>
    <row r="49" spans="1:38" ht="24" x14ac:dyDescent="0.2">
      <c r="A49" s="36"/>
      <c r="B49" s="485" t="s">
        <v>78</v>
      </c>
      <c r="C49" s="486"/>
      <c r="D49" s="277" t="s">
        <v>79</v>
      </c>
      <c r="E49" s="181">
        <v>51700</v>
      </c>
      <c r="F49" s="181">
        <f>E49+G49</f>
        <v>51700</v>
      </c>
      <c r="G49" s="181">
        <f>SUBTOTAL(9,H49:U49)</f>
        <v>0</v>
      </c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>
        <f>V49+X49</f>
        <v>0</v>
      </c>
      <c r="X49" s="181">
        <f>SUBTOTAL(9,Y49:AJ49)</f>
        <v>0</v>
      </c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>
        <f>E49+V49</f>
        <v>51700</v>
      </c>
      <c r="AL49" s="181">
        <f>W49+F49</f>
        <v>51700</v>
      </c>
    </row>
    <row r="50" spans="1:38" s="113" customFormat="1" x14ac:dyDescent="0.2">
      <c r="A50" s="34"/>
      <c r="B50" s="453" t="s">
        <v>80</v>
      </c>
      <c r="C50" s="453"/>
      <c r="D50" s="35" t="s">
        <v>116</v>
      </c>
      <c r="E50" s="185">
        <f>SUM(E51+E53)</f>
        <v>236424</v>
      </c>
      <c r="F50" s="185">
        <f>SUM(F51+F53)</f>
        <v>276499</v>
      </c>
      <c r="G50" s="185">
        <f t="shared" ref="G50:U50" si="166">SUM(G51+G53)</f>
        <v>40075</v>
      </c>
      <c r="H50" s="185">
        <f t="shared" si="166"/>
        <v>0</v>
      </c>
      <c r="I50" s="185">
        <f t="shared" si="166"/>
        <v>40075</v>
      </c>
      <c r="J50" s="185">
        <f t="shared" si="166"/>
        <v>0</v>
      </c>
      <c r="K50" s="185">
        <f t="shared" si="166"/>
        <v>0</v>
      </c>
      <c r="L50" s="185">
        <f t="shared" si="166"/>
        <v>0</v>
      </c>
      <c r="M50" s="185">
        <f t="shared" si="166"/>
        <v>0</v>
      </c>
      <c r="N50" s="185">
        <f t="shared" si="166"/>
        <v>0</v>
      </c>
      <c r="O50" s="185">
        <f t="shared" si="166"/>
        <v>0</v>
      </c>
      <c r="P50" s="185">
        <f t="shared" si="166"/>
        <v>0</v>
      </c>
      <c r="Q50" s="185">
        <f t="shared" ref="Q50:T50" si="167">SUM(Q51+Q53)</f>
        <v>0</v>
      </c>
      <c r="R50" s="185">
        <f t="shared" si="167"/>
        <v>0</v>
      </c>
      <c r="S50" s="185">
        <f t="shared" si="167"/>
        <v>0</v>
      </c>
      <c r="T50" s="185">
        <f t="shared" si="167"/>
        <v>0</v>
      </c>
      <c r="U50" s="185">
        <f t="shared" si="166"/>
        <v>0</v>
      </c>
      <c r="V50" s="185">
        <f>SUM(V51+V53)</f>
        <v>0</v>
      </c>
      <c r="W50" s="185">
        <f>SUM(W51+W53)</f>
        <v>0</v>
      </c>
      <c r="X50" s="185">
        <f t="shared" ref="X50" si="168">SUM(X51+X53)</f>
        <v>0</v>
      </c>
      <c r="Y50" s="185">
        <f t="shared" ref="Y50" si="169">SUM(Y51+Y53)</f>
        <v>0</v>
      </c>
      <c r="Z50" s="185">
        <f t="shared" ref="Z50" si="170">SUM(Z51+Z53)</f>
        <v>0</v>
      </c>
      <c r="AA50" s="185">
        <f t="shared" ref="AA50" si="171">SUM(AA51+AA53)</f>
        <v>0</v>
      </c>
      <c r="AB50" s="185">
        <f t="shared" ref="AB50" si="172">SUM(AB51+AB53)</f>
        <v>0</v>
      </c>
      <c r="AC50" s="185">
        <f t="shared" ref="AC50" si="173">SUM(AC51+AC53)</f>
        <v>0</v>
      </c>
      <c r="AD50" s="185">
        <f t="shared" ref="AD50" si="174">SUM(AD51+AD53)</f>
        <v>0</v>
      </c>
      <c r="AE50" s="185">
        <f t="shared" ref="AE50" si="175">SUM(AE51+AE53)</f>
        <v>0</v>
      </c>
      <c r="AF50" s="185">
        <f t="shared" ref="AF50" si="176">SUM(AF51+AF53)</f>
        <v>0</v>
      </c>
      <c r="AG50" s="185">
        <f t="shared" ref="AG50:AI50" si="177">SUM(AG51+AG53)</f>
        <v>0</v>
      </c>
      <c r="AH50" s="185">
        <f t="shared" si="177"/>
        <v>0</v>
      </c>
      <c r="AI50" s="185">
        <f t="shared" si="177"/>
        <v>0</v>
      </c>
      <c r="AJ50" s="185">
        <f t="shared" ref="AJ50:AL50" si="178">SUM(AJ51+AJ53)</f>
        <v>0</v>
      </c>
      <c r="AK50" s="185">
        <f>SUM(AK51+AK53)</f>
        <v>472848</v>
      </c>
      <c r="AL50" s="185">
        <f t="shared" si="178"/>
        <v>276499</v>
      </c>
    </row>
    <row r="51" spans="1:38" s="113" customFormat="1" x14ac:dyDescent="0.2">
      <c r="A51" s="128"/>
      <c r="B51" s="457" t="s">
        <v>275</v>
      </c>
      <c r="C51" s="460"/>
      <c r="D51" s="37" t="s">
        <v>621</v>
      </c>
      <c r="E51" s="181">
        <f>SUM(E52:E52)</f>
        <v>0</v>
      </c>
      <c r="F51" s="181">
        <f>SUM(F52:F52)</f>
        <v>0</v>
      </c>
      <c r="G51" s="181">
        <f t="shared" ref="G51:U51" si="179">SUM(G52:G52)</f>
        <v>0</v>
      </c>
      <c r="H51" s="181">
        <f t="shared" si="179"/>
        <v>0</v>
      </c>
      <c r="I51" s="181">
        <f t="shared" si="179"/>
        <v>0</v>
      </c>
      <c r="J51" s="181">
        <f t="shared" si="179"/>
        <v>0</v>
      </c>
      <c r="K51" s="181">
        <f t="shared" si="179"/>
        <v>0</v>
      </c>
      <c r="L51" s="181">
        <f t="shared" si="179"/>
        <v>0</v>
      </c>
      <c r="M51" s="181">
        <f t="shared" si="179"/>
        <v>0</v>
      </c>
      <c r="N51" s="181">
        <f t="shared" si="179"/>
        <v>0</v>
      </c>
      <c r="O51" s="181">
        <f t="shared" si="179"/>
        <v>0</v>
      </c>
      <c r="P51" s="181">
        <f t="shared" si="179"/>
        <v>0</v>
      </c>
      <c r="Q51" s="181">
        <f t="shared" si="179"/>
        <v>0</v>
      </c>
      <c r="R51" s="181">
        <f t="shared" si="179"/>
        <v>0</v>
      </c>
      <c r="S51" s="181">
        <f t="shared" si="179"/>
        <v>0</v>
      </c>
      <c r="T51" s="181">
        <f t="shared" si="179"/>
        <v>0</v>
      </c>
      <c r="U51" s="181">
        <f t="shared" si="179"/>
        <v>0</v>
      </c>
      <c r="V51" s="181">
        <f>SUM(V52:V52)</f>
        <v>0</v>
      </c>
      <c r="W51" s="181">
        <f>SUM(W52:W52)</f>
        <v>0</v>
      </c>
      <c r="X51" s="181">
        <f t="shared" ref="X51" si="180">SUM(X52:X52)</f>
        <v>0</v>
      </c>
      <c r="Y51" s="181">
        <f t="shared" ref="Y51" si="181">SUM(Y52:Y52)</f>
        <v>0</v>
      </c>
      <c r="Z51" s="181">
        <f t="shared" ref="Z51" si="182">SUM(Z52:Z52)</f>
        <v>0</v>
      </c>
      <c r="AA51" s="181">
        <f t="shared" ref="AA51" si="183">SUM(AA52:AA52)</f>
        <v>0</v>
      </c>
      <c r="AB51" s="181">
        <f t="shared" ref="AB51" si="184">SUM(AB52:AB52)</f>
        <v>0</v>
      </c>
      <c r="AC51" s="181">
        <f t="shared" ref="AC51" si="185">SUM(AC52:AC52)</f>
        <v>0</v>
      </c>
      <c r="AD51" s="181">
        <f t="shared" ref="AD51" si="186">SUM(AD52:AD52)</f>
        <v>0</v>
      </c>
      <c r="AE51" s="181">
        <f t="shared" ref="AE51" si="187">SUM(AE52:AE52)</f>
        <v>0</v>
      </c>
      <c r="AF51" s="181">
        <f t="shared" ref="AF51" si="188">SUM(AF52:AF52)</f>
        <v>0</v>
      </c>
      <c r="AG51" s="181">
        <f t="shared" ref="AG51" si="189">SUM(AG52:AG52)</f>
        <v>0</v>
      </c>
      <c r="AH51" s="181">
        <f t="shared" ref="AH51:AJ51" si="190">SUM(AH52:AH52)</f>
        <v>0</v>
      </c>
      <c r="AI51" s="181">
        <f t="shared" si="190"/>
        <v>0</v>
      </c>
      <c r="AJ51" s="181">
        <f t="shared" si="190"/>
        <v>0</v>
      </c>
      <c r="AK51" s="181">
        <f>SUM(AK52:AK52)</f>
        <v>236424</v>
      </c>
      <c r="AL51" s="181">
        <f>SUM(AL52:AL52)</f>
        <v>0</v>
      </c>
    </row>
    <row r="52" spans="1:38" s="113" customFormat="1" x14ac:dyDescent="0.2">
      <c r="A52" s="128"/>
      <c r="B52" s="275"/>
      <c r="C52" s="335" t="s">
        <v>619</v>
      </c>
      <c r="D52" s="37" t="s">
        <v>620</v>
      </c>
      <c r="E52" s="181"/>
      <c r="F52" s="181">
        <f>E52+G52</f>
        <v>0</v>
      </c>
      <c r="G52" s="181">
        <f>SUBTOTAL(9,H52:U52)</f>
        <v>0</v>
      </c>
      <c r="H52" s="181"/>
      <c r="I52" s="181">
        <f>236424-236424</f>
        <v>0</v>
      </c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>
        <f>V52+X52</f>
        <v>0</v>
      </c>
      <c r="X52" s="181">
        <f>SUBTOTAL(9,Y52:AJ52)</f>
        <v>0</v>
      </c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>
        <f>SUM(AK53:AK53)</f>
        <v>236424</v>
      </c>
      <c r="AL52" s="273">
        <f>W52+F52</f>
        <v>0</v>
      </c>
    </row>
    <row r="53" spans="1:38" x14ac:dyDescent="0.2">
      <c r="A53" s="36"/>
      <c r="B53" s="462" t="s">
        <v>117</v>
      </c>
      <c r="C53" s="462"/>
      <c r="D53" s="37" t="s">
        <v>81</v>
      </c>
      <c r="E53" s="181">
        <f>SUM(E54:E54)</f>
        <v>236424</v>
      </c>
      <c r="F53" s="181">
        <f>SUM(F54:F54)</f>
        <v>276499</v>
      </c>
      <c r="G53" s="181">
        <f t="shared" ref="G53:U53" si="191">SUM(G54:G54)</f>
        <v>40075</v>
      </c>
      <c r="H53" s="181">
        <f t="shared" si="191"/>
        <v>0</v>
      </c>
      <c r="I53" s="181">
        <f t="shared" si="191"/>
        <v>40075</v>
      </c>
      <c r="J53" s="181">
        <f t="shared" si="191"/>
        <v>0</v>
      </c>
      <c r="K53" s="181">
        <f t="shared" si="191"/>
        <v>0</v>
      </c>
      <c r="L53" s="181">
        <f t="shared" si="191"/>
        <v>0</v>
      </c>
      <c r="M53" s="181">
        <f t="shared" si="191"/>
        <v>0</v>
      </c>
      <c r="N53" s="181">
        <f t="shared" si="191"/>
        <v>0</v>
      </c>
      <c r="O53" s="181">
        <f t="shared" si="191"/>
        <v>0</v>
      </c>
      <c r="P53" s="181">
        <f t="shared" si="191"/>
        <v>0</v>
      </c>
      <c r="Q53" s="181">
        <f t="shared" si="191"/>
        <v>0</v>
      </c>
      <c r="R53" s="181">
        <f t="shared" si="191"/>
        <v>0</v>
      </c>
      <c r="S53" s="181">
        <f t="shared" si="191"/>
        <v>0</v>
      </c>
      <c r="T53" s="181">
        <f t="shared" si="191"/>
        <v>0</v>
      </c>
      <c r="U53" s="181">
        <f t="shared" si="191"/>
        <v>0</v>
      </c>
      <c r="V53" s="181">
        <f>SUM(V54:V54)</f>
        <v>0</v>
      </c>
      <c r="W53" s="181">
        <f>SUM(W54:W54)</f>
        <v>0</v>
      </c>
      <c r="X53" s="181">
        <f t="shared" ref="X53" si="192">SUM(X54:X54)</f>
        <v>0</v>
      </c>
      <c r="Y53" s="181">
        <f t="shared" ref="Y53" si="193">SUM(Y54:Y54)</f>
        <v>0</v>
      </c>
      <c r="Z53" s="181">
        <f t="shared" ref="Z53" si="194">SUM(Z54:Z54)</f>
        <v>0</v>
      </c>
      <c r="AA53" s="181">
        <f t="shared" ref="AA53" si="195">SUM(AA54:AA54)</f>
        <v>0</v>
      </c>
      <c r="AB53" s="181">
        <f t="shared" ref="AB53" si="196">SUM(AB54:AB54)</f>
        <v>0</v>
      </c>
      <c r="AC53" s="181">
        <f t="shared" ref="AC53" si="197">SUM(AC54:AC54)</f>
        <v>0</v>
      </c>
      <c r="AD53" s="181">
        <f t="shared" ref="AD53" si="198">SUM(AD54:AD54)</f>
        <v>0</v>
      </c>
      <c r="AE53" s="181">
        <f t="shared" ref="AE53" si="199">SUM(AE54:AE54)</f>
        <v>0</v>
      </c>
      <c r="AF53" s="181">
        <f t="shared" ref="AF53" si="200">SUM(AF54:AF54)</f>
        <v>0</v>
      </c>
      <c r="AG53" s="181">
        <f t="shared" ref="AG53" si="201">SUM(AG54:AG54)</f>
        <v>0</v>
      </c>
      <c r="AH53" s="181">
        <f t="shared" ref="AH53:AJ53" si="202">SUM(AH54:AH54)</f>
        <v>0</v>
      </c>
      <c r="AI53" s="181">
        <f t="shared" si="202"/>
        <v>0</v>
      </c>
      <c r="AJ53" s="181">
        <f t="shared" si="202"/>
        <v>0</v>
      </c>
      <c r="AK53" s="181">
        <f>SUM(AK54:AK54)</f>
        <v>236424</v>
      </c>
      <c r="AL53" s="181">
        <f>SUM(AL54:AL54)</f>
        <v>276499</v>
      </c>
    </row>
    <row r="54" spans="1:38" ht="24" x14ac:dyDescent="0.2">
      <c r="A54" s="115"/>
      <c r="B54" s="455" t="s">
        <v>118</v>
      </c>
      <c r="C54" s="456"/>
      <c r="D54" s="278" t="s">
        <v>119</v>
      </c>
      <c r="E54" s="273">
        <f>500+10000+33000+1400+121524+70000</f>
        <v>236424</v>
      </c>
      <c r="F54" s="273">
        <f>E54+G54</f>
        <v>276499</v>
      </c>
      <c r="G54" s="273">
        <f>SUBTOTAL(9,H54:U54)</f>
        <v>40075</v>
      </c>
      <c r="H54" s="273"/>
      <c r="I54" s="273">
        <v>40075</v>
      </c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273"/>
      <c r="U54" s="273"/>
      <c r="V54" s="273"/>
      <c r="W54" s="273">
        <f>V54+X54</f>
        <v>0</v>
      </c>
      <c r="X54" s="273">
        <f>SUBTOTAL(9,Y54:AJ54)</f>
        <v>0</v>
      </c>
      <c r="Y54" s="273"/>
      <c r="Z54" s="273"/>
      <c r="AA54" s="273"/>
      <c r="AB54" s="273"/>
      <c r="AC54" s="273"/>
      <c r="AD54" s="273"/>
      <c r="AE54" s="273"/>
      <c r="AF54" s="273"/>
      <c r="AG54" s="273"/>
      <c r="AH54" s="273"/>
      <c r="AI54" s="273"/>
      <c r="AJ54" s="273"/>
      <c r="AK54" s="273">
        <f>E54+V54</f>
        <v>236424</v>
      </c>
      <c r="AL54" s="273">
        <f>W54+F54</f>
        <v>276499</v>
      </c>
    </row>
    <row r="55" spans="1:38" s="114" customFormat="1" ht="51.75" customHeight="1" x14ac:dyDescent="0.2">
      <c r="A55" s="458" t="s">
        <v>82</v>
      </c>
      <c r="B55" s="459"/>
      <c r="C55" s="459"/>
      <c r="D55" s="51" t="s">
        <v>150</v>
      </c>
      <c r="E55" s="41">
        <f>SUM(E58,E56,)</f>
        <v>2380304</v>
      </c>
      <c r="F55" s="41">
        <f t="shared" ref="F55" si="203">SUM(F58,F56,)</f>
        <v>2380304</v>
      </c>
      <c r="G55" s="41">
        <f t="shared" ref="G55" si="204">SUM(G58,G56,)</f>
        <v>0</v>
      </c>
      <c r="H55" s="41">
        <f t="shared" ref="H55" si="205">SUM(H58,H56,)</f>
        <v>0</v>
      </c>
      <c r="I55" s="41">
        <f t="shared" ref="I55" si="206">SUM(I58,I56,)</f>
        <v>0</v>
      </c>
      <c r="J55" s="41">
        <f t="shared" ref="J55" si="207">SUM(J58,J56,)</f>
        <v>0</v>
      </c>
      <c r="K55" s="41">
        <f t="shared" ref="K55" si="208">SUM(K58,K56,)</f>
        <v>0</v>
      </c>
      <c r="L55" s="41">
        <f t="shared" ref="L55" si="209">SUM(L58,L56,)</f>
        <v>0</v>
      </c>
      <c r="M55" s="41">
        <f t="shared" ref="M55" si="210">SUM(M58,M56,)</f>
        <v>0</v>
      </c>
      <c r="N55" s="41">
        <f t="shared" ref="N55" si="211">SUM(N58,N56,)</f>
        <v>0</v>
      </c>
      <c r="O55" s="41">
        <f t="shared" ref="O55" si="212">SUM(O58,O56,)</f>
        <v>0</v>
      </c>
      <c r="P55" s="41">
        <f t="shared" ref="P55" si="213">SUM(P58,P56,)</f>
        <v>0</v>
      </c>
      <c r="Q55" s="41">
        <f t="shared" ref="Q55:U55" si="214">SUM(Q58,Q56,)</f>
        <v>0</v>
      </c>
      <c r="R55" s="41">
        <f t="shared" ref="R55:T55" si="215">SUM(R58,R56,)</f>
        <v>0</v>
      </c>
      <c r="S55" s="41">
        <f t="shared" si="215"/>
        <v>0</v>
      </c>
      <c r="T55" s="41">
        <f t="shared" si="215"/>
        <v>0</v>
      </c>
      <c r="U55" s="41">
        <f t="shared" si="214"/>
        <v>0</v>
      </c>
      <c r="V55" s="41">
        <f t="shared" ref="V55:AK55" si="216">SUM(V58,V56,)</f>
        <v>0</v>
      </c>
      <c r="W55" s="41">
        <f t="shared" ref="W55" si="217">SUM(W58,W56,)</f>
        <v>0</v>
      </c>
      <c r="X55" s="41">
        <f t="shared" ref="X55" si="218">SUM(X58,X56,)</f>
        <v>0</v>
      </c>
      <c r="Y55" s="41">
        <f t="shared" ref="Y55" si="219">SUM(Y58,Y56,)</f>
        <v>0</v>
      </c>
      <c r="Z55" s="41">
        <f t="shared" ref="Z55" si="220">SUM(Z58,Z56,)</f>
        <v>0</v>
      </c>
      <c r="AA55" s="41">
        <f t="shared" ref="AA55" si="221">SUM(AA58,AA56,)</f>
        <v>0</v>
      </c>
      <c r="AB55" s="41">
        <f t="shared" ref="AB55" si="222">SUM(AB58,AB56,)</f>
        <v>0</v>
      </c>
      <c r="AC55" s="41">
        <f t="shared" ref="AC55" si="223">SUM(AC58,AC56,)</f>
        <v>0</v>
      </c>
      <c r="AD55" s="41">
        <f t="shared" ref="AD55" si="224">SUM(AD58,AD56,)</f>
        <v>0</v>
      </c>
      <c r="AE55" s="41">
        <f t="shared" ref="AE55" si="225">SUM(AE58,AE56,)</f>
        <v>0</v>
      </c>
      <c r="AF55" s="41">
        <f t="shared" ref="AF55" si="226">SUM(AF58,AF56,)</f>
        <v>0</v>
      </c>
      <c r="AG55" s="41">
        <f t="shared" ref="AG55:AI55" si="227">SUM(AG58,AG56,)</f>
        <v>0</v>
      </c>
      <c r="AH55" s="41">
        <f t="shared" si="227"/>
        <v>0</v>
      </c>
      <c r="AI55" s="41">
        <f t="shared" si="227"/>
        <v>0</v>
      </c>
      <c r="AJ55" s="41">
        <f t="shared" ref="AJ55:AL55" si="228">SUM(AJ58,AJ56,)</f>
        <v>0</v>
      </c>
      <c r="AK55" s="41">
        <f t="shared" si="216"/>
        <v>2380304</v>
      </c>
      <c r="AL55" s="41">
        <f t="shared" si="228"/>
        <v>2380304</v>
      </c>
    </row>
    <row r="56" spans="1:38" s="113" customFormat="1" x14ac:dyDescent="0.2">
      <c r="A56" s="34"/>
      <c r="B56" s="453" t="s">
        <v>213</v>
      </c>
      <c r="C56" s="453"/>
      <c r="D56" s="35" t="s">
        <v>214</v>
      </c>
      <c r="E56" s="185">
        <f t="shared" ref="E56:AK56" si="229">SUM(E57:E57)</f>
        <v>2000000</v>
      </c>
      <c r="F56" s="185">
        <f t="shared" si="229"/>
        <v>2000000</v>
      </c>
      <c r="G56" s="185">
        <f t="shared" si="229"/>
        <v>0</v>
      </c>
      <c r="H56" s="185">
        <f t="shared" si="229"/>
        <v>0</v>
      </c>
      <c r="I56" s="185">
        <f t="shared" si="229"/>
        <v>0</v>
      </c>
      <c r="J56" s="185">
        <f t="shared" si="229"/>
        <v>0</v>
      </c>
      <c r="K56" s="185">
        <f t="shared" si="229"/>
        <v>0</v>
      </c>
      <c r="L56" s="185">
        <f t="shared" si="229"/>
        <v>0</v>
      </c>
      <c r="M56" s="185">
        <f t="shared" si="229"/>
        <v>0</v>
      </c>
      <c r="N56" s="185">
        <f t="shared" si="229"/>
        <v>0</v>
      </c>
      <c r="O56" s="185">
        <f t="shared" si="229"/>
        <v>0</v>
      </c>
      <c r="P56" s="185">
        <f t="shared" si="229"/>
        <v>0</v>
      </c>
      <c r="Q56" s="185">
        <f t="shared" si="229"/>
        <v>0</v>
      </c>
      <c r="R56" s="185">
        <f t="shared" si="229"/>
        <v>0</v>
      </c>
      <c r="S56" s="185">
        <f t="shared" si="229"/>
        <v>0</v>
      </c>
      <c r="T56" s="185">
        <f t="shared" si="229"/>
        <v>0</v>
      </c>
      <c r="U56" s="185">
        <f t="shared" si="229"/>
        <v>0</v>
      </c>
      <c r="V56" s="185">
        <f t="shared" si="229"/>
        <v>0</v>
      </c>
      <c r="W56" s="185">
        <f t="shared" ref="W56:AJ56" si="230">SUM(W57:W57)</f>
        <v>0</v>
      </c>
      <c r="X56" s="185">
        <f t="shared" si="230"/>
        <v>0</v>
      </c>
      <c r="Y56" s="185">
        <f t="shared" si="230"/>
        <v>0</v>
      </c>
      <c r="Z56" s="185">
        <f t="shared" si="230"/>
        <v>0</v>
      </c>
      <c r="AA56" s="185">
        <f t="shared" si="230"/>
        <v>0</v>
      </c>
      <c r="AB56" s="185">
        <f t="shared" si="230"/>
        <v>0</v>
      </c>
      <c r="AC56" s="185">
        <f t="shared" si="230"/>
        <v>0</v>
      </c>
      <c r="AD56" s="185">
        <f t="shared" si="230"/>
        <v>0</v>
      </c>
      <c r="AE56" s="185">
        <f t="shared" si="230"/>
        <v>0</v>
      </c>
      <c r="AF56" s="185">
        <f t="shared" si="230"/>
        <v>0</v>
      </c>
      <c r="AG56" s="185">
        <f t="shared" si="230"/>
        <v>0</v>
      </c>
      <c r="AH56" s="185">
        <f t="shared" si="230"/>
        <v>0</v>
      </c>
      <c r="AI56" s="185">
        <f t="shared" si="230"/>
        <v>0</v>
      </c>
      <c r="AJ56" s="185">
        <f t="shared" si="230"/>
        <v>0</v>
      </c>
      <c r="AK56" s="185">
        <f t="shared" si="229"/>
        <v>2000000</v>
      </c>
      <c r="AL56" s="185">
        <f>SUM(AL57:AL57)</f>
        <v>2000000</v>
      </c>
    </row>
    <row r="57" spans="1:38" s="113" customFormat="1" x14ac:dyDescent="0.2">
      <c r="A57" s="34"/>
      <c r="B57" s="462" t="s">
        <v>131</v>
      </c>
      <c r="C57" s="462"/>
      <c r="D57" s="43" t="s">
        <v>132</v>
      </c>
      <c r="E57" s="44">
        <v>2000000</v>
      </c>
      <c r="F57" s="44">
        <f>E57+G57</f>
        <v>2000000</v>
      </c>
      <c r="G57" s="44">
        <f>SUBTOTAL(9,H57:U57)</f>
        <v>0</v>
      </c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>
        <f>V57+X57</f>
        <v>0</v>
      </c>
      <c r="X57" s="44">
        <f>SUBTOTAL(9,Y57:AJ57)</f>
        <v>0</v>
      </c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>
        <f>E57+V57</f>
        <v>2000000</v>
      </c>
      <c r="AL57" s="44">
        <f>W57+F57</f>
        <v>2000000</v>
      </c>
    </row>
    <row r="58" spans="1:38" s="113" customFormat="1" ht="24" x14ac:dyDescent="0.2">
      <c r="A58" s="34"/>
      <c r="B58" s="453" t="s">
        <v>133</v>
      </c>
      <c r="C58" s="453"/>
      <c r="D58" s="35" t="s">
        <v>110</v>
      </c>
      <c r="E58" s="185">
        <f t="shared" ref="E58:V58" si="231">SUM(E59:E61)</f>
        <v>380304</v>
      </c>
      <c r="F58" s="185">
        <f t="shared" ref="F58:U58" si="232">SUM(F59:F61)</f>
        <v>380304</v>
      </c>
      <c r="G58" s="185">
        <f t="shared" si="232"/>
        <v>0</v>
      </c>
      <c r="H58" s="185">
        <f t="shared" si="232"/>
        <v>0</v>
      </c>
      <c r="I58" s="185">
        <f t="shared" si="232"/>
        <v>0</v>
      </c>
      <c r="J58" s="185">
        <f t="shared" si="232"/>
        <v>0</v>
      </c>
      <c r="K58" s="185">
        <f t="shared" si="232"/>
        <v>0</v>
      </c>
      <c r="L58" s="185">
        <f t="shared" si="232"/>
        <v>0</v>
      </c>
      <c r="M58" s="185">
        <f t="shared" si="232"/>
        <v>0</v>
      </c>
      <c r="N58" s="185">
        <f t="shared" si="232"/>
        <v>0</v>
      </c>
      <c r="O58" s="185">
        <f t="shared" si="232"/>
        <v>0</v>
      </c>
      <c r="P58" s="185">
        <f t="shared" si="232"/>
        <v>0</v>
      </c>
      <c r="Q58" s="185">
        <f t="shared" ref="Q58:T58" si="233">SUM(Q59:Q61)</f>
        <v>0</v>
      </c>
      <c r="R58" s="185">
        <f t="shared" si="233"/>
        <v>0</v>
      </c>
      <c r="S58" s="185">
        <f t="shared" si="233"/>
        <v>0</v>
      </c>
      <c r="T58" s="185">
        <f t="shared" si="233"/>
        <v>0</v>
      </c>
      <c r="U58" s="185">
        <f t="shared" si="232"/>
        <v>0</v>
      </c>
      <c r="V58" s="185">
        <f t="shared" si="231"/>
        <v>0</v>
      </c>
      <c r="W58" s="185">
        <f t="shared" ref="W58:AJ58" si="234">SUM(W59:W61)</f>
        <v>0</v>
      </c>
      <c r="X58" s="185">
        <f t="shared" si="234"/>
        <v>0</v>
      </c>
      <c r="Y58" s="185">
        <f t="shared" si="234"/>
        <v>0</v>
      </c>
      <c r="Z58" s="185">
        <f t="shared" si="234"/>
        <v>0</v>
      </c>
      <c r="AA58" s="185">
        <f t="shared" si="234"/>
        <v>0</v>
      </c>
      <c r="AB58" s="185">
        <f t="shared" si="234"/>
        <v>0</v>
      </c>
      <c r="AC58" s="185">
        <f t="shared" si="234"/>
        <v>0</v>
      </c>
      <c r="AD58" s="185">
        <f t="shared" si="234"/>
        <v>0</v>
      </c>
      <c r="AE58" s="185">
        <f t="shared" si="234"/>
        <v>0</v>
      </c>
      <c r="AF58" s="185">
        <f t="shared" si="234"/>
        <v>0</v>
      </c>
      <c r="AG58" s="185">
        <f t="shared" si="234"/>
        <v>0</v>
      </c>
      <c r="AH58" s="185">
        <f t="shared" ref="AH58:AI58" si="235">SUM(AH59:AH61)</f>
        <v>0</v>
      </c>
      <c r="AI58" s="185">
        <f t="shared" si="235"/>
        <v>0</v>
      </c>
      <c r="AJ58" s="185">
        <f t="shared" si="234"/>
        <v>0</v>
      </c>
      <c r="AK58" s="185">
        <f t="shared" ref="AK58" si="236">SUM(AK59:AK61)</f>
        <v>380304</v>
      </c>
      <c r="AL58" s="185">
        <f>SUM(AL59:AL61)</f>
        <v>380304</v>
      </c>
    </row>
    <row r="59" spans="1:38" x14ac:dyDescent="0.2">
      <c r="A59" s="36"/>
      <c r="B59" s="462" t="s">
        <v>134</v>
      </c>
      <c r="C59" s="462"/>
      <c r="D59" s="37" t="s">
        <v>111</v>
      </c>
      <c r="E59" s="181">
        <f>176717-16751</f>
        <v>159966</v>
      </c>
      <c r="F59" s="181">
        <f t="shared" ref="F59:F61" si="237">E59+G59</f>
        <v>159966</v>
      </c>
      <c r="G59" s="181">
        <f t="shared" ref="G59:G61" si="238">SUBTOTAL(9,H59:U59)</f>
        <v>0</v>
      </c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>
        <f t="shared" ref="W59:W61" si="239">V59+X59</f>
        <v>0</v>
      </c>
      <c r="X59" s="181">
        <f t="shared" ref="X59:X61" si="240">SUBTOTAL(9,Y59:AJ59)</f>
        <v>0</v>
      </c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>
        <f>E59+V59</f>
        <v>159966</v>
      </c>
      <c r="AL59" s="181">
        <f>W59+F59</f>
        <v>159966</v>
      </c>
    </row>
    <row r="60" spans="1:38" x14ac:dyDescent="0.2">
      <c r="A60" s="42"/>
      <c r="B60" s="457" t="s">
        <v>135</v>
      </c>
      <c r="C60" s="457"/>
      <c r="D60" s="43" t="s">
        <v>112</v>
      </c>
      <c r="E60" s="44">
        <v>33764</v>
      </c>
      <c r="F60" s="44">
        <f t="shared" si="237"/>
        <v>33764</v>
      </c>
      <c r="G60" s="44">
        <f t="shared" si="238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>
        <f t="shared" si="239"/>
        <v>0</v>
      </c>
      <c r="X60" s="44">
        <f t="shared" si="240"/>
        <v>0</v>
      </c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>
        <f>E60+V60</f>
        <v>33764</v>
      </c>
      <c r="AL60" s="44">
        <f>W60+F60</f>
        <v>33764</v>
      </c>
    </row>
    <row r="61" spans="1:38" x14ac:dyDescent="0.2">
      <c r="A61" s="42"/>
      <c r="B61" s="457" t="s">
        <v>136</v>
      </c>
      <c r="C61" s="457"/>
      <c r="D61" s="43" t="s">
        <v>113</v>
      </c>
      <c r="E61" s="44">
        <v>186574</v>
      </c>
      <c r="F61" s="44">
        <f t="shared" si="237"/>
        <v>186574</v>
      </c>
      <c r="G61" s="44">
        <f t="shared" si="238"/>
        <v>0</v>
      </c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>
        <f t="shared" si="239"/>
        <v>0</v>
      </c>
      <c r="X61" s="44">
        <f t="shared" si="240"/>
        <v>0</v>
      </c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>
        <f>E61+V61</f>
        <v>186574</v>
      </c>
      <c r="AL61" s="44">
        <f>W61+F61</f>
        <v>186574</v>
      </c>
    </row>
    <row r="62" spans="1:38" ht="51.75" customHeight="1" x14ac:dyDescent="0.2">
      <c r="A62" s="458" t="s">
        <v>531</v>
      </c>
      <c r="B62" s="459"/>
      <c r="C62" s="459"/>
      <c r="D62" s="51" t="s">
        <v>532</v>
      </c>
      <c r="E62" s="188">
        <f>SUM(E63)</f>
        <v>212000</v>
      </c>
      <c r="F62" s="188">
        <f>SUM(F63)</f>
        <v>100469</v>
      </c>
      <c r="G62" s="188">
        <f t="shared" ref="G62:U62" si="241">SUM(G63)</f>
        <v>-111531</v>
      </c>
      <c r="H62" s="188">
        <f t="shared" si="241"/>
        <v>0</v>
      </c>
      <c r="I62" s="188">
        <f t="shared" si="241"/>
        <v>0</v>
      </c>
      <c r="J62" s="188">
        <f t="shared" si="241"/>
        <v>0</v>
      </c>
      <c r="K62" s="188">
        <f t="shared" si="241"/>
        <v>0</v>
      </c>
      <c r="L62" s="188">
        <f t="shared" si="241"/>
        <v>0</v>
      </c>
      <c r="M62" s="188">
        <f t="shared" si="241"/>
        <v>0</v>
      </c>
      <c r="N62" s="188">
        <f t="shared" si="241"/>
        <v>0</v>
      </c>
      <c r="O62" s="188">
        <f t="shared" si="241"/>
        <v>0</v>
      </c>
      <c r="P62" s="188">
        <f t="shared" si="241"/>
        <v>-111531</v>
      </c>
      <c r="Q62" s="188">
        <f t="shared" si="241"/>
        <v>0</v>
      </c>
      <c r="R62" s="188">
        <f t="shared" si="241"/>
        <v>0</v>
      </c>
      <c r="S62" s="188">
        <f t="shared" si="241"/>
        <v>0</v>
      </c>
      <c r="T62" s="188">
        <f t="shared" si="241"/>
        <v>0</v>
      </c>
      <c r="U62" s="188">
        <f t="shared" si="241"/>
        <v>0</v>
      </c>
      <c r="V62" s="188">
        <f>SUM(V63)</f>
        <v>0</v>
      </c>
      <c r="W62" s="188">
        <f>SUM(W63)</f>
        <v>0</v>
      </c>
      <c r="X62" s="188">
        <f t="shared" ref="X62" si="242">SUM(X63)</f>
        <v>0</v>
      </c>
      <c r="Y62" s="188">
        <f t="shared" ref="Y62" si="243">SUM(Y63)</f>
        <v>0</v>
      </c>
      <c r="Z62" s="188">
        <f t="shared" ref="Z62" si="244">SUM(Z63)</f>
        <v>0</v>
      </c>
      <c r="AA62" s="188">
        <f t="shared" ref="AA62" si="245">SUM(AA63)</f>
        <v>0</v>
      </c>
      <c r="AB62" s="188">
        <f t="shared" ref="AB62" si="246">SUM(AB63)</f>
        <v>0</v>
      </c>
      <c r="AC62" s="188">
        <f t="shared" ref="AC62" si="247">SUM(AC63)</f>
        <v>0</v>
      </c>
      <c r="AD62" s="188">
        <f t="shared" ref="AD62" si="248">SUM(AD63)</f>
        <v>0</v>
      </c>
      <c r="AE62" s="188">
        <f t="shared" ref="AE62" si="249">SUM(AE63)</f>
        <v>0</v>
      </c>
      <c r="AF62" s="188">
        <f t="shared" ref="AF62" si="250">SUM(AF63)</f>
        <v>0</v>
      </c>
      <c r="AG62" s="188">
        <f t="shared" ref="AG62" si="251">SUM(AG63)</f>
        <v>0</v>
      </c>
      <c r="AH62" s="188">
        <f t="shared" ref="AH62:AL62" si="252">SUM(AH63)</f>
        <v>0</v>
      </c>
      <c r="AI62" s="188">
        <f t="shared" si="252"/>
        <v>0</v>
      </c>
      <c r="AJ62" s="188">
        <f t="shared" si="252"/>
        <v>0</v>
      </c>
      <c r="AK62" s="188">
        <f t="shared" ref="AK62" si="253">SUM(AK63)</f>
        <v>212000</v>
      </c>
      <c r="AL62" s="188">
        <f t="shared" si="252"/>
        <v>100469</v>
      </c>
    </row>
    <row r="63" spans="1:38" ht="39" customHeight="1" x14ac:dyDescent="0.2">
      <c r="A63" s="42"/>
      <c r="B63" s="176" t="s">
        <v>533</v>
      </c>
      <c r="C63" s="270"/>
      <c r="D63" s="35" t="s">
        <v>534</v>
      </c>
      <c r="E63" s="279">
        <v>212000</v>
      </c>
      <c r="F63" s="279">
        <f>E63+G63</f>
        <v>100469</v>
      </c>
      <c r="G63" s="279">
        <f>SUBTOTAL(9,H63:U63)</f>
        <v>-111531</v>
      </c>
      <c r="H63" s="279"/>
      <c r="I63" s="279"/>
      <c r="J63" s="279"/>
      <c r="K63" s="279"/>
      <c r="L63" s="279"/>
      <c r="M63" s="279"/>
      <c r="N63" s="279"/>
      <c r="O63" s="279"/>
      <c r="P63" s="279">
        <v>-111531</v>
      </c>
      <c r="Q63" s="279"/>
      <c r="R63" s="279"/>
      <c r="S63" s="279"/>
      <c r="T63" s="279"/>
      <c r="U63" s="279"/>
      <c r="V63" s="279"/>
      <c r="W63" s="279">
        <f>V63+X63</f>
        <v>0</v>
      </c>
      <c r="X63" s="279">
        <f>SUBTOTAL(9,Y63:AJ63)</f>
        <v>0</v>
      </c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>
        <f>E63+V63</f>
        <v>212000</v>
      </c>
      <c r="AL63" s="279">
        <f>W63+F63</f>
        <v>100469</v>
      </c>
    </row>
    <row r="64" spans="1:38" s="114" customFormat="1" x14ac:dyDescent="0.2">
      <c r="A64" s="458" t="s">
        <v>83</v>
      </c>
      <c r="B64" s="459"/>
      <c r="C64" s="459"/>
      <c r="D64" s="51" t="s">
        <v>84</v>
      </c>
      <c r="E64" s="41">
        <f>SUM(E65)</f>
        <v>19354111</v>
      </c>
      <c r="F64" s="41">
        <f t="shared" ref="F64:U64" si="254">SUM(F65)</f>
        <v>22213811</v>
      </c>
      <c r="G64" s="41">
        <f t="shared" si="254"/>
        <v>2859700</v>
      </c>
      <c r="H64" s="41">
        <f t="shared" si="254"/>
        <v>95940</v>
      </c>
      <c r="I64" s="41">
        <f t="shared" si="254"/>
        <v>1769937</v>
      </c>
      <c r="J64" s="41">
        <f t="shared" si="254"/>
        <v>524855</v>
      </c>
      <c r="K64" s="41">
        <f t="shared" si="254"/>
        <v>-120072</v>
      </c>
      <c r="L64" s="41">
        <f t="shared" si="254"/>
        <v>0</v>
      </c>
      <c r="M64" s="41">
        <f t="shared" si="254"/>
        <v>-94855</v>
      </c>
      <c r="N64" s="41">
        <f t="shared" si="254"/>
        <v>-1134463</v>
      </c>
      <c r="O64" s="41">
        <f t="shared" si="254"/>
        <v>1675226</v>
      </c>
      <c r="P64" s="41">
        <f t="shared" si="254"/>
        <v>-279737</v>
      </c>
      <c r="Q64" s="41">
        <f t="shared" si="254"/>
        <v>-7126</v>
      </c>
      <c r="R64" s="41">
        <f t="shared" si="254"/>
        <v>99759</v>
      </c>
      <c r="S64" s="41">
        <f t="shared" si="254"/>
        <v>330244</v>
      </c>
      <c r="T64" s="41">
        <f t="shared" si="254"/>
        <v>-8</v>
      </c>
      <c r="U64" s="41">
        <f t="shared" si="254"/>
        <v>0</v>
      </c>
      <c r="V64" s="41">
        <f t="shared" ref="V64:AK64" si="255">SUM(V65)</f>
        <v>0</v>
      </c>
      <c r="W64" s="41">
        <f t="shared" ref="W64:AJ64" si="256">SUM(W65)</f>
        <v>0</v>
      </c>
      <c r="X64" s="41">
        <f t="shared" si="256"/>
        <v>0</v>
      </c>
      <c r="Y64" s="41">
        <f t="shared" si="256"/>
        <v>0</v>
      </c>
      <c r="Z64" s="41">
        <f t="shared" si="256"/>
        <v>0</v>
      </c>
      <c r="AA64" s="41">
        <f t="shared" si="256"/>
        <v>0</v>
      </c>
      <c r="AB64" s="41">
        <f t="shared" si="256"/>
        <v>0</v>
      </c>
      <c r="AC64" s="41">
        <f t="shared" si="256"/>
        <v>0</v>
      </c>
      <c r="AD64" s="41">
        <f t="shared" si="256"/>
        <v>0</v>
      </c>
      <c r="AE64" s="41">
        <f t="shared" si="256"/>
        <v>0</v>
      </c>
      <c r="AF64" s="41">
        <f t="shared" si="256"/>
        <v>0</v>
      </c>
      <c r="AG64" s="41">
        <f t="shared" si="256"/>
        <v>0</v>
      </c>
      <c r="AH64" s="41">
        <f t="shared" si="256"/>
        <v>0</v>
      </c>
      <c r="AI64" s="41">
        <f t="shared" si="256"/>
        <v>0</v>
      </c>
      <c r="AJ64" s="41">
        <f t="shared" si="256"/>
        <v>0</v>
      </c>
      <c r="AK64" s="41">
        <f t="shared" si="255"/>
        <v>19354111</v>
      </c>
      <c r="AL64" s="41">
        <f>SUM(AL65)</f>
        <v>22213811</v>
      </c>
    </row>
    <row r="65" spans="1:38" s="113" customFormat="1" ht="15.75" customHeight="1" x14ac:dyDescent="0.2">
      <c r="A65" s="34"/>
      <c r="B65" s="453" t="s">
        <v>85</v>
      </c>
      <c r="C65" s="453"/>
      <c r="D65" s="35" t="s">
        <v>231</v>
      </c>
      <c r="E65" s="185">
        <f>SUM(E66:E68)</f>
        <v>19354111</v>
      </c>
      <c r="F65" s="185">
        <f t="shared" ref="F65:U65" si="257">SUM(F66:F68)</f>
        <v>22213811</v>
      </c>
      <c r="G65" s="185">
        <f t="shared" si="257"/>
        <v>2859700</v>
      </c>
      <c r="H65" s="185">
        <f t="shared" si="257"/>
        <v>95940</v>
      </c>
      <c r="I65" s="185">
        <f t="shared" si="257"/>
        <v>1769937</v>
      </c>
      <c r="J65" s="185">
        <f t="shared" si="257"/>
        <v>524855</v>
      </c>
      <c r="K65" s="185">
        <f t="shared" si="257"/>
        <v>-120072</v>
      </c>
      <c r="L65" s="185">
        <f t="shared" si="257"/>
        <v>0</v>
      </c>
      <c r="M65" s="185">
        <f t="shared" si="257"/>
        <v>-94855</v>
      </c>
      <c r="N65" s="185">
        <f t="shared" si="257"/>
        <v>-1134463</v>
      </c>
      <c r="O65" s="185">
        <f t="shared" si="257"/>
        <v>1675226</v>
      </c>
      <c r="P65" s="185">
        <f t="shared" si="257"/>
        <v>-279737</v>
      </c>
      <c r="Q65" s="185">
        <f t="shared" si="257"/>
        <v>-7126</v>
      </c>
      <c r="R65" s="185">
        <f t="shared" si="257"/>
        <v>99759</v>
      </c>
      <c r="S65" s="185">
        <f t="shared" ref="S65:T65" si="258">SUM(S66:S68)</f>
        <v>330244</v>
      </c>
      <c r="T65" s="185">
        <f t="shared" si="258"/>
        <v>-8</v>
      </c>
      <c r="U65" s="185">
        <f t="shared" si="257"/>
        <v>0</v>
      </c>
      <c r="V65" s="185">
        <f t="shared" ref="V65" si="259">SUM(V66:V68)</f>
        <v>0</v>
      </c>
      <c r="W65" s="185">
        <f t="shared" ref="W65" si="260">SUM(W66:W68)</f>
        <v>0</v>
      </c>
      <c r="X65" s="185">
        <f t="shared" ref="X65" si="261">SUM(X66:X68)</f>
        <v>0</v>
      </c>
      <c r="Y65" s="185">
        <f t="shared" ref="Y65" si="262">SUM(Y66:Y68)</f>
        <v>0</v>
      </c>
      <c r="Z65" s="185">
        <f t="shared" ref="Z65" si="263">SUM(Z66:Z68)</f>
        <v>0</v>
      </c>
      <c r="AA65" s="185">
        <f t="shared" ref="AA65" si="264">SUM(AA66:AA68)</f>
        <v>0</v>
      </c>
      <c r="AB65" s="185">
        <f t="shared" ref="AB65" si="265">SUM(AB66:AB68)</f>
        <v>0</v>
      </c>
      <c r="AC65" s="185">
        <f t="shared" ref="AC65" si="266">SUM(AC66:AC68)</f>
        <v>0</v>
      </c>
      <c r="AD65" s="185">
        <f t="shared" ref="AD65" si="267">SUM(AD66:AD68)</f>
        <v>0</v>
      </c>
      <c r="AE65" s="185">
        <f t="shared" ref="AE65" si="268">SUM(AE66:AE68)</f>
        <v>0</v>
      </c>
      <c r="AF65" s="185">
        <f t="shared" ref="AF65" si="269">SUM(AF66:AF68)</f>
        <v>0</v>
      </c>
      <c r="AG65" s="185">
        <f t="shared" ref="AG65" si="270">SUM(AG66:AG68)</f>
        <v>0</v>
      </c>
      <c r="AH65" s="185">
        <f t="shared" ref="AH65" si="271">SUM(AH66:AH68)</f>
        <v>0</v>
      </c>
      <c r="AI65" s="185">
        <f t="shared" ref="AI65:AJ65" si="272">SUM(AI66:AI68)</f>
        <v>0</v>
      </c>
      <c r="AJ65" s="185">
        <f t="shared" si="272"/>
        <v>0</v>
      </c>
      <c r="AK65" s="185">
        <f t="shared" ref="AK65" si="273">SUM(AK66:AK68)</f>
        <v>19354111</v>
      </c>
      <c r="AL65" s="185">
        <f t="shared" ref="AL65" si="274">SUM(AL66:AL68)</f>
        <v>22213811</v>
      </c>
    </row>
    <row r="66" spans="1:38" x14ac:dyDescent="0.2">
      <c r="A66" s="42"/>
      <c r="B66" s="457" t="s">
        <v>86</v>
      </c>
      <c r="C66" s="457"/>
      <c r="D66" s="43" t="s">
        <v>643</v>
      </c>
      <c r="E66" s="44">
        <v>12681718</v>
      </c>
      <c r="F66" s="181">
        <f t="shared" ref="F66:F68" si="275">E66+G66</f>
        <v>11158619</v>
      </c>
      <c r="G66" s="181">
        <f t="shared" ref="G66:G68" si="276">SUBTOTAL(9,H66:U66)</f>
        <v>-1523099</v>
      </c>
      <c r="H66" s="181">
        <f>2+987+1001+4130+2968+791+679+2247+4536+1183+2226+735+2394+3213+973+1995+210</f>
        <v>30270</v>
      </c>
      <c r="I66" s="181">
        <f>53502+24592+48097+11004+40495+55903-49239</f>
        <v>184354</v>
      </c>
      <c r="J66" s="181">
        <f>1050+1553+22050</f>
        <v>24653</v>
      </c>
      <c r="K66" s="181">
        <f>4000+2423+426-659228+41239</f>
        <v>-611140</v>
      </c>
      <c r="L66" s="181"/>
      <c r="M66" s="181">
        <f>1+15361</f>
        <v>15362</v>
      </c>
      <c r="N66" s="181">
        <f>2390+642+1202+600+23399</f>
        <v>28233</v>
      </c>
      <c r="O66" s="181">
        <f>3688+3150-8</f>
        <v>6830</v>
      </c>
      <c r="P66" s="181">
        <f>19689+950-11-1886</f>
        <v>18742</v>
      </c>
      <c r="Q66" s="181">
        <f>6356+30268+2135</f>
        <v>38759</v>
      </c>
      <c r="R66" s="181">
        <f>-5410+10547-35357+262+2234-7053+10489+1013+2640-436+670+12745+5650-529+119+44435-459+2182+20318-772+3731-1067+13708-620+364+2212-1277520+5596-465+6251+871-3879+239+47857-5931+6915+942+236+2175+31-897-1744+73+3437+831+479-963-36571-3694-88736+3694+3</f>
        <v>-1259154</v>
      </c>
      <c r="S66" s="181"/>
      <c r="T66" s="181">
        <v>-8</v>
      </c>
      <c r="U66" s="181"/>
      <c r="V66" s="181"/>
      <c r="W66" s="181">
        <f t="shared" ref="W66:W67" si="277">V66+X66</f>
        <v>0</v>
      </c>
      <c r="X66" s="181">
        <f t="shared" ref="X66:X67" si="278">SUBTOTAL(9,Y66:AJ66)</f>
        <v>0</v>
      </c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>
        <f>E66+V66</f>
        <v>12681718</v>
      </c>
      <c r="AL66" s="181">
        <f>W66+F66</f>
        <v>11158619</v>
      </c>
    </row>
    <row r="67" spans="1:38" ht="48" x14ac:dyDescent="0.2">
      <c r="A67" s="42"/>
      <c r="B67" s="457" t="s">
        <v>120</v>
      </c>
      <c r="C67" s="457"/>
      <c r="D67" s="43" t="s">
        <v>229</v>
      </c>
      <c r="E67" s="44">
        <v>6672393</v>
      </c>
      <c r="F67" s="181">
        <f t="shared" si="275"/>
        <v>9777672</v>
      </c>
      <c r="G67" s="181">
        <f t="shared" si="276"/>
        <v>3105279</v>
      </c>
      <c r="H67" s="181">
        <f>25072+2718+37880</f>
        <v>65670</v>
      </c>
      <c r="I67" s="181">
        <f>1+78748+19750+31906-296299-40494+442142-1689-162+4897+85145+535010+5652+720976</f>
        <v>1585583</v>
      </c>
      <c r="J67" s="181">
        <v>500202</v>
      </c>
      <c r="K67" s="181">
        <f>374797+236169-119898</f>
        <v>491068</v>
      </c>
      <c r="L67" s="181"/>
      <c r="M67" s="181">
        <f>-84154+237-26300</f>
        <v>-110217</v>
      </c>
      <c r="N67" s="181">
        <f>91436-128396-1298783+173047</f>
        <v>-1162696</v>
      </c>
      <c r="O67" s="181">
        <f>30291-205+1639816-1506</f>
        <v>1668396</v>
      </c>
      <c r="P67" s="181">
        <f>-263882-37496+1+7157-4259</f>
        <v>-298479</v>
      </c>
      <c r="Q67" s="181">
        <f>22736-68621</f>
        <v>-45885</v>
      </c>
      <c r="R67" s="181">
        <f>13192+10055-1005+23723+35428</f>
        <v>81393</v>
      </c>
      <c r="S67" s="181">
        <v>330244</v>
      </c>
      <c r="T67" s="181"/>
      <c r="U67" s="181"/>
      <c r="V67" s="281"/>
      <c r="W67" s="181">
        <f t="shared" si="277"/>
        <v>0</v>
      </c>
      <c r="X67" s="181">
        <f t="shared" si="278"/>
        <v>0</v>
      </c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>
        <f>E67+V67</f>
        <v>6672393</v>
      </c>
      <c r="AL67" s="181">
        <f>W67+F67</f>
        <v>9777672</v>
      </c>
    </row>
    <row r="68" spans="1:38" ht="24" x14ac:dyDescent="0.2">
      <c r="A68" s="42"/>
      <c r="B68" s="457" t="s">
        <v>852</v>
      </c>
      <c r="C68" s="457"/>
      <c r="D68" s="43" t="s">
        <v>853</v>
      </c>
      <c r="E68" s="44"/>
      <c r="F68" s="181">
        <f t="shared" si="275"/>
        <v>1277520</v>
      </c>
      <c r="G68" s="181">
        <f t="shared" si="276"/>
        <v>1277520</v>
      </c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>
        <f>1277520</f>
        <v>1277520</v>
      </c>
      <c r="S68" s="181"/>
      <c r="T68" s="181"/>
      <c r="U68" s="181"/>
      <c r="V68" s="281"/>
      <c r="W68" s="181">
        <f t="shared" ref="W68" si="279">V68+X68</f>
        <v>0</v>
      </c>
      <c r="X68" s="181">
        <f t="shared" ref="X68" si="280">SUBTOTAL(9,Y68:AJ68)</f>
        <v>0</v>
      </c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>
        <f>E68+V68</f>
        <v>0</v>
      </c>
      <c r="AL68" s="181">
        <f>W68+F68</f>
        <v>1277520</v>
      </c>
    </row>
    <row r="69" spans="1:38" s="114" customFormat="1" x14ac:dyDescent="0.2">
      <c r="A69" s="458" t="s">
        <v>87</v>
      </c>
      <c r="B69" s="459"/>
      <c r="C69" s="459"/>
      <c r="D69" s="51" t="s">
        <v>88</v>
      </c>
      <c r="E69" s="41">
        <f>SUM(E70:E71)</f>
        <v>1782576</v>
      </c>
      <c r="F69" s="41">
        <f t="shared" ref="F69" si="281">SUM(F70:F71)</f>
        <v>1986328</v>
      </c>
      <c r="G69" s="41">
        <f t="shared" ref="G69" si="282">SUM(G70:G71)</f>
        <v>203752</v>
      </c>
      <c r="H69" s="41">
        <f t="shared" ref="H69" si="283">SUM(H70:H71)</f>
        <v>11045</v>
      </c>
      <c r="I69" s="41">
        <f t="shared" ref="I69" si="284">SUM(I70:I71)</f>
        <v>183198</v>
      </c>
      <c r="J69" s="41">
        <f t="shared" ref="J69" si="285">SUM(J70:J71)</f>
        <v>17640</v>
      </c>
      <c r="K69" s="41">
        <f t="shared" ref="K69" si="286">SUM(K70:K71)</f>
        <v>-45269</v>
      </c>
      <c r="L69" s="41">
        <f t="shared" ref="L69" si="287">SUM(L70:L71)</f>
        <v>0</v>
      </c>
      <c r="M69" s="41">
        <f t="shared" ref="M69" si="288">SUM(M70:M71)</f>
        <v>7681</v>
      </c>
      <c r="N69" s="41">
        <f t="shared" ref="N69" si="289">SUM(N70:N71)</f>
        <v>-20825</v>
      </c>
      <c r="O69" s="41">
        <f t="shared" ref="O69" si="290">SUM(O70:O71)</f>
        <v>1738</v>
      </c>
      <c r="P69" s="41">
        <f t="shared" ref="P69" si="291">SUM(P70:P71)</f>
        <v>14401</v>
      </c>
      <c r="Q69" s="41">
        <f t="shared" ref="Q69:U69" si="292">SUM(Q70:Q71)</f>
        <v>32196</v>
      </c>
      <c r="R69" s="41">
        <f t="shared" ref="R69:T69" si="293">SUM(R70:R71)</f>
        <v>1944</v>
      </c>
      <c r="S69" s="41">
        <f t="shared" si="293"/>
        <v>0</v>
      </c>
      <c r="T69" s="41">
        <f t="shared" si="293"/>
        <v>3</v>
      </c>
      <c r="U69" s="41">
        <f t="shared" si="292"/>
        <v>0</v>
      </c>
      <c r="V69" s="41">
        <f t="shared" ref="V69:AK69" si="294">SUM(V70:V71)</f>
        <v>-1041776</v>
      </c>
      <c r="W69" s="41">
        <f t="shared" ref="W69" si="295">SUM(W70:W71)</f>
        <v>-1231127</v>
      </c>
      <c r="X69" s="41">
        <f t="shared" ref="X69" si="296">SUM(X70:X71)</f>
        <v>-189351</v>
      </c>
      <c r="Y69" s="41">
        <f t="shared" ref="Y69" si="297">SUM(Y70:Y71)</f>
        <v>-11045</v>
      </c>
      <c r="Z69" s="41">
        <f t="shared" ref="Z69" si="298">SUM(Z70:Z71)</f>
        <v>-183198</v>
      </c>
      <c r="AA69" s="41">
        <f t="shared" ref="AA69" si="299">SUM(AA70:AA71)</f>
        <v>-17640</v>
      </c>
      <c r="AB69" s="41">
        <f t="shared" ref="AB69" si="300">SUM(AB70:AB71)</f>
        <v>45269</v>
      </c>
      <c r="AC69" s="41">
        <f t="shared" ref="AC69" si="301">SUM(AC70:AC71)</f>
        <v>-7681</v>
      </c>
      <c r="AD69" s="41">
        <f t="shared" ref="AD69" si="302">SUM(AD70:AD71)</f>
        <v>20825</v>
      </c>
      <c r="AE69" s="41">
        <f t="shared" ref="AE69" si="303">SUM(AE70:AE71)</f>
        <v>-1738</v>
      </c>
      <c r="AF69" s="41">
        <f t="shared" ref="AF69" si="304">SUM(AF70:AF71)</f>
        <v>0</v>
      </c>
      <c r="AG69" s="41">
        <f t="shared" ref="AG69:AI69" si="305">SUM(AG70:AG71)</f>
        <v>-32196</v>
      </c>
      <c r="AH69" s="41">
        <f t="shared" si="305"/>
        <v>-1944</v>
      </c>
      <c r="AI69" s="41">
        <f t="shared" si="305"/>
        <v>-3</v>
      </c>
      <c r="AJ69" s="41">
        <f t="shared" ref="AJ69:AL69" si="306">SUM(AJ70:AJ71)</f>
        <v>0</v>
      </c>
      <c r="AK69" s="41">
        <f t="shared" si="294"/>
        <v>740800</v>
      </c>
      <c r="AL69" s="41">
        <f t="shared" si="306"/>
        <v>755201</v>
      </c>
    </row>
    <row r="70" spans="1:38" s="113" customFormat="1" ht="25.5" customHeight="1" x14ac:dyDescent="0.2">
      <c r="A70" s="34"/>
      <c r="B70" s="453" t="s">
        <v>89</v>
      </c>
      <c r="C70" s="453"/>
      <c r="D70" s="35" t="s">
        <v>230</v>
      </c>
      <c r="E70" s="185">
        <v>740800</v>
      </c>
      <c r="F70" s="185">
        <f t="shared" ref="F70:F71" si="307">E70+G70</f>
        <v>755201</v>
      </c>
      <c r="G70" s="185">
        <f t="shared" ref="G70:G71" si="308">SUBTOTAL(9,H70:U70)</f>
        <v>14401</v>
      </c>
      <c r="H70" s="185"/>
      <c r="I70" s="185"/>
      <c r="J70" s="185"/>
      <c r="K70" s="185"/>
      <c r="L70" s="185"/>
      <c r="M70" s="185"/>
      <c r="N70" s="185"/>
      <c r="O70" s="185"/>
      <c r="P70" s="185">
        <v>14401</v>
      </c>
      <c r="Q70" s="185"/>
      <c r="R70" s="185"/>
      <c r="S70" s="185"/>
      <c r="T70" s="185"/>
      <c r="U70" s="185"/>
      <c r="V70" s="185"/>
      <c r="W70" s="185">
        <f>V70+X70</f>
        <v>0</v>
      </c>
      <c r="X70" s="185">
        <f>SUBTOTAL(9,Y70:AJ70)</f>
        <v>0</v>
      </c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>
        <f>E70+V70</f>
        <v>740800</v>
      </c>
      <c r="AL70" s="185">
        <f>W70+F70</f>
        <v>755201</v>
      </c>
    </row>
    <row r="71" spans="1:38" ht="16.5" customHeight="1" x14ac:dyDescent="0.2">
      <c r="A71" s="52"/>
      <c r="B71" s="270" t="s">
        <v>454</v>
      </c>
      <c r="C71" s="270"/>
      <c r="D71" s="282" t="s">
        <v>476</v>
      </c>
      <c r="E71" s="54">
        <v>1041776</v>
      </c>
      <c r="F71" s="54">
        <f t="shared" si="307"/>
        <v>1231127</v>
      </c>
      <c r="G71" s="54">
        <f t="shared" si="308"/>
        <v>189351</v>
      </c>
      <c r="H71" s="54">
        <f>750+2719+7576</f>
        <v>11045</v>
      </c>
      <c r="I71" s="54">
        <f>101+6450+37949+1+25845+3777+4897+85145+19033</f>
        <v>183198</v>
      </c>
      <c r="J71" s="54">
        <v>17640</v>
      </c>
      <c r="K71" s="54">
        <f>21968-7251-59986</f>
        <v>-45269</v>
      </c>
      <c r="L71" s="54"/>
      <c r="M71" s="54">
        <v>7681</v>
      </c>
      <c r="N71" s="54">
        <v>-20825</v>
      </c>
      <c r="O71" s="54">
        <f>22+486+895+4+64+138+210+1+5+19+45-151</f>
        <v>1738</v>
      </c>
      <c r="P71" s="54"/>
      <c r="Q71" s="54">
        <v>32196</v>
      </c>
      <c r="R71" s="54">
        <f>2000+100-5621+214+3458+650+1143</f>
        <v>1944</v>
      </c>
      <c r="S71" s="54"/>
      <c r="T71" s="54">
        <v>3</v>
      </c>
      <c r="U71" s="54"/>
      <c r="V71" s="54">
        <v>-1041776</v>
      </c>
      <c r="W71" s="181">
        <f t="shared" ref="W71" si="309">V71+X71</f>
        <v>-1231127</v>
      </c>
      <c r="X71" s="181">
        <f t="shared" ref="X71" si="310">SUBTOTAL(9,Y71:AJ71)</f>
        <v>-189351</v>
      </c>
      <c r="Y71" s="54">
        <f>-750-2719-7576</f>
        <v>-11045</v>
      </c>
      <c r="Z71" s="54">
        <f>1-1-101-6450-37949-1-25845-3777-4897-85145-19033</f>
        <v>-183198</v>
      </c>
      <c r="AA71" s="54">
        <v>-17640</v>
      </c>
      <c r="AB71" s="54">
        <f>7251-21968+59986</f>
        <v>45269</v>
      </c>
      <c r="AC71" s="54">
        <v>-7681</v>
      </c>
      <c r="AD71" s="54">
        <v>20825</v>
      </c>
      <c r="AE71" s="54">
        <f>-22-486-895-4-64-138-210-1-5-19-45+151</f>
        <v>-1738</v>
      </c>
      <c r="AF71" s="54"/>
      <c r="AG71" s="54">
        <v>-32196</v>
      </c>
      <c r="AH71" s="54">
        <f>-2000-100+5621-214-3458-650-1143</f>
        <v>-1944</v>
      </c>
      <c r="AI71" s="54">
        <v>-3</v>
      </c>
      <c r="AJ71" s="54"/>
      <c r="AK71" s="181">
        <f>E71+V71</f>
        <v>0</v>
      </c>
      <c r="AL71" s="54">
        <f>W71+F71</f>
        <v>0</v>
      </c>
    </row>
    <row r="72" spans="1:38" s="114" customFormat="1" x14ac:dyDescent="0.2">
      <c r="A72" s="458" t="s">
        <v>90</v>
      </c>
      <c r="B72" s="459"/>
      <c r="C72" s="481"/>
      <c r="D72" s="51" t="s">
        <v>288</v>
      </c>
      <c r="E72" s="41">
        <f>SUM(E73,E76,E89)</f>
        <v>1698441</v>
      </c>
      <c r="F72" s="41">
        <f>SUM(F73,F76,F89)</f>
        <v>1728310</v>
      </c>
      <c r="G72" s="41">
        <f t="shared" ref="G72:U72" si="311">SUM(G73,G76,G89)</f>
        <v>29869</v>
      </c>
      <c r="H72" s="41">
        <f t="shared" si="311"/>
        <v>5000</v>
      </c>
      <c r="I72" s="41">
        <f t="shared" si="311"/>
        <v>49487</v>
      </c>
      <c r="J72" s="41">
        <f t="shared" si="311"/>
        <v>-98945</v>
      </c>
      <c r="K72" s="41">
        <f t="shared" si="311"/>
        <v>111</v>
      </c>
      <c r="L72" s="41">
        <f t="shared" si="311"/>
        <v>2875</v>
      </c>
      <c r="M72" s="41">
        <f t="shared" si="311"/>
        <v>99</v>
      </c>
      <c r="N72" s="41">
        <f t="shared" si="311"/>
        <v>15362</v>
      </c>
      <c r="O72" s="41">
        <f t="shared" si="311"/>
        <v>0</v>
      </c>
      <c r="P72" s="41">
        <f t="shared" si="311"/>
        <v>5981</v>
      </c>
      <c r="Q72" s="41">
        <f t="shared" ref="Q72:T72" si="312">SUM(Q73,Q76,Q89)</f>
        <v>14426</v>
      </c>
      <c r="R72" s="41">
        <f t="shared" si="312"/>
        <v>35473</v>
      </c>
      <c r="S72" s="41">
        <f t="shared" si="312"/>
        <v>0</v>
      </c>
      <c r="T72" s="41">
        <f t="shared" si="312"/>
        <v>0</v>
      </c>
      <c r="U72" s="41">
        <f t="shared" si="311"/>
        <v>0</v>
      </c>
      <c r="V72" s="41">
        <f>SUM(V73,V76,V89)</f>
        <v>-5452</v>
      </c>
      <c r="W72" s="41">
        <f>SUM(W73,W76,W89)</f>
        <v>-30263</v>
      </c>
      <c r="X72" s="41">
        <f t="shared" ref="X72" si="313">SUM(X73,X76,X89)</f>
        <v>-24811</v>
      </c>
      <c r="Y72" s="41">
        <f t="shared" ref="Y72" si="314">SUM(Y73,Y76,Y89)</f>
        <v>0</v>
      </c>
      <c r="Z72" s="41">
        <f t="shared" ref="Z72" si="315">SUM(Z73,Z76,Z89)</f>
        <v>-23325</v>
      </c>
      <c r="AA72" s="41">
        <f t="shared" ref="AA72" si="316">SUM(AA73,AA76,AA89)</f>
        <v>-1038</v>
      </c>
      <c r="AB72" s="41">
        <f t="shared" ref="AB72" si="317">SUM(AB73,AB76,AB89)</f>
        <v>-111</v>
      </c>
      <c r="AC72" s="41">
        <f t="shared" ref="AC72" si="318">SUM(AC73,AC76,AC89)</f>
        <v>0</v>
      </c>
      <c r="AD72" s="41">
        <f t="shared" ref="AD72" si="319">SUM(AD73,AD76,AD89)</f>
        <v>0</v>
      </c>
      <c r="AE72" s="41">
        <f t="shared" ref="AE72" si="320">SUM(AE73,AE76,AE89)</f>
        <v>0</v>
      </c>
      <c r="AF72" s="41">
        <f t="shared" ref="AF72" si="321">SUM(AF73,AF76,AF89)</f>
        <v>-336</v>
      </c>
      <c r="AG72" s="41">
        <f t="shared" ref="AG72:AI72" si="322">SUM(AG73,AG76,AG89)</f>
        <v>0</v>
      </c>
      <c r="AH72" s="41">
        <f t="shared" si="322"/>
        <v>-1</v>
      </c>
      <c r="AI72" s="41">
        <f t="shared" si="322"/>
        <v>0</v>
      </c>
      <c r="AJ72" s="41">
        <f t="shared" ref="AJ72:AL72" si="323">SUM(AJ73,AJ76,AJ89)</f>
        <v>0</v>
      </c>
      <c r="AK72" s="41">
        <f>SUM(AK73,AK76,AK89)</f>
        <v>1692989</v>
      </c>
      <c r="AL72" s="41">
        <f t="shared" si="323"/>
        <v>1698047</v>
      </c>
    </row>
    <row r="73" spans="1:38" s="113" customFormat="1" ht="24" x14ac:dyDescent="0.2">
      <c r="A73" s="58"/>
      <c r="B73" s="453" t="s">
        <v>91</v>
      </c>
      <c r="C73" s="480"/>
      <c r="D73" s="91" t="s">
        <v>289</v>
      </c>
      <c r="E73" s="185">
        <f t="shared" ref="E73:AK73" si="324">SUM(E74:E75)</f>
        <v>20512</v>
      </c>
      <c r="F73" s="185">
        <f t="shared" ref="F73:U73" si="325">SUM(F74:F75)</f>
        <v>50805</v>
      </c>
      <c r="G73" s="185">
        <f t="shared" si="325"/>
        <v>30293</v>
      </c>
      <c r="H73" s="185">
        <f t="shared" si="325"/>
        <v>5000</v>
      </c>
      <c r="I73" s="185">
        <f t="shared" si="325"/>
        <v>-161</v>
      </c>
      <c r="J73" s="185">
        <f t="shared" si="325"/>
        <v>963</v>
      </c>
      <c r="K73" s="185">
        <f t="shared" si="325"/>
        <v>0</v>
      </c>
      <c r="L73" s="185">
        <f t="shared" si="325"/>
        <v>0</v>
      </c>
      <c r="M73" s="185">
        <f t="shared" si="325"/>
        <v>-1</v>
      </c>
      <c r="N73" s="185">
        <f t="shared" si="325"/>
        <v>13848</v>
      </c>
      <c r="O73" s="185">
        <f t="shared" si="325"/>
        <v>0</v>
      </c>
      <c r="P73" s="185">
        <f t="shared" si="325"/>
        <v>0</v>
      </c>
      <c r="Q73" s="185">
        <f t="shared" ref="Q73:T73" si="326">SUM(Q74:Q75)</f>
        <v>10816</v>
      </c>
      <c r="R73" s="185">
        <f t="shared" si="326"/>
        <v>-172</v>
      </c>
      <c r="S73" s="185">
        <f t="shared" si="326"/>
        <v>0</v>
      </c>
      <c r="T73" s="185">
        <f t="shared" si="326"/>
        <v>0</v>
      </c>
      <c r="U73" s="185">
        <f t="shared" si="325"/>
        <v>0</v>
      </c>
      <c r="V73" s="185">
        <f t="shared" si="324"/>
        <v>0</v>
      </c>
      <c r="W73" s="185">
        <f t="shared" ref="W73:AJ73" si="327">SUM(W74:W75)</f>
        <v>0</v>
      </c>
      <c r="X73" s="185">
        <f t="shared" si="327"/>
        <v>0</v>
      </c>
      <c r="Y73" s="185">
        <f t="shared" si="327"/>
        <v>0</v>
      </c>
      <c r="Z73" s="185">
        <f t="shared" si="327"/>
        <v>0</v>
      </c>
      <c r="AA73" s="185">
        <f t="shared" si="327"/>
        <v>0</v>
      </c>
      <c r="AB73" s="185">
        <f t="shared" si="327"/>
        <v>0</v>
      </c>
      <c r="AC73" s="185">
        <f t="shared" si="327"/>
        <v>0</v>
      </c>
      <c r="AD73" s="185">
        <f t="shared" si="327"/>
        <v>0</v>
      </c>
      <c r="AE73" s="185">
        <f t="shared" si="327"/>
        <v>0</v>
      </c>
      <c r="AF73" s="185">
        <f t="shared" si="327"/>
        <v>0</v>
      </c>
      <c r="AG73" s="185">
        <f t="shared" si="327"/>
        <v>0</v>
      </c>
      <c r="AH73" s="185">
        <f t="shared" ref="AH73:AI73" si="328">SUM(AH74:AH75)</f>
        <v>0</v>
      </c>
      <c r="AI73" s="185">
        <f t="shared" si="328"/>
        <v>0</v>
      </c>
      <c r="AJ73" s="185">
        <f t="shared" si="327"/>
        <v>0</v>
      </c>
      <c r="AK73" s="185">
        <f t="shared" si="324"/>
        <v>20512</v>
      </c>
      <c r="AL73" s="185">
        <f>SUM(AL74:AL75)</f>
        <v>50805</v>
      </c>
    </row>
    <row r="74" spans="1:38" ht="24" x14ac:dyDescent="0.2">
      <c r="A74" s="117"/>
      <c r="B74" s="455" t="s">
        <v>221</v>
      </c>
      <c r="C74" s="456"/>
      <c r="D74" s="278" t="s">
        <v>222</v>
      </c>
      <c r="E74" s="273">
        <v>3932</v>
      </c>
      <c r="F74" s="273">
        <f t="shared" ref="F74:F75" si="329">E74+G74</f>
        <v>22608</v>
      </c>
      <c r="G74" s="273">
        <f t="shared" ref="G74:G75" si="330">SUBTOTAL(9,H74:U74)</f>
        <v>18676</v>
      </c>
      <c r="H74" s="273">
        <v>5000</v>
      </c>
      <c r="I74" s="273"/>
      <c r="J74" s="273"/>
      <c r="K74" s="273"/>
      <c r="L74" s="273"/>
      <c r="M74" s="273"/>
      <c r="N74" s="273">
        <v>13848</v>
      </c>
      <c r="O74" s="273"/>
      <c r="P74" s="273"/>
      <c r="Q74" s="273"/>
      <c r="R74" s="273">
        <v>-172</v>
      </c>
      <c r="S74" s="273"/>
      <c r="T74" s="273"/>
      <c r="U74" s="273"/>
      <c r="V74" s="273"/>
      <c r="W74" s="273">
        <f t="shared" ref="W74:W75" si="331">V74+X74</f>
        <v>0</v>
      </c>
      <c r="X74" s="273">
        <f t="shared" ref="X74:X75" si="332">SUBTOTAL(9,Y74:AJ74)</f>
        <v>0</v>
      </c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>
        <f>E74+V74</f>
        <v>3932</v>
      </c>
      <c r="AL74" s="273">
        <f>W74+F74</f>
        <v>22608</v>
      </c>
    </row>
    <row r="75" spans="1:38" ht="24" x14ac:dyDescent="0.2">
      <c r="A75" s="167"/>
      <c r="B75" s="455" t="s">
        <v>492</v>
      </c>
      <c r="C75" s="456"/>
      <c r="D75" s="278" t="s">
        <v>644</v>
      </c>
      <c r="E75" s="181">
        <v>16580</v>
      </c>
      <c r="F75" s="181">
        <f t="shared" si="329"/>
        <v>28197</v>
      </c>
      <c r="G75" s="181">
        <f t="shared" si="330"/>
        <v>11617</v>
      </c>
      <c r="H75" s="181"/>
      <c r="I75" s="181">
        <f>6-167</f>
        <v>-161</v>
      </c>
      <c r="J75" s="181">
        <v>963</v>
      </c>
      <c r="K75" s="181"/>
      <c r="L75" s="181"/>
      <c r="M75" s="181">
        <v>-1</v>
      </c>
      <c r="N75" s="181"/>
      <c r="O75" s="181"/>
      <c r="P75" s="181"/>
      <c r="Q75" s="181">
        <v>10816</v>
      </c>
      <c r="R75" s="181"/>
      <c r="S75" s="181"/>
      <c r="T75" s="181"/>
      <c r="U75" s="181"/>
      <c r="V75" s="181"/>
      <c r="W75" s="181">
        <f t="shared" si="331"/>
        <v>0</v>
      </c>
      <c r="X75" s="181">
        <f t="shared" si="332"/>
        <v>0</v>
      </c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>
        <f>E75+V75</f>
        <v>16580</v>
      </c>
      <c r="AL75" s="181">
        <f>W75+F75</f>
        <v>28197</v>
      </c>
    </row>
    <row r="76" spans="1:38" s="113" customFormat="1" ht="26.25" customHeight="1" x14ac:dyDescent="0.2">
      <c r="A76" s="34"/>
      <c r="B76" s="453" t="s">
        <v>92</v>
      </c>
      <c r="C76" s="480"/>
      <c r="D76" s="35" t="s">
        <v>290</v>
      </c>
      <c r="E76" s="185">
        <f>SUM(E77,E80,E82,E85)</f>
        <v>1644025</v>
      </c>
      <c r="F76" s="185">
        <f>SUM(F77,F80,F82,F85)</f>
        <v>1610735</v>
      </c>
      <c r="G76" s="185">
        <f t="shared" ref="G76:U76" si="333">SUM(G77,G80,G82,G85)</f>
        <v>-33290</v>
      </c>
      <c r="H76" s="185">
        <f t="shared" si="333"/>
        <v>0</v>
      </c>
      <c r="I76" s="185">
        <f t="shared" si="333"/>
        <v>30382</v>
      </c>
      <c r="J76" s="185">
        <f t="shared" si="333"/>
        <v>-101726</v>
      </c>
      <c r="K76" s="185">
        <f t="shared" si="333"/>
        <v>0</v>
      </c>
      <c r="L76" s="185">
        <f t="shared" si="333"/>
        <v>2875</v>
      </c>
      <c r="M76" s="185">
        <f t="shared" si="333"/>
        <v>0</v>
      </c>
      <c r="N76" s="185">
        <f t="shared" si="333"/>
        <v>793</v>
      </c>
      <c r="O76" s="185">
        <f t="shared" si="333"/>
        <v>0</v>
      </c>
      <c r="P76" s="185">
        <f t="shared" si="333"/>
        <v>5417</v>
      </c>
      <c r="Q76" s="185">
        <f t="shared" ref="Q76:T76" si="334">SUM(Q77,Q80,Q82,Q85)</f>
        <v>3635</v>
      </c>
      <c r="R76" s="185">
        <f t="shared" si="334"/>
        <v>25334</v>
      </c>
      <c r="S76" s="185">
        <f t="shared" si="334"/>
        <v>0</v>
      </c>
      <c r="T76" s="185">
        <f t="shared" si="334"/>
        <v>0</v>
      </c>
      <c r="U76" s="185">
        <f t="shared" si="333"/>
        <v>0</v>
      </c>
      <c r="V76" s="185">
        <f>SUM(V77,V80,V82,V85)</f>
        <v>0</v>
      </c>
      <c r="W76" s="185">
        <f>SUM(W77,W80,W82,W85)</f>
        <v>-23199</v>
      </c>
      <c r="X76" s="185">
        <f t="shared" ref="X76" si="335">SUM(X77,X80,X82,X85)</f>
        <v>-23199</v>
      </c>
      <c r="Y76" s="185">
        <f t="shared" ref="Y76" si="336">SUM(Y77,Y80,Y82,Y85)</f>
        <v>0</v>
      </c>
      <c r="Z76" s="185">
        <f t="shared" ref="Z76" si="337">SUM(Z77,Z80,Z82,Z85)</f>
        <v>-23199</v>
      </c>
      <c r="AA76" s="185">
        <f t="shared" ref="AA76" si="338">SUM(AA77,AA80,AA82,AA85)</f>
        <v>0</v>
      </c>
      <c r="AB76" s="185">
        <f t="shared" ref="AB76" si="339">SUM(AB77,AB80,AB82,AB85)</f>
        <v>0</v>
      </c>
      <c r="AC76" s="185">
        <f t="shared" ref="AC76" si="340">SUM(AC77,AC80,AC82,AC85)</f>
        <v>0</v>
      </c>
      <c r="AD76" s="185">
        <f t="shared" ref="AD76" si="341">SUM(AD77,AD80,AD82,AD85)</f>
        <v>0</v>
      </c>
      <c r="AE76" s="185">
        <f t="shared" ref="AE76" si="342">SUM(AE77,AE80,AE82,AE85)</f>
        <v>0</v>
      </c>
      <c r="AF76" s="185">
        <f t="shared" ref="AF76" si="343">SUM(AF77,AF80,AF82,AF85)</f>
        <v>0</v>
      </c>
      <c r="AG76" s="185">
        <f t="shared" ref="AG76:AI76" si="344">SUM(AG77,AG80,AG82,AG85)</f>
        <v>0</v>
      </c>
      <c r="AH76" s="185">
        <f t="shared" si="344"/>
        <v>0</v>
      </c>
      <c r="AI76" s="185">
        <f t="shared" si="344"/>
        <v>0</v>
      </c>
      <c r="AJ76" s="185">
        <f t="shared" ref="AJ76:AL76" si="345">SUM(AJ77,AJ80,AJ82,AJ85)</f>
        <v>0</v>
      </c>
      <c r="AK76" s="185">
        <f>SUM(AK77,AK80,AK82,AK85)</f>
        <v>1644025</v>
      </c>
      <c r="AL76" s="185">
        <f t="shared" si="345"/>
        <v>1587536</v>
      </c>
    </row>
    <row r="77" spans="1:38" x14ac:dyDescent="0.2">
      <c r="A77" s="36"/>
      <c r="B77" s="457" t="s">
        <v>93</v>
      </c>
      <c r="C77" s="460"/>
      <c r="D77" s="37" t="s">
        <v>94</v>
      </c>
      <c r="E77" s="181">
        <f>SUM(E78:E79)</f>
        <v>154353</v>
      </c>
      <c r="F77" s="181">
        <f>SUM(F78:F79)</f>
        <v>165773</v>
      </c>
      <c r="G77" s="181">
        <f t="shared" ref="G77:U77" si="346">SUM(G78:G79)</f>
        <v>11420</v>
      </c>
      <c r="H77" s="181">
        <f t="shared" si="346"/>
        <v>0</v>
      </c>
      <c r="I77" s="181">
        <f t="shared" si="346"/>
        <v>0</v>
      </c>
      <c r="J77" s="181">
        <f t="shared" si="346"/>
        <v>0</v>
      </c>
      <c r="K77" s="181">
        <f t="shared" si="346"/>
        <v>0</v>
      </c>
      <c r="L77" s="181">
        <f t="shared" si="346"/>
        <v>0</v>
      </c>
      <c r="M77" s="181">
        <f t="shared" si="346"/>
        <v>0</v>
      </c>
      <c r="N77" s="181">
        <f t="shared" si="346"/>
        <v>0</v>
      </c>
      <c r="O77" s="181">
        <f t="shared" si="346"/>
        <v>0</v>
      </c>
      <c r="P77" s="181">
        <f t="shared" si="346"/>
        <v>0</v>
      </c>
      <c r="Q77" s="181">
        <f t="shared" ref="Q77:T77" si="347">SUM(Q78:Q79)</f>
        <v>0</v>
      </c>
      <c r="R77" s="181">
        <f t="shared" si="347"/>
        <v>11420</v>
      </c>
      <c r="S77" s="181">
        <f t="shared" si="347"/>
        <v>0</v>
      </c>
      <c r="T77" s="181">
        <f t="shared" si="347"/>
        <v>0</v>
      </c>
      <c r="U77" s="181">
        <f t="shared" si="346"/>
        <v>0</v>
      </c>
      <c r="V77" s="181">
        <f>SUM(V78:V79)</f>
        <v>0</v>
      </c>
      <c r="W77" s="181">
        <f>SUM(W78:W79)</f>
        <v>0</v>
      </c>
      <c r="X77" s="181">
        <f t="shared" ref="X77" si="348">SUM(X78:X79)</f>
        <v>0</v>
      </c>
      <c r="Y77" s="181">
        <f t="shared" ref="Y77" si="349">SUM(Y78:Y79)</f>
        <v>0</v>
      </c>
      <c r="Z77" s="181">
        <f t="shared" ref="Z77" si="350">SUM(Z78:Z79)</f>
        <v>0</v>
      </c>
      <c r="AA77" s="181">
        <f t="shared" ref="AA77" si="351">SUM(AA78:AA79)</f>
        <v>0</v>
      </c>
      <c r="AB77" s="181">
        <f t="shared" ref="AB77" si="352">SUM(AB78:AB79)</f>
        <v>0</v>
      </c>
      <c r="AC77" s="181">
        <f t="shared" ref="AC77" si="353">SUM(AC78:AC79)</f>
        <v>0</v>
      </c>
      <c r="AD77" s="181">
        <f t="shared" ref="AD77" si="354">SUM(AD78:AD79)</f>
        <v>0</v>
      </c>
      <c r="AE77" s="181">
        <f t="shared" ref="AE77" si="355">SUM(AE78:AE79)</f>
        <v>0</v>
      </c>
      <c r="AF77" s="181">
        <f t="shared" ref="AF77" si="356">SUM(AF78:AF79)</f>
        <v>0</v>
      </c>
      <c r="AG77" s="181">
        <f t="shared" ref="AG77:AI77" si="357">SUM(AG78:AG79)</f>
        <v>0</v>
      </c>
      <c r="AH77" s="181">
        <f t="shared" si="357"/>
        <v>0</v>
      </c>
      <c r="AI77" s="181">
        <f t="shared" si="357"/>
        <v>0</v>
      </c>
      <c r="AJ77" s="181">
        <f t="shared" ref="AJ77:AL77" si="358">SUM(AJ78:AJ79)</f>
        <v>0</v>
      </c>
      <c r="AK77" s="181">
        <f>SUM(AK78:AK79)</f>
        <v>154353</v>
      </c>
      <c r="AL77" s="181">
        <f t="shared" si="358"/>
        <v>165773</v>
      </c>
    </row>
    <row r="78" spans="1:38" x14ac:dyDescent="0.2">
      <c r="A78" s="38"/>
      <c r="B78" s="488" t="s">
        <v>95</v>
      </c>
      <c r="C78" s="489"/>
      <c r="D78" s="40" t="s">
        <v>172</v>
      </c>
      <c r="E78" s="182">
        <v>13515</v>
      </c>
      <c r="F78" s="182">
        <f t="shared" ref="F78:F79" si="359">E78+G78</f>
        <v>13515</v>
      </c>
      <c r="G78" s="182">
        <f t="shared" ref="G78:G79" si="360">SUBTOTAL(9,H78:U78)</f>
        <v>0</v>
      </c>
      <c r="H78" s="182"/>
      <c r="I78" s="182"/>
      <c r="J78" s="182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274"/>
      <c r="W78" s="182">
        <f t="shared" ref="W78:W79" si="361">V78+X78</f>
        <v>0</v>
      </c>
      <c r="X78" s="182">
        <f t="shared" ref="X78:X79" si="362">SUBTOTAL(9,Y78:AJ78)</f>
        <v>0</v>
      </c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274">
        <f>E78+V78</f>
        <v>13515</v>
      </c>
      <c r="AL78" s="182">
        <f>W78+F78</f>
        <v>13515</v>
      </c>
    </row>
    <row r="79" spans="1:38" x14ac:dyDescent="0.2">
      <c r="A79" s="39"/>
      <c r="B79" s="455" t="s">
        <v>96</v>
      </c>
      <c r="C79" s="456"/>
      <c r="D79" s="40" t="s">
        <v>173</v>
      </c>
      <c r="E79" s="182">
        <v>140838</v>
      </c>
      <c r="F79" s="184">
        <f t="shared" si="359"/>
        <v>152258</v>
      </c>
      <c r="G79" s="184">
        <f t="shared" si="360"/>
        <v>11420</v>
      </c>
      <c r="H79" s="184"/>
      <c r="I79" s="184"/>
      <c r="J79" s="184"/>
      <c r="K79" s="184"/>
      <c r="L79" s="184"/>
      <c r="M79" s="184"/>
      <c r="N79" s="184"/>
      <c r="O79" s="184"/>
      <c r="P79" s="184"/>
      <c r="Q79" s="184"/>
      <c r="R79" s="184">
        <f>11420</f>
        <v>11420</v>
      </c>
      <c r="S79" s="184"/>
      <c r="T79" s="184"/>
      <c r="U79" s="184"/>
      <c r="V79" s="184"/>
      <c r="W79" s="184">
        <f t="shared" si="361"/>
        <v>0</v>
      </c>
      <c r="X79" s="184">
        <f t="shared" si="362"/>
        <v>0</v>
      </c>
      <c r="Y79" s="184"/>
      <c r="Z79" s="184"/>
      <c r="AA79" s="184"/>
      <c r="AB79" s="184"/>
      <c r="AC79" s="184"/>
      <c r="AD79" s="184"/>
      <c r="AE79" s="184"/>
      <c r="AF79" s="184"/>
      <c r="AG79" s="184"/>
      <c r="AH79" s="184"/>
      <c r="AI79" s="184"/>
      <c r="AJ79" s="184"/>
      <c r="AK79" s="184">
        <f>E79+V79</f>
        <v>140838</v>
      </c>
      <c r="AL79" s="184">
        <f>W79+F79</f>
        <v>152258</v>
      </c>
    </row>
    <row r="80" spans="1:38" ht="24" x14ac:dyDescent="0.2">
      <c r="A80" s="42"/>
      <c r="B80" s="457" t="s">
        <v>97</v>
      </c>
      <c r="C80" s="460"/>
      <c r="D80" s="43" t="s">
        <v>98</v>
      </c>
      <c r="E80" s="44">
        <f t="shared" ref="E80:AK80" si="363">SUM(E81:E81)</f>
        <v>135117</v>
      </c>
      <c r="F80" s="44">
        <f t="shared" si="363"/>
        <v>135468</v>
      </c>
      <c r="G80" s="44">
        <f t="shared" si="363"/>
        <v>351</v>
      </c>
      <c r="H80" s="44">
        <f t="shared" si="363"/>
        <v>0</v>
      </c>
      <c r="I80" s="44">
        <f t="shared" si="363"/>
        <v>-4839</v>
      </c>
      <c r="J80" s="44">
        <f t="shared" si="363"/>
        <v>0</v>
      </c>
      <c r="K80" s="44">
        <f t="shared" si="363"/>
        <v>0</v>
      </c>
      <c r="L80" s="44">
        <f t="shared" si="363"/>
        <v>0</v>
      </c>
      <c r="M80" s="44">
        <f t="shared" si="363"/>
        <v>0</v>
      </c>
      <c r="N80" s="44">
        <f t="shared" si="363"/>
        <v>0</v>
      </c>
      <c r="O80" s="44">
        <f t="shared" si="363"/>
        <v>0</v>
      </c>
      <c r="P80" s="44">
        <f t="shared" si="363"/>
        <v>5190</v>
      </c>
      <c r="Q80" s="44">
        <f t="shared" si="363"/>
        <v>0</v>
      </c>
      <c r="R80" s="44">
        <f t="shared" si="363"/>
        <v>0</v>
      </c>
      <c r="S80" s="44">
        <f t="shared" si="363"/>
        <v>0</v>
      </c>
      <c r="T80" s="44">
        <f t="shared" si="363"/>
        <v>0</v>
      </c>
      <c r="U80" s="44">
        <f t="shared" si="363"/>
        <v>0</v>
      </c>
      <c r="V80" s="44">
        <f t="shared" si="363"/>
        <v>0</v>
      </c>
      <c r="W80" s="44">
        <f t="shared" ref="W80:AJ80" si="364">SUM(W81:W81)</f>
        <v>0</v>
      </c>
      <c r="X80" s="44">
        <f t="shared" si="364"/>
        <v>0</v>
      </c>
      <c r="Y80" s="44">
        <f t="shared" si="364"/>
        <v>0</v>
      </c>
      <c r="Z80" s="44">
        <f t="shared" si="364"/>
        <v>0</v>
      </c>
      <c r="AA80" s="44">
        <f t="shared" si="364"/>
        <v>0</v>
      </c>
      <c r="AB80" s="44">
        <f t="shared" si="364"/>
        <v>0</v>
      </c>
      <c r="AC80" s="44">
        <f t="shared" si="364"/>
        <v>0</v>
      </c>
      <c r="AD80" s="44">
        <f t="shared" si="364"/>
        <v>0</v>
      </c>
      <c r="AE80" s="44">
        <f t="shared" si="364"/>
        <v>0</v>
      </c>
      <c r="AF80" s="44">
        <f t="shared" si="364"/>
        <v>0</v>
      </c>
      <c r="AG80" s="44">
        <f t="shared" si="364"/>
        <v>0</v>
      </c>
      <c r="AH80" s="44">
        <f t="shared" si="364"/>
        <v>0</v>
      </c>
      <c r="AI80" s="44">
        <f t="shared" si="364"/>
        <v>0</v>
      </c>
      <c r="AJ80" s="44">
        <f t="shared" si="364"/>
        <v>0</v>
      </c>
      <c r="AK80" s="44">
        <f t="shared" si="363"/>
        <v>135117</v>
      </c>
      <c r="AL80" s="44">
        <f>SUM(AL81:AL81)</f>
        <v>135468</v>
      </c>
    </row>
    <row r="81" spans="1:38" ht="24" x14ac:dyDescent="0.2">
      <c r="A81" s="46"/>
      <c r="B81" s="491" t="s">
        <v>99</v>
      </c>
      <c r="C81" s="492"/>
      <c r="D81" s="56" t="s">
        <v>174</v>
      </c>
      <c r="E81" s="182">
        <v>135117</v>
      </c>
      <c r="F81" s="184">
        <f>E81+G81</f>
        <v>135468</v>
      </c>
      <c r="G81" s="184">
        <f>SUBTOTAL(9,H81:U81)</f>
        <v>351</v>
      </c>
      <c r="H81" s="184"/>
      <c r="I81" s="184">
        <v>-4839</v>
      </c>
      <c r="J81" s="184"/>
      <c r="K81" s="184"/>
      <c r="L81" s="184"/>
      <c r="M81" s="184"/>
      <c r="N81" s="184"/>
      <c r="O81" s="184"/>
      <c r="P81" s="184">
        <f>4225+965</f>
        <v>5190</v>
      </c>
      <c r="Q81" s="184"/>
      <c r="R81" s="184"/>
      <c r="S81" s="184"/>
      <c r="T81" s="184"/>
      <c r="U81" s="184"/>
      <c r="V81" s="184"/>
      <c r="W81" s="184">
        <f>V81+X81</f>
        <v>0</v>
      </c>
      <c r="X81" s="184">
        <f>SUBTOTAL(9,Y81:AJ81)</f>
        <v>0</v>
      </c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>
        <f>E81+V81</f>
        <v>135117</v>
      </c>
      <c r="AL81" s="184">
        <f>W81+F81</f>
        <v>135468</v>
      </c>
    </row>
    <row r="82" spans="1:38" x14ac:dyDescent="0.2">
      <c r="A82" s="42"/>
      <c r="B82" s="457" t="s">
        <v>100</v>
      </c>
      <c r="C82" s="460"/>
      <c r="D82" s="43" t="s">
        <v>176</v>
      </c>
      <c r="E82" s="44">
        <f t="shared" ref="E82:AK82" si="365">SUM(E83:E84)</f>
        <v>291693</v>
      </c>
      <c r="F82" s="44">
        <f t="shared" ref="F82:U82" si="366">SUM(F83:F84)</f>
        <v>305026</v>
      </c>
      <c r="G82" s="44">
        <f t="shared" si="366"/>
        <v>13333</v>
      </c>
      <c r="H82" s="44">
        <f t="shared" si="366"/>
        <v>0</v>
      </c>
      <c r="I82" s="44">
        <f t="shared" si="366"/>
        <v>-632</v>
      </c>
      <c r="J82" s="44">
        <f t="shared" si="366"/>
        <v>0</v>
      </c>
      <c r="K82" s="44">
        <f t="shared" si="366"/>
        <v>0</v>
      </c>
      <c r="L82" s="44">
        <f t="shared" si="366"/>
        <v>0</v>
      </c>
      <c r="M82" s="44">
        <f t="shared" si="366"/>
        <v>0</v>
      </c>
      <c r="N82" s="44">
        <f t="shared" si="366"/>
        <v>0</v>
      </c>
      <c r="O82" s="44">
        <f t="shared" si="366"/>
        <v>0</v>
      </c>
      <c r="P82" s="44">
        <f t="shared" si="366"/>
        <v>6029</v>
      </c>
      <c r="Q82" s="44">
        <f t="shared" ref="Q82:T82" si="367">SUM(Q83:Q84)</f>
        <v>3729</v>
      </c>
      <c r="R82" s="44">
        <f t="shared" si="367"/>
        <v>4207</v>
      </c>
      <c r="S82" s="44">
        <f t="shared" si="367"/>
        <v>0</v>
      </c>
      <c r="T82" s="44">
        <f t="shared" si="367"/>
        <v>0</v>
      </c>
      <c r="U82" s="44">
        <f t="shared" si="366"/>
        <v>0</v>
      </c>
      <c r="V82" s="44">
        <f t="shared" si="365"/>
        <v>0</v>
      </c>
      <c r="W82" s="44">
        <f t="shared" ref="W82:AJ82" si="368">SUM(W83:W84)</f>
        <v>0</v>
      </c>
      <c r="X82" s="44">
        <f t="shared" si="368"/>
        <v>0</v>
      </c>
      <c r="Y82" s="44">
        <f t="shared" si="368"/>
        <v>0</v>
      </c>
      <c r="Z82" s="44">
        <f t="shared" si="368"/>
        <v>0</v>
      </c>
      <c r="AA82" s="44">
        <f t="shared" si="368"/>
        <v>0</v>
      </c>
      <c r="AB82" s="44">
        <f t="shared" si="368"/>
        <v>0</v>
      </c>
      <c r="AC82" s="44">
        <f t="shared" si="368"/>
        <v>0</v>
      </c>
      <c r="AD82" s="44">
        <f t="shared" si="368"/>
        <v>0</v>
      </c>
      <c r="AE82" s="44">
        <f t="shared" si="368"/>
        <v>0</v>
      </c>
      <c r="AF82" s="44">
        <f t="shared" si="368"/>
        <v>0</v>
      </c>
      <c r="AG82" s="44">
        <f t="shared" si="368"/>
        <v>0</v>
      </c>
      <c r="AH82" s="44">
        <f t="shared" ref="AH82:AI82" si="369">SUM(AH83:AH84)</f>
        <v>0</v>
      </c>
      <c r="AI82" s="44">
        <f t="shared" si="369"/>
        <v>0</v>
      </c>
      <c r="AJ82" s="44">
        <f t="shared" si="368"/>
        <v>0</v>
      </c>
      <c r="AK82" s="44">
        <f t="shared" si="365"/>
        <v>291693</v>
      </c>
      <c r="AL82" s="44">
        <f>SUM(AL83:AL84)</f>
        <v>305026</v>
      </c>
    </row>
    <row r="83" spans="1:38" x14ac:dyDescent="0.2">
      <c r="A83" s="38"/>
      <c r="B83" s="488" t="s">
        <v>101</v>
      </c>
      <c r="C83" s="489"/>
      <c r="D83" s="272" t="s">
        <v>144</v>
      </c>
      <c r="E83" s="182">
        <v>288692</v>
      </c>
      <c r="F83" s="182">
        <f t="shared" ref="F83:F84" si="370">E83+G83</f>
        <v>302025</v>
      </c>
      <c r="G83" s="182">
        <f t="shared" ref="G83:G84" si="371">SUBTOTAL(9,H83:U83)</f>
        <v>13333</v>
      </c>
      <c r="H83" s="182"/>
      <c r="I83" s="182">
        <f>-936+120+184-1+1</f>
        <v>-632</v>
      </c>
      <c r="J83" s="182"/>
      <c r="K83" s="182"/>
      <c r="L83" s="182"/>
      <c r="M83" s="182"/>
      <c r="N83" s="182"/>
      <c r="O83" s="182"/>
      <c r="P83" s="182">
        <f>29+6000</f>
        <v>6029</v>
      </c>
      <c r="Q83" s="182">
        <f>-2040+4388+4168-2787</f>
        <v>3729</v>
      </c>
      <c r="R83" s="182">
        <f>182+420+300+2000+1305</f>
        <v>4207</v>
      </c>
      <c r="S83" s="182"/>
      <c r="T83" s="182"/>
      <c r="U83" s="182"/>
      <c r="V83" s="182"/>
      <c r="W83" s="182">
        <f t="shared" ref="W83:W84" si="372">V83+X83</f>
        <v>0</v>
      </c>
      <c r="X83" s="182">
        <f t="shared" ref="X83:X84" si="373">SUBTOTAL(9,Y83:AJ83)</f>
        <v>0</v>
      </c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>
        <f>E83+V83</f>
        <v>288692</v>
      </c>
      <c r="AL83" s="182">
        <f>W83+F83</f>
        <v>302025</v>
      </c>
    </row>
    <row r="84" spans="1:38" x14ac:dyDescent="0.2">
      <c r="A84" s="55"/>
      <c r="B84" s="454" t="s">
        <v>102</v>
      </c>
      <c r="C84" s="490"/>
      <c r="D84" s="56" t="s">
        <v>175</v>
      </c>
      <c r="E84" s="182">
        <v>3001</v>
      </c>
      <c r="F84" s="182">
        <f t="shared" si="370"/>
        <v>3001</v>
      </c>
      <c r="G84" s="182">
        <f t="shared" si="371"/>
        <v>0</v>
      </c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>
        <f t="shared" si="372"/>
        <v>0</v>
      </c>
      <c r="X84" s="182">
        <f t="shared" si="373"/>
        <v>0</v>
      </c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>
        <f>E84+V84</f>
        <v>3001</v>
      </c>
      <c r="AL84" s="182">
        <f>W84+F84</f>
        <v>3001</v>
      </c>
    </row>
    <row r="85" spans="1:38" ht="24" x14ac:dyDescent="0.2">
      <c r="A85" s="42"/>
      <c r="B85" s="457" t="s">
        <v>103</v>
      </c>
      <c r="C85" s="460"/>
      <c r="D85" s="43" t="s">
        <v>528</v>
      </c>
      <c r="E85" s="44">
        <f t="shared" ref="E85:AK85" si="374">SUM(E86:E88)</f>
        <v>1062862</v>
      </c>
      <c r="F85" s="44">
        <f t="shared" ref="F85:U85" si="375">SUM(F86:F88)</f>
        <v>1004468</v>
      </c>
      <c r="G85" s="44">
        <f t="shared" si="375"/>
        <v>-58394</v>
      </c>
      <c r="H85" s="44">
        <f t="shared" si="375"/>
        <v>0</v>
      </c>
      <c r="I85" s="44">
        <f t="shared" si="375"/>
        <v>35853</v>
      </c>
      <c r="J85" s="44">
        <f t="shared" si="375"/>
        <v>-101726</v>
      </c>
      <c r="K85" s="44">
        <f t="shared" si="375"/>
        <v>0</v>
      </c>
      <c r="L85" s="44">
        <f t="shared" si="375"/>
        <v>2875</v>
      </c>
      <c r="M85" s="44">
        <f t="shared" si="375"/>
        <v>0</v>
      </c>
      <c r="N85" s="44">
        <f t="shared" si="375"/>
        <v>793</v>
      </c>
      <c r="O85" s="44">
        <f t="shared" si="375"/>
        <v>0</v>
      </c>
      <c r="P85" s="44">
        <f t="shared" si="375"/>
        <v>-5802</v>
      </c>
      <c r="Q85" s="44">
        <f t="shared" ref="Q85:T85" si="376">SUM(Q86:Q88)</f>
        <v>-94</v>
      </c>
      <c r="R85" s="44">
        <f t="shared" si="376"/>
        <v>9707</v>
      </c>
      <c r="S85" s="44">
        <f t="shared" si="376"/>
        <v>0</v>
      </c>
      <c r="T85" s="44">
        <f t="shared" si="376"/>
        <v>0</v>
      </c>
      <c r="U85" s="44">
        <f t="shared" si="375"/>
        <v>0</v>
      </c>
      <c r="V85" s="44">
        <f t="shared" si="374"/>
        <v>0</v>
      </c>
      <c r="W85" s="44">
        <f t="shared" ref="W85:AJ85" si="377">SUM(W86:W88)</f>
        <v>-23199</v>
      </c>
      <c r="X85" s="44">
        <f t="shared" si="377"/>
        <v>-23199</v>
      </c>
      <c r="Y85" s="44">
        <f t="shared" si="377"/>
        <v>0</v>
      </c>
      <c r="Z85" s="44">
        <f t="shared" si="377"/>
        <v>-23199</v>
      </c>
      <c r="AA85" s="44">
        <f t="shared" si="377"/>
        <v>0</v>
      </c>
      <c r="AB85" s="44">
        <f t="shared" si="377"/>
        <v>0</v>
      </c>
      <c r="AC85" s="44">
        <f t="shared" si="377"/>
        <v>0</v>
      </c>
      <c r="AD85" s="44">
        <f t="shared" si="377"/>
        <v>0</v>
      </c>
      <c r="AE85" s="44">
        <f t="shared" si="377"/>
        <v>0</v>
      </c>
      <c r="AF85" s="44">
        <f t="shared" si="377"/>
        <v>0</v>
      </c>
      <c r="AG85" s="44">
        <f t="shared" si="377"/>
        <v>0</v>
      </c>
      <c r="AH85" s="44">
        <f t="shared" ref="AH85:AI85" si="378">SUM(AH86:AH88)</f>
        <v>0</v>
      </c>
      <c r="AI85" s="44">
        <f t="shared" si="378"/>
        <v>0</v>
      </c>
      <c r="AJ85" s="44">
        <f t="shared" si="377"/>
        <v>0</v>
      </c>
      <c r="AK85" s="44">
        <f t="shared" si="374"/>
        <v>1062862</v>
      </c>
      <c r="AL85" s="44">
        <f>SUM(AL86:AL88)</f>
        <v>981269</v>
      </c>
    </row>
    <row r="86" spans="1:38" ht="22.5" customHeight="1" x14ac:dyDescent="0.2">
      <c r="A86" s="38"/>
      <c r="B86" s="488" t="s">
        <v>104</v>
      </c>
      <c r="C86" s="489"/>
      <c r="D86" s="40" t="s">
        <v>177</v>
      </c>
      <c r="E86" s="182">
        <v>502190</v>
      </c>
      <c r="F86" s="182">
        <f t="shared" ref="F86:F88" si="379">E86+G86</f>
        <v>493713</v>
      </c>
      <c r="G86" s="182">
        <f t="shared" ref="G86:G88" si="380">SUBTOTAL(9,H86:U86)</f>
        <v>-8477</v>
      </c>
      <c r="H86" s="182"/>
      <c r="I86" s="182"/>
      <c r="J86" s="182"/>
      <c r="K86" s="182"/>
      <c r="L86" s="182"/>
      <c r="M86" s="182"/>
      <c r="N86" s="182"/>
      <c r="O86" s="182"/>
      <c r="P86" s="182">
        <f>-8477</f>
        <v>-8477</v>
      </c>
      <c r="Q86" s="182"/>
      <c r="R86" s="182"/>
      <c r="S86" s="182"/>
      <c r="T86" s="182"/>
      <c r="U86" s="182"/>
      <c r="V86" s="182"/>
      <c r="W86" s="182">
        <f t="shared" ref="W86:W88" si="381">V86+X86</f>
        <v>0</v>
      </c>
      <c r="X86" s="182">
        <f t="shared" ref="X86:X88" si="382">SUBTOTAL(9,Y86:AJ86)</f>
        <v>0</v>
      </c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>
        <f>E86+V86</f>
        <v>502190</v>
      </c>
      <c r="AL86" s="182">
        <f>W86+F86</f>
        <v>493713</v>
      </c>
    </row>
    <row r="87" spans="1:38" x14ac:dyDescent="0.2">
      <c r="A87" s="55"/>
      <c r="B87" s="454" t="s">
        <v>105</v>
      </c>
      <c r="C87" s="490"/>
      <c r="D87" s="40" t="s">
        <v>194</v>
      </c>
      <c r="E87" s="182">
        <v>23285</v>
      </c>
      <c r="F87" s="182">
        <f t="shared" si="379"/>
        <v>23816</v>
      </c>
      <c r="G87" s="182">
        <f t="shared" si="380"/>
        <v>531</v>
      </c>
      <c r="H87" s="182"/>
      <c r="I87" s="182"/>
      <c r="J87" s="182"/>
      <c r="K87" s="182"/>
      <c r="L87" s="182"/>
      <c r="M87" s="182"/>
      <c r="N87" s="182"/>
      <c r="O87" s="182"/>
      <c r="P87" s="182"/>
      <c r="Q87" s="182">
        <v>531</v>
      </c>
      <c r="R87" s="182"/>
      <c r="S87" s="182"/>
      <c r="T87" s="182"/>
      <c r="U87" s="182"/>
      <c r="V87" s="182"/>
      <c r="W87" s="182">
        <f t="shared" si="381"/>
        <v>0</v>
      </c>
      <c r="X87" s="182">
        <f t="shared" si="382"/>
        <v>0</v>
      </c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>
        <f>E87+V87</f>
        <v>23285</v>
      </c>
      <c r="AL87" s="182">
        <f>W87+F87</f>
        <v>23816</v>
      </c>
    </row>
    <row r="88" spans="1:38" x14ac:dyDescent="0.2">
      <c r="A88" s="39"/>
      <c r="B88" s="455" t="s">
        <v>106</v>
      </c>
      <c r="C88" s="456"/>
      <c r="D88" s="40" t="s">
        <v>178</v>
      </c>
      <c r="E88" s="182">
        <v>537387</v>
      </c>
      <c r="F88" s="273">
        <f t="shared" si="379"/>
        <v>486939</v>
      </c>
      <c r="G88" s="273">
        <f t="shared" si="380"/>
        <v>-50448</v>
      </c>
      <c r="H88" s="273"/>
      <c r="I88" s="273">
        <f>12654+23199</f>
        <v>35853</v>
      </c>
      <c r="J88" s="273">
        <v>-101726</v>
      </c>
      <c r="K88" s="273"/>
      <c r="L88" s="273">
        <v>2875</v>
      </c>
      <c r="M88" s="273"/>
      <c r="N88" s="273">
        <v>793</v>
      </c>
      <c r="O88" s="273"/>
      <c r="P88" s="273">
        <f>-162+894+1495+448</f>
        <v>2675</v>
      </c>
      <c r="Q88" s="273">
        <f>-7972+2500+3750-3502+4599</f>
        <v>-625</v>
      </c>
      <c r="R88" s="273">
        <f>-4721+4740+9688</f>
        <v>9707</v>
      </c>
      <c r="S88" s="273"/>
      <c r="T88" s="273"/>
      <c r="U88" s="273"/>
      <c r="V88" s="273"/>
      <c r="W88" s="273">
        <f t="shared" si="381"/>
        <v>-23199</v>
      </c>
      <c r="X88" s="273">
        <f t="shared" si="382"/>
        <v>-23199</v>
      </c>
      <c r="Y88" s="273"/>
      <c r="Z88" s="273">
        <v>-23199</v>
      </c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>
        <f>E88+V88</f>
        <v>537387</v>
      </c>
      <c r="AL88" s="273">
        <f>W88+F88</f>
        <v>463740</v>
      </c>
    </row>
    <row r="89" spans="1:38" ht="39.75" customHeight="1" x14ac:dyDescent="0.2">
      <c r="A89" s="42"/>
      <c r="B89" s="453" t="s">
        <v>235</v>
      </c>
      <c r="C89" s="480"/>
      <c r="D89" s="284" t="s">
        <v>291</v>
      </c>
      <c r="E89" s="185">
        <f t="shared" ref="E89" si="383">SUM(E90,E92)</f>
        <v>33904</v>
      </c>
      <c r="F89" s="280">
        <f>SUM(F90,F92)</f>
        <v>66770</v>
      </c>
      <c r="G89" s="280">
        <f t="shared" ref="G89:U89" si="384">SUM(G90,G92)</f>
        <v>32866</v>
      </c>
      <c r="H89" s="280">
        <f t="shared" si="384"/>
        <v>0</v>
      </c>
      <c r="I89" s="280">
        <f t="shared" si="384"/>
        <v>19266</v>
      </c>
      <c r="J89" s="280">
        <f t="shared" si="384"/>
        <v>1818</v>
      </c>
      <c r="K89" s="280">
        <f t="shared" si="384"/>
        <v>111</v>
      </c>
      <c r="L89" s="280">
        <f t="shared" si="384"/>
        <v>0</v>
      </c>
      <c r="M89" s="280">
        <f t="shared" si="384"/>
        <v>100</v>
      </c>
      <c r="N89" s="280">
        <f t="shared" si="384"/>
        <v>721</v>
      </c>
      <c r="O89" s="280">
        <f t="shared" si="384"/>
        <v>0</v>
      </c>
      <c r="P89" s="280">
        <f t="shared" si="384"/>
        <v>564</v>
      </c>
      <c r="Q89" s="280">
        <f t="shared" ref="Q89:T89" si="385">SUM(Q90,Q92)</f>
        <v>-25</v>
      </c>
      <c r="R89" s="280">
        <f t="shared" si="385"/>
        <v>10311</v>
      </c>
      <c r="S89" s="280">
        <f t="shared" si="385"/>
        <v>0</v>
      </c>
      <c r="T89" s="280">
        <f t="shared" si="385"/>
        <v>0</v>
      </c>
      <c r="U89" s="280">
        <f t="shared" si="384"/>
        <v>0</v>
      </c>
      <c r="V89" s="280">
        <f>SUM(V90,V92)</f>
        <v>-5452</v>
      </c>
      <c r="W89" s="280">
        <f>SUM(W90,W92)</f>
        <v>-7064</v>
      </c>
      <c r="X89" s="280">
        <f t="shared" ref="X89" si="386">SUM(X90,X92)</f>
        <v>-1612</v>
      </c>
      <c r="Y89" s="280">
        <f t="shared" ref="Y89" si="387">SUM(Y90,Y92)</f>
        <v>0</v>
      </c>
      <c r="Z89" s="280">
        <f t="shared" ref="Z89" si="388">SUM(Z90,Z92)</f>
        <v>-126</v>
      </c>
      <c r="AA89" s="280">
        <f t="shared" ref="AA89" si="389">SUM(AA90,AA92)</f>
        <v>-1038</v>
      </c>
      <c r="AB89" s="280">
        <f t="shared" ref="AB89" si="390">SUM(AB90,AB92)</f>
        <v>-111</v>
      </c>
      <c r="AC89" s="280">
        <f t="shared" ref="AC89" si="391">SUM(AC90,AC92)</f>
        <v>0</v>
      </c>
      <c r="AD89" s="280">
        <f t="shared" ref="AD89" si="392">SUM(AD90,AD92)</f>
        <v>0</v>
      </c>
      <c r="AE89" s="280">
        <f t="shared" ref="AE89" si="393">SUM(AE90,AE92)</f>
        <v>0</v>
      </c>
      <c r="AF89" s="280">
        <f t="shared" ref="AF89" si="394">SUM(AF90,AF92)</f>
        <v>-336</v>
      </c>
      <c r="AG89" s="280">
        <f t="shared" ref="AG89:AI89" si="395">SUM(AG90,AG92)</f>
        <v>0</v>
      </c>
      <c r="AH89" s="280">
        <f t="shared" si="395"/>
        <v>-1</v>
      </c>
      <c r="AI89" s="280">
        <f t="shared" si="395"/>
        <v>0</v>
      </c>
      <c r="AJ89" s="280">
        <f t="shared" ref="AJ89:AL89" si="396">SUM(AJ90,AJ92)</f>
        <v>0</v>
      </c>
      <c r="AK89" s="280">
        <f>SUM(AK90,AK92)</f>
        <v>28452</v>
      </c>
      <c r="AL89" s="280">
        <f t="shared" si="396"/>
        <v>59706</v>
      </c>
    </row>
    <row r="90" spans="1:38" s="113" customFormat="1" ht="24" x14ac:dyDescent="0.2">
      <c r="A90" s="34"/>
      <c r="B90" s="457" t="s">
        <v>107</v>
      </c>
      <c r="C90" s="460"/>
      <c r="D90" s="43" t="s">
        <v>529</v>
      </c>
      <c r="E90" s="187">
        <f t="shared" ref="E90:V90" si="397">SUM(E91:E91)</f>
        <v>800</v>
      </c>
      <c r="F90" s="187">
        <f t="shared" si="397"/>
        <v>20741</v>
      </c>
      <c r="G90" s="187">
        <f t="shared" si="397"/>
        <v>19941</v>
      </c>
      <c r="H90" s="187">
        <f t="shared" si="397"/>
        <v>0</v>
      </c>
      <c r="I90" s="187">
        <f t="shared" si="397"/>
        <v>19033</v>
      </c>
      <c r="J90" s="187">
        <f t="shared" si="397"/>
        <v>0</v>
      </c>
      <c r="K90" s="187">
        <f t="shared" si="397"/>
        <v>0</v>
      </c>
      <c r="L90" s="187">
        <f t="shared" si="397"/>
        <v>0</v>
      </c>
      <c r="M90" s="187">
        <f t="shared" si="397"/>
        <v>0</v>
      </c>
      <c r="N90" s="187">
        <f t="shared" si="397"/>
        <v>0</v>
      </c>
      <c r="O90" s="187">
        <f t="shared" si="397"/>
        <v>0</v>
      </c>
      <c r="P90" s="187">
        <f t="shared" si="397"/>
        <v>0</v>
      </c>
      <c r="Q90" s="187">
        <f t="shared" si="397"/>
        <v>0</v>
      </c>
      <c r="R90" s="187">
        <f t="shared" si="397"/>
        <v>908</v>
      </c>
      <c r="S90" s="187">
        <f t="shared" si="397"/>
        <v>0</v>
      </c>
      <c r="T90" s="187">
        <f t="shared" si="397"/>
        <v>0</v>
      </c>
      <c r="U90" s="187">
        <f t="shared" si="397"/>
        <v>0</v>
      </c>
      <c r="V90" s="187">
        <f t="shared" si="397"/>
        <v>0</v>
      </c>
      <c r="W90" s="187">
        <f t="shared" ref="W90:AL90" si="398">SUM(W91:W91)</f>
        <v>0</v>
      </c>
      <c r="X90" s="187">
        <f t="shared" si="398"/>
        <v>0</v>
      </c>
      <c r="Y90" s="187">
        <f t="shared" si="398"/>
        <v>0</v>
      </c>
      <c r="Z90" s="187">
        <f t="shared" si="398"/>
        <v>0</v>
      </c>
      <c r="AA90" s="187">
        <f t="shared" si="398"/>
        <v>0</v>
      </c>
      <c r="AB90" s="187">
        <f t="shared" si="398"/>
        <v>0</v>
      </c>
      <c r="AC90" s="187">
        <f t="shared" si="398"/>
        <v>0</v>
      </c>
      <c r="AD90" s="187">
        <f t="shared" si="398"/>
        <v>0</v>
      </c>
      <c r="AE90" s="187">
        <f t="shared" si="398"/>
        <v>0</v>
      </c>
      <c r="AF90" s="187">
        <f t="shared" si="398"/>
        <v>0</v>
      </c>
      <c r="AG90" s="187">
        <f t="shared" si="398"/>
        <v>0</v>
      </c>
      <c r="AH90" s="187">
        <f t="shared" si="398"/>
        <v>0</v>
      </c>
      <c r="AI90" s="187">
        <f t="shared" si="398"/>
        <v>0</v>
      </c>
      <c r="AJ90" s="187">
        <f t="shared" si="398"/>
        <v>0</v>
      </c>
      <c r="AK90" s="187">
        <f t="shared" si="398"/>
        <v>800</v>
      </c>
      <c r="AL90" s="187">
        <f t="shared" si="398"/>
        <v>20741</v>
      </c>
    </row>
    <row r="91" spans="1:38" ht="24" x14ac:dyDescent="0.2">
      <c r="A91" s="39"/>
      <c r="B91" s="463" t="s">
        <v>202</v>
      </c>
      <c r="C91" s="511"/>
      <c r="D91" s="40" t="s">
        <v>530</v>
      </c>
      <c r="E91" s="183">
        <v>800</v>
      </c>
      <c r="F91" s="184">
        <f t="shared" ref="F91:F92" si="399">E91+G91</f>
        <v>20741</v>
      </c>
      <c r="G91" s="184">
        <f t="shared" ref="G91:G92" si="400">SUBTOTAL(9,H91:U91)</f>
        <v>19941</v>
      </c>
      <c r="H91" s="184"/>
      <c r="I91" s="184">
        <v>19033</v>
      </c>
      <c r="J91" s="184"/>
      <c r="K91" s="184"/>
      <c r="L91" s="184"/>
      <c r="M91" s="184"/>
      <c r="N91" s="184"/>
      <c r="O91" s="184"/>
      <c r="P91" s="184"/>
      <c r="Q91" s="184"/>
      <c r="R91" s="184">
        <v>908</v>
      </c>
      <c r="S91" s="184"/>
      <c r="T91" s="184"/>
      <c r="U91" s="184"/>
      <c r="V91" s="184"/>
      <c r="W91" s="184">
        <f>V91+X91</f>
        <v>0</v>
      </c>
      <c r="X91" s="44">
        <f>SUBTOTAL(9,Y91:AJ91)</f>
        <v>0</v>
      </c>
      <c r="Y91" s="184"/>
      <c r="Z91" s="184"/>
      <c r="AA91" s="184"/>
      <c r="AB91" s="184"/>
      <c r="AC91" s="184"/>
      <c r="AD91" s="184"/>
      <c r="AE91" s="184"/>
      <c r="AF91" s="184"/>
      <c r="AG91" s="184"/>
      <c r="AH91" s="184"/>
      <c r="AI91" s="184"/>
      <c r="AJ91" s="184"/>
      <c r="AK91" s="184">
        <f>E91+V91</f>
        <v>800</v>
      </c>
      <c r="AL91" s="184">
        <f>W91+F91</f>
        <v>20741</v>
      </c>
    </row>
    <row r="92" spans="1:38" s="113" customFormat="1" x14ac:dyDescent="0.2">
      <c r="A92" s="59"/>
      <c r="B92" s="468" t="s">
        <v>233</v>
      </c>
      <c r="C92" s="469"/>
      <c r="D92" s="43" t="s">
        <v>234</v>
      </c>
      <c r="E92" s="187">
        <v>33104</v>
      </c>
      <c r="F92" s="187">
        <f t="shared" si="399"/>
        <v>46029</v>
      </c>
      <c r="G92" s="187">
        <f t="shared" si="400"/>
        <v>12925</v>
      </c>
      <c r="H92" s="187"/>
      <c r="I92" s="187">
        <f>13+13+94+113</f>
        <v>233</v>
      </c>
      <c r="J92" s="187">
        <v>1818</v>
      </c>
      <c r="K92" s="187">
        <v>111</v>
      </c>
      <c r="L92" s="187"/>
      <c r="M92" s="187">
        <v>100</v>
      </c>
      <c r="N92" s="187">
        <f>507+214</f>
        <v>721</v>
      </c>
      <c r="O92" s="187"/>
      <c r="P92" s="187">
        <f>272+50+50+54+14+64+60</f>
        <v>564</v>
      </c>
      <c r="Q92" s="187">
        <v>-25</v>
      </c>
      <c r="R92" s="187">
        <f>1+28+5000+1550+2000+100+74+650</f>
        <v>9403</v>
      </c>
      <c r="S92" s="187"/>
      <c r="T92" s="187"/>
      <c r="U92" s="187"/>
      <c r="V92" s="187">
        <v>-5452</v>
      </c>
      <c r="W92" s="44">
        <f>V92+X92</f>
        <v>-7064</v>
      </c>
      <c r="X92" s="44">
        <f>SUBTOTAL(9,Y92:AJ92)</f>
        <v>-1612</v>
      </c>
      <c r="Y92" s="187"/>
      <c r="Z92" s="187">
        <f>-13-113</f>
        <v>-126</v>
      </c>
      <c r="AA92" s="187">
        <v>-1038</v>
      </c>
      <c r="AB92" s="187">
        <v>-111</v>
      </c>
      <c r="AC92" s="187"/>
      <c r="AD92" s="187"/>
      <c r="AE92" s="187"/>
      <c r="AF92" s="187">
        <f>-272-50-14</f>
        <v>-336</v>
      </c>
      <c r="AG92" s="187"/>
      <c r="AH92" s="187">
        <v>-1</v>
      </c>
      <c r="AI92" s="187"/>
      <c r="AJ92" s="187"/>
      <c r="AK92" s="187">
        <f>E92+V92</f>
        <v>27652</v>
      </c>
      <c r="AL92" s="187">
        <f>W92+F92</f>
        <v>38965</v>
      </c>
    </row>
    <row r="93" spans="1:38" s="113" customFormat="1" ht="15" customHeight="1" x14ac:dyDescent="0.2">
      <c r="A93" s="177"/>
      <c r="B93" s="178"/>
      <c r="C93" s="179"/>
      <c r="D93" s="5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</row>
    <row r="94" spans="1:38" s="118" customFormat="1" ht="26.25" customHeight="1" x14ac:dyDescent="0.2">
      <c r="A94" s="506" t="s">
        <v>122</v>
      </c>
      <c r="B94" s="507"/>
      <c r="C94" s="507"/>
      <c r="D94" s="508"/>
      <c r="E94" s="190">
        <f t="shared" ref="E94:AL94" si="401">SUM(E10,E15,E26,E32,E35,E44,E55,E47,E62,E64,E69,E72,)</f>
        <v>89562788</v>
      </c>
      <c r="F94" s="190">
        <f t="shared" si="401"/>
        <v>94007305</v>
      </c>
      <c r="G94" s="190">
        <f t="shared" si="401"/>
        <v>4444517</v>
      </c>
      <c r="H94" s="190">
        <f t="shared" si="401"/>
        <v>111985</v>
      </c>
      <c r="I94" s="190">
        <f t="shared" si="401"/>
        <v>2279121</v>
      </c>
      <c r="J94" s="190">
        <f t="shared" si="401"/>
        <v>443550</v>
      </c>
      <c r="K94" s="190">
        <f t="shared" si="401"/>
        <v>493998</v>
      </c>
      <c r="L94" s="190">
        <f t="shared" si="401"/>
        <v>2875</v>
      </c>
      <c r="M94" s="190">
        <f t="shared" si="401"/>
        <v>-87075</v>
      </c>
      <c r="N94" s="190">
        <f t="shared" si="401"/>
        <v>-612926</v>
      </c>
      <c r="O94" s="190">
        <f t="shared" si="401"/>
        <v>1676964</v>
      </c>
      <c r="P94" s="190">
        <f t="shared" si="401"/>
        <v>-370886</v>
      </c>
      <c r="Q94" s="190">
        <f t="shared" ref="Q94:T94" si="402">SUM(Q10,Q15,Q26,Q32,Q35,Q44,Q55,Q47,Q62,Q64,Q69,Q72,)</f>
        <v>39496</v>
      </c>
      <c r="R94" s="190">
        <f t="shared" si="402"/>
        <v>137176</v>
      </c>
      <c r="S94" s="190">
        <f t="shared" si="402"/>
        <v>330244</v>
      </c>
      <c r="T94" s="190">
        <f t="shared" si="402"/>
        <v>-5</v>
      </c>
      <c r="U94" s="190">
        <f t="shared" si="401"/>
        <v>0</v>
      </c>
      <c r="V94" s="190">
        <f t="shared" si="401"/>
        <v>-1047228</v>
      </c>
      <c r="W94" s="190">
        <f t="shared" si="401"/>
        <v>-1261390</v>
      </c>
      <c r="X94" s="190">
        <f t="shared" si="401"/>
        <v>-214162</v>
      </c>
      <c r="Y94" s="190">
        <f t="shared" si="401"/>
        <v>-11045</v>
      </c>
      <c r="Z94" s="190">
        <f t="shared" si="401"/>
        <v>-206523</v>
      </c>
      <c r="AA94" s="190">
        <f t="shared" si="401"/>
        <v>-18678</v>
      </c>
      <c r="AB94" s="190">
        <f t="shared" si="401"/>
        <v>45158</v>
      </c>
      <c r="AC94" s="190">
        <f t="shared" si="401"/>
        <v>-7681</v>
      </c>
      <c r="AD94" s="190">
        <f t="shared" si="401"/>
        <v>20825</v>
      </c>
      <c r="AE94" s="190">
        <f t="shared" si="401"/>
        <v>-1738</v>
      </c>
      <c r="AF94" s="190">
        <f t="shared" si="401"/>
        <v>-336</v>
      </c>
      <c r="AG94" s="190">
        <f t="shared" si="401"/>
        <v>-32196</v>
      </c>
      <c r="AH94" s="190">
        <f t="shared" ref="AH94:AI94" si="403">SUM(AH10,AH15,AH26,AH32,AH35,AH44,AH55,AH47,AH62,AH64,AH69,AH72,)</f>
        <v>-1945</v>
      </c>
      <c r="AI94" s="190">
        <f t="shared" si="403"/>
        <v>-3</v>
      </c>
      <c r="AJ94" s="190">
        <f t="shared" si="401"/>
        <v>0</v>
      </c>
      <c r="AK94" s="190">
        <f t="shared" si="401"/>
        <v>88751984</v>
      </c>
      <c r="AL94" s="190">
        <f t="shared" si="401"/>
        <v>92745915</v>
      </c>
    </row>
    <row r="95" spans="1:38" ht="18" customHeight="1" x14ac:dyDescent="0.2">
      <c r="A95" s="42"/>
      <c r="B95" s="61"/>
      <c r="C95" s="62"/>
      <c r="D95" s="40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</row>
    <row r="96" spans="1:38" x14ac:dyDescent="0.2">
      <c r="A96" s="59"/>
      <c r="B96" s="512" t="s">
        <v>576</v>
      </c>
      <c r="C96" s="513"/>
      <c r="D96" s="35" t="s">
        <v>179</v>
      </c>
      <c r="E96" s="185">
        <f>SUM(E97:E125)</f>
        <v>10618037</v>
      </c>
      <c r="F96" s="185">
        <f t="shared" ref="F96:AL96" si="404">SUM(F97:F125)</f>
        <v>13029650</v>
      </c>
      <c r="G96" s="185">
        <f t="shared" si="404"/>
        <v>2411613</v>
      </c>
      <c r="H96" s="185">
        <f t="shared" si="404"/>
        <v>10847</v>
      </c>
      <c r="I96" s="185">
        <f>SUM(I97:I125)</f>
        <v>2400766</v>
      </c>
      <c r="J96" s="185">
        <f t="shared" si="404"/>
        <v>0</v>
      </c>
      <c r="K96" s="185">
        <f t="shared" si="404"/>
        <v>0</v>
      </c>
      <c r="L96" s="185">
        <f t="shared" si="404"/>
        <v>0</v>
      </c>
      <c r="M96" s="185">
        <f t="shared" si="404"/>
        <v>0</v>
      </c>
      <c r="N96" s="185">
        <f t="shared" si="404"/>
        <v>0</v>
      </c>
      <c r="O96" s="185">
        <f t="shared" si="404"/>
        <v>0</v>
      </c>
      <c r="P96" s="185">
        <f t="shared" si="404"/>
        <v>0</v>
      </c>
      <c r="Q96" s="185">
        <f t="shared" ref="Q96:T96" si="405">SUM(Q97:Q125)</f>
        <v>0</v>
      </c>
      <c r="R96" s="185">
        <f t="shared" si="405"/>
        <v>0</v>
      </c>
      <c r="S96" s="185">
        <f t="shared" si="405"/>
        <v>0</v>
      </c>
      <c r="T96" s="185">
        <f t="shared" si="405"/>
        <v>0</v>
      </c>
      <c r="U96" s="185">
        <f t="shared" si="404"/>
        <v>0</v>
      </c>
      <c r="V96" s="185">
        <f t="shared" si="404"/>
        <v>0</v>
      </c>
      <c r="W96" s="185">
        <f t="shared" si="404"/>
        <v>0</v>
      </c>
      <c r="X96" s="185">
        <f t="shared" si="404"/>
        <v>0</v>
      </c>
      <c r="Y96" s="185">
        <f t="shared" si="404"/>
        <v>0</v>
      </c>
      <c r="Z96" s="185">
        <f t="shared" si="404"/>
        <v>0</v>
      </c>
      <c r="AA96" s="185">
        <f t="shared" si="404"/>
        <v>0</v>
      </c>
      <c r="AB96" s="185">
        <f t="shared" si="404"/>
        <v>0</v>
      </c>
      <c r="AC96" s="185">
        <f t="shared" si="404"/>
        <v>0</v>
      </c>
      <c r="AD96" s="185">
        <f t="shared" si="404"/>
        <v>0</v>
      </c>
      <c r="AE96" s="185">
        <f t="shared" si="404"/>
        <v>0</v>
      </c>
      <c r="AF96" s="185">
        <f t="shared" si="404"/>
        <v>0</v>
      </c>
      <c r="AG96" s="185">
        <f t="shared" si="404"/>
        <v>0</v>
      </c>
      <c r="AH96" s="185">
        <f t="shared" ref="AH96:AI96" si="406">SUM(AH97:AH125)</f>
        <v>0</v>
      </c>
      <c r="AI96" s="185">
        <f t="shared" si="406"/>
        <v>0</v>
      </c>
      <c r="AJ96" s="185">
        <f t="shared" si="404"/>
        <v>0</v>
      </c>
      <c r="AK96" s="185">
        <f t="shared" si="404"/>
        <v>10618037</v>
      </c>
      <c r="AL96" s="185">
        <f t="shared" si="404"/>
        <v>13029650</v>
      </c>
    </row>
    <row r="97" spans="1:38" hidden="1" outlineLevel="1" x14ac:dyDescent="0.2">
      <c r="A97" s="49"/>
      <c r="B97" s="63"/>
      <c r="C97" s="64"/>
      <c r="D97" s="253" t="s">
        <v>180</v>
      </c>
      <c r="E97" s="44">
        <f>11230654-1596300</f>
        <v>9634354</v>
      </c>
      <c r="F97" s="44">
        <f t="shared" ref="F97:F121" si="407">E97+G97</f>
        <v>11324126</v>
      </c>
      <c r="G97" s="44">
        <f t="shared" ref="G97:G121" si="408">SUBTOTAL(9,H97:U97)</f>
        <v>1689772</v>
      </c>
      <c r="H97" s="44">
        <f>-1-53</f>
        <v>-54</v>
      </c>
      <c r="I97" s="44">
        <f>1689958-132</f>
        <v>1689826</v>
      </c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>
        <f t="shared" ref="W97:W121" si="409">V97+X97</f>
        <v>0</v>
      </c>
      <c r="X97" s="44">
        <f t="shared" ref="X97:X121" si="410">SUBTOTAL(9,Y97:AJ97)</f>
        <v>0</v>
      </c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>
        <f t="shared" ref="AK97:AK124" si="411">E97+V97</f>
        <v>9634354</v>
      </c>
      <c r="AL97" s="44">
        <f t="shared" ref="AL97:AL124" si="412">W97+F97</f>
        <v>11324126</v>
      </c>
    </row>
    <row r="98" spans="1:38" hidden="1" outlineLevel="1" x14ac:dyDescent="0.2">
      <c r="A98" s="49"/>
      <c r="B98" s="63"/>
      <c r="C98" s="64"/>
      <c r="D98" s="43" t="s">
        <v>580</v>
      </c>
      <c r="E98" s="44">
        <v>22972</v>
      </c>
      <c r="F98" s="44">
        <f t="shared" si="407"/>
        <v>90087</v>
      </c>
      <c r="G98" s="44">
        <f t="shared" si="408"/>
        <v>67115</v>
      </c>
      <c r="H98" s="44"/>
      <c r="I98" s="44">
        <f>250+4839+2498+2+48981+10545</f>
        <v>67115</v>
      </c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>
        <f t="shared" si="409"/>
        <v>0</v>
      </c>
      <c r="X98" s="44">
        <f t="shared" si="410"/>
        <v>0</v>
      </c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>
        <f t="shared" si="411"/>
        <v>22972</v>
      </c>
      <c r="AL98" s="44">
        <f t="shared" si="412"/>
        <v>90087</v>
      </c>
    </row>
    <row r="99" spans="1:38" hidden="1" outlineLevel="1" x14ac:dyDescent="0.2">
      <c r="A99" s="49"/>
      <c r="B99" s="63"/>
      <c r="C99" s="64"/>
      <c r="D99" s="253" t="s">
        <v>612</v>
      </c>
      <c r="E99" s="44">
        <v>51900</v>
      </c>
      <c r="F99" s="44">
        <f t="shared" si="407"/>
        <v>137059</v>
      </c>
      <c r="G99" s="44">
        <f t="shared" si="408"/>
        <v>85159</v>
      </c>
      <c r="H99" s="44"/>
      <c r="I99" s="44">
        <f>1604-822+5337+11002+2063+3608+8429-3957+361+450+6078+822+100+5401+5456+737+166+832+2778+81+76+12+40+160+565+526+408+1551+1135+2020+25242+1+1004-1+1894</f>
        <v>85159</v>
      </c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>
        <f t="shared" si="409"/>
        <v>0</v>
      </c>
      <c r="X99" s="44">
        <f t="shared" si="410"/>
        <v>0</v>
      </c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>
        <f t="shared" si="411"/>
        <v>51900</v>
      </c>
      <c r="AL99" s="44">
        <f t="shared" si="412"/>
        <v>137059</v>
      </c>
    </row>
    <row r="100" spans="1:38" hidden="1" outlineLevel="1" x14ac:dyDescent="0.2">
      <c r="A100" s="49"/>
      <c r="B100" s="63"/>
      <c r="C100" s="64"/>
      <c r="D100" s="40" t="s">
        <v>613</v>
      </c>
      <c r="E100" s="44">
        <v>318154</v>
      </c>
      <c r="F100" s="44">
        <f t="shared" si="407"/>
        <v>535664</v>
      </c>
      <c r="G100" s="44">
        <f t="shared" si="408"/>
        <v>217510</v>
      </c>
      <c r="H100" s="44">
        <f>-27</f>
        <v>-27</v>
      </c>
      <c r="I100" s="44">
        <f>-12169+101-70701-5500-31906+296295+40495+1165-243</f>
        <v>217537</v>
      </c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>
        <f t="shared" si="409"/>
        <v>0</v>
      </c>
      <c r="X100" s="44">
        <f t="shared" si="410"/>
        <v>0</v>
      </c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>
        <f t="shared" si="411"/>
        <v>318154</v>
      </c>
      <c r="AL100" s="44">
        <f t="shared" si="412"/>
        <v>535664</v>
      </c>
    </row>
    <row r="101" spans="1:38" hidden="1" outlineLevel="1" x14ac:dyDescent="0.2">
      <c r="A101" s="49"/>
      <c r="B101" s="63"/>
      <c r="C101" s="64"/>
      <c r="D101" s="253" t="s">
        <v>614</v>
      </c>
      <c r="E101" s="44">
        <v>56982</v>
      </c>
      <c r="F101" s="44">
        <f t="shared" si="407"/>
        <v>110793</v>
      </c>
      <c r="G101" s="44">
        <f t="shared" si="408"/>
        <v>53811</v>
      </c>
      <c r="H101" s="44">
        <v>10874</v>
      </c>
      <c r="I101" s="44">
        <f>2352+5760-1+1+3+750+44+312+2+26197+3683+203+1462+2169</f>
        <v>42937</v>
      </c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>
        <f t="shared" si="409"/>
        <v>0</v>
      </c>
      <c r="X101" s="44">
        <f t="shared" si="410"/>
        <v>0</v>
      </c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>
        <f t="shared" si="411"/>
        <v>56982</v>
      </c>
      <c r="AL101" s="44">
        <f t="shared" si="412"/>
        <v>110793</v>
      </c>
    </row>
    <row r="102" spans="1:38" hidden="1" outlineLevel="1" x14ac:dyDescent="0.2">
      <c r="A102" s="49"/>
      <c r="B102" s="63"/>
      <c r="C102" s="64"/>
      <c r="D102" s="253" t="s">
        <v>81</v>
      </c>
      <c r="E102" s="44">
        <v>5559</v>
      </c>
      <c r="F102" s="44">
        <f t="shared" si="407"/>
        <v>5559</v>
      </c>
      <c r="G102" s="44">
        <f t="shared" si="408"/>
        <v>0</v>
      </c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>
        <f t="shared" si="409"/>
        <v>0</v>
      </c>
      <c r="X102" s="44">
        <f t="shared" si="410"/>
        <v>0</v>
      </c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>
        <f t="shared" si="411"/>
        <v>5559</v>
      </c>
      <c r="AL102" s="44">
        <f t="shared" si="412"/>
        <v>5559</v>
      </c>
    </row>
    <row r="103" spans="1:38" hidden="1" outlineLevel="1" x14ac:dyDescent="0.2">
      <c r="A103" s="49"/>
      <c r="B103" s="63"/>
      <c r="C103" s="64"/>
      <c r="D103" s="253" t="s">
        <v>127</v>
      </c>
      <c r="E103" s="44">
        <v>41531</v>
      </c>
      <c r="F103" s="44">
        <f t="shared" si="407"/>
        <v>125966</v>
      </c>
      <c r="G103" s="44">
        <f t="shared" si="408"/>
        <v>84435</v>
      </c>
      <c r="H103" s="44"/>
      <c r="I103" s="44">
        <f>84722-287</f>
        <v>84435</v>
      </c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>
        <f t="shared" si="409"/>
        <v>0</v>
      </c>
      <c r="X103" s="44">
        <f t="shared" si="410"/>
        <v>0</v>
      </c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>
        <f t="shared" si="411"/>
        <v>41531</v>
      </c>
      <c r="AL103" s="44">
        <f t="shared" si="412"/>
        <v>125966</v>
      </c>
    </row>
    <row r="104" spans="1:38" hidden="1" outlineLevel="1" x14ac:dyDescent="0.2">
      <c r="A104" s="49"/>
      <c r="B104" s="63"/>
      <c r="C104" s="64"/>
      <c r="D104" s="253" t="s">
        <v>570</v>
      </c>
      <c r="E104" s="44">
        <v>20343</v>
      </c>
      <c r="F104" s="44">
        <f t="shared" si="407"/>
        <v>52436</v>
      </c>
      <c r="G104" s="44">
        <f t="shared" si="408"/>
        <v>32093</v>
      </c>
      <c r="H104" s="44"/>
      <c r="I104" s="44">
        <f>31806+287</f>
        <v>32093</v>
      </c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>
        <f t="shared" si="409"/>
        <v>0</v>
      </c>
      <c r="X104" s="44">
        <f t="shared" si="410"/>
        <v>0</v>
      </c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>
        <f t="shared" si="411"/>
        <v>20343</v>
      </c>
      <c r="AL104" s="44">
        <f t="shared" si="412"/>
        <v>52436</v>
      </c>
    </row>
    <row r="105" spans="1:38" ht="36" hidden="1" outlineLevel="1" x14ac:dyDescent="0.2">
      <c r="A105" s="49"/>
      <c r="B105" s="63"/>
      <c r="C105" s="64"/>
      <c r="D105" s="253" t="s">
        <v>615</v>
      </c>
      <c r="E105" s="44"/>
      <c r="F105" s="44">
        <f t="shared" si="407"/>
        <v>2973</v>
      </c>
      <c r="G105" s="44">
        <f t="shared" si="408"/>
        <v>2973</v>
      </c>
      <c r="H105" s="44"/>
      <c r="I105" s="44">
        <f>612+2361</f>
        <v>2973</v>
      </c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>
        <f t="shared" si="409"/>
        <v>0</v>
      </c>
      <c r="X105" s="44">
        <f t="shared" si="410"/>
        <v>0</v>
      </c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>
        <f t="shared" si="411"/>
        <v>0</v>
      </c>
      <c r="AL105" s="44">
        <f t="shared" si="412"/>
        <v>2973</v>
      </c>
    </row>
    <row r="106" spans="1:38" ht="36" hidden="1" outlineLevel="1" x14ac:dyDescent="0.2">
      <c r="A106" s="49"/>
      <c r="B106" s="63"/>
      <c r="C106" s="64"/>
      <c r="D106" s="253" t="s">
        <v>616</v>
      </c>
      <c r="E106" s="44"/>
      <c r="F106" s="44">
        <f t="shared" si="407"/>
        <v>0</v>
      </c>
      <c r="G106" s="44">
        <f t="shared" si="408"/>
        <v>0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>
        <f t="shared" si="409"/>
        <v>0</v>
      </c>
      <c r="X106" s="44">
        <f t="shared" si="410"/>
        <v>0</v>
      </c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>
        <f t="shared" si="411"/>
        <v>0</v>
      </c>
      <c r="AL106" s="44">
        <f t="shared" si="412"/>
        <v>0</v>
      </c>
    </row>
    <row r="107" spans="1:38" ht="24" hidden="1" outlineLevel="1" x14ac:dyDescent="0.2">
      <c r="A107" s="49"/>
      <c r="B107" s="63"/>
      <c r="C107" s="64"/>
      <c r="D107" s="253" t="s">
        <v>571</v>
      </c>
      <c r="E107" s="44">
        <v>662</v>
      </c>
      <c r="F107" s="44">
        <f t="shared" si="407"/>
        <v>17241</v>
      </c>
      <c r="G107" s="44">
        <f t="shared" si="408"/>
        <v>16579</v>
      </c>
      <c r="H107" s="44"/>
      <c r="I107" s="44">
        <v>16579</v>
      </c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>
        <f t="shared" si="409"/>
        <v>0</v>
      </c>
      <c r="X107" s="44">
        <f t="shared" si="410"/>
        <v>0</v>
      </c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  <c r="AJ107" s="44"/>
      <c r="AK107" s="44">
        <f t="shared" si="411"/>
        <v>662</v>
      </c>
      <c r="AL107" s="44">
        <f t="shared" si="412"/>
        <v>17241</v>
      </c>
    </row>
    <row r="108" spans="1:38" hidden="1" outlineLevel="1" x14ac:dyDescent="0.2">
      <c r="A108" s="49"/>
      <c r="B108" s="63"/>
      <c r="C108" s="64"/>
      <c r="D108" s="253" t="s">
        <v>535</v>
      </c>
      <c r="E108" s="44"/>
      <c r="F108" s="44">
        <f t="shared" si="407"/>
        <v>565</v>
      </c>
      <c r="G108" s="44">
        <f t="shared" si="408"/>
        <v>565</v>
      </c>
      <c r="H108" s="44"/>
      <c r="I108" s="44">
        <f>3+562</f>
        <v>565</v>
      </c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>
        <f t="shared" si="409"/>
        <v>0</v>
      </c>
      <c r="X108" s="44">
        <f t="shared" si="410"/>
        <v>0</v>
      </c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  <c r="AJ108" s="44"/>
      <c r="AK108" s="44">
        <f t="shared" si="411"/>
        <v>0</v>
      </c>
      <c r="AL108" s="44">
        <f t="shared" si="412"/>
        <v>565</v>
      </c>
    </row>
    <row r="109" spans="1:38" hidden="1" outlineLevel="1" x14ac:dyDescent="0.2">
      <c r="A109" s="49"/>
      <c r="B109" s="63"/>
      <c r="C109" s="64"/>
      <c r="D109" s="253" t="s">
        <v>700</v>
      </c>
      <c r="E109" s="44">
        <v>0</v>
      </c>
      <c r="F109" s="44">
        <f t="shared" si="407"/>
        <v>1321</v>
      </c>
      <c r="G109" s="44">
        <f t="shared" si="408"/>
        <v>1321</v>
      </c>
      <c r="H109" s="44">
        <v>53</v>
      </c>
      <c r="I109" s="44">
        <v>1268</v>
      </c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>
        <f t="shared" si="409"/>
        <v>0</v>
      </c>
      <c r="X109" s="44">
        <f t="shared" si="410"/>
        <v>0</v>
      </c>
      <c r="Y109" s="44"/>
      <c r="Z109" s="44"/>
      <c r="AA109" s="44"/>
      <c r="AB109" s="44"/>
      <c r="AC109" s="44"/>
      <c r="AD109" s="44"/>
      <c r="AE109" s="44"/>
      <c r="AF109" s="44"/>
      <c r="AG109" s="44"/>
      <c r="AH109" s="44"/>
      <c r="AI109" s="44"/>
      <c r="AJ109" s="44"/>
      <c r="AK109" s="44">
        <f t="shared" si="411"/>
        <v>0</v>
      </c>
      <c r="AL109" s="44">
        <f t="shared" si="412"/>
        <v>1321</v>
      </c>
    </row>
    <row r="110" spans="1:38" hidden="1" outlineLevel="1" x14ac:dyDescent="0.2">
      <c r="A110" s="49"/>
      <c r="B110" s="63"/>
      <c r="C110" s="64"/>
      <c r="D110" s="253" t="s">
        <v>760</v>
      </c>
      <c r="E110" s="44"/>
      <c r="F110" s="44">
        <f t="shared" ref="F110" si="413">E110+G110</f>
        <v>44</v>
      </c>
      <c r="G110" s="44">
        <f t="shared" ref="G110" si="414">SUBTOTAL(9,H110:U110)</f>
        <v>44</v>
      </c>
      <c r="H110" s="44"/>
      <c r="I110" s="44">
        <v>44</v>
      </c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>
        <f t="shared" ref="W110" si="415">V110+X110</f>
        <v>0</v>
      </c>
      <c r="X110" s="44">
        <f t="shared" ref="X110" si="416">SUBTOTAL(9,Y110:AJ110)</f>
        <v>0</v>
      </c>
      <c r="Y110" s="44"/>
      <c r="Z110" s="44"/>
      <c r="AA110" s="44"/>
      <c r="AB110" s="44"/>
      <c r="AC110" s="44"/>
      <c r="AD110" s="44"/>
      <c r="AE110" s="44"/>
      <c r="AF110" s="44"/>
      <c r="AG110" s="44"/>
      <c r="AH110" s="44"/>
      <c r="AI110" s="44"/>
      <c r="AJ110" s="44"/>
      <c r="AK110" s="44">
        <f t="shared" si="411"/>
        <v>0</v>
      </c>
      <c r="AL110" s="44">
        <f t="shared" si="412"/>
        <v>44</v>
      </c>
    </row>
    <row r="111" spans="1:38" hidden="1" outlineLevel="1" x14ac:dyDescent="0.2">
      <c r="A111" s="49"/>
      <c r="B111" s="63"/>
      <c r="C111" s="64"/>
      <c r="D111" s="253" t="s">
        <v>147</v>
      </c>
      <c r="E111" s="44">
        <v>0</v>
      </c>
      <c r="F111" s="44">
        <f t="shared" si="407"/>
        <v>62722</v>
      </c>
      <c r="G111" s="44">
        <f t="shared" si="408"/>
        <v>62722</v>
      </c>
      <c r="H111" s="44"/>
      <c r="I111" s="44">
        <f>13483+49239</f>
        <v>62722</v>
      </c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>
        <f t="shared" si="409"/>
        <v>0</v>
      </c>
      <c r="X111" s="44">
        <f t="shared" si="410"/>
        <v>0</v>
      </c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>
        <f t="shared" si="411"/>
        <v>0</v>
      </c>
      <c r="AL111" s="44">
        <f t="shared" si="412"/>
        <v>62722</v>
      </c>
    </row>
    <row r="112" spans="1:38" hidden="1" outlineLevel="1" x14ac:dyDescent="0.2">
      <c r="A112" s="49"/>
      <c r="B112" s="63"/>
      <c r="C112" s="64"/>
      <c r="D112" s="253" t="s">
        <v>617</v>
      </c>
      <c r="E112" s="44">
        <v>0</v>
      </c>
      <c r="F112" s="44">
        <f t="shared" si="407"/>
        <v>160</v>
      </c>
      <c r="G112" s="44">
        <f t="shared" si="408"/>
        <v>160</v>
      </c>
      <c r="H112" s="44"/>
      <c r="I112" s="44">
        <f>153+7</f>
        <v>160</v>
      </c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>
        <f t="shared" si="409"/>
        <v>0</v>
      </c>
      <c r="X112" s="44">
        <f t="shared" si="410"/>
        <v>0</v>
      </c>
      <c r="Y112" s="44"/>
      <c r="Z112" s="44"/>
      <c r="AA112" s="44"/>
      <c r="AB112" s="44"/>
      <c r="AC112" s="44"/>
      <c r="AD112" s="44"/>
      <c r="AE112" s="44"/>
      <c r="AF112" s="44"/>
      <c r="AG112" s="44"/>
      <c r="AH112" s="44"/>
      <c r="AI112" s="44"/>
      <c r="AJ112" s="44"/>
      <c r="AK112" s="44">
        <f t="shared" si="411"/>
        <v>0</v>
      </c>
      <c r="AL112" s="44">
        <f t="shared" si="412"/>
        <v>160</v>
      </c>
    </row>
    <row r="113" spans="1:38" ht="24" hidden="1" outlineLevel="1" x14ac:dyDescent="0.2">
      <c r="A113" s="49"/>
      <c r="B113" s="63"/>
      <c r="C113" s="64"/>
      <c r="D113" s="253" t="s">
        <v>285</v>
      </c>
      <c r="E113" s="44">
        <v>0</v>
      </c>
      <c r="F113" s="44">
        <f t="shared" si="407"/>
        <v>4882</v>
      </c>
      <c r="G113" s="44">
        <f t="shared" si="408"/>
        <v>4882</v>
      </c>
      <c r="H113" s="44"/>
      <c r="I113" s="44">
        <f>599+4283</f>
        <v>4882</v>
      </c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>
        <f t="shared" si="409"/>
        <v>0</v>
      </c>
      <c r="X113" s="44">
        <f t="shared" si="410"/>
        <v>0</v>
      </c>
      <c r="Y113" s="44"/>
      <c r="Z113" s="44"/>
      <c r="AA113" s="44"/>
      <c r="AB113" s="44"/>
      <c r="AC113" s="44"/>
      <c r="AD113" s="44"/>
      <c r="AE113" s="44"/>
      <c r="AF113" s="44"/>
      <c r="AG113" s="44"/>
      <c r="AH113" s="44"/>
      <c r="AI113" s="44"/>
      <c r="AJ113" s="44"/>
      <c r="AK113" s="44">
        <f t="shared" si="411"/>
        <v>0</v>
      </c>
      <c r="AL113" s="44">
        <f t="shared" si="412"/>
        <v>4882</v>
      </c>
    </row>
    <row r="114" spans="1:38" hidden="1" outlineLevel="1" x14ac:dyDescent="0.2">
      <c r="A114" s="49"/>
      <c r="B114" s="63"/>
      <c r="C114" s="64"/>
      <c r="D114" s="253" t="s">
        <v>618</v>
      </c>
      <c r="E114" s="44">
        <v>0</v>
      </c>
      <c r="F114" s="44">
        <f t="shared" si="407"/>
        <v>5685</v>
      </c>
      <c r="G114" s="44">
        <f t="shared" si="408"/>
        <v>5685</v>
      </c>
      <c r="H114" s="44"/>
      <c r="I114" s="44">
        <f>4682+1003</f>
        <v>5685</v>
      </c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>
        <f t="shared" si="409"/>
        <v>0</v>
      </c>
      <c r="X114" s="44">
        <f t="shared" si="410"/>
        <v>0</v>
      </c>
      <c r="Y114" s="44"/>
      <c r="Z114" s="44"/>
      <c r="AA114" s="44"/>
      <c r="AB114" s="44"/>
      <c r="AC114" s="44"/>
      <c r="AD114" s="44"/>
      <c r="AE114" s="44"/>
      <c r="AF114" s="44"/>
      <c r="AG114" s="44"/>
      <c r="AH114" s="44"/>
      <c r="AI114" s="44"/>
      <c r="AJ114" s="44"/>
      <c r="AK114" s="44">
        <f t="shared" si="411"/>
        <v>0</v>
      </c>
      <c r="AL114" s="44">
        <f t="shared" si="412"/>
        <v>5685</v>
      </c>
    </row>
    <row r="115" spans="1:38" ht="24" hidden="1" outlineLevel="1" x14ac:dyDescent="0.2">
      <c r="A115" s="49"/>
      <c r="B115" s="63"/>
      <c r="C115" s="64"/>
      <c r="D115" s="253" t="s">
        <v>652</v>
      </c>
      <c r="E115" s="44">
        <v>2205</v>
      </c>
      <c r="F115" s="44">
        <f t="shared" si="407"/>
        <v>5401</v>
      </c>
      <c r="G115" s="44">
        <f t="shared" si="408"/>
        <v>3196</v>
      </c>
      <c r="H115" s="44"/>
      <c r="I115" s="44">
        <v>3196</v>
      </c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>
        <f t="shared" si="409"/>
        <v>0</v>
      </c>
      <c r="X115" s="44">
        <f t="shared" si="410"/>
        <v>0</v>
      </c>
      <c r="Y115" s="44"/>
      <c r="Z115" s="44"/>
      <c r="AA115" s="44"/>
      <c r="AB115" s="44"/>
      <c r="AC115" s="44"/>
      <c r="AD115" s="44"/>
      <c r="AE115" s="44"/>
      <c r="AF115" s="44"/>
      <c r="AG115" s="44"/>
      <c r="AH115" s="44"/>
      <c r="AI115" s="44"/>
      <c r="AJ115" s="44"/>
      <c r="AK115" s="44">
        <f t="shared" si="411"/>
        <v>2205</v>
      </c>
      <c r="AL115" s="44">
        <f t="shared" si="412"/>
        <v>5401</v>
      </c>
    </row>
    <row r="116" spans="1:38" hidden="1" outlineLevel="1" x14ac:dyDescent="0.2">
      <c r="A116" s="49"/>
      <c r="B116" s="63"/>
      <c r="C116" s="64"/>
      <c r="D116" s="253" t="s">
        <v>759</v>
      </c>
      <c r="E116" s="44"/>
      <c r="F116" s="44">
        <f t="shared" ref="F116" si="417">E116+G116</f>
        <v>36</v>
      </c>
      <c r="G116" s="44">
        <f t="shared" ref="G116" si="418">SUBTOTAL(9,H116:U116)</f>
        <v>36</v>
      </c>
      <c r="H116" s="44"/>
      <c r="I116" s="44">
        <v>36</v>
      </c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>
        <f t="shared" ref="W116" si="419">V116+X116</f>
        <v>0</v>
      </c>
      <c r="X116" s="44">
        <f t="shared" ref="X116" si="420">SUBTOTAL(9,Y116:AJ116)</f>
        <v>0</v>
      </c>
      <c r="Y116" s="44"/>
      <c r="Z116" s="44"/>
      <c r="AA116" s="44"/>
      <c r="AB116" s="44"/>
      <c r="AC116" s="44"/>
      <c r="AD116" s="44"/>
      <c r="AE116" s="44"/>
      <c r="AF116" s="44"/>
      <c r="AG116" s="44"/>
      <c r="AH116" s="44"/>
      <c r="AI116" s="44"/>
      <c r="AJ116" s="44"/>
      <c r="AK116" s="44">
        <f t="shared" si="411"/>
        <v>0</v>
      </c>
      <c r="AL116" s="44">
        <f t="shared" si="412"/>
        <v>36</v>
      </c>
    </row>
    <row r="117" spans="1:38" hidden="1" outlineLevel="1" x14ac:dyDescent="0.2">
      <c r="A117" s="49"/>
      <c r="B117" s="63"/>
      <c r="C117" s="64"/>
      <c r="D117" s="50" t="s">
        <v>54</v>
      </c>
      <c r="E117" s="44">
        <v>779</v>
      </c>
      <c r="F117" s="44">
        <f t="shared" si="407"/>
        <v>779</v>
      </c>
      <c r="G117" s="44">
        <f t="shared" si="408"/>
        <v>0</v>
      </c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>
        <f t="shared" si="409"/>
        <v>0</v>
      </c>
      <c r="X117" s="44">
        <f t="shared" si="410"/>
        <v>0</v>
      </c>
      <c r="Y117" s="44"/>
      <c r="Z117" s="44"/>
      <c r="AA117" s="44"/>
      <c r="AB117" s="44"/>
      <c r="AC117" s="44"/>
      <c r="AD117" s="44"/>
      <c r="AE117" s="44"/>
      <c r="AF117" s="44"/>
      <c r="AG117" s="44"/>
      <c r="AH117" s="44"/>
      <c r="AI117" s="44"/>
      <c r="AJ117" s="44"/>
      <c r="AK117" s="44">
        <f t="shared" si="411"/>
        <v>779</v>
      </c>
      <c r="AL117" s="44">
        <f t="shared" si="412"/>
        <v>779</v>
      </c>
    </row>
    <row r="118" spans="1:38" ht="24" hidden="1" outlineLevel="1" x14ac:dyDescent="0.2">
      <c r="A118" s="49"/>
      <c r="B118" s="63"/>
      <c r="C118" s="64"/>
      <c r="D118" s="50" t="s">
        <v>79</v>
      </c>
      <c r="E118" s="44">
        <v>153972</v>
      </c>
      <c r="F118" s="44">
        <f t="shared" si="407"/>
        <v>160830</v>
      </c>
      <c r="G118" s="44">
        <f t="shared" si="408"/>
        <v>6858</v>
      </c>
      <c r="H118" s="44"/>
      <c r="I118" s="44">
        <f>6726+132</f>
        <v>6858</v>
      </c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>
        <f t="shared" si="409"/>
        <v>0</v>
      </c>
      <c r="X118" s="44">
        <f t="shared" si="410"/>
        <v>0</v>
      </c>
      <c r="Y118" s="44"/>
      <c r="Z118" s="44"/>
      <c r="AA118" s="44"/>
      <c r="AB118" s="44"/>
      <c r="AC118" s="44"/>
      <c r="AD118" s="44"/>
      <c r="AE118" s="44"/>
      <c r="AF118" s="44"/>
      <c r="AG118" s="44"/>
      <c r="AH118" s="44"/>
      <c r="AI118" s="44"/>
      <c r="AJ118" s="44"/>
      <c r="AK118" s="44">
        <f t="shared" si="411"/>
        <v>153972</v>
      </c>
      <c r="AL118" s="44">
        <f t="shared" si="412"/>
        <v>160830</v>
      </c>
    </row>
    <row r="119" spans="1:38" hidden="1" outlineLevel="1" x14ac:dyDescent="0.2">
      <c r="A119" s="49"/>
      <c r="B119" s="63"/>
      <c r="C119" s="64"/>
      <c r="D119" s="50" t="s">
        <v>169</v>
      </c>
      <c r="E119" s="44">
        <v>12930</v>
      </c>
      <c r="F119" s="44">
        <f t="shared" si="407"/>
        <v>14599</v>
      </c>
      <c r="G119" s="44">
        <f t="shared" si="408"/>
        <v>1669</v>
      </c>
      <c r="H119" s="44"/>
      <c r="I119" s="44">
        <v>1669</v>
      </c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>
        <f t="shared" si="409"/>
        <v>0</v>
      </c>
      <c r="X119" s="44">
        <f t="shared" si="410"/>
        <v>0</v>
      </c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J119" s="44"/>
      <c r="AK119" s="44">
        <f t="shared" si="411"/>
        <v>12930</v>
      </c>
      <c r="AL119" s="44">
        <f t="shared" si="412"/>
        <v>14599</v>
      </c>
    </row>
    <row r="120" spans="1:38" hidden="1" outlineLevel="1" x14ac:dyDescent="0.2">
      <c r="A120" s="49"/>
      <c r="B120" s="63"/>
      <c r="C120" s="64"/>
      <c r="D120" s="50" t="s">
        <v>121</v>
      </c>
      <c r="E120" s="44">
        <f>64932+209383+21379</f>
        <v>295694</v>
      </c>
      <c r="F120" s="44">
        <f t="shared" si="407"/>
        <v>328771</v>
      </c>
      <c r="G120" s="44">
        <f t="shared" si="408"/>
        <v>33077</v>
      </c>
      <c r="H120" s="44"/>
      <c r="I120" s="44">
        <v>33077</v>
      </c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>
        <f t="shared" si="409"/>
        <v>0</v>
      </c>
      <c r="X120" s="44">
        <f t="shared" si="410"/>
        <v>0</v>
      </c>
      <c r="Y120" s="44"/>
      <c r="Z120" s="44"/>
      <c r="AA120" s="44"/>
      <c r="AB120" s="44"/>
      <c r="AC120" s="44"/>
      <c r="AD120" s="44"/>
      <c r="AE120" s="44"/>
      <c r="AF120" s="44"/>
      <c r="AG120" s="44"/>
      <c r="AH120" s="44"/>
      <c r="AI120" s="44"/>
      <c r="AJ120" s="44"/>
      <c r="AK120" s="44">
        <f t="shared" si="411"/>
        <v>295694</v>
      </c>
      <c r="AL120" s="44">
        <f t="shared" si="412"/>
        <v>328771</v>
      </c>
    </row>
    <row r="121" spans="1:38" ht="24" hidden="1" outlineLevel="1" x14ac:dyDescent="0.2">
      <c r="A121" s="49"/>
      <c r="B121" s="63"/>
      <c r="C121" s="64"/>
      <c r="D121" s="50" t="s">
        <v>143</v>
      </c>
      <c r="E121" s="44">
        <v>0</v>
      </c>
      <c r="F121" s="44">
        <f t="shared" si="407"/>
        <v>0</v>
      </c>
      <c r="G121" s="44">
        <f t="shared" si="408"/>
        <v>0</v>
      </c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>
        <f t="shared" si="409"/>
        <v>0</v>
      </c>
      <c r="X121" s="44">
        <f t="shared" si="410"/>
        <v>0</v>
      </c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>
        <f t="shared" si="411"/>
        <v>0</v>
      </c>
      <c r="AL121" s="44">
        <f t="shared" si="412"/>
        <v>0</v>
      </c>
    </row>
    <row r="122" spans="1:38" hidden="1" outlineLevel="1" x14ac:dyDescent="0.2">
      <c r="A122" s="49"/>
      <c r="B122" s="63"/>
      <c r="C122" s="64"/>
      <c r="D122" s="50" t="s">
        <v>749</v>
      </c>
      <c r="E122" s="44"/>
      <c r="F122" s="44">
        <f t="shared" ref="F122" si="421">E122+G122</f>
        <v>4000</v>
      </c>
      <c r="G122" s="44">
        <f t="shared" ref="G122" si="422">SUBTOTAL(9,H122:U122)</f>
        <v>4000</v>
      </c>
      <c r="H122" s="44"/>
      <c r="I122" s="44">
        <v>4000</v>
      </c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>
        <f t="shared" ref="W122" si="423">V122+X122</f>
        <v>0</v>
      </c>
      <c r="X122" s="44">
        <f t="shared" ref="X122" si="424">SUBTOTAL(9,Y122:AJ122)</f>
        <v>0</v>
      </c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>
        <f t="shared" si="411"/>
        <v>0</v>
      </c>
      <c r="AL122" s="44">
        <f t="shared" si="412"/>
        <v>4000</v>
      </c>
    </row>
    <row r="123" spans="1:38" ht="24" hidden="1" outlineLevel="1" x14ac:dyDescent="0.2">
      <c r="A123" s="42"/>
      <c r="B123" s="61"/>
      <c r="C123" s="62"/>
      <c r="D123" s="43" t="s">
        <v>737</v>
      </c>
      <c r="E123" s="44"/>
      <c r="F123" s="44">
        <f t="shared" ref="F123" si="425">E123+G123</f>
        <v>1</v>
      </c>
      <c r="G123" s="44">
        <f t="shared" ref="G123" si="426">SUBTOTAL(9,H123:U123)</f>
        <v>1</v>
      </c>
      <c r="H123" s="44">
        <v>1</v>
      </c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>
        <f t="shared" ref="W123" si="427">V123+X123</f>
        <v>0</v>
      </c>
      <c r="X123" s="44">
        <f t="shared" ref="X123" si="428">SUBTOTAL(9,Y123:AJ123)</f>
        <v>0</v>
      </c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>
        <f t="shared" si="411"/>
        <v>0</v>
      </c>
      <c r="AL123" s="44">
        <f t="shared" si="412"/>
        <v>1</v>
      </c>
    </row>
    <row r="124" spans="1:38" hidden="1" outlineLevel="1" x14ac:dyDescent="0.2">
      <c r="A124" s="42"/>
      <c r="B124" s="61"/>
      <c r="C124" s="62"/>
      <c r="D124" s="43" t="s">
        <v>756</v>
      </c>
      <c r="E124" s="44"/>
      <c r="F124" s="44">
        <f t="shared" ref="F124" si="429">E124+G124</f>
        <v>37950</v>
      </c>
      <c r="G124" s="44">
        <f t="shared" ref="G124" si="430">SUBTOTAL(9,H124:U124)</f>
        <v>37950</v>
      </c>
      <c r="H124" s="44"/>
      <c r="I124" s="44">
        <f>37949+1</f>
        <v>37950</v>
      </c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>
        <f t="shared" ref="W124" si="431">V124+X124</f>
        <v>0</v>
      </c>
      <c r="X124" s="44">
        <f t="shared" ref="X124" si="432">SUBTOTAL(9,Y124:AJ124)</f>
        <v>0</v>
      </c>
      <c r="Y124" s="44"/>
      <c r="Z124" s="44"/>
      <c r="AA124" s="44"/>
      <c r="AB124" s="44"/>
      <c r="AC124" s="44"/>
      <c r="AD124" s="44"/>
      <c r="AE124" s="44"/>
      <c r="AF124" s="44"/>
      <c r="AG124" s="44"/>
      <c r="AH124" s="44"/>
      <c r="AI124" s="44"/>
      <c r="AJ124" s="44"/>
      <c r="AK124" s="44">
        <f t="shared" si="411"/>
        <v>0</v>
      </c>
      <c r="AL124" s="44">
        <f t="shared" si="412"/>
        <v>37950</v>
      </c>
    </row>
    <row r="125" spans="1:38" collapsed="1" x14ac:dyDescent="0.2">
      <c r="A125" s="42"/>
      <c r="B125" s="61"/>
      <c r="C125" s="62"/>
      <c r="D125" s="47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</row>
    <row r="126" spans="1:38" s="113" customFormat="1" x14ac:dyDescent="0.2">
      <c r="A126" s="34"/>
      <c r="B126" s="509" t="s">
        <v>286</v>
      </c>
      <c r="C126" s="510"/>
      <c r="D126" s="35" t="s">
        <v>129</v>
      </c>
      <c r="E126" s="185">
        <f>SUM(E127)</f>
        <v>9550131</v>
      </c>
      <c r="F126" s="185">
        <f t="shared" ref="F126:G126" si="433">SUM(F127)</f>
        <v>8290935</v>
      </c>
      <c r="G126" s="185">
        <f t="shared" si="433"/>
        <v>-1259196</v>
      </c>
      <c r="H126" s="185">
        <f t="shared" ref="H126" si="434">SUM(H127)</f>
        <v>0</v>
      </c>
      <c r="I126" s="185">
        <f t="shared" ref="I126" si="435">SUM(I127)</f>
        <v>2168809</v>
      </c>
      <c r="J126" s="185">
        <f t="shared" ref="J126" si="436">SUM(J127)</f>
        <v>119138</v>
      </c>
      <c r="K126" s="185">
        <f t="shared" ref="K126" si="437">SUM(K127)</f>
        <v>103995</v>
      </c>
      <c r="L126" s="185">
        <f t="shared" ref="L126" si="438">SUM(L127)</f>
        <v>0</v>
      </c>
      <c r="M126" s="185">
        <f t="shared" ref="M126" si="439">SUM(M127)</f>
        <v>-411292</v>
      </c>
      <c r="N126" s="185">
        <f t="shared" ref="N126" si="440">SUM(N127)</f>
        <v>-5286434</v>
      </c>
      <c r="O126" s="185">
        <f t="shared" ref="O126" si="441">SUM(O127)</f>
        <v>1856995</v>
      </c>
      <c r="P126" s="185">
        <f t="shared" ref="P126" si="442">SUM(P127)</f>
        <v>189593</v>
      </c>
      <c r="Q126" s="185">
        <f t="shared" ref="Q126:U126" si="443">SUM(Q127)</f>
        <v>0</v>
      </c>
      <c r="R126" s="185">
        <f t="shared" si="443"/>
        <v>0</v>
      </c>
      <c r="S126" s="185">
        <f t="shared" si="443"/>
        <v>0</v>
      </c>
      <c r="T126" s="185">
        <f t="shared" si="443"/>
        <v>0</v>
      </c>
      <c r="U126" s="185">
        <f t="shared" si="443"/>
        <v>0</v>
      </c>
      <c r="V126" s="185">
        <f t="shared" ref="V126" si="444">SUM(V127)</f>
        <v>0</v>
      </c>
      <c r="W126" s="185">
        <f t="shared" ref="W126" si="445">SUM(W127)</f>
        <v>0</v>
      </c>
      <c r="X126" s="185">
        <f t="shared" ref="X126" si="446">SUM(X127)</f>
        <v>0</v>
      </c>
      <c r="Y126" s="185">
        <f t="shared" ref="Y126" si="447">SUM(Y127)</f>
        <v>0</v>
      </c>
      <c r="Z126" s="185">
        <f t="shared" ref="Z126" si="448">SUM(Z127)</f>
        <v>0</v>
      </c>
      <c r="AA126" s="185">
        <f t="shared" ref="AA126" si="449">SUM(AA127)</f>
        <v>0</v>
      </c>
      <c r="AB126" s="185">
        <f t="shared" ref="AB126" si="450">SUM(AB127)</f>
        <v>0</v>
      </c>
      <c r="AC126" s="185">
        <f t="shared" ref="AC126" si="451">SUM(AC127)</f>
        <v>0</v>
      </c>
      <c r="AD126" s="185">
        <f t="shared" ref="AD126" si="452">SUM(AD127)</f>
        <v>0</v>
      </c>
      <c r="AE126" s="185">
        <f t="shared" ref="AE126" si="453">SUM(AE127)</f>
        <v>0</v>
      </c>
      <c r="AF126" s="185">
        <f t="shared" ref="AF126" si="454">SUM(AF127)</f>
        <v>0</v>
      </c>
      <c r="AG126" s="185">
        <f t="shared" ref="AG126" si="455">SUM(AG127)</f>
        <v>0</v>
      </c>
      <c r="AH126" s="185">
        <f t="shared" ref="AH126:AJ126" si="456">SUM(AH127)</f>
        <v>0</v>
      </c>
      <c r="AI126" s="185">
        <f t="shared" si="456"/>
        <v>0</v>
      </c>
      <c r="AJ126" s="185">
        <f t="shared" si="456"/>
        <v>0</v>
      </c>
      <c r="AK126" s="185">
        <f t="shared" ref="AK126" si="457">SUM(AK127)</f>
        <v>9550131</v>
      </c>
      <c r="AL126" s="185">
        <f t="shared" ref="AL126" si="458">SUM(AL127)</f>
        <v>8290935</v>
      </c>
    </row>
    <row r="127" spans="1:38" s="113" customFormat="1" x14ac:dyDescent="0.2">
      <c r="A127" s="34"/>
      <c r="B127" s="111"/>
      <c r="C127" s="111"/>
      <c r="D127" s="35" t="s">
        <v>232</v>
      </c>
      <c r="E127" s="185">
        <f>SUM(E128,E138)</f>
        <v>9550131</v>
      </c>
      <c r="F127" s="185">
        <f t="shared" ref="F127:AL127" si="459">SUM(F128,F138)</f>
        <v>8290935</v>
      </c>
      <c r="G127" s="185">
        <f t="shared" si="459"/>
        <v>-1259196</v>
      </c>
      <c r="H127" s="185">
        <f t="shared" si="459"/>
        <v>0</v>
      </c>
      <c r="I127" s="185">
        <f t="shared" si="459"/>
        <v>2168809</v>
      </c>
      <c r="J127" s="185">
        <f t="shared" si="459"/>
        <v>119138</v>
      </c>
      <c r="K127" s="185">
        <f t="shared" si="459"/>
        <v>103995</v>
      </c>
      <c r="L127" s="185">
        <f t="shared" si="459"/>
        <v>0</v>
      </c>
      <c r="M127" s="185">
        <f t="shared" si="459"/>
        <v>-411292</v>
      </c>
      <c r="N127" s="185">
        <f t="shared" si="459"/>
        <v>-5286434</v>
      </c>
      <c r="O127" s="185">
        <f t="shared" si="459"/>
        <v>1856995</v>
      </c>
      <c r="P127" s="185">
        <f t="shared" si="459"/>
        <v>189593</v>
      </c>
      <c r="Q127" s="185">
        <f t="shared" ref="Q127:T127" si="460">SUM(Q128,Q138)</f>
        <v>0</v>
      </c>
      <c r="R127" s="185">
        <f t="shared" si="460"/>
        <v>0</v>
      </c>
      <c r="S127" s="185">
        <f t="shared" si="460"/>
        <v>0</v>
      </c>
      <c r="T127" s="185">
        <f t="shared" si="460"/>
        <v>0</v>
      </c>
      <c r="U127" s="185">
        <f t="shared" si="459"/>
        <v>0</v>
      </c>
      <c r="V127" s="185">
        <f t="shared" si="459"/>
        <v>0</v>
      </c>
      <c r="W127" s="185">
        <f t="shared" si="459"/>
        <v>0</v>
      </c>
      <c r="X127" s="185">
        <f t="shared" si="459"/>
        <v>0</v>
      </c>
      <c r="Y127" s="185">
        <f t="shared" si="459"/>
        <v>0</v>
      </c>
      <c r="Z127" s="185">
        <f t="shared" si="459"/>
        <v>0</v>
      </c>
      <c r="AA127" s="185">
        <f t="shared" si="459"/>
        <v>0</v>
      </c>
      <c r="AB127" s="185">
        <f t="shared" si="459"/>
        <v>0</v>
      </c>
      <c r="AC127" s="185">
        <f t="shared" si="459"/>
        <v>0</v>
      </c>
      <c r="AD127" s="185">
        <f t="shared" si="459"/>
        <v>0</v>
      </c>
      <c r="AE127" s="185">
        <f t="shared" si="459"/>
        <v>0</v>
      </c>
      <c r="AF127" s="185">
        <f t="shared" si="459"/>
        <v>0</v>
      </c>
      <c r="AG127" s="185">
        <f t="shared" si="459"/>
        <v>0</v>
      </c>
      <c r="AH127" s="185">
        <f t="shared" ref="AH127:AI127" si="461">SUM(AH128,AH138)</f>
        <v>0</v>
      </c>
      <c r="AI127" s="185">
        <f t="shared" si="461"/>
        <v>0</v>
      </c>
      <c r="AJ127" s="185">
        <f t="shared" si="459"/>
        <v>0</v>
      </c>
      <c r="AK127" s="185">
        <f t="shared" si="459"/>
        <v>9550131</v>
      </c>
      <c r="AL127" s="185">
        <f t="shared" si="459"/>
        <v>8290935</v>
      </c>
    </row>
    <row r="128" spans="1:38" s="113" customFormat="1" x14ac:dyDescent="0.2">
      <c r="A128" s="34"/>
      <c r="B128" s="362"/>
      <c r="C128" s="362" t="s">
        <v>795</v>
      </c>
      <c r="D128" s="35" t="s">
        <v>796</v>
      </c>
      <c r="E128" s="185">
        <f>SUM(E129:E137)</f>
        <v>1764442</v>
      </c>
      <c r="F128" s="185">
        <f t="shared" ref="F128:AL128" si="462">SUM(F129:F137)</f>
        <v>2016194</v>
      </c>
      <c r="G128" s="185">
        <f t="shared" si="462"/>
        <v>251752</v>
      </c>
      <c r="H128" s="185">
        <f t="shared" si="462"/>
        <v>0</v>
      </c>
      <c r="I128" s="185">
        <f t="shared" si="462"/>
        <v>693397</v>
      </c>
      <c r="J128" s="185">
        <f t="shared" si="462"/>
        <v>119138</v>
      </c>
      <c r="K128" s="185">
        <f t="shared" si="462"/>
        <v>103995</v>
      </c>
      <c r="L128" s="185">
        <f t="shared" si="462"/>
        <v>0</v>
      </c>
      <c r="M128" s="185">
        <f t="shared" si="462"/>
        <v>-243384</v>
      </c>
      <c r="N128" s="185">
        <f t="shared" si="462"/>
        <v>-872103</v>
      </c>
      <c r="O128" s="185">
        <f t="shared" si="462"/>
        <v>261116</v>
      </c>
      <c r="P128" s="185">
        <f t="shared" si="462"/>
        <v>189593</v>
      </c>
      <c r="Q128" s="185">
        <f t="shared" ref="Q128:T128" si="463">SUM(Q129:Q137)</f>
        <v>0</v>
      </c>
      <c r="R128" s="185">
        <f t="shared" si="463"/>
        <v>0</v>
      </c>
      <c r="S128" s="185">
        <f t="shared" si="463"/>
        <v>0</v>
      </c>
      <c r="T128" s="185">
        <f t="shared" si="463"/>
        <v>0</v>
      </c>
      <c r="U128" s="185">
        <f t="shared" si="462"/>
        <v>0</v>
      </c>
      <c r="V128" s="185">
        <f t="shared" si="462"/>
        <v>0</v>
      </c>
      <c r="W128" s="185">
        <f t="shared" si="462"/>
        <v>0</v>
      </c>
      <c r="X128" s="185">
        <f t="shared" si="462"/>
        <v>0</v>
      </c>
      <c r="Y128" s="185">
        <f t="shared" si="462"/>
        <v>0</v>
      </c>
      <c r="Z128" s="185">
        <f t="shared" si="462"/>
        <v>0</v>
      </c>
      <c r="AA128" s="185">
        <f t="shared" si="462"/>
        <v>0</v>
      </c>
      <c r="AB128" s="185">
        <f t="shared" si="462"/>
        <v>0</v>
      </c>
      <c r="AC128" s="185">
        <f t="shared" si="462"/>
        <v>0</v>
      </c>
      <c r="AD128" s="185">
        <f t="shared" si="462"/>
        <v>0</v>
      </c>
      <c r="AE128" s="185">
        <f t="shared" si="462"/>
        <v>0</v>
      </c>
      <c r="AF128" s="185">
        <f t="shared" si="462"/>
        <v>0</v>
      </c>
      <c r="AG128" s="185">
        <f t="shared" si="462"/>
        <v>0</v>
      </c>
      <c r="AH128" s="185">
        <f t="shared" ref="AH128:AI128" si="464">SUM(AH129:AH137)</f>
        <v>0</v>
      </c>
      <c r="AI128" s="185">
        <f t="shared" si="464"/>
        <v>0</v>
      </c>
      <c r="AJ128" s="185">
        <f t="shared" si="462"/>
        <v>0</v>
      </c>
      <c r="AK128" s="185">
        <f t="shared" si="462"/>
        <v>1764442</v>
      </c>
      <c r="AL128" s="185">
        <f t="shared" si="462"/>
        <v>2016194</v>
      </c>
    </row>
    <row r="129" spans="1:38" s="113" customFormat="1" x14ac:dyDescent="0.2">
      <c r="A129" s="364"/>
      <c r="B129" s="365"/>
      <c r="C129" s="365"/>
      <c r="D129" s="363"/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280"/>
      <c r="V129" s="280"/>
      <c r="W129" s="280"/>
      <c r="X129" s="280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</row>
    <row r="130" spans="1:38" ht="28.5" customHeight="1" x14ac:dyDescent="0.2">
      <c r="A130" s="55"/>
      <c r="B130" s="454"/>
      <c r="C130" s="490"/>
      <c r="D130" s="40" t="s">
        <v>807</v>
      </c>
      <c r="E130" s="186">
        <v>780270</v>
      </c>
      <c r="F130" s="186">
        <f>E130+G130</f>
        <v>332555</v>
      </c>
      <c r="G130" s="186">
        <f>SUBTOTAL(9,H130:U130)</f>
        <v>-447715</v>
      </c>
      <c r="H130" s="186"/>
      <c r="I130" s="186"/>
      <c r="J130" s="186"/>
      <c r="K130" s="186">
        <f>-164154-282993-568</f>
        <v>-447715</v>
      </c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>
        <f>V130+X130</f>
        <v>0</v>
      </c>
      <c r="X130" s="186">
        <f>SUBTOTAL(9,Y130:AJ130)</f>
        <v>0</v>
      </c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>
        <f t="shared" ref="AK130:AK136" si="465">E130+V130</f>
        <v>780270</v>
      </c>
      <c r="AL130" s="186">
        <f t="shared" ref="AL130:AL136" si="466">W130+F130</f>
        <v>332555</v>
      </c>
    </row>
    <row r="131" spans="1:38" ht="36" x14ac:dyDescent="0.2">
      <c r="A131" s="55"/>
      <c r="B131" s="381"/>
      <c r="C131" s="382"/>
      <c r="D131" s="40" t="s">
        <v>806</v>
      </c>
      <c r="E131" s="186"/>
      <c r="F131" s="186">
        <f>E131+G131</f>
        <v>0</v>
      </c>
      <c r="G131" s="186">
        <f>SUBTOTAL(9,H131:U131)</f>
        <v>0</v>
      </c>
      <c r="H131" s="186"/>
      <c r="I131" s="186"/>
      <c r="J131" s="186"/>
      <c r="K131" s="186">
        <v>282993</v>
      </c>
      <c r="L131" s="186"/>
      <c r="M131" s="186"/>
      <c r="N131" s="186">
        <v>-282993</v>
      </c>
      <c r="O131" s="186"/>
      <c r="P131" s="186"/>
      <c r="Q131" s="186"/>
      <c r="R131" s="186"/>
      <c r="S131" s="186"/>
      <c r="T131" s="186"/>
      <c r="U131" s="186"/>
      <c r="V131" s="186"/>
      <c r="W131" s="186">
        <f>V131+X131</f>
        <v>0</v>
      </c>
      <c r="X131" s="186">
        <f>SUBTOTAL(9,Y131:AJ131)</f>
        <v>0</v>
      </c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>
        <f t="shared" si="465"/>
        <v>0</v>
      </c>
      <c r="AL131" s="186">
        <f t="shared" si="466"/>
        <v>0</v>
      </c>
    </row>
    <row r="132" spans="1:38" ht="27" customHeight="1" x14ac:dyDescent="0.2">
      <c r="A132" s="55"/>
      <c r="B132" s="454"/>
      <c r="C132" s="490"/>
      <c r="D132" s="40" t="s">
        <v>648</v>
      </c>
      <c r="E132" s="186">
        <v>450058</v>
      </c>
      <c r="F132" s="186">
        <f>E132+G132</f>
        <v>450058</v>
      </c>
      <c r="G132" s="186">
        <f>SUBTOTAL(9,H132:U132)</f>
        <v>0</v>
      </c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>
        <f>V132+X132</f>
        <v>0</v>
      </c>
      <c r="X132" s="186">
        <f>SUBTOTAL(9,Y132:AJ132)</f>
        <v>0</v>
      </c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>
        <f t="shared" si="465"/>
        <v>450058</v>
      </c>
      <c r="AL132" s="186">
        <f t="shared" si="466"/>
        <v>450058</v>
      </c>
    </row>
    <row r="133" spans="1:38" ht="41.25" customHeight="1" x14ac:dyDescent="0.2">
      <c r="A133" s="55"/>
      <c r="B133" s="165"/>
      <c r="C133" s="166"/>
      <c r="D133" s="254" t="s">
        <v>649</v>
      </c>
      <c r="E133" s="186">
        <v>534114</v>
      </c>
      <c r="F133" s="186">
        <f>E133+G133</f>
        <v>598403</v>
      </c>
      <c r="G133" s="186">
        <f>SUBTOTAL(9,H133:U133)</f>
        <v>64289</v>
      </c>
      <c r="H133" s="186"/>
      <c r="I133" s="186"/>
      <c r="J133" s="186"/>
      <c r="K133" s="186">
        <f>56800+7489</f>
        <v>64289</v>
      </c>
      <c r="L133" s="186"/>
      <c r="M133" s="186"/>
      <c r="N133" s="186">
        <v>-261116</v>
      </c>
      <c r="O133" s="186">
        <v>261116</v>
      </c>
      <c r="P133" s="186"/>
      <c r="Q133" s="186"/>
      <c r="R133" s="186"/>
      <c r="S133" s="186"/>
      <c r="T133" s="186"/>
      <c r="U133" s="186"/>
      <c r="V133" s="186"/>
      <c r="W133" s="186">
        <f>V133+X133</f>
        <v>0</v>
      </c>
      <c r="X133" s="186">
        <f>SUBTOTAL(9,Y133:AJ133)</f>
        <v>0</v>
      </c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>
        <f t="shared" si="465"/>
        <v>534114</v>
      </c>
      <c r="AL133" s="186">
        <f t="shared" si="466"/>
        <v>598403</v>
      </c>
    </row>
    <row r="134" spans="1:38" ht="37.5" customHeight="1" x14ac:dyDescent="0.2">
      <c r="A134" s="55"/>
      <c r="B134" s="342"/>
      <c r="C134" s="343"/>
      <c r="D134" s="254" t="s">
        <v>765</v>
      </c>
      <c r="E134" s="186"/>
      <c r="F134" s="186">
        <f>E134+G134</f>
        <v>179607</v>
      </c>
      <c r="G134" s="186">
        <f>SUBTOTAL(9,H134:U134)</f>
        <v>179607</v>
      </c>
      <c r="H134" s="186"/>
      <c r="I134" s="186">
        <v>693397</v>
      </c>
      <c r="J134" s="186"/>
      <c r="K134" s="186"/>
      <c r="L134" s="186"/>
      <c r="M134" s="186">
        <v>-247812</v>
      </c>
      <c r="N134" s="186"/>
      <c r="O134" s="186"/>
      <c r="P134" s="186">
        <v>-265978</v>
      </c>
      <c r="Q134" s="186"/>
      <c r="R134" s="186"/>
      <c r="S134" s="186"/>
      <c r="T134" s="186"/>
      <c r="U134" s="186"/>
      <c r="V134" s="186"/>
      <c r="W134" s="186">
        <f t="shared" ref="W134" si="467">V134+X134</f>
        <v>0</v>
      </c>
      <c r="X134" s="186">
        <f t="shared" ref="X134" si="468">SUBTOTAL(9,Y134:AJ134)</f>
        <v>0</v>
      </c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>
        <f t="shared" si="465"/>
        <v>0</v>
      </c>
      <c r="AL134" s="186">
        <f t="shared" si="466"/>
        <v>179607</v>
      </c>
    </row>
    <row r="135" spans="1:38" ht="31.5" customHeight="1" x14ac:dyDescent="0.2">
      <c r="A135" s="55"/>
      <c r="B135" s="360"/>
      <c r="C135" s="361"/>
      <c r="D135" s="56" t="s">
        <v>794</v>
      </c>
      <c r="E135" s="186"/>
      <c r="F135" s="186">
        <f t="shared" ref="F135:F136" si="469">E135+G135</f>
        <v>0</v>
      </c>
      <c r="G135" s="186">
        <f t="shared" ref="G135:G136" si="470">SUBTOTAL(9,H135:U135)</f>
        <v>0</v>
      </c>
      <c r="H135" s="186"/>
      <c r="I135" s="186"/>
      <c r="J135" s="186">
        <v>119138</v>
      </c>
      <c r="K135" s="186">
        <v>204428</v>
      </c>
      <c r="L135" s="186"/>
      <c r="M135" s="186">
        <v>4428</v>
      </c>
      <c r="N135" s="186">
        <v>-327994</v>
      </c>
      <c r="O135" s="186"/>
      <c r="P135" s="186"/>
      <c r="Q135" s="186"/>
      <c r="R135" s="186"/>
      <c r="S135" s="186"/>
      <c r="T135" s="186"/>
      <c r="U135" s="186"/>
      <c r="V135" s="186"/>
      <c r="W135" s="186">
        <f t="shared" ref="W135" si="471">V135+X135</f>
        <v>0</v>
      </c>
      <c r="X135" s="186">
        <f t="shared" ref="X135" si="472">SUBTOTAL(9,Y135:AJ135)</f>
        <v>0</v>
      </c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>
        <f t="shared" si="465"/>
        <v>0</v>
      </c>
      <c r="AL135" s="186">
        <f t="shared" si="466"/>
        <v>0</v>
      </c>
    </row>
    <row r="136" spans="1:38" ht="31.5" customHeight="1" x14ac:dyDescent="0.2">
      <c r="A136" s="55"/>
      <c r="B136" s="396"/>
      <c r="C136" s="397"/>
      <c r="D136" s="398" t="s">
        <v>836</v>
      </c>
      <c r="E136" s="186"/>
      <c r="F136" s="186">
        <f t="shared" si="469"/>
        <v>455571</v>
      </c>
      <c r="G136" s="186">
        <f t="shared" si="470"/>
        <v>455571</v>
      </c>
      <c r="H136" s="186"/>
      <c r="I136" s="186"/>
      <c r="J136" s="186"/>
      <c r="K136" s="186"/>
      <c r="L136" s="186"/>
      <c r="M136" s="186"/>
      <c r="N136" s="186"/>
      <c r="O136" s="186"/>
      <c r="P136" s="186">
        <f>91083+364488</f>
        <v>455571</v>
      </c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4"/>
      <c r="AG136" s="184"/>
      <c r="AH136" s="184"/>
      <c r="AI136" s="184"/>
      <c r="AJ136" s="184"/>
      <c r="AK136" s="186">
        <f t="shared" si="465"/>
        <v>0</v>
      </c>
      <c r="AL136" s="186">
        <f t="shared" si="466"/>
        <v>455571</v>
      </c>
    </row>
    <row r="137" spans="1:38" ht="12.75" customHeight="1" x14ac:dyDescent="0.2">
      <c r="A137" s="46"/>
      <c r="B137" s="366"/>
      <c r="C137" s="366"/>
      <c r="D137" s="367"/>
      <c r="E137" s="184"/>
      <c r="F137" s="184"/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184"/>
      <c r="T137" s="184"/>
      <c r="U137" s="184"/>
      <c r="V137" s="184"/>
      <c r="W137" s="184"/>
      <c r="X137" s="184"/>
      <c r="Y137" s="184"/>
      <c r="Z137" s="184"/>
      <c r="AA137" s="184"/>
      <c r="AB137" s="184"/>
      <c r="AC137" s="184"/>
      <c r="AD137" s="184"/>
      <c r="AE137" s="184"/>
      <c r="AF137" s="184"/>
      <c r="AG137" s="184"/>
      <c r="AH137" s="184"/>
      <c r="AI137" s="184"/>
      <c r="AJ137" s="184"/>
      <c r="AK137" s="184"/>
      <c r="AL137" s="184"/>
    </row>
    <row r="138" spans="1:38" s="113" customFormat="1" x14ac:dyDescent="0.2">
      <c r="A138" s="59"/>
      <c r="B138" s="65"/>
      <c r="C138" s="283" t="s">
        <v>284</v>
      </c>
      <c r="D138" s="60" t="s">
        <v>236</v>
      </c>
      <c r="E138" s="185">
        <f>SUM(E139:E147)</f>
        <v>7785689</v>
      </c>
      <c r="F138" s="185">
        <f t="shared" ref="F138:AL138" si="473">SUM(F139:F147)</f>
        <v>6274741</v>
      </c>
      <c r="G138" s="185">
        <f t="shared" si="473"/>
        <v>-1510948</v>
      </c>
      <c r="H138" s="185">
        <f t="shared" si="473"/>
        <v>0</v>
      </c>
      <c r="I138" s="185">
        <f t="shared" si="473"/>
        <v>1475412</v>
      </c>
      <c r="J138" s="185">
        <f t="shared" si="473"/>
        <v>0</v>
      </c>
      <c r="K138" s="185">
        <f t="shared" si="473"/>
        <v>0</v>
      </c>
      <c r="L138" s="185">
        <f t="shared" si="473"/>
        <v>0</v>
      </c>
      <c r="M138" s="185">
        <f t="shared" si="473"/>
        <v>-167908</v>
      </c>
      <c r="N138" s="185">
        <f t="shared" si="473"/>
        <v>-4414331</v>
      </c>
      <c r="O138" s="185">
        <f>SUM(O139:O147)</f>
        <v>1595879</v>
      </c>
      <c r="P138" s="185">
        <f t="shared" si="473"/>
        <v>0</v>
      </c>
      <c r="Q138" s="185">
        <f t="shared" ref="Q138:T138" si="474">SUM(Q139:Q147)</f>
        <v>0</v>
      </c>
      <c r="R138" s="185">
        <f t="shared" si="474"/>
        <v>0</v>
      </c>
      <c r="S138" s="185">
        <f t="shared" si="474"/>
        <v>0</v>
      </c>
      <c r="T138" s="185">
        <f t="shared" si="474"/>
        <v>0</v>
      </c>
      <c r="U138" s="185">
        <f t="shared" si="473"/>
        <v>0</v>
      </c>
      <c r="V138" s="185">
        <f t="shared" si="473"/>
        <v>0</v>
      </c>
      <c r="W138" s="185">
        <f t="shared" si="473"/>
        <v>0</v>
      </c>
      <c r="X138" s="185">
        <f t="shared" si="473"/>
        <v>0</v>
      </c>
      <c r="Y138" s="185">
        <f t="shared" si="473"/>
        <v>0</v>
      </c>
      <c r="Z138" s="185">
        <f t="shared" si="473"/>
        <v>0</v>
      </c>
      <c r="AA138" s="185">
        <f t="shared" si="473"/>
        <v>0</v>
      </c>
      <c r="AB138" s="185">
        <f t="shared" si="473"/>
        <v>0</v>
      </c>
      <c r="AC138" s="185">
        <f t="shared" si="473"/>
        <v>0</v>
      </c>
      <c r="AD138" s="185">
        <f t="shared" si="473"/>
        <v>0</v>
      </c>
      <c r="AE138" s="185">
        <f t="shared" si="473"/>
        <v>0</v>
      </c>
      <c r="AF138" s="185">
        <f t="shared" si="473"/>
        <v>0</v>
      </c>
      <c r="AG138" s="185">
        <f t="shared" si="473"/>
        <v>0</v>
      </c>
      <c r="AH138" s="185">
        <f t="shared" ref="AH138:AI138" si="475">SUM(AH139:AH147)</f>
        <v>0</v>
      </c>
      <c r="AI138" s="185">
        <f t="shared" si="475"/>
        <v>0</v>
      </c>
      <c r="AJ138" s="185">
        <f t="shared" si="473"/>
        <v>0</v>
      </c>
      <c r="AK138" s="185">
        <f t="shared" si="473"/>
        <v>7785689</v>
      </c>
      <c r="AL138" s="185">
        <f t="shared" si="473"/>
        <v>6274741</v>
      </c>
    </row>
    <row r="139" spans="1:38" ht="11.25" customHeight="1" x14ac:dyDescent="0.2">
      <c r="A139" s="55"/>
      <c r="B139" s="454"/>
      <c r="C139" s="490"/>
      <c r="D139" s="40"/>
      <c r="E139" s="186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</row>
    <row r="140" spans="1:38" ht="24" x14ac:dyDescent="0.2">
      <c r="A140" s="55"/>
      <c r="B140" s="268"/>
      <c r="C140" s="269"/>
      <c r="D140" s="40" t="s">
        <v>564</v>
      </c>
      <c r="E140" s="186">
        <v>762516</v>
      </c>
      <c r="F140" s="186">
        <f t="shared" ref="F140:F143" si="476">E140+G140</f>
        <v>777024</v>
      </c>
      <c r="G140" s="186">
        <f t="shared" ref="G140:G143" si="477">SUBTOTAL(9,H140:U140)</f>
        <v>14508</v>
      </c>
      <c r="H140" s="186"/>
      <c r="I140" s="186"/>
      <c r="J140" s="186"/>
      <c r="K140" s="186"/>
      <c r="L140" s="186"/>
      <c r="M140" s="186">
        <v>14508</v>
      </c>
      <c r="N140" s="186"/>
      <c r="O140" s="186"/>
      <c r="P140" s="186"/>
      <c r="Q140" s="186"/>
      <c r="R140" s="186"/>
      <c r="S140" s="186"/>
      <c r="T140" s="186"/>
      <c r="U140" s="186"/>
      <c r="V140" s="186"/>
      <c r="W140" s="186">
        <f t="shared" ref="W140:W143" si="478">V140+X140</f>
        <v>0</v>
      </c>
      <c r="X140" s="186">
        <f t="shared" ref="X140:X143" si="479">SUBTOTAL(9,Y140:AJ140)</f>
        <v>0</v>
      </c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>
        <f t="shared" ref="AK140:AK146" si="480">E140+V140</f>
        <v>762516</v>
      </c>
      <c r="AL140" s="186">
        <f t="shared" ref="AL140:AL146" si="481">W140+F140</f>
        <v>777024</v>
      </c>
    </row>
    <row r="141" spans="1:38" x14ac:dyDescent="0.2">
      <c r="A141" s="55"/>
      <c r="B141" s="268"/>
      <c r="C141" s="269"/>
      <c r="D141" s="40" t="s">
        <v>490</v>
      </c>
      <c r="E141" s="186">
        <v>4924140</v>
      </c>
      <c r="F141" s="186">
        <f t="shared" si="476"/>
        <v>3775324</v>
      </c>
      <c r="G141" s="186">
        <f t="shared" si="477"/>
        <v>-1148816</v>
      </c>
      <c r="H141" s="186"/>
      <c r="I141" s="186"/>
      <c r="J141" s="186"/>
      <c r="K141" s="186"/>
      <c r="L141" s="186"/>
      <c r="M141" s="186"/>
      <c r="N141" s="186">
        <f>-1215479+1215479-1148816</f>
        <v>-1148816</v>
      </c>
      <c r="O141" s="186"/>
      <c r="P141" s="186"/>
      <c r="Q141" s="186"/>
      <c r="R141" s="186"/>
      <c r="S141" s="186"/>
      <c r="T141" s="186"/>
      <c r="U141" s="186"/>
      <c r="V141" s="186"/>
      <c r="W141" s="186">
        <f t="shared" si="478"/>
        <v>0</v>
      </c>
      <c r="X141" s="186">
        <f t="shared" si="479"/>
        <v>0</v>
      </c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>
        <f t="shared" si="480"/>
        <v>4924140</v>
      </c>
      <c r="AL141" s="186">
        <f t="shared" si="481"/>
        <v>3775324</v>
      </c>
    </row>
    <row r="142" spans="1:38" x14ac:dyDescent="0.2">
      <c r="A142" s="55"/>
      <c r="B142" s="255"/>
      <c r="C142" s="256"/>
      <c r="D142" s="40" t="s">
        <v>510</v>
      </c>
      <c r="E142" s="186">
        <v>1596300</v>
      </c>
      <c r="F142" s="186">
        <f t="shared" si="476"/>
        <v>0</v>
      </c>
      <c r="G142" s="186">
        <f t="shared" si="477"/>
        <v>-1596300</v>
      </c>
      <c r="H142" s="186"/>
      <c r="I142" s="186"/>
      <c r="J142" s="186"/>
      <c r="K142" s="186"/>
      <c r="L142" s="186"/>
      <c r="M142" s="186"/>
      <c r="N142" s="186">
        <v>-1596300</v>
      </c>
      <c r="O142" s="186"/>
      <c r="P142" s="186"/>
      <c r="Q142" s="186"/>
      <c r="R142" s="186"/>
      <c r="S142" s="186"/>
      <c r="T142" s="186"/>
      <c r="U142" s="186"/>
      <c r="V142" s="186"/>
      <c r="W142" s="186">
        <f t="shared" si="478"/>
        <v>0</v>
      </c>
      <c r="X142" s="186">
        <f t="shared" si="479"/>
        <v>0</v>
      </c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>
        <f t="shared" si="480"/>
        <v>1596300</v>
      </c>
      <c r="AL142" s="186">
        <f t="shared" si="481"/>
        <v>0</v>
      </c>
    </row>
    <row r="143" spans="1:38" ht="36" x14ac:dyDescent="0.2">
      <c r="A143" s="55"/>
      <c r="B143" s="265"/>
      <c r="C143" s="266"/>
      <c r="D143" s="254" t="s">
        <v>704</v>
      </c>
      <c r="E143" s="186">
        <v>502733</v>
      </c>
      <c r="F143" s="186">
        <f t="shared" si="476"/>
        <v>0</v>
      </c>
      <c r="G143" s="186">
        <f t="shared" si="477"/>
        <v>-502733</v>
      </c>
      <c r="H143" s="186"/>
      <c r="I143" s="186"/>
      <c r="J143" s="186"/>
      <c r="K143" s="186"/>
      <c r="L143" s="186"/>
      <c r="M143" s="186"/>
      <c r="N143" s="186">
        <f>-10268-492465</f>
        <v>-502733</v>
      </c>
      <c r="O143" s="186"/>
      <c r="P143" s="186"/>
      <c r="Q143" s="186"/>
      <c r="R143" s="186"/>
      <c r="S143" s="186"/>
      <c r="T143" s="186"/>
      <c r="U143" s="186"/>
      <c r="V143" s="186"/>
      <c r="W143" s="186">
        <f t="shared" si="478"/>
        <v>0</v>
      </c>
      <c r="X143" s="186">
        <f t="shared" si="479"/>
        <v>0</v>
      </c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>
        <f t="shared" si="480"/>
        <v>502733</v>
      </c>
      <c r="AL143" s="186">
        <f t="shared" si="481"/>
        <v>0</v>
      </c>
    </row>
    <row r="144" spans="1:38" ht="24.75" customHeight="1" x14ac:dyDescent="0.2">
      <c r="A144" s="55"/>
      <c r="B144" s="350"/>
      <c r="C144" s="351"/>
      <c r="D144" s="254" t="s">
        <v>781</v>
      </c>
      <c r="E144" s="186"/>
      <c r="F144" s="186">
        <f t="shared" ref="F144" si="482">E144+G144</f>
        <v>158225</v>
      </c>
      <c r="G144" s="186">
        <f t="shared" ref="G144" si="483">SUBTOTAL(9,H144:U144)</f>
        <v>158225</v>
      </c>
      <c r="H144" s="186"/>
      <c r="I144" s="186">
        <v>83621</v>
      </c>
      <c r="J144" s="186"/>
      <c r="K144" s="186"/>
      <c r="L144" s="186"/>
      <c r="M144" s="186"/>
      <c r="N144" s="186">
        <f>74604-31711</f>
        <v>42893</v>
      </c>
      <c r="O144" s="186">
        <v>31711</v>
      </c>
      <c r="P144" s="186"/>
      <c r="Q144" s="186"/>
      <c r="R144" s="186"/>
      <c r="S144" s="186"/>
      <c r="T144" s="186"/>
      <c r="U144" s="186"/>
      <c r="V144" s="186"/>
      <c r="W144" s="186">
        <f t="shared" ref="W144" si="484">V144+X144</f>
        <v>0</v>
      </c>
      <c r="X144" s="186">
        <f t="shared" ref="X144" si="485">SUBTOTAL(9,Y144:AJ144)</f>
        <v>0</v>
      </c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>
        <f t="shared" si="480"/>
        <v>0</v>
      </c>
      <c r="AL144" s="186">
        <f t="shared" si="481"/>
        <v>158225</v>
      </c>
    </row>
    <row r="145" spans="1:38" ht="29.25" customHeight="1" x14ac:dyDescent="0.2">
      <c r="A145" s="55"/>
      <c r="B145" s="454"/>
      <c r="C145" s="490"/>
      <c r="D145" s="40" t="s">
        <v>777</v>
      </c>
      <c r="E145" s="186"/>
      <c r="F145" s="186">
        <f t="shared" ref="F145:F146" si="486">E145+G145</f>
        <v>1209375</v>
      </c>
      <c r="G145" s="186">
        <f t="shared" ref="G145:G146" si="487">SUBTOTAL(9,H145:U145)</f>
        <v>1209375</v>
      </c>
      <c r="H145" s="186"/>
      <c r="I145" s="186">
        <v>1391791</v>
      </c>
      <c r="J145" s="186"/>
      <c r="K145" s="186"/>
      <c r="L145" s="186"/>
      <c r="M145" s="186">
        <v>-182416</v>
      </c>
      <c r="N145" s="186">
        <v>-1209375</v>
      </c>
      <c r="O145" s="186">
        <f>1209375</f>
        <v>1209375</v>
      </c>
      <c r="P145" s="186"/>
      <c r="Q145" s="186"/>
      <c r="R145" s="186"/>
      <c r="S145" s="186"/>
      <c r="T145" s="186"/>
      <c r="U145" s="186"/>
      <c r="V145" s="186"/>
      <c r="W145" s="186">
        <f t="shared" ref="W145:W146" si="488">V145+X145</f>
        <v>0</v>
      </c>
      <c r="X145" s="186">
        <f t="shared" ref="X145:X146" si="489">SUBTOTAL(9,Y145:AJ145)</f>
        <v>0</v>
      </c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>
        <f t="shared" si="480"/>
        <v>0</v>
      </c>
      <c r="AL145" s="186">
        <f t="shared" si="481"/>
        <v>1209375</v>
      </c>
    </row>
    <row r="146" spans="1:38" ht="18" customHeight="1" x14ac:dyDescent="0.2">
      <c r="A146" s="46"/>
      <c r="B146" s="366"/>
      <c r="C146" s="393"/>
      <c r="D146" s="47" t="s">
        <v>834</v>
      </c>
      <c r="E146" s="184"/>
      <c r="F146" s="186">
        <f t="shared" si="486"/>
        <v>354793</v>
      </c>
      <c r="G146" s="186">
        <f t="shared" si="487"/>
        <v>354793</v>
      </c>
      <c r="H146" s="184"/>
      <c r="I146" s="184"/>
      <c r="J146" s="184"/>
      <c r="K146" s="184"/>
      <c r="L146" s="184"/>
      <c r="M146" s="184"/>
      <c r="N146" s="184"/>
      <c r="O146" s="184">
        <v>354793</v>
      </c>
      <c r="P146" s="184"/>
      <c r="Q146" s="184"/>
      <c r="R146" s="184"/>
      <c r="S146" s="184"/>
      <c r="T146" s="184"/>
      <c r="U146" s="184"/>
      <c r="V146" s="184"/>
      <c r="W146" s="186">
        <f t="shared" si="488"/>
        <v>0</v>
      </c>
      <c r="X146" s="186">
        <f t="shared" si="489"/>
        <v>0</v>
      </c>
      <c r="Y146" s="184"/>
      <c r="Z146" s="184"/>
      <c r="AA146" s="184"/>
      <c r="AB146" s="184"/>
      <c r="AC146" s="184"/>
      <c r="AD146" s="184"/>
      <c r="AE146" s="184"/>
      <c r="AF146" s="184"/>
      <c r="AG146" s="184"/>
      <c r="AH146" s="184"/>
      <c r="AI146" s="184"/>
      <c r="AJ146" s="184"/>
      <c r="AK146" s="186">
        <f t="shared" si="480"/>
        <v>0</v>
      </c>
      <c r="AL146" s="186">
        <f t="shared" si="481"/>
        <v>354793</v>
      </c>
    </row>
    <row r="147" spans="1:38" ht="11.25" customHeight="1" x14ac:dyDescent="0.2">
      <c r="A147" s="66"/>
      <c r="B147" s="67"/>
      <c r="C147" s="68"/>
      <c r="D147" s="50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</row>
    <row r="148" spans="1:38" x14ac:dyDescent="0.2">
      <c r="A148" s="503" t="s">
        <v>157</v>
      </c>
      <c r="B148" s="504"/>
      <c r="C148" s="504"/>
      <c r="D148" s="505"/>
      <c r="E148" s="145">
        <f t="shared" ref="E148:AL148" si="490">SUM(E150,E154)</f>
        <v>538</v>
      </c>
      <c r="F148" s="145">
        <f t="shared" si="490"/>
        <v>569</v>
      </c>
      <c r="G148" s="145">
        <f t="shared" si="490"/>
        <v>31</v>
      </c>
      <c r="H148" s="145">
        <f t="shared" si="490"/>
        <v>0</v>
      </c>
      <c r="I148" s="145">
        <f t="shared" si="490"/>
        <v>31</v>
      </c>
      <c r="J148" s="145">
        <f t="shared" si="490"/>
        <v>0</v>
      </c>
      <c r="K148" s="145">
        <f t="shared" si="490"/>
        <v>0</v>
      </c>
      <c r="L148" s="145">
        <f t="shared" si="490"/>
        <v>0</v>
      </c>
      <c r="M148" s="145">
        <f t="shared" si="490"/>
        <v>0</v>
      </c>
      <c r="N148" s="145">
        <f t="shared" si="490"/>
        <v>0</v>
      </c>
      <c r="O148" s="145">
        <f t="shared" si="490"/>
        <v>0</v>
      </c>
      <c r="P148" s="145">
        <f t="shared" si="490"/>
        <v>0</v>
      </c>
      <c r="Q148" s="145">
        <f t="shared" ref="Q148:T148" si="491">SUM(Q150,Q154)</f>
        <v>0</v>
      </c>
      <c r="R148" s="145">
        <f t="shared" si="491"/>
        <v>0</v>
      </c>
      <c r="S148" s="145">
        <f t="shared" si="491"/>
        <v>0</v>
      </c>
      <c r="T148" s="145">
        <f t="shared" si="491"/>
        <v>0</v>
      </c>
      <c r="U148" s="145">
        <f t="shared" si="490"/>
        <v>0</v>
      </c>
      <c r="V148" s="145">
        <f t="shared" si="490"/>
        <v>0</v>
      </c>
      <c r="W148" s="145">
        <f t="shared" si="490"/>
        <v>0</v>
      </c>
      <c r="X148" s="145">
        <f t="shared" si="490"/>
        <v>0</v>
      </c>
      <c r="Y148" s="145">
        <f t="shared" si="490"/>
        <v>0</v>
      </c>
      <c r="Z148" s="145">
        <f t="shared" si="490"/>
        <v>0</v>
      </c>
      <c r="AA148" s="145">
        <f t="shared" si="490"/>
        <v>0</v>
      </c>
      <c r="AB148" s="145">
        <f t="shared" si="490"/>
        <v>0</v>
      </c>
      <c r="AC148" s="145">
        <f t="shared" si="490"/>
        <v>0</v>
      </c>
      <c r="AD148" s="145">
        <f t="shared" si="490"/>
        <v>0</v>
      </c>
      <c r="AE148" s="145">
        <f t="shared" si="490"/>
        <v>0</v>
      </c>
      <c r="AF148" s="145">
        <f t="shared" si="490"/>
        <v>0</v>
      </c>
      <c r="AG148" s="145">
        <f t="shared" si="490"/>
        <v>0</v>
      </c>
      <c r="AH148" s="145">
        <f t="shared" ref="AH148:AI148" si="492">SUM(AH150,AH154)</f>
        <v>0</v>
      </c>
      <c r="AI148" s="145">
        <f t="shared" si="492"/>
        <v>0</v>
      </c>
      <c r="AJ148" s="145">
        <f t="shared" si="490"/>
        <v>0</v>
      </c>
      <c r="AK148" s="145">
        <f t="shared" si="490"/>
        <v>538</v>
      </c>
      <c r="AL148" s="145">
        <f t="shared" si="490"/>
        <v>569</v>
      </c>
    </row>
    <row r="149" spans="1:38" ht="11.25" customHeight="1" x14ac:dyDescent="0.2">
      <c r="A149" s="66"/>
      <c r="B149" s="67"/>
      <c r="C149" s="68"/>
      <c r="D149" s="50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</row>
    <row r="150" spans="1:38" x14ac:dyDescent="0.2">
      <c r="A150" s="494" t="s">
        <v>108</v>
      </c>
      <c r="B150" s="495"/>
      <c r="C150" s="496"/>
      <c r="D150" s="77" t="s">
        <v>158</v>
      </c>
      <c r="E150" s="78">
        <f>SUM(E151:E152)</f>
        <v>0</v>
      </c>
      <c r="F150" s="78">
        <f>SUM(F151:F152)</f>
        <v>0</v>
      </c>
      <c r="G150" s="78">
        <f t="shared" ref="G150:U150" si="493">SUM(G151:G152)</f>
        <v>0</v>
      </c>
      <c r="H150" s="78">
        <f t="shared" si="493"/>
        <v>0</v>
      </c>
      <c r="I150" s="78">
        <f t="shared" si="493"/>
        <v>0</v>
      </c>
      <c r="J150" s="78">
        <f t="shared" si="493"/>
        <v>0</v>
      </c>
      <c r="K150" s="78">
        <f t="shared" si="493"/>
        <v>0</v>
      </c>
      <c r="L150" s="78">
        <f t="shared" si="493"/>
        <v>0</v>
      </c>
      <c r="M150" s="78">
        <f t="shared" si="493"/>
        <v>0</v>
      </c>
      <c r="N150" s="78">
        <f t="shared" si="493"/>
        <v>0</v>
      </c>
      <c r="O150" s="78">
        <f t="shared" si="493"/>
        <v>0</v>
      </c>
      <c r="P150" s="78">
        <f t="shared" si="493"/>
        <v>0</v>
      </c>
      <c r="Q150" s="78">
        <f t="shared" ref="Q150:T150" si="494">SUM(Q151:Q152)</f>
        <v>0</v>
      </c>
      <c r="R150" s="78">
        <f t="shared" si="494"/>
        <v>0</v>
      </c>
      <c r="S150" s="78">
        <f t="shared" si="494"/>
        <v>0</v>
      </c>
      <c r="T150" s="78">
        <f t="shared" si="494"/>
        <v>0</v>
      </c>
      <c r="U150" s="78">
        <f t="shared" si="493"/>
        <v>0</v>
      </c>
      <c r="V150" s="78">
        <f>SUM(V151:V152)</f>
        <v>0</v>
      </c>
      <c r="W150" s="78">
        <f>SUM(W151:W152)</f>
        <v>0</v>
      </c>
      <c r="X150" s="78">
        <f t="shared" ref="X150" si="495">SUM(X151:X152)</f>
        <v>0</v>
      </c>
      <c r="Y150" s="78">
        <f t="shared" ref="Y150" si="496">SUM(Y151:Y152)</f>
        <v>0</v>
      </c>
      <c r="Z150" s="78">
        <f t="shared" ref="Z150" si="497">SUM(Z151:Z152)</f>
        <v>0</v>
      </c>
      <c r="AA150" s="78">
        <f t="shared" ref="AA150" si="498">SUM(AA151:AA152)</f>
        <v>0</v>
      </c>
      <c r="AB150" s="78">
        <f t="shared" ref="AB150" si="499">SUM(AB151:AB152)</f>
        <v>0</v>
      </c>
      <c r="AC150" s="78">
        <f t="shared" ref="AC150" si="500">SUM(AC151:AC152)</f>
        <v>0</v>
      </c>
      <c r="AD150" s="78">
        <f t="shared" ref="AD150" si="501">SUM(AD151:AD152)</f>
        <v>0</v>
      </c>
      <c r="AE150" s="78">
        <f t="shared" ref="AE150" si="502">SUM(AE151:AE152)</f>
        <v>0</v>
      </c>
      <c r="AF150" s="78">
        <f t="shared" ref="AF150" si="503">SUM(AF151:AF152)</f>
        <v>0</v>
      </c>
      <c r="AG150" s="78">
        <f t="shared" ref="AG150:AI150" si="504">SUM(AG151:AG152)</f>
        <v>0</v>
      </c>
      <c r="AH150" s="78">
        <f t="shared" si="504"/>
        <v>0</v>
      </c>
      <c r="AI150" s="78">
        <f t="shared" si="504"/>
        <v>0</v>
      </c>
      <c r="AJ150" s="78">
        <f t="shared" ref="AJ150:AL150" si="505">SUM(AJ151:AJ152)</f>
        <v>0</v>
      </c>
      <c r="AK150" s="78">
        <f>SUM(AK151:AK152)</f>
        <v>0</v>
      </c>
      <c r="AL150" s="78">
        <f t="shared" si="505"/>
        <v>0</v>
      </c>
    </row>
    <row r="151" spans="1:38" s="113" customFormat="1" x14ac:dyDescent="0.2">
      <c r="A151" s="59"/>
      <c r="B151" s="468" t="s">
        <v>145</v>
      </c>
      <c r="C151" s="469"/>
      <c r="D151" s="50" t="s">
        <v>146</v>
      </c>
      <c r="E151" s="44"/>
      <c r="F151" s="44">
        <f t="shared" ref="F151:F152" si="506">E151+G151</f>
        <v>0</v>
      </c>
      <c r="G151" s="44">
        <f t="shared" ref="G151:G152" si="507">SUBTOTAL(9,H151:U151)</f>
        <v>0</v>
      </c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>
        <f t="shared" ref="W151:W152" si="508">V151+X151</f>
        <v>0</v>
      </c>
      <c r="X151" s="44">
        <f t="shared" ref="X151:X152" si="509">SUBTOTAL(9,Y151:AJ151)</f>
        <v>0</v>
      </c>
      <c r="Y151" s="44"/>
      <c r="Z151" s="44"/>
      <c r="AA151" s="44"/>
      <c r="AB151" s="44"/>
      <c r="AC151" s="44"/>
      <c r="AD151" s="44"/>
      <c r="AE151" s="44"/>
      <c r="AF151" s="44"/>
      <c r="AG151" s="44"/>
      <c r="AH151" s="44"/>
      <c r="AI151" s="44"/>
      <c r="AJ151" s="44"/>
      <c r="AK151" s="44">
        <f>E151+V151</f>
        <v>0</v>
      </c>
      <c r="AL151" s="44">
        <f>W151+F151</f>
        <v>0</v>
      </c>
    </row>
    <row r="152" spans="1:38" s="113" customFormat="1" ht="24" x14ac:dyDescent="0.2">
      <c r="A152" s="59"/>
      <c r="B152" s="457" t="s">
        <v>109</v>
      </c>
      <c r="C152" s="460"/>
      <c r="D152" s="50" t="s">
        <v>163</v>
      </c>
      <c r="E152" s="44"/>
      <c r="F152" s="44">
        <f t="shared" si="506"/>
        <v>0</v>
      </c>
      <c r="G152" s="44">
        <f t="shared" si="507"/>
        <v>0</v>
      </c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>
        <f t="shared" si="508"/>
        <v>0</v>
      </c>
      <c r="X152" s="44">
        <f t="shared" si="509"/>
        <v>0</v>
      </c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>
        <f>E152+V152</f>
        <v>0</v>
      </c>
      <c r="AL152" s="44">
        <f>W152+F152</f>
        <v>0</v>
      </c>
    </row>
    <row r="153" spans="1:38" ht="11.25" customHeight="1" x14ac:dyDescent="0.2">
      <c r="A153" s="66"/>
      <c r="B153" s="67"/>
      <c r="C153" s="64"/>
      <c r="D153" s="50"/>
      <c r="E153" s="187"/>
      <c r="F153" s="187"/>
      <c r="G153" s="187"/>
      <c r="H153" s="187"/>
      <c r="I153" s="187"/>
      <c r="J153" s="187"/>
      <c r="K153" s="187"/>
      <c r="L153" s="187"/>
      <c r="M153" s="187"/>
      <c r="N153" s="187"/>
      <c r="O153" s="187"/>
      <c r="P153" s="187"/>
      <c r="Q153" s="187"/>
      <c r="R153" s="187"/>
      <c r="S153" s="187"/>
      <c r="T153" s="187"/>
      <c r="U153" s="187"/>
      <c r="V153" s="187"/>
      <c r="W153" s="187"/>
      <c r="X153" s="187"/>
      <c r="Y153" s="187"/>
      <c r="Z153" s="187"/>
      <c r="AA153" s="187"/>
      <c r="AB153" s="187"/>
      <c r="AC153" s="187"/>
      <c r="AD153" s="187"/>
      <c r="AE153" s="187"/>
      <c r="AF153" s="187"/>
      <c r="AG153" s="187"/>
      <c r="AH153" s="187"/>
      <c r="AI153" s="187"/>
      <c r="AJ153" s="187"/>
      <c r="AK153" s="187"/>
      <c r="AL153" s="187"/>
    </row>
    <row r="154" spans="1:38" ht="24" x14ac:dyDescent="0.2">
      <c r="A154" s="66"/>
      <c r="B154" s="67"/>
      <c r="C154" s="195" t="s">
        <v>576</v>
      </c>
      <c r="D154" s="60" t="s">
        <v>159</v>
      </c>
      <c r="E154" s="191">
        <f t="shared" ref="E154:AK154" si="510">SUM(E155)</f>
        <v>538</v>
      </c>
      <c r="F154" s="191">
        <f t="shared" si="510"/>
        <v>569</v>
      </c>
      <c r="G154" s="191">
        <f t="shared" si="510"/>
        <v>31</v>
      </c>
      <c r="H154" s="191">
        <f t="shared" si="510"/>
        <v>0</v>
      </c>
      <c r="I154" s="191">
        <f t="shared" si="510"/>
        <v>31</v>
      </c>
      <c r="J154" s="191">
        <f t="shared" si="510"/>
        <v>0</v>
      </c>
      <c r="K154" s="191">
        <f t="shared" si="510"/>
        <v>0</v>
      </c>
      <c r="L154" s="191">
        <f t="shared" si="510"/>
        <v>0</v>
      </c>
      <c r="M154" s="191">
        <f t="shared" si="510"/>
        <v>0</v>
      </c>
      <c r="N154" s="191">
        <f t="shared" si="510"/>
        <v>0</v>
      </c>
      <c r="O154" s="191">
        <f t="shared" si="510"/>
        <v>0</v>
      </c>
      <c r="P154" s="191">
        <f t="shared" si="510"/>
        <v>0</v>
      </c>
      <c r="Q154" s="191">
        <f t="shared" si="510"/>
        <v>0</v>
      </c>
      <c r="R154" s="191">
        <f t="shared" si="510"/>
        <v>0</v>
      </c>
      <c r="S154" s="191">
        <f t="shared" si="510"/>
        <v>0</v>
      </c>
      <c r="T154" s="191">
        <f t="shared" si="510"/>
        <v>0</v>
      </c>
      <c r="U154" s="191">
        <f t="shared" si="510"/>
        <v>0</v>
      </c>
      <c r="V154" s="191">
        <f t="shared" si="510"/>
        <v>0</v>
      </c>
      <c r="W154" s="191">
        <f t="shared" ref="W154:AJ154" si="511">SUM(W155)</f>
        <v>0</v>
      </c>
      <c r="X154" s="191">
        <f t="shared" si="511"/>
        <v>0</v>
      </c>
      <c r="Y154" s="191">
        <f t="shared" si="511"/>
        <v>0</v>
      </c>
      <c r="Z154" s="191">
        <f t="shared" si="511"/>
        <v>0</v>
      </c>
      <c r="AA154" s="191">
        <f t="shared" si="511"/>
        <v>0</v>
      </c>
      <c r="AB154" s="191">
        <f t="shared" si="511"/>
        <v>0</v>
      </c>
      <c r="AC154" s="191">
        <f t="shared" si="511"/>
        <v>0</v>
      </c>
      <c r="AD154" s="191">
        <f t="shared" si="511"/>
        <v>0</v>
      </c>
      <c r="AE154" s="191">
        <f t="shared" si="511"/>
        <v>0</v>
      </c>
      <c r="AF154" s="191">
        <f t="shared" si="511"/>
        <v>0</v>
      </c>
      <c r="AG154" s="191">
        <f t="shared" si="511"/>
        <v>0</v>
      </c>
      <c r="AH154" s="191">
        <f t="shared" si="511"/>
        <v>0</v>
      </c>
      <c r="AI154" s="191">
        <f t="shared" si="511"/>
        <v>0</v>
      </c>
      <c r="AJ154" s="191">
        <f t="shared" si="511"/>
        <v>0</v>
      </c>
      <c r="AK154" s="191">
        <f t="shared" si="510"/>
        <v>538</v>
      </c>
      <c r="AL154" s="191">
        <f>SUM(AL155)</f>
        <v>569</v>
      </c>
    </row>
    <row r="155" spans="1:38" x14ac:dyDescent="0.2">
      <c r="A155" s="66"/>
      <c r="B155" s="67"/>
      <c r="C155" s="68"/>
      <c r="D155" s="50" t="s">
        <v>160</v>
      </c>
      <c r="E155" s="54">
        <f t="shared" ref="E155:F155" si="512">SUM(E156:E157)</f>
        <v>538</v>
      </c>
      <c r="F155" s="54">
        <f t="shared" si="512"/>
        <v>569</v>
      </c>
      <c r="G155" s="54">
        <f t="shared" ref="G155:U155" si="513">SUM(G156:G157)</f>
        <v>31</v>
      </c>
      <c r="H155" s="54">
        <f t="shared" si="513"/>
        <v>0</v>
      </c>
      <c r="I155" s="54">
        <f t="shared" si="513"/>
        <v>31</v>
      </c>
      <c r="J155" s="54">
        <f t="shared" si="513"/>
        <v>0</v>
      </c>
      <c r="K155" s="54">
        <f t="shared" si="513"/>
        <v>0</v>
      </c>
      <c r="L155" s="54">
        <f t="shared" si="513"/>
        <v>0</v>
      </c>
      <c r="M155" s="54">
        <f t="shared" si="513"/>
        <v>0</v>
      </c>
      <c r="N155" s="54">
        <f t="shared" si="513"/>
        <v>0</v>
      </c>
      <c r="O155" s="54">
        <f t="shared" si="513"/>
        <v>0</v>
      </c>
      <c r="P155" s="54">
        <f t="shared" si="513"/>
        <v>0</v>
      </c>
      <c r="Q155" s="54">
        <f t="shared" ref="Q155:T155" si="514">SUM(Q156:Q157)</f>
        <v>0</v>
      </c>
      <c r="R155" s="54">
        <f t="shared" si="514"/>
        <v>0</v>
      </c>
      <c r="S155" s="54">
        <f t="shared" si="514"/>
        <v>0</v>
      </c>
      <c r="T155" s="54">
        <f t="shared" si="514"/>
        <v>0</v>
      </c>
      <c r="U155" s="54">
        <f t="shared" si="513"/>
        <v>0</v>
      </c>
      <c r="V155" s="54">
        <f t="shared" ref="V155" si="515">SUM(V156:V157)</f>
        <v>0</v>
      </c>
      <c r="W155" s="54">
        <f t="shared" ref="W155:AJ155" si="516">SUM(W156:W157)</f>
        <v>0</v>
      </c>
      <c r="X155" s="54">
        <f t="shared" si="516"/>
        <v>0</v>
      </c>
      <c r="Y155" s="54">
        <f t="shared" si="516"/>
        <v>0</v>
      </c>
      <c r="Z155" s="54">
        <f t="shared" si="516"/>
        <v>0</v>
      </c>
      <c r="AA155" s="54">
        <f t="shared" si="516"/>
        <v>0</v>
      </c>
      <c r="AB155" s="54">
        <f t="shared" si="516"/>
        <v>0</v>
      </c>
      <c r="AC155" s="54">
        <f t="shared" si="516"/>
        <v>0</v>
      </c>
      <c r="AD155" s="54">
        <f t="shared" si="516"/>
        <v>0</v>
      </c>
      <c r="AE155" s="54">
        <f t="shared" si="516"/>
        <v>0</v>
      </c>
      <c r="AF155" s="54">
        <f t="shared" si="516"/>
        <v>0</v>
      </c>
      <c r="AG155" s="54">
        <f t="shared" si="516"/>
        <v>0</v>
      </c>
      <c r="AH155" s="54">
        <f t="shared" ref="AH155:AI155" si="517">SUM(AH156:AH157)</f>
        <v>0</v>
      </c>
      <c r="AI155" s="54">
        <f t="shared" si="517"/>
        <v>0</v>
      </c>
      <c r="AJ155" s="54">
        <f t="shared" si="516"/>
        <v>0</v>
      </c>
      <c r="AK155" s="54">
        <f t="shared" ref="AK155" si="518">SUM(AK156:AK157)</f>
        <v>538</v>
      </c>
      <c r="AL155" s="54">
        <f>SUM(AL156:AL157)</f>
        <v>569</v>
      </c>
    </row>
    <row r="156" spans="1:38" ht="24" x14ac:dyDescent="0.2">
      <c r="A156" s="49"/>
      <c r="B156" s="63"/>
      <c r="C156" s="64"/>
      <c r="D156" s="252" t="s">
        <v>161</v>
      </c>
      <c r="E156" s="44">
        <v>538</v>
      </c>
      <c r="F156" s="44">
        <f t="shared" ref="F156:F157" si="519">E156+G156</f>
        <v>538</v>
      </c>
      <c r="G156" s="44">
        <f t="shared" ref="G156:G157" si="520">SUBTOTAL(9,H156:U156)</f>
        <v>0</v>
      </c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>
        <f t="shared" ref="W156:W157" si="521">V156+X156</f>
        <v>0</v>
      </c>
      <c r="X156" s="44">
        <f t="shared" ref="X156:X157" si="522">SUBTOTAL(9,Y156:AJ156)</f>
        <v>0</v>
      </c>
      <c r="Y156" s="44"/>
      <c r="Z156" s="44"/>
      <c r="AA156" s="44"/>
      <c r="AB156" s="44"/>
      <c r="AC156" s="44"/>
      <c r="AD156" s="44"/>
      <c r="AE156" s="44"/>
      <c r="AF156" s="44"/>
      <c r="AG156" s="44"/>
      <c r="AH156" s="44"/>
      <c r="AI156" s="44"/>
      <c r="AJ156" s="44"/>
      <c r="AK156" s="44">
        <f>E156+V156</f>
        <v>538</v>
      </c>
      <c r="AL156" s="44">
        <f>W156+F156</f>
        <v>538</v>
      </c>
    </row>
    <row r="157" spans="1:38" ht="24" x14ac:dyDescent="0.2">
      <c r="A157" s="66"/>
      <c r="B157" s="67"/>
      <c r="C157" s="68"/>
      <c r="D157" s="252" t="s">
        <v>162</v>
      </c>
      <c r="E157" s="54"/>
      <c r="F157" s="54">
        <f t="shared" si="519"/>
        <v>31</v>
      </c>
      <c r="G157" s="54">
        <f t="shared" si="520"/>
        <v>31</v>
      </c>
      <c r="H157" s="54"/>
      <c r="I157" s="54">
        <f>30+1</f>
        <v>31</v>
      </c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>
        <f t="shared" si="521"/>
        <v>0</v>
      </c>
      <c r="X157" s="54">
        <f t="shared" si="522"/>
        <v>0</v>
      </c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>
        <f>E157+V157</f>
        <v>0</v>
      </c>
      <c r="AL157" s="54">
        <f>W157+F157</f>
        <v>31</v>
      </c>
    </row>
    <row r="158" spans="1:38" hidden="1" x14ac:dyDescent="0.2">
      <c r="A158" s="66"/>
      <c r="B158" s="67"/>
      <c r="C158" s="68"/>
      <c r="D158" s="50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</row>
    <row r="159" spans="1:38" ht="15.75" customHeight="1" x14ac:dyDescent="0.2">
      <c r="A159" s="49"/>
      <c r="B159" s="63"/>
      <c r="C159" s="64"/>
      <c r="D159" s="50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</row>
    <row r="160" spans="1:38" s="113" customFormat="1" ht="24.75" customHeight="1" thickBot="1" x14ac:dyDescent="0.25">
      <c r="A160" s="497" t="s">
        <v>126</v>
      </c>
      <c r="B160" s="498"/>
      <c r="C160" s="498"/>
      <c r="D160" s="499"/>
      <c r="E160" s="69">
        <f t="shared" ref="E160:AL160" si="523">SUM(E150,E94)</f>
        <v>89562788</v>
      </c>
      <c r="F160" s="69">
        <f t="shared" si="523"/>
        <v>94007305</v>
      </c>
      <c r="G160" s="69">
        <f t="shared" si="523"/>
        <v>4444517</v>
      </c>
      <c r="H160" s="69">
        <f t="shared" si="523"/>
        <v>111985</v>
      </c>
      <c r="I160" s="69">
        <f t="shared" si="523"/>
        <v>2279121</v>
      </c>
      <c r="J160" s="69">
        <f t="shared" si="523"/>
        <v>443550</v>
      </c>
      <c r="K160" s="69">
        <f t="shared" si="523"/>
        <v>493998</v>
      </c>
      <c r="L160" s="69">
        <f t="shared" si="523"/>
        <v>2875</v>
      </c>
      <c r="M160" s="69">
        <f t="shared" si="523"/>
        <v>-87075</v>
      </c>
      <c r="N160" s="69">
        <f t="shared" si="523"/>
        <v>-612926</v>
      </c>
      <c r="O160" s="69">
        <f t="shared" si="523"/>
        <v>1676964</v>
      </c>
      <c r="P160" s="69">
        <f t="shared" si="523"/>
        <v>-370886</v>
      </c>
      <c r="Q160" s="69">
        <f t="shared" ref="Q160:T160" si="524">SUM(Q150,Q94)</f>
        <v>39496</v>
      </c>
      <c r="R160" s="69">
        <f t="shared" si="524"/>
        <v>137176</v>
      </c>
      <c r="S160" s="69">
        <f t="shared" si="524"/>
        <v>330244</v>
      </c>
      <c r="T160" s="69">
        <f t="shared" si="524"/>
        <v>-5</v>
      </c>
      <c r="U160" s="69">
        <f t="shared" si="523"/>
        <v>0</v>
      </c>
      <c r="V160" s="69">
        <f t="shared" si="523"/>
        <v>-1047228</v>
      </c>
      <c r="W160" s="69">
        <f t="shared" si="523"/>
        <v>-1261390</v>
      </c>
      <c r="X160" s="69">
        <f t="shared" si="523"/>
        <v>-214162</v>
      </c>
      <c r="Y160" s="69">
        <f t="shared" si="523"/>
        <v>-11045</v>
      </c>
      <c r="Z160" s="69">
        <f t="shared" si="523"/>
        <v>-206523</v>
      </c>
      <c r="AA160" s="69">
        <f t="shared" si="523"/>
        <v>-18678</v>
      </c>
      <c r="AB160" s="69">
        <f t="shared" si="523"/>
        <v>45158</v>
      </c>
      <c r="AC160" s="69">
        <f t="shared" si="523"/>
        <v>-7681</v>
      </c>
      <c r="AD160" s="69">
        <f t="shared" si="523"/>
        <v>20825</v>
      </c>
      <c r="AE160" s="69">
        <f t="shared" si="523"/>
        <v>-1738</v>
      </c>
      <c r="AF160" s="69">
        <f t="shared" si="523"/>
        <v>-336</v>
      </c>
      <c r="AG160" s="69">
        <f t="shared" si="523"/>
        <v>-32196</v>
      </c>
      <c r="AH160" s="69">
        <f t="shared" ref="AH160:AI160" si="525">SUM(AH150,AH94)</f>
        <v>-1945</v>
      </c>
      <c r="AI160" s="69">
        <f t="shared" si="525"/>
        <v>-3</v>
      </c>
      <c r="AJ160" s="69">
        <f t="shared" si="523"/>
        <v>0</v>
      </c>
      <c r="AK160" s="69">
        <f t="shared" si="523"/>
        <v>88751984</v>
      </c>
      <c r="AL160" s="69">
        <f t="shared" si="523"/>
        <v>92745915</v>
      </c>
    </row>
    <row r="161" spans="1:39" s="113" customFormat="1" ht="12.75" thickBot="1" x14ac:dyDescent="0.25">
      <c r="A161" s="500" t="s">
        <v>115</v>
      </c>
      <c r="B161" s="501"/>
      <c r="C161" s="501"/>
      <c r="D161" s="502"/>
      <c r="E161" s="69">
        <f t="shared" ref="E161:AL161" si="526">SUM(E8,E148)</f>
        <v>109731494</v>
      </c>
      <c r="F161" s="143">
        <f t="shared" si="526"/>
        <v>115328459</v>
      </c>
      <c r="G161" s="143">
        <f t="shared" si="526"/>
        <v>5596965</v>
      </c>
      <c r="H161" s="143">
        <f t="shared" si="526"/>
        <v>122832</v>
      </c>
      <c r="I161" s="143">
        <f t="shared" si="526"/>
        <v>6848727</v>
      </c>
      <c r="J161" s="143">
        <f t="shared" si="526"/>
        <v>562688</v>
      </c>
      <c r="K161" s="143">
        <f t="shared" si="526"/>
        <v>597993</v>
      </c>
      <c r="L161" s="143">
        <f t="shared" si="526"/>
        <v>2875</v>
      </c>
      <c r="M161" s="143">
        <f t="shared" si="526"/>
        <v>-498367</v>
      </c>
      <c r="N161" s="143">
        <f t="shared" si="526"/>
        <v>-5899360</v>
      </c>
      <c r="O161" s="143">
        <f t="shared" si="526"/>
        <v>3533959</v>
      </c>
      <c r="P161" s="143">
        <f t="shared" si="526"/>
        <v>-181293</v>
      </c>
      <c r="Q161" s="143">
        <f t="shared" ref="Q161:T161" si="527">SUM(Q8,Q148)</f>
        <v>39496</v>
      </c>
      <c r="R161" s="143">
        <f t="shared" si="527"/>
        <v>137176</v>
      </c>
      <c r="S161" s="143">
        <f t="shared" si="527"/>
        <v>330244</v>
      </c>
      <c r="T161" s="143">
        <f t="shared" si="527"/>
        <v>-5</v>
      </c>
      <c r="U161" s="143">
        <f t="shared" si="526"/>
        <v>0</v>
      </c>
      <c r="V161" s="143">
        <f t="shared" si="526"/>
        <v>-1047228</v>
      </c>
      <c r="W161" s="143">
        <f t="shared" si="526"/>
        <v>-1261390</v>
      </c>
      <c r="X161" s="143">
        <f t="shared" si="526"/>
        <v>-214162</v>
      </c>
      <c r="Y161" s="143">
        <f t="shared" si="526"/>
        <v>-11045</v>
      </c>
      <c r="Z161" s="143">
        <f t="shared" si="526"/>
        <v>-206523</v>
      </c>
      <c r="AA161" s="143">
        <f t="shared" si="526"/>
        <v>-18678</v>
      </c>
      <c r="AB161" s="143">
        <f t="shared" si="526"/>
        <v>45158</v>
      </c>
      <c r="AC161" s="143">
        <f t="shared" si="526"/>
        <v>-7681</v>
      </c>
      <c r="AD161" s="143">
        <f t="shared" si="526"/>
        <v>20825</v>
      </c>
      <c r="AE161" s="143">
        <f t="shared" si="526"/>
        <v>-1738</v>
      </c>
      <c r="AF161" s="143">
        <f t="shared" si="526"/>
        <v>-336</v>
      </c>
      <c r="AG161" s="143">
        <f t="shared" si="526"/>
        <v>-32196</v>
      </c>
      <c r="AH161" s="143">
        <f t="shared" ref="AH161:AI161" si="528">SUM(AH8,AH148)</f>
        <v>-1945</v>
      </c>
      <c r="AI161" s="143">
        <f t="shared" si="528"/>
        <v>-3</v>
      </c>
      <c r="AJ161" s="143">
        <f t="shared" si="526"/>
        <v>0</v>
      </c>
      <c r="AK161" s="143">
        <f t="shared" si="526"/>
        <v>108920690</v>
      </c>
      <c r="AL161" s="143">
        <f t="shared" si="526"/>
        <v>114067069</v>
      </c>
    </row>
    <row r="163" spans="1:39" hidden="1" x14ac:dyDescent="0.2">
      <c r="AK163" s="171">
        <f>E161-AK161</f>
        <v>810804</v>
      </c>
    </row>
    <row r="164" spans="1:39" hidden="1" x14ac:dyDescent="0.2">
      <c r="A164" s="493"/>
      <c r="B164" s="493"/>
      <c r="C164" s="493"/>
      <c r="D164" s="493"/>
      <c r="E164" s="493"/>
      <c r="F164" s="493"/>
      <c r="G164" s="493"/>
      <c r="H164" s="493"/>
      <c r="I164" s="493"/>
      <c r="J164" s="493"/>
      <c r="K164" s="493"/>
      <c r="L164" s="493"/>
      <c r="M164" s="493"/>
      <c r="N164" s="493"/>
      <c r="O164" s="493"/>
      <c r="P164" s="493"/>
      <c r="Q164" s="493"/>
      <c r="R164" s="493"/>
      <c r="S164" s="493"/>
      <c r="T164" s="493"/>
      <c r="U164" s="493"/>
      <c r="V164" s="493"/>
      <c r="W164" s="493"/>
      <c r="X164" s="493"/>
      <c r="Y164" s="493"/>
      <c r="Z164" s="493"/>
      <c r="AA164" s="493"/>
      <c r="AB164" s="493"/>
      <c r="AC164" s="493"/>
      <c r="AD164" s="493"/>
      <c r="AE164" s="493"/>
      <c r="AF164" s="493"/>
      <c r="AG164" s="493"/>
      <c r="AH164" s="493"/>
      <c r="AI164" s="493"/>
      <c r="AJ164" s="493"/>
      <c r="AK164" s="493"/>
    </row>
    <row r="165" spans="1:39" hidden="1" x14ac:dyDescent="0.2">
      <c r="A165" s="493"/>
      <c r="B165" s="493"/>
      <c r="C165" s="493"/>
      <c r="D165" s="493"/>
      <c r="E165" s="493"/>
      <c r="F165" s="493"/>
      <c r="G165" s="493"/>
      <c r="H165" s="493"/>
      <c r="I165" s="493"/>
      <c r="J165" s="493"/>
      <c r="K165" s="493"/>
      <c r="L165" s="493"/>
      <c r="M165" s="493"/>
      <c r="N165" s="493"/>
      <c r="O165" s="493"/>
      <c r="P165" s="493"/>
      <c r="Q165" s="493"/>
      <c r="R165" s="493"/>
      <c r="S165" s="493"/>
      <c r="T165" s="493"/>
      <c r="U165" s="493"/>
      <c r="V165" s="493"/>
      <c r="W165" s="493"/>
      <c r="X165" s="493"/>
      <c r="Y165" s="493"/>
      <c r="Z165" s="493"/>
      <c r="AA165" s="493"/>
      <c r="AB165" s="493"/>
      <c r="AC165" s="493"/>
      <c r="AD165" s="493"/>
      <c r="AE165" s="493"/>
      <c r="AF165" s="493"/>
      <c r="AG165" s="493"/>
      <c r="AH165" s="493"/>
      <c r="AI165" s="493"/>
      <c r="AJ165" s="493"/>
      <c r="AK165" s="493"/>
    </row>
    <row r="166" spans="1:39" hidden="1" x14ac:dyDescent="0.2"/>
    <row r="167" spans="1:39" x14ac:dyDescent="0.2">
      <c r="AK167" s="171"/>
      <c r="AM167" s="291"/>
    </row>
    <row r="168" spans="1:39" x14ac:dyDescent="0.2">
      <c r="AK168" s="171"/>
    </row>
  </sheetData>
  <sheetProtection algorithmName="SHA-512" hashValue="bklgcEtpPDaYZJ8oqdnThx120LHs07gk8IkXaOWrAI7XIMU5daSesDxIoczn0+hDVyw0pk28qNO0+v8rnLPMKA==" saltValue="7DwjFYU6TAHj4hY1PfaKCQ==" spinCount="100000" sheet="1" objects="1" scenarios="1" formatCells="0" formatColumns="0" formatRows="0" insertHyperlinks="0"/>
  <autoFilter ref="A7:AL161">
    <filterColumn colId="0" showButton="0"/>
    <filterColumn colId="1" showButton="0"/>
  </autoFilter>
  <mergeCells count="98">
    <mergeCell ref="B88:C88"/>
    <mergeCell ref="B132:C132"/>
    <mergeCell ref="B89:C89"/>
    <mergeCell ref="B90:C90"/>
    <mergeCell ref="B91:C91"/>
    <mergeCell ref="B96:C96"/>
    <mergeCell ref="B145:C145"/>
    <mergeCell ref="A148:D148"/>
    <mergeCell ref="B139:C139"/>
    <mergeCell ref="B130:C130"/>
    <mergeCell ref="B92:C92"/>
    <mergeCell ref="A94:D94"/>
    <mergeCell ref="B126:C126"/>
    <mergeCell ref="A165:AK165"/>
    <mergeCell ref="A150:C150"/>
    <mergeCell ref="B151:C151"/>
    <mergeCell ref="B152:C152"/>
    <mergeCell ref="A160:D160"/>
    <mergeCell ref="A161:D161"/>
    <mergeCell ref="A164:AK164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A4:AL4"/>
    <mergeCell ref="B65:C65"/>
    <mergeCell ref="A62:C62"/>
    <mergeCell ref="B43:C43"/>
    <mergeCell ref="A44:C44"/>
    <mergeCell ref="B45:C45"/>
    <mergeCell ref="B56:C56"/>
    <mergeCell ref="B57:C57"/>
    <mergeCell ref="A47:C47"/>
    <mergeCell ref="B48:C48"/>
    <mergeCell ref="B49:C49"/>
    <mergeCell ref="B50:C50"/>
    <mergeCell ref="B53:C53"/>
    <mergeCell ref="B37:C37"/>
    <mergeCell ref="B38:C38"/>
    <mergeCell ref="A35:C35"/>
    <mergeCell ref="B76:C76"/>
    <mergeCell ref="B77:C77"/>
    <mergeCell ref="B74:C74"/>
    <mergeCell ref="B66:C66"/>
    <mergeCell ref="B67:C67"/>
    <mergeCell ref="A69:C69"/>
    <mergeCell ref="B70:C70"/>
    <mergeCell ref="B75:C75"/>
    <mergeCell ref="A72:C72"/>
    <mergeCell ref="B73:C73"/>
    <mergeCell ref="B68:C68"/>
    <mergeCell ref="A6:C6"/>
    <mergeCell ref="A7:C7"/>
    <mergeCell ref="B21:C21"/>
    <mergeCell ref="B22:C22"/>
    <mergeCell ref="A8:D8"/>
    <mergeCell ref="A10:C10"/>
    <mergeCell ref="B11:C11"/>
    <mergeCell ref="B12:C12"/>
    <mergeCell ref="B13:C13"/>
    <mergeCell ref="A15:C15"/>
    <mergeCell ref="B16:C16"/>
    <mergeCell ref="B17:C17"/>
    <mergeCell ref="B18:C18"/>
    <mergeCell ref="B19:C19"/>
    <mergeCell ref="B14:C14"/>
    <mergeCell ref="B59:C59"/>
    <mergeCell ref="B60:C60"/>
    <mergeCell ref="B61:C61"/>
    <mergeCell ref="A64:C64"/>
    <mergeCell ref="B20:C20"/>
    <mergeCell ref="B25:C25"/>
    <mergeCell ref="B23:C23"/>
    <mergeCell ref="B24:C24"/>
    <mergeCell ref="B27:C27"/>
    <mergeCell ref="B28:C28"/>
    <mergeCell ref="B29:C29"/>
    <mergeCell ref="A26:C26"/>
    <mergeCell ref="B36:C36"/>
    <mergeCell ref="B30:C30"/>
    <mergeCell ref="A32:C32"/>
    <mergeCell ref="B33:C33"/>
    <mergeCell ref="A55:C55"/>
    <mergeCell ref="B42:C42"/>
    <mergeCell ref="B51:C51"/>
    <mergeCell ref="B46:C46"/>
    <mergeCell ref="B58:C58"/>
    <mergeCell ref="B39:C39"/>
    <mergeCell ref="B40:C40"/>
    <mergeCell ref="B41:C41"/>
    <mergeCell ref="B54:C54"/>
    <mergeCell ref="B34:C34"/>
  </mergeCells>
  <pageMargins left="0.98425196850393704" right="0.39370078740157483" top="0.78740157480314965" bottom="0.19685039370078741" header="0.19685039370078741" footer="0.19685039370078741"/>
  <pageSetup paperSize="9" scale="70" orientation="portrait" r:id="rId1"/>
  <headerFooter differentFirst="1">
    <oddFooter>&amp;L&amp;"Times New Roman,Regular"&amp;8&amp;D&amp;T&amp;R&amp;"Times New Roman,Regular"&amp;8&amp;P (&amp;N)</oddFooter>
    <firstHeader xml:space="preserve">&amp;R&amp;"Times New Roman,Regular"&amp;9 1.pielikums Jūrmalas pilsētas domes  
2019.gada 19.decembra saistošajiem noteikumiem Nr.56
(protokols Nr.16, 31.punkts)  </first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workbookViewId="0">
      <selection activeCell="A20" sqref="A20"/>
    </sheetView>
  </sheetViews>
  <sheetFormatPr defaultColWidth="9.140625" defaultRowHeight="16.5" x14ac:dyDescent="0.25"/>
  <cols>
    <col min="1" max="1" width="44.7109375" style="146" bestFit="1" customWidth="1"/>
    <col min="2" max="2" width="14.5703125" style="146" customWidth="1"/>
    <col min="3" max="3" width="6.28515625" style="146" customWidth="1"/>
    <col min="4" max="4" width="14.42578125" style="146" customWidth="1"/>
    <col min="5" max="5" width="6.140625" style="146" bestFit="1" customWidth="1"/>
    <col min="6" max="16384" width="9.140625" style="146"/>
  </cols>
  <sheetData>
    <row r="1" spans="1:5" x14ac:dyDescent="0.25">
      <c r="D1" s="147"/>
    </row>
    <row r="2" spans="1:5" ht="17.25" x14ac:dyDescent="0.3">
      <c r="A2" s="148"/>
      <c r="B2" s="514" t="s">
        <v>1</v>
      </c>
      <c r="C2" s="514"/>
      <c r="D2" s="515" t="s">
        <v>3</v>
      </c>
      <c r="E2" s="515"/>
    </row>
    <row r="3" spans="1:5" ht="11.25" customHeight="1" x14ac:dyDescent="0.25">
      <c r="A3" s="148"/>
      <c r="B3" s="149"/>
      <c r="C3" s="149"/>
      <c r="D3" s="150"/>
    </row>
    <row r="4" spans="1:5" ht="17.25" x14ac:dyDescent="0.3">
      <c r="A4" s="151" t="s">
        <v>572</v>
      </c>
      <c r="B4" s="152">
        <f>Ienemumi!AL94</f>
        <v>92745915</v>
      </c>
      <c r="C4" s="153" t="s">
        <v>465</v>
      </c>
      <c r="D4" s="345">
        <f>Ienemumi!AK150</f>
        <v>0</v>
      </c>
      <c r="E4" s="346" t="s">
        <v>465</v>
      </c>
    </row>
    <row r="5" spans="1:5" ht="17.25" x14ac:dyDescent="0.3">
      <c r="A5" s="151" t="s">
        <v>573</v>
      </c>
      <c r="B5" s="157">
        <f>Izdevumi!E269-D5</f>
        <v>105021381</v>
      </c>
      <c r="C5" s="153" t="s">
        <v>465</v>
      </c>
      <c r="D5" s="152">
        <f>Izdevumi!BI326</f>
        <v>569</v>
      </c>
      <c r="E5" s="153" t="s">
        <v>465</v>
      </c>
    </row>
    <row r="6" spans="1:5" ht="17.25" x14ac:dyDescent="0.3">
      <c r="A6" s="151"/>
      <c r="B6" s="152"/>
      <c r="C6" s="153"/>
      <c r="D6" s="152"/>
      <c r="E6" s="153"/>
    </row>
    <row r="7" spans="1:5" ht="17.25" x14ac:dyDescent="0.3">
      <c r="A7" s="156" t="s">
        <v>463</v>
      </c>
      <c r="B7" s="152">
        <f>B4-B5</f>
        <v>-12275466</v>
      </c>
      <c r="C7" s="153" t="s">
        <v>465</v>
      </c>
      <c r="D7" s="152">
        <f>D4-D5</f>
        <v>-569</v>
      </c>
      <c r="E7" s="153" t="s">
        <v>465</v>
      </c>
    </row>
    <row r="8" spans="1:5" ht="17.25" x14ac:dyDescent="0.3">
      <c r="A8" s="151" t="s">
        <v>464</v>
      </c>
      <c r="B8" s="152">
        <f>B9-B10+B11-B12-B13</f>
        <v>12275466</v>
      </c>
      <c r="C8" s="153" t="s">
        <v>465</v>
      </c>
      <c r="D8" s="152">
        <f>D9-D10+D11-D12-D13</f>
        <v>569</v>
      </c>
      <c r="E8" s="153" t="s">
        <v>465</v>
      </c>
    </row>
    <row r="9" spans="1:5" x14ac:dyDescent="0.25">
      <c r="A9" s="148" t="s">
        <v>466</v>
      </c>
      <c r="B9" s="154">
        <f>Ienemumi!AL96</f>
        <v>13029650</v>
      </c>
      <c r="C9" s="155" t="s">
        <v>465</v>
      </c>
      <c r="D9" s="154">
        <f>Ienemumi!AL154</f>
        <v>569</v>
      </c>
      <c r="E9" s="155" t="s">
        <v>465</v>
      </c>
    </row>
    <row r="10" spans="1:5" x14ac:dyDescent="0.25">
      <c r="A10" s="148" t="s">
        <v>467</v>
      </c>
      <c r="B10" s="154">
        <f>Izdevumi!E270</f>
        <v>3199180</v>
      </c>
      <c r="C10" s="155" t="s">
        <v>465</v>
      </c>
      <c r="D10" s="174">
        <v>0</v>
      </c>
      <c r="E10" s="175" t="s">
        <v>465</v>
      </c>
    </row>
    <row r="11" spans="1:5" x14ac:dyDescent="0.25">
      <c r="A11" s="148" t="s">
        <v>468</v>
      </c>
      <c r="B11" s="154">
        <f>Ienemumi!AL126</f>
        <v>8290935</v>
      </c>
      <c r="C11" s="155" t="s">
        <v>465</v>
      </c>
      <c r="D11" s="154"/>
    </row>
    <row r="12" spans="1:5" x14ac:dyDescent="0.25">
      <c r="A12" s="148" t="s">
        <v>469</v>
      </c>
      <c r="B12" s="154">
        <f>Izdevumi!E300</f>
        <v>5283045</v>
      </c>
      <c r="C12" s="155" t="s">
        <v>465</v>
      </c>
      <c r="D12" s="154"/>
    </row>
    <row r="13" spans="1:5" x14ac:dyDescent="0.25">
      <c r="A13" s="148" t="s">
        <v>470</v>
      </c>
      <c r="B13" s="173">
        <f>Izdevumi!E320+Izdevumi!E323</f>
        <v>562894</v>
      </c>
      <c r="C13" s="155" t="s">
        <v>465</v>
      </c>
      <c r="D13" s="154"/>
    </row>
  </sheetData>
  <mergeCells count="2">
    <mergeCell ref="B2:C2"/>
    <mergeCell ref="D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Izdevumi</vt:lpstr>
      <vt:lpstr>Ienemumi</vt:lpstr>
      <vt:lpstr>Kopa_ien-izd</vt:lpstr>
      <vt:lpstr>'Kopa_ien-izd'!Print_Area</vt:lpstr>
      <vt:lpstr>Ienemumi!Print_Titles</vt:lpstr>
      <vt:lpstr>Izdevumi!Print_Titles</vt:lpstr>
    </vt:vector>
  </TitlesOfParts>
  <Company>Jurmalas Pilsetas Dome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G.Anškēvics</dc:creator>
  <cp:lastModifiedBy>Arnita Liepiņa</cp:lastModifiedBy>
  <cp:lastPrinted>2019-12-20T07:07:46Z</cp:lastPrinted>
  <dcterms:created xsi:type="dcterms:W3CDTF">2006-10-31T12:58:11Z</dcterms:created>
  <dcterms:modified xsi:type="dcterms:W3CDTF">2019-12-20T07:08:14Z</dcterms:modified>
</cp:coreProperties>
</file>