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lemumi_s\Budzets_2020\"/>
    </mc:Choice>
  </mc:AlternateContent>
  <bookViews>
    <workbookView xWindow="0" yWindow="0" windowWidth="28800" windowHeight="11835"/>
  </bookViews>
  <sheets>
    <sheet name="3" sheetId="1" r:id="rId1"/>
    <sheet name="4" sheetId="40" r:id="rId2"/>
    <sheet name="5" sheetId="3" r:id="rId3"/>
    <sheet name="6" sheetId="4" r:id="rId4"/>
    <sheet name="7" sheetId="5" r:id="rId5"/>
    <sheet name="8" sheetId="6" r:id="rId6"/>
    <sheet name="9" sheetId="7" r:id="rId7"/>
    <sheet name="10" sheetId="38" r:id="rId8"/>
    <sheet name="11" sheetId="33" r:id="rId9"/>
    <sheet name="12" sheetId="10" r:id="rId10"/>
    <sheet name="13" sheetId="11" r:id="rId11"/>
    <sheet name="14" sheetId="12" r:id="rId12"/>
    <sheet name="15" sheetId="13" r:id="rId13"/>
    <sheet name="16" sheetId="39" r:id="rId14"/>
    <sheet name="17" sheetId="15" r:id="rId15"/>
    <sheet name="18" sheetId="16" r:id="rId16"/>
    <sheet name="19" sheetId="17" r:id="rId17"/>
    <sheet name="20" sheetId="41" r:id="rId18"/>
    <sheet name="21" sheetId="34" r:id="rId19"/>
    <sheet name="22" sheetId="20" r:id="rId20"/>
    <sheet name="23" sheetId="21" r:id="rId21"/>
    <sheet name="24" sheetId="22" r:id="rId22"/>
    <sheet name="25" sheetId="23" r:id="rId23"/>
    <sheet name="26" sheetId="30" r:id="rId24"/>
    <sheet name="27" sheetId="31" r:id="rId25"/>
    <sheet name="28" sheetId="32" r:id="rId26"/>
    <sheet name="29" sheetId="25" r:id="rId27"/>
    <sheet name="30" sheetId="35" r:id="rId28"/>
    <sheet name="31" sheetId="27" r:id="rId29"/>
    <sheet name="32" sheetId="28" r:id="rId30"/>
    <sheet name="33" sheetId="29" r:id="rId31"/>
    <sheet name="34" sheetId="36" r:id="rId32"/>
    <sheet name="35" sheetId="18" r:id="rId33"/>
  </sheets>
  <definedNames>
    <definedName name="_xlnm._FilterDatabase" localSheetId="22" hidden="1">'25'!$A$46:$J$99</definedName>
    <definedName name="_xlnm._FilterDatabase" localSheetId="23" hidden="1">'26'!$C$10:$K$258</definedName>
    <definedName name="_xlnm._FilterDatabase" localSheetId="24" hidden="1">'27'!$A$4:$N$212</definedName>
    <definedName name="_xlnm._FilterDatabase" localSheetId="25" hidden="1">'28'!$A$8:$J$312</definedName>
    <definedName name="_xlnm._FilterDatabase" localSheetId="0" hidden="1">'3'!$A$8:$S$41</definedName>
    <definedName name="_xlnm.Print_Area" localSheetId="17">'20'!$A$1:$R$93</definedName>
    <definedName name="_xlnm.Print_Area" localSheetId="31">'34'!$A$6:$J$69</definedName>
    <definedName name="_xlnm.Print_Titles" localSheetId="17">'20'!$5:$5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6" l="1"/>
  <c r="K42" i="6" l="1"/>
  <c r="P96" i="41" l="1"/>
  <c r="O96" i="41"/>
  <c r="N96" i="41"/>
  <c r="M96" i="41"/>
  <c r="L96" i="41"/>
  <c r="K96" i="41"/>
  <c r="J96" i="41"/>
  <c r="I96" i="41"/>
  <c r="H96" i="41"/>
  <c r="G96" i="41"/>
  <c r="F96" i="41"/>
  <c r="E96" i="41"/>
  <c r="D96" i="41"/>
  <c r="P95" i="41"/>
  <c r="O95" i="41"/>
  <c r="N95" i="41"/>
  <c r="M95" i="41"/>
  <c r="L95" i="41"/>
  <c r="K95" i="41"/>
  <c r="J95" i="41"/>
  <c r="I95" i="41"/>
  <c r="H95" i="41"/>
  <c r="G95" i="41"/>
  <c r="R91" i="41"/>
  <c r="R90" i="41"/>
  <c r="R83" i="41"/>
  <c r="R96" i="41" s="1"/>
  <c r="R82" i="41"/>
  <c r="R9" i="41" s="1"/>
  <c r="A78" i="41"/>
  <c r="A76" i="41"/>
  <c r="F70" i="41"/>
  <c r="A70" i="41"/>
  <c r="E64" i="41"/>
  <c r="A64" i="41"/>
  <c r="F52" i="41"/>
  <c r="F95" i="41" s="1"/>
  <c r="E52" i="41"/>
  <c r="E95" i="41" s="1"/>
  <c r="D52" i="41"/>
  <c r="D95" i="41" s="1"/>
  <c r="A52" i="41"/>
  <c r="Q43" i="41"/>
  <c r="Q96" i="41" s="1"/>
  <c r="Q42" i="41"/>
  <c r="Q9" i="41" s="1"/>
  <c r="R36" i="41"/>
  <c r="R35" i="41"/>
  <c r="Q35" i="41"/>
  <c r="P35" i="41"/>
  <c r="O35" i="41"/>
  <c r="N35" i="41"/>
  <c r="M35" i="41"/>
  <c r="L35" i="41"/>
  <c r="K35" i="41"/>
  <c r="J35" i="41"/>
  <c r="I35" i="41"/>
  <c r="H35" i="41"/>
  <c r="G35" i="41"/>
  <c r="F35" i="41"/>
  <c r="A35" i="41"/>
  <c r="P33" i="41"/>
  <c r="O33" i="41"/>
  <c r="N33" i="41"/>
  <c r="M33" i="41"/>
  <c r="L33" i="41"/>
  <c r="K33" i="41"/>
  <c r="J33" i="41"/>
  <c r="I33" i="41"/>
  <c r="H33" i="41"/>
  <c r="G33" i="41"/>
  <c r="H34" i="41" s="1"/>
  <c r="A33" i="41"/>
  <c r="D34" i="41" s="1"/>
  <c r="E34" i="41" s="1"/>
  <c r="F34" i="41" s="1"/>
  <c r="R32" i="41"/>
  <c r="Q32" i="41"/>
  <c r="P32" i="41"/>
  <c r="O32" i="41"/>
  <c r="N32" i="41"/>
  <c r="M32" i="41"/>
  <c r="L32" i="41"/>
  <c r="K32" i="41"/>
  <c r="J32" i="41"/>
  <c r="I32" i="41"/>
  <c r="H32" i="41"/>
  <c r="G32" i="41"/>
  <c r="F32" i="41"/>
  <c r="R31" i="41"/>
  <c r="O29" i="41"/>
  <c r="N29" i="41"/>
  <c r="M29" i="41"/>
  <c r="L29" i="41"/>
  <c r="K29" i="41"/>
  <c r="J29" i="41"/>
  <c r="I29" i="41"/>
  <c r="H29" i="41"/>
  <c r="G29" i="41"/>
  <c r="L30" i="41" s="1"/>
  <c r="F29" i="41"/>
  <c r="A29" i="41"/>
  <c r="P28" i="41"/>
  <c r="L28" i="41"/>
  <c r="A27" i="41"/>
  <c r="O28" i="41" s="1"/>
  <c r="F26" i="41"/>
  <c r="D26" i="41"/>
  <c r="E26" i="41" s="1"/>
  <c r="N25" i="41"/>
  <c r="M25" i="41"/>
  <c r="L25" i="41"/>
  <c r="K25" i="41"/>
  <c r="J25" i="41"/>
  <c r="I25" i="41"/>
  <c r="H25" i="41"/>
  <c r="G25" i="41"/>
  <c r="F25" i="41"/>
  <c r="R26" i="41" s="1"/>
  <c r="A23" i="41"/>
  <c r="K24" i="41" s="1"/>
  <c r="F22" i="41"/>
  <c r="G22" i="41" s="1"/>
  <c r="Q21" i="41"/>
  <c r="P21" i="41"/>
  <c r="O21" i="41"/>
  <c r="N21" i="41"/>
  <c r="M21" i="41"/>
  <c r="L21" i="41"/>
  <c r="K21" i="41"/>
  <c r="J21" i="41"/>
  <c r="N22" i="41" s="1"/>
  <c r="I21" i="41"/>
  <c r="H21" i="41"/>
  <c r="A21" i="41"/>
  <c r="O19" i="41"/>
  <c r="N19" i="41"/>
  <c r="M19" i="41"/>
  <c r="L19" i="41"/>
  <c r="K19" i="41"/>
  <c r="J19" i="41"/>
  <c r="I19" i="41"/>
  <c r="H19" i="41"/>
  <c r="G19" i="41"/>
  <c r="F19" i="41"/>
  <c r="A19" i="41"/>
  <c r="M20" i="41" s="1"/>
  <c r="P17" i="41"/>
  <c r="L17" i="41"/>
  <c r="K17" i="41"/>
  <c r="J17" i="41"/>
  <c r="I17" i="41"/>
  <c r="H17" i="41"/>
  <c r="G17" i="41"/>
  <c r="A17" i="41"/>
  <c r="R16" i="41"/>
  <c r="D16" i="41"/>
  <c r="E16" i="41" s="1"/>
  <c r="R15" i="41"/>
  <c r="P15" i="41"/>
  <c r="O15" i="41"/>
  <c r="N15" i="41"/>
  <c r="M15" i="41"/>
  <c r="L15" i="41"/>
  <c r="K15" i="41"/>
  <c r="J15" i="41"/>
  <c r="I15" i="41"/>
  <c r="H15" i="41"/>
  <c r="G15" i="41"/>
  <c r="F15" i="41"/>
  <c r="Q16" i="41" s="1"/>
  <c r="A15" i="41"/>
  <c r="R13" i="41"/>
  <c r="Q13" i="41"/>
  <c r="P13" i="41"/>
  <c r="O13" i="41"/>
  <c r="N13" i="41"/>
  <c r="M13" i="41"/>
  <c r="L13" i="41"/>
  <c r="K13" i="41"/>
  <c r="J13" i="41"/>
  <c r="I13" i="41"/>
  <c r="H13" i="41"/>
  <c r="G13" i="41"/>
  <c r="F13" i="41"/>
  <c r="E13" i="41"/>
  <c r="D13" i="41"/>
  <c r="P9" i="41"/>
  <c r="P10" i="41" s="1"/>
  <c r="O9" i="41"/>
  <c r="N9" i="41"/>
  <c r="N10" i="41" s="1"/>
  <c r="M9" i="41"/>
  <c r="M10" i="41" s="1"/>
  <c r="L9" i="41"/>
  <c r="L10" i="41" s="1"/>
  <c r="K9" i="41"/>
  <c r="K10" i="41" s="1"/>
  <c r="J9" i="41"/>
  <c r="J10" i="41" s="1"/>
  <c r="I9" i="41"/>
  <c r="I10" i="41" s="1"/>
  <c r="H9" i="41"/>
  <c r="H10" i="41" s="1"/>
  <c r="G9" i="41"/>
  <c r="G10" i="41" s="1"/>
  <c r="F9" i="41"/>
  <c r="F10" i="41" s="1"/>
  <c r="D9" i="41"/>
  <c r="D10" i="41" s="1"/>
  <c r="G20" i="41" l="1"/>
  <c r="R11" i="41"/>
  <c r="Q10" i="41"/>
  <c r="N18" i="41"/>
  <c r="N20" i="41"/>
  <c r="P22" i="41"/>
  <c r="I22" i="41"/>
  <c r="I30" i="41"/>
  <c r="P34" i="41"/>
  <c r="N36" i="41"/>
  <c r="O10" i="41"/>
  <c r="K18" i="41"/>
  <c r="O20" i="41"/>
  <c r="J22" i="41"/>
  <c r="O30" i="41"/>
  <c r="M34" i="41"/>
  <c r="P16" i="41"/>
  <c r="M18" i="41"/>
  <c r="G18" i="41"/>
  <c r="F20" i="41"/>
  <c r="Q22" i="41"/>
  <c r="O34" i="41"/>
  <c r="G34" i="41"/>
  <c r="R6" i="41"/>
  <c r="R93" i="41"/>
  <c r="I16" i="41"/>
  <c r="O18" i="41"/>
  <c r="K20" i="41"/>
  <c r="M30" i="41"/>
  <c r="G36" i="41"/>
  <c r="K36" i="41"/>
  <c r="Q95" i="41"/>
  <c r="R14" i="41"/>
  <c r="F16" i="41"/>
  <c r="J16" i="41"/>
  <c r="O16" i="41"/>
  <c r="D18" i="41"/>
  <c r="H18" i="41"/>
  <c r="L18" i="41"/>
  <c r="P18" i="41"/>
  <c r="D20" i="41"/>
  <c r="E20" i="41" s="1"/>
  <c r="H20" i="41"/>
  <c r="L20" i="41"/>
  <c r="K22" i="41"/>
  <c r="O22" i="41"/>
  <c r="E24" i="41"/>
  <c r="F24" i="41" s="1"/>
  <c r="I24" i="41"/>
  <c r="H26" i="41"/>
  <c r="L26" i="41"/>
  <c r="P26" i="41"/>
  <c r="E28" i="41"/>
  <c r="F28" i="41" s="1"/>
  <c r="I28" i="41"/>
  <c r="M28" i="41"/>
  <c r="F30" i="41"/>
  <c r="E30" i="41" s="1"/>
  <c r="J30" i="41"/>
  <c r="N30" i="41"/>
  <c r="I34" i="41"/>
  <c r="N34" i="41"/>
  <c r="H36" i="41"/>
  <c r="L36" i="41"/>
  <c r="P36" i="41"/>
  <c r="R95" i="41"/>
  <c r="H24" i="41"/>
  <c r="O36" i="41"/>
  <c r="E9" i="41"/>
  <c r="E10" i="41" s="1"/>
  <c r="A14" i="41"/>
  <c r="G16" i="41"/>
  <c r="L16" i="41"/>
  <c r="I18" i="41"/>
  <c r="I20" i="41"/>
  <c r="H22" i="41"/>
  <c r="L22" i="41"/>
  <c r="J24" i="41"/>
  <c r="I26" i="41"/>
  <c r="M26" i="41"/>
  <c r="Q26" i="41"/>
  <c r="Q11" i="41" s="1"/>
  <c r="Q12" i="41" s="1"/>
  <c r="J28" i="41"/>
  <c r="N28" i="41"/>
  <c r="G30" i="41"/>
  <c r="K30" i="41"/>
  <c r="J34" i="41"/>
  <c r="E36" i="41"/>
  <c r="I36" i="41"/>
  <c r="M36" i="41"/>
  <c r="Q36" i="41"/>
  <c r="N16" i="41"/>
  <c r="G26" i="41"/>
  <c r="K26" i="41"/>
  <c r="O26" i="41"/>
  <c r="O14" i="41" s="1"/>
  <c r="H28" i="41"/>
  <c r="H16" i="41"/>
  <c r="M16" i="41"/>
  <c r="J18" i="41"/>
  <c r="J20" i="41"/>
  <c r="M22" i="41"/>
  <c r="G24" i="41"/>
  <c r="J26" i="41"/>
  <c r="N26" i="41"/>
  <c r="G28" i="41"/>
  <c r="K28" i="41"/>
  <c r="H30" i="41"/>
  <c r="L34" i="41"/>
  <c r="F36" i="41"/>
  <c r="J36" i="41"/>
  <c r="F128" i="40"/>
  <c r="D128" i="40"/>
  <c r="D127" i="40"/>
  <c r="F126" i="40"/>
  <c r="F125" i="40" s="1"/>
  <c r="D126" i="40"/>
  <c r="H125" i="40"/>
  <c r="E125" i="40"/>
  <c r="F124" i="40"/>
  <c r="D124" i="40"/>
  <c r="D123" i="40"/>
  <c r="F122" i="40"/>
  <c r="D122" i="40"/>
  <c r="H121" i="40"/>
  <c r="E121" i="40"/>
  <c r="F120" i="40"/>
  <c r="D120" i="40"/>
  <c r="D119" i="40"/>
  <c r="F118" i="40"/>
  <c r="D118" i="40"/>
  <c r="H117" i="40"/>
  <c r="E117" i="40"/>
  <c r="E111" i="40"/>
  <c r="E110" i="40" s="1"/>
  <c r="H110" i="40"/>
  <c r="F110" i="40"/>
  <c r="D110" i="40"/>
  <c r="H109" i="40"/>
  <c r="F109" i="40"/>
  <c r="E109" i="40"/>
  <c r="D109" i="40"/>
  <c r="D108" i="40" s="1"/>
  <c r="F107" i="40"/>
  <c r="F106" i="40"/>
  <c r="F105" i="40"/>
  <c r="H104" i="40"/>
  <c r="E104" i="40"/>
  <c r="D104" i="40"/>
  <c r="H94" i="40"/>
  <c r="F94" i="40"/>
  <c r="E94" i="40"/>
  <c r="D94" i="40"/>
  <c r="H92" i="40"/>
  <c r="F92" i="40"/>
  <c r="E92" i="40"/>
  <c r="D92" i="40"/>
  <c r="H85" i="40"/>
  <c r="F85" i="40"/>
  <c r="E85" i="40"/>
  <c r="D85" i="40"/>
  <c r="D77" i="40"/>
  <c r="D75" i="40" s="1"/>
  <c r="H75" i="40"/>
  <c r="F75" i="40"/>
  <c r="E75" i="40"/>
  <c r="E72" i="40"/>
  <c r="D72" i="40"/>
  <c r="H71" i="40"/>
  <c r="F71" i="40"/>
  <c r="E71" i="40"/>
  <c r="D71" i="40"/>
  <c r="F65" i="40"/>
  <c r="D63" i="40"/>
  <c r="F63" i="40" s="1"/>
  <c r="H62" i="40"/>
  <c r="E62" i="40"/>
  <c r="F60" i="40"/>
  <c r="F58" i="40" s="1"/>
  <c r="F57" i="40" s="1"/>
  <c r="D59" i="40"/>
  <c r="D58" i="40" s="1"/>
  <c r="D57" i="40" s="1"/>
  <c r="H58" i="40"/>
  <c r="H57" i="40" s="1"/>
  <c r="H56" i="40" s="1"/>
  <c r="E58" i="40"/>
  <c r="E57" i="40" s="1"/>
  <c r="D50" i="40"/>
  <c r="D49" i="40"/>
  <c r="H48" i="40"/>
  <c r="H47" i="40" s="1"/>
  <c r="F48" i="40"/>
  <c r="F47" i="40" s="1"/>
  <c r="E48" i="40"/>
  <c r="E47" i="40" s="1"/>
  <c r="H37" i="40"/>
  <c r="F37" i="40"/>
  <c r="F36" i="40" s="1"/>
  <c r="E37" i="40"/>
  <c r="E36" i="40" s="1"/>
  <c r="D37" i="40"/>
  <c r="D36" i="40" s="1"/>
  <c r="H36" i="40"/>
  <c r="D29" i="40"/>
  <c r="D27" i="40" s="1"/>
  <c r="H27" i="40"/>
  <c r="F27" i="40"/>
  <c r="E27" i="40"/>
  <c r="D25" i="40"/>
  <c r="D24" i="40"/>
  <c r="H23" i="40"/>
  <c r="F23" i="40"/>
  <c r="F22" i="40" s="1"/>
  <c r="E23" i="40"/>
  <c r="F16" i="40"/>
  <c r="F14" i="40" s="1"/>
  <c r="F9" i="40" s="1"/>
  <c r="D15" i="40"/>
  <c r="D14" i="40" s="1"/>
  <c r="H14" i="40"/>
  <c r="H9" i="40" s="1"/>
  <c r="E14" i="40"/>
  <c r="E9" i="40" s="1"/>
  <c r="D12" i="40"/>
  <c r="K14" i="41" l="1"/>
  <c r="P6" i="41"/>
  <c r="P7" i="41" s="1"/>
  <c r="O11" i="41"/>
  <c r="O12" i="41" s="1"/>
  <c r="E108" i="40"/>
  <c r="F117" i="40"/>
  <c r="D125" i="40"/>
  <c r="N93" i="41"/>
  <c r="O6" i="41"/>
  <c r="O7" i="41" s="1"/>
  <c r="G93" i="41"/>
  <c r="I93" i="41"/>
  <c r="D9" i="40"/>
  <c r="G14" i="41"/>
  <c r="F62" i="40"/>
  <c r="F108" i="40"/>
  <c r="H108" i="40"/>
  <c r="H103" i="40" s="1"/>
  <c r="D48" i="40"/>
  <c r="D47" i="40" s="1"/>
  <c r="F70" i="40"/>
  <c r="D70" i="40"/>
  <c r="E103" i="40"/>
  <c r="D117" i="40"/>
  <c r="F121" i="40"/>
  <c r="H22" i="40"/>
  <c r="E70" i="40"/>
  <c r="E129" i="40" s="1"/>
  <c r="F56" i="40"/>
  <c r="E22" i="40"/>
  <c r="D23" i="40"/>
  <c r="D22" i="40" s="1"/>
  <c r="D62" i="40"/>
  <c r="D56" i="40" s="1"/>
  <c r="H70" i="40"/>
  <c r="E56" i="40"/>
  <c r="F104" i="40"/>
  <c r="F103" i="40" s="1"/>
  <c r="F129" i="40" s="1"/>
  <c r="D121" i="40"/>
  <c r="M11" i="41"/>
  <c r="M12" i="41" s="1"/>
  <c r="M6" i="41"/>
  <c r="M7" i="41" s="1"/>
  <c r="M14" i="41"/>
  <c r="G6" i="41"/>
  <c r="G7" i="41" s="1"/>
  <c r="L14" i="41"/>
  <c r="L11" i="41"/>
  <c r="L12" i="41" s="1"/>
  <c r="L93" i="41"/>
  <c r="L6" i="41"/>
  <c r="L7" i="41" s="1"/>
  <c r="N14" i="41"/>
  <c r="K11" i="41"/>
  <c r="K12" i="41" s="1"/>
  <c r="P14" i="41"/>
  <c r="Q6" i="41"/>
  <c r="Q7" i="41" s="1"/>
  <c r="H14" i="41"/>
  <c r="H11" i="41"/>
  <c r="H12" i="41" s="1"/>
  <c r="H93" i="41"/>
  <c r="H6" i="41"/>
  <c r="H7" i="41" s="1"/>
  <c r="N6" i="41"/>
  <c r="N7" i="41" s="1"/>
  <c r="N11" i="41"/>
  <c r="N12" i="41" s="1"/>
  <c r="J6" i="41"/>
  <c r="J7" i="41" s="1"/>
  <c r="J11" i="41"/>
  <c r="J12" i="41" s="1"/>
  <c r="J14" i="41"/>
  <c r="G11" i="41"/>
  <c r="G12" i="41" s="1"/>
  <c r="I11" i="41"/>
  <c r="I12" i="41" s="1"/>
  <c r="I14" i="41"/>
  <c r="I6" i="41"/>
  <c r="I7" i="41" s="1"/>
  <c r="P93" i="41"/>
  <c r="Q93" i="41"/>
  <c r="O93" i="41"/>
  <c r="P11" i="41"/>
  <c r="P12" i="41" s="1"/>
  <c r="Q14" i="41"/>
  <c r="K93" i="41"/>
  <c r="K6" i="41"/>
  <c r="K7" i="41" s="1"/>
  <c r="D14" i="41"/>
  <c r="D6" i="41"/>
  <c r="D7" i="41" s="1"/>
  <c r="E18" i="41"/>
  <c r="D11" i="41"/>
  <c r="D12" i="41" s="1"/>
  <c r="D93" i="41"/>
  <c r="M93" i="41"/>
  <c r="J93" i="41"/>
  <c r="H101" i="39"/>
  <c r="H100" i="39" s="1"/>
  <c r="F100" i="39"/>
  <c r="E100" i="39"/>
  <c r="D100" i="39"/>
  <c r="H93" i="39"/>
  <c r="F93" i="39"/>
  <c r="E93" i="39"/>
  <c r="D93" i="39"/>
  <c r="H82" i="39"/>
  <c r="F82" i="39"/>
  <c r="E82" i="39"/>
  <c r="D82" i="39"/>
  <c r="H71" i="39"/>
  <c r="F71" i="39"/>
  <c r="E71" i="39"/>
  <c r="D71" i="39"/>
  <c r="H69" i="39"/>
  <c r="F69" i="39"/>
  <c r="E69" i="39"/>
  <c r="D69" i="39"/>
  <c r="H68" i="39"/>
  <c r="F68" i="39"/>
  <c r="E68" i="39"/>
  <c r="D68" i="39"/>
  <c r="H63" i="39"/>
  <c r="F63" i="39"/>
  <c r="E63" i="39"/>
  <c r="D63" i="39"/>
  <c r="H57" i="39"/>
  <c r="F57" i="39"/>
  <c r="E57" i="39"/>
  <c r="E54" i="39" s="1"/>
  <c r="D57" i="39"/>
  <c r="D54" i="39" s="1"/>
  <c r="H54" i="39"/>
  <c r="F54" i="39"/>
  <c r="H44" i="39"/>
  <c r="F44" i="39"/>
  <c r="E44" i="39"/>
  <c r="E32" i="39" s="1"/>
  <c r="D44" i="39"/>
  <c r="H43" i="39"/>
  <c r="H36" i="39"/>
  <c r="F36" i="39"/>
  <c r="E36" i="39"/>
  <c r="D36" i="39"/>
  <c r="H34" i="39"/>
  <c r="F34" i="39"/>
  <c r="F32" i="39" s="1"/>
  <c r="E34" i="39"/>
  <c r="D34" i="39"/>
  <c r="D32" i="39" s="1"/>
  <c r="H30" i="39"/>
  <c r="F30" i="39"/>
  <c r="E30" i="39"/>
  <c r="D30" i="39"/>
  <c r="H24" i="39"/>
  <c r="F24" i="39"/>
  <c r="E24" i="39"/>
  <c r="D24" i="39"/>
  <c r="H22" i="39"/>
  <c r="H11" i="39" s="1"/>
  <c r="F22" i="39"/>
  <c r="H18" i="39"/>
  <c r="F18" i="39"/>
  <c r="E18" i="39"/>
  <c r="D18" i="39"/>
  <c r="H13" i="39"/>
  <c r="F13" i="39"/>
  <c r="F11" i="39" s="1"/>
  <c r="E13" i="39"/>
  <c r="D13" i="39"/>
  <c r="D103" i="40" l="1"/>
  <c r="E11" i="39"/>
  <c r="E10" i="39" s="1"/>
  <c r="E103" i="39" s="1"/>
  <c r="H129" i="40"/>
  <c r="D129" i="40"/>
  <c r="F18" i="41"/>
  <c r="E14" i="41"/>
  <c r="E6" i="41"/>
  <c r="E7" i="41" s="1"/>
  <c r="E93" i="41"/>
  <c r="E11" i="41"/>
  <c r="E12" i="41" s="1"/>
  <c r="H32" i="39"/>
  <c r="H10" i="39" s="1"/>
  <c r="H88" i="39" s="1"/>
  <c r="F10" i="39"/>
  <c r="F103" i="39" s="1"/>
  <c r="D11" i="39"/>
  <c r="D10" i="39" s="1"/>
  <c r="D88" i="39" s="1"/>
  <c r="E88" i="39"/>
  <c r="F88" i="39" l="1"/>
  <c r="F93" i="41"/>
  <c r="F11" i="41"/>
  <c r="F12" i="41" s="1"/>
  <c r="F14" i="41"/>
  <c r="F6" i="41"/>
  <c r="F7" i="41" s="1"/>
  <c r="D103" i="39"/>
  <c r="H365" i="38"/>
  <c r="H361" i="38" s="1"/>
  <c r="F365" i="38"/>
  <c r="F361" i="38" s="1"/>
  <c r="E361" i="38"/>
  <c r="D361" i="38"/>
  <c r="H352" i="38"/>
  <c r="F352" i="38"/>
  <c r="H347" i="38"/>
  <c r="F347" i="38"/>
  <c r="H345" i="38"/>
  <c r="H344" i="38"/>
  <c r="F344" i="38"/>
  <c r="E343" i="38"/>
  <c r="D343" i="38"/>
  <c r="H333" i="38"/>
  <c r="F333" i="38"/>
  <c r="H330" i="38"/>
  <c r="F330" i="38"/>
  <c r="H324" i="38"/>
  <c r="F324" i="38"/>
  <c r="H318" i="38"/>
  <c r="F318" i="38"/>
  <c r="H310" i="38"/>
  <c r="F310" i="38"/>
  <c r="H307" i="38"/>
  <c r="F307" i="38"/>
  <c r="H302" i="38"/>
  <c r="F302" i="38"/>
  <c r="H295" i="38"/>
  <c r="F295" i="38"/>
  <c r="H288" i="38"/>
  <c r="F288" i="38"/>
  <c r="H280" i="38"/>
  <c r="F280" i="38"/>
  <c r="H277" i="38"/>
  <c r="F277" i="38"/>
  <c r="H273" i="38"/>
  <c r="F273" i="38"/>
  <c r="H272" i="38"/>
  <c r="E270" i="38"/>
  <c r="D270" i="38"/>
  <c r="H256" i="38"/>
  <c r="F256" i="38"/>
  <c r="H253" i="38"/>
  <c r="F253" i="38"/>
  <c r="H249" i="38"/>
  <c r="F249" i="38"/>
  <c r="H246" i="38"/>
  <c r="F246" i="38"/>
  <c r="H242" i="38"/>
  <c r="F242" i="38"/>
  <c r="H237" i="38"/>
  <c r="F237" i="38"/>
  <c r="H233" i="38"/>
  <c r="F233" i="38"/>
  <c r="H230" i="38"/>
  <c r="F230" i="38"/>
  <c r="H228" i="38"/>
  <c r="F228" i="38"/>
  <c r="E225" i="38"/>
  <c r="D225" i="38"/>
  <c r="H207" i="38"/>
  <c r="H204" i="38" s="1"/>
  <c r="H203" i="38" s="1"/>
  <c r="F204" i="38"/>
  <c r="F203" i="38" s="1"/>
  <c r="E203" i="38"/>
  <c r="D203" i="38"/>
  <c r="H190" i="38"/>
  <c r="H186" i="38" s="1"/>
  <c r="H185" i="38" s="1"/>
  <c r="F186" i="38"/>
  <c r="F185" i="38" s="1"/>
  <c r="E185" i="38"/>
  <c r="D185" i="38"/>
  <c r="F172" i="38"/>
  <c r="F169" i="38" s="1"/>
  <c r="H169" i="38"/>
  <c r="E169" i="38"/>
  <c r="D169" i="38"/>
  <c r="H150" i="38"/>
  <c r="F150" i="38"/>
  <c r="H147" i="38"/>
  <c r="F147" i="38"/>
  <c r="H144" i="38"/>
  <c r="F144" i="38"/>
  <c r="H140" i="38"/>
  <c r="F140" i="38"/>
  <c r="E139" i="38"/>
  <c r="D139" i="38"/>
  <c r="H118" i="38"/>
  <c r="F118" i="38"/>
  <c r="H96" i="38"/>
  <c r="F96" i="38"/>
  <c r="H93" i="38"/>
  <c r="F93" i="38"/>
  <c r="H90" i="38"/>
  <c r="F90" i="38"/>
  <c r="H76" i="38"/>
  <c r="F76" i="38"/>
  <c r="H71" i="38"/>
  <c r="F71" i="38"/>
  <c r="H67" i="38"/>
  <c r="F67" i="38"/>
  <c r="H59" i="38"/>
  <c r="F59" i="38"/>
  <c r="H56" i="38"/>
  <c r="F56" i="38"/>
  <c r="E55" i="38"/>
  <c r="D55" i="38"/>
  <c r="H46" i="38"/>
  <c r="F46" i="38"/>
  <c r="E46" i="38"/>
  <c r="D46" i="38"/>
  <c r="H45" i="38"/>
  <c r="F45" i="38"/>
  <c r="E45" i="38"/>
  <c r="D45" i="38"/>
  <c r="H37" i="38"/>
  <c r="H36" i="38" s="1"/>
  <c r="F37" i="38"/>
  <c r="F36" i="38" s="1"/>
  <c r="E36" i="38"/>
  <c r="D36" i="38"/>
  <c r="H11" i="38"/>
  <c r="H10" i="38" s="1"/>
  <c r="F11" i="38"/>
  <c r="F10" i="38" s="1"/>
  <c r="E10" i="38"/>
  <c r="D10" i="38"/>
  <c r="H343" i="38" l="1"/>
  <c r="H270" i="38"/>
  <c r="H225" i="38"/>
  <c r="F270" i="38"/>
  <c r="F55" i="38"/>
  <c r="F139" i="38"/>
  <c r="H139" i="38"/>
  <c r="E374" i="38"/>
  <c r="H55" i="38"/>
  <c r="F225" i="38"/>
  <c r="D374" i="38"/>
  <c r="F343" i="38"/>
  <c r="H55" i="35"/>
  <c r="F55" i="35"/>
  <c r="E55" i="35"/>
  <c r="D55" i="35"/>
  <c r="H45" i="35"/>
  <c r="F45" i="35"/>
  <c r="E45" i="35"/>
  <c r="D45" i="35"/>
  <c r="H35" i="35"/>
  <c r="F35" i="35"/>
  <c r="E35" i="35"/>
  <c r="D35" i="35"/>
  <c r="H25" i="35"/>
  <c r="F25" i="35"/>
  <c r="E25" i="35"/>
  <c r="D25" i="35"/>
  <c r="H20" i="35"/>
  <c r="H17" i="35" s="1"/>
  <c r="F20" i="35"/>
  <c r="F17" i="35" s="1"/>
  <c r="E17" i="35"/>
  <c r="D17" i="35"/>
  <c r="H9" i="35"/>
  <c r="F9" i="35"/>
  <c r="E9" i="35"/>
  <c r="E61" i="35" s="1"/>
  <c r="D9" i="35"/>
  <c r="D61" i="35" s="1"/>
  <c r="H374" i="38" l="1"/>
  <c r="F374" i="38"/>
  <c r="F61" i="35"/>
  <c r="H61" i="35"/>
  <c r="H12" i="34"/>
  <c r="H9" i="34" s="1"/>
  <c r="H16" i="34" s="1"/>
  <c r="H11" i="34"/>
  <c r="F9" i="34"/>
  <c r="F16" i="34" s="1"/>
  <c r="E9" i="34"/>
  <c r="E16" i="34" s="1"/>
  <c r="D9" i="34"/>
  <c r="D16" i="34" s="1"/>
  <c r="H87" i="33"/>
  <c r="H86" i="33"/>
  <c r="F86" i="33"/>
  <c r="E86" i="33"/>
  <c r="D86" i="33"/>
  <c r="H68" i="33"/>
  <c r="F68" i="33"/>
  <c r="E68" i="33"/>
  <c r="D68" i="33"/>
  <c r="H44" i="33"/>
  <c r="H37" i="33" s="1"/>
  <c r="F37" i="33"/>
  <c r="E37" i="33"/>
  <c r="D37" i="33"/>
  <c r="H28" i="33"/>
  <c r="F28" i="33"/>
  <c r="E28" i="33"/>
  <c r="D28" i="33"/>
  <c r="H24" i="33"/>
  <c r="F24" i="33"/>
  <c r="F9" i="33" s="1"/>
  <c r="F90" i="33" s="1"/>
  <c r="E24" i="33"/>
  <c r="D24" i="33"/>
  <c r="H14" i="33"/>
  <c r="H13" i="33"/>
  <c r="H9" i="33" s="1"/>
  <c r="E9" i="33"/>
  <c r="D9" i="33"/>
  <c r="D90" i="33" s="1"/>
  <c r="E90" i="33" l="1"/>
  <c r="H90" i="33"/>
  <c r="M297" i="32" l="1"/>
  <c r="H293" i="32"/>
  <c r="F293" i="32"/>
  <c r="E293" i="32"/>
  <c r="D293" i="32"/>
  <c r="H289" i="32"/>
  <c r="F289" i="32"/>
  <c r="E289" i="32"/>
  <c r="D289" i="32"/>
  <c r="M288" i="32"/>
  <c r="H283" i="32"/>
  <c r="F283" i="32"/>
  <c r="E283" i="32"/>
  <c r="D283" i="32"/>
  <c r="H278" i="32"/>
  <c r="F278" i="32"/>
  <c r="F277" i="32" s="1"/>
  <c r="E278" i="32"/>
  <c r="D278" i="32"/>
  <c r="D277" i="32" s="1"/>
  <c r="D267" i="32" s="1"/>
  <c r="H277" i="32"/>
  <c r="H267" i="32" s="1"/>
  <c r="E277" i="32"/>
  <c r="H273" i="32"/>
  <c r="F273" i="32"/>
  <c r="E273" i="32"/>
  <c r="D273" i="32"/>
  <c r="H268" i="32"/>
  <c r="F268" i="32"/>
  <c r="E268" i="32"/>
  <c r="E267" i="32" s="1"/>
  <c r="D268" i="32"/>
  <c r="H263" i="32"/>
  <c r="F263" i="32"/>
  <c r="E263" i="32"/>
  <c r="D263" i="32"/>
  <c r="H257" i="32"/>
  <c r="F257" i="32"/>
  <c r="E257" i="32"/>
  <c r="D257" i="32"/>
  <c r="H255" i="32"/>
  <c r="F255" i="32"/>
  <c r="E255" i="32"/>
  <c r="D255" i="32"/>
  <c r="H254" i="32"/>
  <c r="F254" i="32"/>
  <c r="E254" i="32"/>
  <c r="H250" i="32"/>
  <c r="F250" i="32"/>
  <c r="E250" i="32"/>
  <c r="D250" i="32"/>
  <c r="H245" i="32"/>
  <c r="F245" i="32"/>
  <c r="E245" i="32"/>
  <c r="E244" i="32" s="1"/>
  <c r="D245" i="32"/>
  <c r="H244" i="32"/>
  <c r="H239" i="32"/>
  <c r="F239" i="32"/>
  <c r="F238" i="32" s="1"/>
  <c r="E239" i="32"/>
  <c r="E238" i="32" s="1"/>
  <c r="D239" i="32"/>
  <c r="H238" i="32"/>
  <c r="D238" i="32"/>
  <c r="H234" i="32"/>
  <c r="F234" i="32"/>
  <c r="E234" i="32"/>
  <c r="D234" i="32"/>
  <c r="H230" i="32"/>
  <c r="F230" i="32"/>
  <c r="E230" i="32"/>
  <c r="D230" i="32"/>
  <c r="D229" i="32" s="1"/>
  <c r="H229" i="32"/>
  <c r="H224" i="32"/>
  <c r="F224" i="32"/>
  <c r="E224" i="32"/>
  <c r="D224" i="32"/>
  <c r="H217" i="32"/>
  <c r="F217" i="32"/>
  <c r="E217" i="32"/>
  <c r="D217" i="32"/>
  <c r="H213" i="32"/>
  <c r="F213" i="32"/>
  <c r="E213" i="32"/>
  <c r="D213" i="32"/>
  <c r="H209" i="32"/>
  <c r="F209" i="32"/>
  <c r="E209" i="32"/>
  <c r="D209" i="32"/>
  <c r="H205" i="32"/>
  <c r="F205" i="32"/>
  <c r="E205" i="32"/>
  <c r="D205" i="32"/>
  <c r="D204" i="32" s="1"/>
  <c r="D193" i="32" s="1"/>
  <c r="H204" i="32"/>
  <c r="H193" i="32" s="1"/>
  <c r="E204" i="32"/>
  <c r="H199" i="32"/>
  <c r="F199" i="32"/>
  <c r="E199" i="32"/>
  <c r="D199" i="32"/>
  <c r="H194" i="32"/>
  <c r="F194" i="32"/>
  <c r="E194" i="32"/>
  <c r="D194" i="32"/>
  <c r="H188" i="32"/>
  <c r="F188" i="32"/>
  <c r="E188" i="32"/>
  <c r="D188" i="32"/>
  <c r="H183" i="32"/>
  <c r="F183" i="32"/>
  <c r="E183" i="32"/>
  <c r="D183" i="32"/>
  <c r="H180" i="32"/>
  <c r="F180" i="32"/>
  <c r="F179" i="32" s="1"/>
  <c r="F168" i="32" s="1"/>
  <c r="E180" i="32"/>
  <c r="E179" i="32" s="1"/>
  <c r="D180" i="32"/>
  <c r="D179" i="32" s="1"/>
  <c r="H174" i="32"/>
  <c r="F174" i="32"/>
  <c r="E174" i="32"/>
  <c r="D174" i="32"/>
  <c r="H169" i="32"/>
  <c r="F169" i="32"/>
  <c r="E169" i="32"/>
  <c r="D169" i="32"/>
  <c r="H162" i="32"/>
  <c r="F162" i="32"/>
  <c r="E162" i="32"/>
  <c r="D162" i="32"/>
  <c r="H160" i="32"/>
  <c r="F160" i="32"/>
  <c r="E160" i="32"/>
  <c r="D160" i="32"/>
  <c r="H159" i="32"/>
  <c r="F159" i="32"/>
  <c r="E159" i="32"/>
  <c r="D159" i="32"/>
  <c r="H155" i="32"/>
  <c r="F155" i="32"/>
  <c r="E155" i="32"/>
  <c r="D155" i="32"/>
  <c r="H151" i="32"/>
  <c r="H150" i="32" s="1"/>
  <c r="F151" i="32"/>
  <c r="E151" i="32"/>
  <c r="D151" i="32"/>
  <c r="F150" i="32"/>
  <c r="E150" i="32"/>
  <c r="D150" i="32"/>
  <c r="H148" i="32"/>
  <c r="H147" i="32" s="1"/>
  <c r="F148" i="32"/>
  <c r="F147" i="32" s="1"/>
  <c r="F132" i="32" s="1"/>
  <c r="E148" i="32"/>
  <c r="E147" i="32" s="1"/>
  <c r="D148" i="32"/>
  <c r="D147" i="32"/>
  <c r="H143" i="32"/>
  <c r="F143" i="32"/>
  <c r="E143" i="32"/>
  <c r="D143" i="32"/>
  <c r="H138" i="32"/>
  <c r="F138" i="32"/>
  <c r="E138" i="32"/>
  <c r="D138" i="32"/>
  <c r="H133" i="32"/>
  <c r="F133" i="32"/>
  <c r="E133" i="32"/>
  <c r="D133" i="32"/>
  <c r="D132" i="32" s="1"/>
  <c r="H127" i="32"/>
  <c r="F127" i="32"/>
  <c r="E127" i="32"/>
  <c r="D127" i="32"/>
  <c r="H123" i="32"/>
  <c r="F123" i="32"/>
  <c r="E123" i="32"/>
  <c r="E122" i="32" s="1"/>
  <c r="D123" i="32"/>
  <c r="H122" i="32"/>
  <c r="F122" i="32"/>
  <c r="D122" i="32"/>
  <c r="H115" i="32"/>
  <c r="F115" i="32"/>
  <c r="E115" i="32"/>
  <c r="D115" i="32"/>
  <c r="H110" i="32"/>
  <c r="F110" i="32"/>
  <c r="E110" i="32"/>
  <c r="D110" i="32"/>
  <c r="D109" i="32" s="1"/>
  <c r="H109" i="32"/>
  <c r="F109" i="32"/>
  <c r="H106" i="32"/>
  <c r="F106" i="32"/>
  <c r="E106" i="32"/>
  <c r="D106" i="32"/>
  <c r="H102" i="32"/>
  <c r="F102" i="32"/>
  <c r="E102" i="32"/>
  <c r="D102" i="32"/>
  <c r="H101" i="32"/>
  <c r="F101" i="32"/>
  <c r="E101" i="32"/>
  <c r="D101" i="32"/>
  <c r="H98" i="32"/>
  <c r="H97" i="32" s="1"/>
  <c r="F98" i="32"/>
  <c r="F97" i="32" s="1"/>
  <c r="E98" i="32"/>
  <c r="E97" i="32" s="1"/>
  <c r="D98" i="32"/>
  <c r="D97" i="32"/>
  <c r="H93" i="32"/>
  <c r="F93" i="32"/>
  <c r="E93" i="32"/>
  <c r="D93" i="32"/>
  <c r="H90" i="32"/>
  <c r="F90" i="32"/>
  <c r="E90" i="32"/>
  <c r="D90" i="32"/>
  <c r="H85" i="32"/>
  <c r="F85" i="32"/>
  <c r="E85" i="32"/>
  <c r="D85" i="32"/>
  <c r="H81" i="32"/>
  <c r="F81" i="32"/>
  <c r="E81" i="32"/>
  <c r="D81" i="32"/>
  <c r="H75" i="32"/>
  <c r="F75" i="32"/>
  <c r="E75" i="32"/>
  <c r="D75" i="32"/>
  <c r="H71" i="32"/>
  <c r="F71" i="32"/>
  <c r="E71" i="32"/>
  <c r="D71" i="32"/>
  <c r="H70" i="32"/>
  <c r="F70" i="32"/>
  <c r="E70" i="32"/>
  <c r="E69" i="32" s="1"/>
  <c r="D70" i="32"/>
  <c r="D69" i="32" s="1"/>
  <c r="H69" i="32"/>
  <c r="F69" i="32"/>
  <c r="H64" i="32"/>
  <c r="F64" i="32"/>
  <c r="E64" i="32"/>
  <c r="D64" i="32"/>
  <c r="H57" i="32"/>
  <c r="F57" i="32"/>
  <c r="E57" i="32"/>
  <c r="D57" i="32"/>
  <c r="H55" i="32"/>
  <c r="H54" i="32" s="1"/>
  <c r="F55" i="32"/>
  <c r="E55" i="32"/>
  <c r="D55" i="32"/>
  <c r="F54" i="32"/>
  <c r="E54" i="32"/>
  <c r="D54" i="32"/>
  <c r="H50" i="32"/>
  <c r="F50" i="32"/>
  <c r="E50" i="32"/>
  <c r="D50" i="32"/>
  <c r="H45" i="32"/>
  <c r="F45" i="32"/>
  <c r="E45" i="32"/>
  <c r="D45" i="32"/>
  <c r="H27" i="32"/>
  <c r="F27" i="32"/>
  <c r="E27" i="32"/>
  <c r="D27" i="32"/>
  <c r="H17" i="32"/>
  <c r="F17" i="32"/>
  <c r="E17" i="32"/>
  <c r="D17" i="32"/>
  <c r="H12" i="32"/>
  <c r="F12" i="32"/>
  <c r="E12" i="32"/>
  <c r="E11" i="32" s="1"/>
  <c r="E10" i="32" s="1"/>
  <c r="D12" i="32"/>
  <c r="H11" i="32"/>
  <c r="K192" i="31"/>
  <c r="I192" i="31"/>
  <c r="H192" i="31"/>
  <c r="G192" i="31"/>
  <c r="F192" i="31"/>
  <c r="E192" i="31"/>
  <c r="D192" i="31"/>
  <c r="K187" i="31"/>
  <c r="I187" i="31"/>
  <c r="H187" i="31"/>
  <c r="G187" i="31"/>
  <c r="F187" i="31"/>
  <c r="E187" i="31"/>
  <c r="D187" i="31"/>
  <c r="K185" i="31"/>
  <c r="I185" i="31"/>
  <c r="H185" i="31"/>
  <c r="G185" i="31"/>
  <c r="F185" i="31"/>
  <c r="E185" i="31"/>
  <c r="D185" i="31"/>
  <c r="K180" i="31"/>
  <c r="I180" i="31"/>
  <c r="H180" i="31"/>
  <c r="G180" i="31"/>
  <c r="F180" i="31"/>
  <c r="E180" i="31"/>
  <c r="D180" i="31"/>
  <c r="K175" i="31"/>
  <c r="I175" i="31"/>
  <c r="H175" i="31"/>
  <c r="G175" i="31"/>
  <c r="F175" i="31"/>
  <c r="E175" i="31"/>
  <c r="D175" i="31"/>
  <c r="K170" i="31"/>
  <c r="I170" i="31"/>
  <c r="H170" i="31"/>
  <c r="G170" i="31"/>
  <c r="F170" i="31"/>
  <c r="E170" i="31"/>
  <c r="D170" i="31"/>
  <c r="K165" i="31"/>
  <c r="I165" i="31"/>
  <c r="H165" i="31"/>
  <c r="G165" i="31"/>
  <c r="F165" i="31"/>
  <c r="E165" i="31"/>
  <c r="D165" i="31"/>
  <c r="L164" i="31"/>
  <c r="L153" i="31"/>
  <c r="K153" i="31"/>
  <c r="H153" i="31"/>
  <c r="L150" i="31"/>
  <c r="K150" i="31"/>
  <c r="H150" i="31"/>
  <c r="L146" i="31"/>
  <c r="K146" i="31"/>
  <c r="I146" i="31"/>
  <c r="H146" i="31"/>
  <c r="G146" i="31"/>
  <c r="F146" i="31"/>
  <c r="E146" i="31"/>
  <c r="D146" i="31"/>
  <c r="I142" i="31"/>
  <c r="H142" i="31"/>
  <c r="G142" i="31"/>
  <c r="F142" i="31"/>
  <c r="E142" i="31"/>
  <c r="D142" i="31"/>
  <c r="I139" i="31"/>
  <c r="H139" i="31"/>
  <c r="G139" i="31"/>
  <c r="F139" i="31"/>
  <c r="E139" i="31"/>
  <c r="D139" i="31"/>
  <c r="L135" i="31"/>
  <c r="K135" i="31"/>
  <c r="I135" i="31"/>
  <c r="H135" i="31"/>
  <c r="G135" i="31"/>
  <c r="F135" i="31"/>
  <c r="E135" i="31"/>
  <c r="D135" i="31"/>
  <c r="L133" i="31"/>
  <c r="K133" i="31"/>
  <c r="I133" i="31"/>
  <c r="H133" i="31"/>
  <c r="G133" i="31"/>
  <c r="F133" i="31"/>
  <c r="E133" i="31"/>
  <c r="D133" i="31"/>
  <c r="L131" i="31"/>
  <c r="K131" i="31"/>
  <c r="I131" i="31"/>
  <c r="H131" i="31"/>
  <c r="G131" i="31"/>
  <c r="F131" i="31"/>
  <c r="E131" i="31"/>
  <c r="D131" i="31"/>
  <c r="L128" i="31"/>
  <c r="K128" i="31"/>
  <c r="I128" i="31"/>
  <c r="H128" i="31"/>
  <c r="G128" i="31"/>
  <c r="F128" i="31"/>
  <c r="E128" i="31"/>
  <c r="D128" i="31"/>
  <c r="L123" i="31"/>
  <c r="K123" i="31"/>
  <c r="I123" i="31"/>
  <c r="H123" i="31"/>
  <c r="G123" i="31"/>
  <c r="F123" i="31"/>
  <c r="E123" i="31"/>
  <c r="D123" i="31"/>
  <c r="L118" i="31"/>
  <c r="K118" i="31"/>
  <c r="I118" i="31"/>
  <c r="H118" i="31"/>
  <c r="G118" i="31"/>
  <c r="F118" i="31"/>
  <c r="E118" i="31"/>
  <c r="D118" i="31"/>
  <c r="L116" i="31"/>
  <c r="K116" i="31"/>
  <c r="I116" i="31"/>
  <c r="H116" i="31"/>
  <c r="G116" i="31"/>
  <c r="F116" i="31"/>
  <c r="E116" i="31"/>
  <c r="D116" i="31"/>
  <c r="L111" i="31"/>
  <c r="K111" i="31"/>
  <c r="I111" i="31"/>
  <c r="H111" i="31"/>
  <c r="G111" i="31"/>
  <c r="F111" i="31"/>
  <c r="E111" i="31"/>
  <c r="D111" i="31"/>
  <c r="L107" i="31"/>
  <c r="K107" i="31"/>
  <c r="I107" i="31"/>
  <c r="H107" i="31"/>
  <c r="G107" i="31"/>
  <c r="F107" i="31"/>
  <c r="E107" i="31"/>
  <c r="D107" i="31"/>
  <c r="K102" i="31"/>
  <c r="I102" i="31"/>
  <c r="H102" i="31"/>
  <c r="G102" i="31"/>
  <c r="F102" i="31"/>
  <c r="F101" i="31" s="1"/>
  <c r="E102" i="31"/>
  <c r="D102" i="31"/>
  <c r="L90" i="31"/>
  <c r="K90" i="31"/>
  <c r="H90" i="31"/>
  <c r="I86" i="31"/>
  <c r="G86" i="31"/>
  <c r="F86" i="31"/>
  <c r="E86" i="31"/>
  <c r="D86" i="31"/>
  <c r="L82" i="31"/>
  <c r="K82" i="31"/>
  <c r="I82" i="31"/>
  <c r="H82" i="31"/>
  <c r="G82" i="31"/>
  <c r="F82" i="31"/>
  <c r="E82" i="31"/>
  <c r="D82" i="31"/>
  <c r="L77" i="31"/>
  <c r="K77" i="31"/>
  <c r="I77" i="31"/>
  <c r="H77" i="31"/>
  <c r="G77" i="31"/>
  <c r="F77" i="31"/>
  <c r="E77" i="31"/>
  <c r="D77" i="31"/>
  <c r="L72" i="31"/>
  <c r="K72" i="31"/>
  <c r="I72" i="31"/>
  <c r="H72" i="31"/>
  <c r="G72" i="31"/>
  <c r="F72" i="31"/>
  <c r="E72" i="31"/>
  <c r="D72" i="31"/>
  <c r="L67" i="31"/>
  <c r="K67" i="31"/>
  <c r="I67" i="31"/>
  <c r="H67" i="31"/>
  <c r="G67" i="31"/>
  <c r="F67" i="31"/>
  <c r="E67" i="31"/>
  <c r="D67" i="31"/>
  <c r="L62" i="31"/>
  <c r="K62" i="31"/>
  <c r="I62" i="31"/>
  <c r="H62" i="31"/>
  <c r="G62" i="31"/>
  <c r="F62" i="31"/>
  <c r="E62" i="31"/>
  <c r="D62" i="31"/>
  <c r="L60" i="31"/>
  <c r="K60" i="31"/>
  <c r="I60" i="31"/>
  <c r="H60" i="31"/>
  <c r="G60" i="31"/>
  <c r="F60" i="31"/>
  <c r="E60" i="31"/>
  <c r="D60" i="31"/>
  <c r="K58" i="31"/>
  <c r="K53" i="31" s="1"/>
  <c r="K52" i="31" s="1"/>
  <c r="L53" i="31"/>
  <c r="L52" i="31" s="1"/>
  <c r="I53" i="31"/>
  <c r="I52" i="31" s="1"/>
  <c r="H53" i="31"/>
  <c r="G53" i="31"/>
  <c r="F53" i="31"/>
  <c r="F52" i="31" s="1"/>
  <c r="E53" i="31"/>
  <c r="E52" i="31" s="1"/>
  <c r="D53" i="31"/>
  <c r="D52" i="31" s="1"/>
  <c r="K41" i="31"/>
  <c r="H41" i="31"/>
  <c r="K34" i="31"/>
  <c r="I34" i="31"/>
  <c r="H34" i="31"/>
  <c r="G34" i="31"/>
  <c r="F34" i="31"/>
  <c r="E34" i="31"/>
  <c r="D34" i="31"/>
  <c r="L28" i="31"/>
  <c r="K28" i="31"/>
  <c r="I28" i="31"/>
  <c r="I10" i="31" s="1"/>
  <c r="H28" i="31"/>
  <c r="G28" i="31"/>
  <c r="F28" i="31"/>
  <c r="E28" i="31"/>
  <c r="D28" i="31"/>
  <c r="L23" i="31"/>
  <c r="L10" i="31" s="1"/>
  <c r="K23" i="31"/>
  <c r="I23" i="31"/>
  <c r="H23" i="31"/>
  <c r="G23" i="31"/>
  <c r="F23" i="31"/>
  <c r="E23" i="31"/>
  <c r="D23" i="31"/>
  <c r="K17" i="31"/>
  <c r="I17" i="31"/>
  <c r="H17" i="31"/>
  <c r="G17" i="31"/>
  <c r="F17" i="31"/>
  <c r="E17" i="31"/>
  <c r="D17" i="31"/>
  <c r="K11" i="31"/>
  <c r="I11" i="31"/>
  <c r="H11" i="31"/>
  <c r="G11" i="31"/>
  <c r="F11" i="31"/>
  <c r="E11" i="31"/>
  <c r="D11" i="31"/>
  <c r="K257" i="30"/>
  <c r="J257" i="30"/>
  <c r="H257" i="30"/>
  <c r="G257" i="30"/>
  <c r="F257" i="30"/>
  <c r="E257" i="30"/>
  <c r="D257" i="30"/>
  <c r="C257" i="30"/>
  <c r="K251" i="30"/>
  <c r="J251" i="30"/>
  <c r="H251" i="30"/>
  <c r="G251" i="30"/>
  <c r="F251" i="30"/>
  <c r="E251" i="30"/>
  <c r="D251" i="30"/>
  <c r="C251" i="30"/>
  <c r="K248" i="30"/>
  <c r="J248" i="30"/>
  <c r="H248" i="30"/>
  <c r="G248" i="30"/>
  <c r="F248" i="30"/>
  <c r="E248" i="30"/>
  <c r="D248" i="30"/>
  <c r="C248" i="30"/>
  <c r="K244" i="30"/>
  <c r="J244" i="30"/>
  <c r="F244" i="30"/>
  <c r="E244" i="30"/>
  <c r="K242" i="30"/>
  <c r="J242" i="30"/>
  <c r="H242" i="30"/>
  <c r="G242" i="30"/>
  <c r="F242" i="30"/>
  <c r="E242" i="30"/>
  <c r="D242" i="30"/>
  <c r="C242" i="30"/>
  <c r="J241" i="30"/>
  <c r="J237" i="30" s="1"/>
  <c r="K237" i="30"/>
  <c r="H237" i="30"/>
  <c r="G237" i="30"/>
  <c r="F237" i="30"/>
  <c r="E237" i="30"/>
  <c r="D237" i="30"/>
  <c r="C237" i="30"/>
  <c r="K233" i="30"/>
  <c r="J233" i="30"/>
  <c r="H233" i="30"/>
  <c r="G233" i="30"/>
  <c r="F233" i="30"/>
  <c r="E233" i="30"/>
  <c r="D233" i="30"/>
  <c r="C233" i="30"/>
  <c r="K228" i="30"/>
  <c r="J228" i="30"/>
  <c r="H228" i="30"/>
  <c r="G228" i="30"/>
  <c r="F228" i="30"/>
  <c r="E228" i="30"/>
  <c r="D228" i="30"/>
  <c r="C228" i="30"/>
  <c r="J222" i="30"/>
  <c r="J217" i="30" s="1"/>
  <c r="K217" i="30"/>
  <c r="H217" i="30"/>
  <c r="H216" i="30" s="1"/>
  <c r="G217" i="30"/>
  <c r="F217" i="30"/>
  <c r="E217" i="30"/>
  <c r="D217" i="30"/>
  <c r="D216" i="30" s="1"/>
  <c r="C217" i="30"/>
  <c r="K209" i="30"/>
  <c r="J209" i="30"/>
  <c r="H209" i="30"/>
  <c r="G209" i="30"/>
  <c r="F209" i="30"/>
  <c r="E209" i="30"/>
  <c r="D209" i="30"/>
  <c r="C209" i="30"/>
  <c r="K201" i="30"/>
  <c r="J201" i="30"/>
  <c r="H201" i="30"/>
  <c r="G201" i="30"/>
  <c r="F201" i="30"/>
  <c r="E201" i="30"/>
  <c r="D201" i="30"/>
  <c r="C201" i="30"/>
  <c r="J199" i="30"/>
  <c r="K196" i="30"/>
  <c r="J196" i="30"/>
  <c r="H196" i="30"/>
  <c r="G196" i="30"/>
  <c r="F196" i="30"/>
  <c r="E196" i="30"/>
  <c r="D196" i="30"/>
  <c r="C196" i="30"/>
  <c r="K194" i="30"/>
  <c r="J194" i="30"/>
  <c r="H194" i="30"/>
  <c r="G194" i="30"/>
  <c r="F194" i="30"/>
  <c r="E194" i="30"/>
  <c r="D194" i="30"/>
  <c r="C194" i="30"/>
  <c r="K189" i="30"/>
  <c r="J189" i="30"/>
  <c r="H189" i="30"/>
  <c r="G189" i="30"/>
  <c r="F189" i="30"/>
  <c r="E189" i="30"/>
  <c r="D189" i="30"/>
  <c r="C189" i="30"/>
  <c r="K183" i="30"/>
  <c r="J183" i="30"/>
  <c r="H183" i="30"/>
  <c r="G183" i="30"/>
  <c r="F183" i="30"/>
  <c r="E183" i="30"/>
  <c r="D183" i="30"/>
  <c r="C183" i="30"/>
  <c r="K176" i="30"/>
  <c r="J176" i="30"/>
  <c r="H176" i="30"/>
  <c r="G176" i="30"/>
  <c r="F176" i="30"/>
  <c r="E176" i="30"/>
  <c r="D176" i="30"/>
  <c r="C176" i="30"/>
  <c r="K174" i="30"/>
  <c r="J174" i="30"/>
  <c r="H174" i="30"/>
  <c r="G174" i="30"/>
  <c r="F174" i="30"/>
  <c r="E174" i="30"/>
  <c r="D174" i="30"/>
  <c r="C174" i="30"/>
  <c r="K173" i="30"/>
  <c r="K167" i="30"/>
  <c r="J167" i="30"/>
  <c r="H167" i="30"/>
  <c r="G167" i="30"/>
  <c r="F167" i="30"/>
  <c r="E167" i="30"/>
  <c r="D167" i="30"/>
  <c r="C167" i="30"/>
  <c r="K165" i="30"/>
  <c r="J165" i="30"/>
  <c r="H165" i="30"/>
  <c r="G165" i="30"/>
  <c r="F165" i="30"/>
  <c r="E165" i="30"/>
  <c r="D165" i="30"/>
  <c r="C165" i="30"/>
  <c r="K159" i="30"/>
  <c r="J159" i="30"/>
  <c r="H159" i="30"/>
  <c r="G159" i="30"/>
  <c r="F159" i="30"/>
  <c r="E159" i="30"/>
  <c r="D159" i="30"/>
  <c r="C159" i="30"/>
  <c r="K153" i="30"/>
  <c r="J153" i="30"/>
  <c r="H153" i="30"/>
  <c r="G153" i="30"/>
  <c r="F153" i="30"/>
  <c r="E153" i="30"/>
  <c r="D153" i="30"/>
  <c r="C153" i="30"/>
  <c r="K147" i="30"/>
  <c r="J147" i="30"/>
  <c r="H147" i="30"/>
  <c r="G147" i="30"/>
  <c r="F147" i="30"/>
  <c r="E147" i="30"/>
  <c r="D147" i="30"/>
  <c r="C147" i="30"/>
  <c r="K142" i="30"/>
  <c r="J142" i="30"/>
  <c r="H142" i="30"/>
  <c r="H135" i="30" s="1"/>
  <c r="G142" i="30"/>
  <c r="F142" i="30"/>
  <c r="E142" i="30"/>
  <c r="D142" i="30"/>
  <c r="C142" i="30"/>
  <c r="J140" i="30"/>
  <c r="J136" i="30" s="1"/>
  <c r="J135" i="30" s="1"/>
  <c r="K136" i="30"/>
  <c r="K135" i="30" s="1"/>
  <c r="G136" i="30"/>
  <c r="F136" i="30"/>
  <c r="E136" i="30"/>
  <c r="E135" i="30" s="1"/>
  <c r="D136" i="30"/>
  <c r="C136" i="30"/>
  <c r="F135" i="30"/>
  <c r="K131" i="30"/>
  <c r="J131" i="30"/>
  <c r="H131" i="30"/>
  <c r="G131" i="30"/>
  <c r="F131" i="30"/>
  <c r="E131" i="30"/>
  <c r="D131" i="30"/>
  <c r="C131" i="30"/>
  <c r="K128" i="30"/>
  <c r="J128" i="30"/>
  <c r="H128" i="30"/>
  <c r="G128" i="30"/>
  <c r="F128" i="30"/>
  <c r="E128" i="30"/>
  <c r="D128" i="30"/>
  <c r="C128" i="30"/>
  <c r="K126" i="30"/>
  <c r="J126" i="30"/>
  <c r="H126" i="30"/>
  <c r="G126" i="30"/>
  <c r="F126" i="30"/>
  <c r="E126" i="30"/>
  <c r="D126" i="30"/>
  <c r="C126" i="30"/>
  <c r="K124" i="30"/>
  <c r="J124" i="30"/>
  <c r="H124" i="30"/>
  <c r="G124" i="30"/>
  <c r="F124" i="30"/>
  <c r="E124" i="30"/>
  <c r="D124" i="30"/>
  <c r="C124" i="30"/>
  <c r="K118" i="30"/>
  <c r="J118" i="30"/>
  <c r="H118" i="30"/>
  <c r="G118" i="30"/>
  <c r="F118" i="30"/>
  <c r="E118" i="30"/>
  <c r="D118" i="30"/>
  <c r="C118" i="30"/>
  <c r="K117" i="30"/>
  <c r="J117" i="30"/>
  <c r="H117" i="30"/>
  <c r="G117" i="30"/>
  <c r="F117" i="30"/>
  <c r="E117" i="30"/>
  <c r="D117" i="30"/>
  <c r="C117" i="30"/>
  <c r="K112" i="30"/>
  <c r="J112" i="30"/>
  <c r="H112" i="30"/>
  <c r="G112" i="30"/>
  <c r="F112" i="30"/>
  <c r="E112" i="30"/>
  <c r="D112" i="30"/>
  <c r="C112" i="30"/>
  <c r="K108" i="30"/>
  <c r="J108" i="30"/>
  <c r="H108" i="30"/>
  <c r="G108" i="30"/>
  <c r="F108" i="30"/>
  <c r="E108" i="30"/>
  <c r="D108" i="30"/>
  <c r="C108" i="30"/>
  <c r="K102" i="30"/>
  <c r="J102" i="30"/>
  <c r="H102" i="30"/>
  <c r="G102" i="30"/>
  <c r="F102" i="30"/>
  <c r="E102" i="30"/>
  <c r="D102" i="30"/>
  <c r="C102" i="30"/>
  <c r="K97" i="30"/>
  <c r="J97" i="30"/>
  <c r="H97" i="30"/>
  <c r="G97" i="30"/>
  <c r="F97" i="30"/>
  <c r="E97" i="30"/>
  <c r="D97" i="30"/>
  <c r="C97" i="30"/>
  <c r="K91" i="30"/>
  <c r="J91" i="30"/>
  <c r="H91" i="30"/>
  <c r="G91" i="30"/>
  <c r="F91" i="30"/>
  <c r="E91" i="30"/>
  <c r="D91" i="30"/>
  <c r="C91" i="30"/>
  <c r="K87" i="30"/>
  <c r="J87" i="30"/>
  <c r="H87" i="30"/>
  <c r="G87" i="30"/>
  <c r="F87" i="30"/>
  <c r="E87" i="30"/>
  <c r="D87" i="30"/>
  <c r="C87" i="30"/>
  <c r="K84" i="30"/>
  <c r="J84" i="30"/>
  <c r="H84" i="30"/>
  <c r="G84" i="30"/>
  <c r="F84" i="30"/>
  <c r="E84" i="30"/>
  <c r="D84" i="30"/>
  <c r="C84" i="30"/>
  <c r="K83" i="30"/>
  <c r="J83" i="30"/>
  <c r="H83" i="30"/>
  <c r="G83" i="30"/>
  <c r="F83" i="30"/>
  <c r="E83" i="30"/>
  <c r="D83" i="30"/>
  <c r="C83" i="30"/>
  <c r="K78" i="30"/>
  <c r="J78" i="30"/>
  <c r="H78" i="30"/>
  <c r="G78" i="30"/>
  <c r="F78" i="30"/>
  <c r="E78" i="30"/>
  <c r="D78" i="30"/>
  <c r="C78" i="30"/>
  <c r="K75" i="30"/>
  <c r="J75" i="30"/>
  <c r="H75" i="30"/>
  <c r="G75" i="30"/>
  <c r="F75" i="30"/>
  <c r="E75" i="30"/>
  <c r="D75" i="30"/>
  <c r="C75" i="30"/>
  <c r="K69" i="30"/>
  <c r="J69" i="30"/>
  <c r="H69" i="30"/>
  <c r="G69" i="30"/>
  <c r="F69" i="30"/>
  <c r="E69" i="30"/>
  <c r="D69" i="30"/>
  <c r="C69" i="30"/>
  <c r="K64" i="30"/>
  <c r="J64" i="30"/>
  <c r="H64" i="30"/>
  <c r="G64" i="30"/>
  <c r="F64" i="30"/>
  <c r="E64" i="30"/>
  <c r="D64" i="30"/>
  <c r="C64" i="30"/>
  <c r="K63" i="30"/>
  <c r="J63" i="30"/>
  <c r="H63" i="30"/>
  <c r="G63" i="30"/>
  <c r="F63" i="30"/>
  <c r="E63" i="30"/>
  <c r="D63" i="30"/>
  <c r="C63" i="30"/>
  <c r="J59" i="30"/>
  <c r="K56" i="30"/>
  <c r="J56" i="30"/>
  <c r="H56" i="30"/>
  <c r="G56" i="30"/>
  <c r="F56" i="30"/>
  <c r="E56" i="30"/>
  <c r="D56" i="30"/>
  <c r="C56" i="30"/>
  <c r="J52" i="30"/>
  <c r="J49" i="30" s="1"/>
  <c r="K49" i="30"/>
  <c r="H49" i="30"/>
  <c r="G49" i="30"/>
  <c r="F49" i="30"/>
  <c r="E49" i="30"/>
  <c r="D49" i="30"/>
  <c r="C49" i="30"/>
  <c r="J45" i="30"/>
  <c r="K42" i="30"/>
  <c r="K27" i="30" s="1"/>
  <c r="J42" i="30"/>
  <c r="H42" i="30"/>
  <c r="G42" i="30"/>
  <c r="F42" i="30"/>
  <c r="E42" i="30"/>
  <c r="D42" i="30"/>
  <c r="C42" i="30"/>
  <c r="J38" i="30"/>
  <c r="J35" i="30" s="1"/>
  <c r="K35" i="30"/>
  <c r="H35" i="30"/>
  <c r="G35" i="30"/>
  <c r="F35" i="30"/>
  <c r="E35" i="30"/>
  <c r="D35" i="30"/>
  <c r="C35" i="30"/>
  <c r="J31" i="30"/>
  <c r="J28" i="30" s="1"/>
  <c r="K28" i="30"/>
  <c r="H28" i="30"/>
  <c r="G28" i="30"/>
  <c r="F28" i="30"/>
  <c r="E28" i="30"/>
  <c r="D28" i="30"/>
  <c r="C28" i="30"/>
  <c r="J21" i="30"/>
  <c r="J18" i="30" s="1"/>
  <c r="K18" i="30"/>
  <c r="H18" i="30"/>
  <c r="G18" i="30"/>
  <c r="F18" i="30"/>
  <c r="E18" i="30"/>
  <c r="D18" i="30"/>
  <c r="C18" i="30"/>
  <c r="J16" i="30"/>
  <c r="J11" i="30" s="1"/>
  <c r="K11" i="30"/>
  <c r="H11" i="30"/>
  <c r="G11" i="30"/>
  <c r="F11" i="30"/>
  <c r="E11" i="30"/>
  <c r="D11" i="30"/>
  <c r="C11" i="30"/>
  <c r="E229" i="32" l="1"/>
  <c r="C244" i="30"/>
  <c r="G244" i="30"/>
  <c r="I101" i="31"/>
  <c r="L101" i="31"/>
  <c r="D11" i="32"/>
  <c r="D10" i="32" s="1"/>
  <c r="D244" i="30"/>
  <c r="H244" i="30"/>
  <c r="J173" i="30"/>
  <c r="E216" i="30"/>
  <c r="H179" i="32"/>
  <c r="H168" i="32" s="1"/>
  <c r="F244" i="32"/>
  <c r="C173" i="30"/>
  <c r="G173" i="30"/>
  <c r="F89" i="32"/>
  <c r="H132" i="32"/>
  <c r="H9" i="32" s="1"/>
  <c r="D254" i="32"/>
  <c r="D244" i="32" s="1"/>
  <c r="E193" i="32"/>
  <c r="F204" i="32"/>
  <c r="F193" i="32" s="1"/>
  <c r="D89" i="32"/>
  <c r="H89" i="32"/>
  <c r="F11" i="32"/>
  <c r="F10" i="32" s="1"/>
  <c r="G101" i="31"/>
  <c r="E101" i="31"/>
  <c r="F10" i="31"/>
  <c r="G10" i="31"/>
  <c r="K10" i="31"/>
  <c r="H52" i="31"/>
  <c r="D10" i="31"/>
  <c r="H10" i="31"/>
  <c r="E10" i="31"/>
  <c r="K164" i="31"/>
  <c r="C135" i="30"/>
  <c r="E173" i="30"/>
  <c r="F173" i="30"/>
  <c r="G135" i="30"/>
  <c r="D135" i="30"/>
  <c r="J27" i="30"/>
  <c r="F27" i="30"/>
  <c r="F267" i="32"/>
  <c r="F229" i="32"/>
  <c r="H10" i="32"/>
  <c r="F164" i="31"/>
  <c r="G164" i="31"/>
  <c r="E109" i="32"/>
  <c r="D168" i="32"/>
  <c r="D9" i="32"/>
  <c r="D173" i="30"/>
  <c r="H173" i="30"/>
  <c r="G52" i="31"/>
  <c r="L196" i="31"/>
  <c r="D101" i="31"/>
  <c r="H101" i="31"/>
  <c r="K101" i="31"/>
  <c r="J216" i="30"/>
  <c r="J10" i="30" s="1"/>
  <c r="F216" i="30"/>
  <c r="K216" i="30"/>
  <c r="K10" i="30" s="1"/>
  <c r="E89" i="32"/>
  <c r="E27" i="30"/>
  <c r="E10" i="30" s="1"/>
  <c r="D27" i="30"/>
  <c r="H27" i="30"/>
  <c r="C27" i="30"/>
  <c r="G27" i="30"/>
  <c r="C216" i="30"/>
  <c r="G216" i="30"/>
  <c r="F196" i="31"/>
  <c r="D164" i="31"/>
  <c r="H164" i="31"/>
  <c r="E164" i="31"/>
  <c r="I164" i="31"/>
  <c r="E168" i="32"/>
  <c r="E132" i="32"/>
  <c r="H67" i="29"/>
  <c r="F67" i="29"/>
  <c r="E67" i="29"/>
  <c r="D67" i="29"/>
  <c r="H61" i="29"/>
  <c r="F61" i="29"/>
  <c r="E61" i="29"/>
  <c r="D61" i="29"/>
  <c r="H40" i="29"/>
  <c r="F40" i="29"/>
  <c r="E40" i="29"/>
  <c r="D40" i="29"/>
  <c r="H30" i="29"/>
  <c r="F30" i="29"/>
  <c r="E30" i="29"/>
  <c r="D30" i="29"/>
  <c r="H24" i="29"/>
  <c r="F24" i="29"/>
  <c r="E24" i="29"/>
  <c r="D24" i="29"/>
  <c r="H15" i="29"/>
  <c r="F15" i="29"/>
  <c r="E15" i="29"/>
  <c r="D15" i="29"/>
  <c r="E10" i="29"/>
  <c r="E9" i="29" s="1"/>
  <c r="D10" i="29"/>
  <c r="D9" i="29" s="1"/>
  <c r="H9" i="29"/>
  <c r="H77" i="29" s="1"/>
  <c r="F9" i="29"/>
  <c r="F50" i="28"/>
  <c r="F49" i="28"/>
  <c r="F48" i="28"/>
  <c r="F35" i="28" s="1"/>
  <c r="H35" i="28"/>
  <c r="E35" i="28"/>
  <c r="D35" i="28"/>
  <c r="H16" i="28"/>
  <c r="F16" i="28"/>
  <c r="E16" i="28"/>
  <c r="D16" i="28"/>
  <c r="H9" i="28"/>
  <c r="H59" i="28" s="1"/>
  <c r="F9" i="28"/>
  <c r="E9" i="28"/>
  <c r="E59" i="28" s="1"/>
  <c r="D9" i="28"/>
  <c r="D59" i="28" s="1"/>
  <c r="H34" i="27"/>
  <c r="F34" i="27"/>
  <c r="E34" i="27"/>
  <c r="D34" i="27"/>
  <c r="H28" i="27"/>
  <c r="F28" i="27"/>
  <c r="E28" i="27"/>
  <c r="D28" i="27"/>
  <c r="H21" i="27"/>
  <c r="F21" i="27"/>
  <c r="E21" i="27"/>
  <c r="D21" i="27"/>
  <c r="H9" i="27"/>
  <c r="H40" i="27" s="1"/>
  <c r="F9" i="27"/>
  <c r="F40" i="27" s="1"/>
  <c r="E9" i="27"/>
  <c r="E40" i="27" s="1"/>
  <c r="D9" i="27"/>
  <c r="D40" i="27" s="1"/>
  <c r="H29" i="25"/>
  <c r="F29" i="25"/>
  <c r="E29" i="25"/>
  <c r="D29" i="25"/>
  <c r="H23" i="25"/>
  <c r="F23" i="25"/>
  <c r="E23" i="25"/>
  <c r="D23" i="25"/>
  <c r="F18" i="25"/>
  <c r="F9" i="25" s="1"/>
  <c r="F35" i="25" s="1"/>
  <c r="E18" i="25"/>
  <c r="H9" i="25"/>
  <c r="E9" i="25"/>
  <c r="D9" i="25"/>
  <c r="D35" i="25" s="1"/>
  <c r="F9" i="32" l="1"/>
  <c r="H10" i="30"/>
  <c r="D300" i="32"/>
  <c r="H300" i="32"/>
  <c r="I196" i="31"/>
  <c r="F77" i="29"/>
  <c r="F300" i="32"/>
  <c r="K196" i="31"/>
  <c r="E196" i="31"/>
  <c r="D10" i="30"/>
  <c r="F10" i="30"/>
  <c r="G10" i="30"/>
  <c r="C10" i="30"/>
  <c r="E9" i="32"/>
  <c r="D196" i="31"/>
  <c r="H35" i="25"/>
  <c r="E77" i="29"/>
  <c r="H196" i="31"/>
  <c r="G196" i="31"/>
  <c r="E35" i="25"/>
  <c r="E300" i="32"/>
  <c r="D77" i="29"/>
  <c r="F59" i="28"/>
  <c r="H130" i="23"/>
  <c r="F130" i="23"/>
  <c r="E130" i="23"/>
  <c r="D130" i="23"/>
  <c r="H121" i="23"/>
  <c r="F121" i="23"/>
  <c r="H115" i="23"/>
  <c r="F115" i="23"/>
  <c r="H113" i="23"/>
  <c r="F113" i="23"/>
  <c r="H110" i="23"/>
  <c r="F110" i="23"/>
  <c r="F106" i="23" s="1"/>
  <c r="E106" i="23"/>
  <c r="D106" i="23"/>
  <c r="H49" i="23"/>
  <c r="F49" i="23"/>
  <c r="E49" i="23"/>
  <c r="D49" i="23"/>
  <c r="H10" i="23"/>
  <c r="F10" i="23"/>
  <c r="E10" i="23"/>
  <c r="E134" i="23" s="1"/>
  <c r="D10" i="23"/>
  <c r="H38" i="22"/>
  <c r="F38" i="22"/>
  <c r="E38" i="22"/>
  <c r="D38" i="22"/>
  <c r="H29" i="22"/>
  <c r="H20" i="22" s="1"/>
  <c r="F20" i="22"/>
  <c r="E20" i="22"/>
  <c r="D20" i="22"/>
  <c r="H11" i="22"/>
  <c r="H10" i="22" s="1"/>
  <c r="H44" i="22" s="1"/>
  <c r="F10" i="22"/>
  <c r="E10" i="22"/>
  <c r="D10" i="22"/>
  <c r="H66" i="21"/>
  <c r="F66" i="21"/>
  <c r="E38" i="21"/>
  <c r="D38" i="21"/>
  <c r="E37" i="21"/>
  <c r="D37" i="21"/>
  <c r="D10" i="21" s="1"/>
  <c r="D67" i="21" s="1"/>
  <c r="H26" i="21"/>
  <c r="H10" i="21" s="1"/>
  <c r="H67" i="21" s="1"/>
  <c r="F26" i="21"/>
  <c r="F10" i="21"/>
  <c r="F67" i="21" s="1"/>
  <c r="H10" i="20"/>
  <c r="H15" i="20" s="1"/>
  <c r="F10" i="20"/>
  <c r="F15" i="20" s="1"/>
  <c r="E10" i="20"/>
  <c r="E15" i="20" s="1"/>
  <c r="D10" i="20"/>
  <c r="D15" i="20" s="1"/>
  <c r="H9" i="18"/>
  <c r="F9" i="18"/>
  <c r="E9" i="18"/>
  <c r="D9" i="18"/>
  <c r="H10" i="17"/>
  <c r="F10" i="17"/>
  <c r="E10" i="17"/>
  <c r="D10" i="17"/>
  <c r="K49" i="16"/>
  <c r="K44" i="16" s="1"/>
  <c r="L44" i="16"/>
  <c r="I44" i="16"/>
  <c r="H44" i="16"/>
  <c r="G44" i="16"/>
  <c r="F44" i="16"/>
  <c r="E44" i="16"/>
  <c r="D44" i="16"/>
  <c r="L34" i="16"/>
  <c r="L57" i="16" s="1"/>
  <c r="K34" i="16"/>
  <c r="I34" i="16"/>
  <c r="I57" i="16" s="1"/>
  <c r="H34" i="16"/>
  <c r="H57" i="16" s="1"/>
  <c r="G34" i="16"/>
  <c r="F34" i="16"/>
  <c r="F57" i="16" s="1"/>
  <c r="E34" i="16"/>
  <c r="E57" i="16" s="1"/>
  <c r="D34" i="16"/>
  <c r="D57" i="16" s="1"/>
  <c r="K16" i="16"/>
  <c r="K14" i="16"/>
  <c r="K11" i="16" s="1"/>
  <c r="L11" i="16"/>
  <c r="I11" i="16"/>
  <c r="H11" i="16"/>
  <c r="G11" i="16"/>
  <c r="F11" i="16"/>
  <c r="E11" i="16"/>
  <c r="D11" i="16"/>
  <c r="H21" i="15"/>
  <c r="H20" i="15"/>
  <c r="H19" i="15"/>
  <c r="H15" i="15"/>
  <c r="H13" i="15"/>
  <c r="H12" i="15"/>
  <c r="F10" i="15"/>
  <c r="E10" i="15"/>
  <c r="D10" i="15"/>
  <c r="K79" i="13"/>
  <c r="H79" i="13"/>
  <c r="H77" i="13"/>
  <c r="H76" i="13" s="1"/>
  <c r="L76" i="13"/>
  <c r="K76" i="13"/>
  <c r="H73" i="13"/>
  <c r="H72" i="13"/>
  <c r="H68" i="13"/>
  <c r="L67" i="13"/>
  <c r="K67" i="13"/>
  <c r="H65" i="13"/>
  <c r="L54" i="13"/>
  <c r="K54" i="13"/>
  <c r="H54" i="13"/>
  <c r="H52" i="13"/>
  <c r="H50" i="13" s="1"/>
  <c r="L50" i="13"/>
  <c r="H46" i="13"/>
  <c r="H45" i="13"/>
  <c r="H44" i="13"/>
  <c r="H43" i="13"/>
  <c r="L42" i="13"/>
  <c r="K42" i="13"/>
  <c r="I38" i="13"/>
  <c r="G38" i="13"/>
  <c r="F38" i="13"/>
  <c r="E38" i="13"/>
  <c r="D38" i="13"/>
  <c r="K29" i="13"/>
  <c r="K27" i="13"/>
  <c r="K26" i="13"/>
  <c r="H26" i="13"/>
  <c r="H22" i="13"/>
  <c r="L19" i="13"/>
  <c r="H19" i="13"/>
  <c r="E19" i="13"/>
  <c r="E11" i="13" s="1"/>
  <c r="K18" i="13"/>
  <c r="H18" i="13"/>
  <c r="F18" i="13"/>
  <c r="F11" i="13" s="1"/>
  <c r="D18" i="13"/>
  <c r="D11" i="13" s="1"/>
  <c r="L15" i="13"/>
  <c r="L14" i="13"/>
  <c r="H13" i="13"/>
  <c r="I11" i="13"/>
  <c r="G11" i="13"/>
  <c r="H10" i="12"/>
  <c r="F10" i="12"/>
  <c r="E10" i="12"/>
  <c r="D10" i="12"/>
  <c r="H9" i="11"/>
  <c r="H15" i="11" s="1"/>
  <c r="F9" i="11"/>
  <c r="F15" i="11" s="1"/>
  <c r="E9" i="11"/>
  <c r="E15" i="11" s="1"/>
  <c r="D9" i="11"/>
  <c r="D15" i="11" s="1"/>
  <c r="K26" i="10"/>
  <c r="K23" i="10"/>
  <c r="H23" i="10"/>
  <c r="H10" i="10" s="1"/>
  <c r="H34" i="10" s="1"/>
  <c r="L10" i="10"/>
  <c r="I10" i="10"/>
  <c r="I34" i="10" s="1"/>
  <c r="G10" i="10"/>
  <c r="G34" i="10" s="1"/>
  <c r="F10" i="10"/>
  <c r="F34" i="10" s="1"/>
  <c r="E10" i="10"/>
  <c r="E34" i="10" s="1"/>
  <c r="D10" i="10"/>
  <c r="D34" i="10" s="1"/>
  <c r="H27" i="7"/>
  <c r="F27" i="7"/>
  <c r="E27" i="7"/>
  <c r="D27" i="7"/>
  <c r="H18" i="7"/>
  <c r="F18" i="7"/>
  <c r="E18" i="7"/>
  <c r="D18" i="7"/>
  <c r="H9" i="7"/>
  <c r="H32" i="7" s="1"/>
  <c r="F9" i="7"/>
  <c r="F32" i="7" s="1"/>
  <c r="E9" i="7"/>
  <c r="E32" i="7" s="1"/>
  <c r="D9" i="7"/>
  <c r="H66" i="6"/>
  <c r="K51" i="6"/>
  <c r="L51" i="6"/>
  <c r="I51" i="6"/>
  <c r="H51" i="6"/>
  <c r="G51" i="6"/>
  <c r="F51" i="6"/>
  <c r="E51" i="6"/>
  <c r="D51" i="6"/>
  <c r="K30" i="6"/>
  <c r="L30" i="6"/>
  <c r="I30" i="6"/>
  <c r="H30" i="6"/>
  <c r="G30" i="6"/>
  <c r="F30" i="6"/>
  <c r="E30" i="6"/>
  <c r="D30" i="6"/>
  <c r="F20" i="6"/>
  <c r="H19" i="6"/>
  <c r="F16" i="6"/>
  <c r="L11" i="6"/>
  <c r="K11" i="6"/>
  <c r="I11" i="6"/>
  <c r="H11" i="6"/>
  <c r="G11" i="6"/>
  <c r="E11" i="6"/>
  <c r="D11" i="6"/>
  <c r="H19" i="5"/>
  <c r="E19" i="5"/>
  <c r="D19" i="5"/>
  <c r="F15" i="5"/>
  <c r="F19" i="5" s="1"/>
  <c r="H10" i="5"/>
  <c r="F10" i="5"/>
  <c r="E10" i="5"/>
  <c r="D10" i="5"/>
  <c r="F15" i="4"/>
  <c r="F14" i="4"/>
  <c r="F11" i="4"/>
  <c r="H10" i="4"/>
  <c r="H18" i="4" s="1"/>
  <c r="E10" i="4"/>
  <c r="E18" i="4" s="1"/>
  <c r="D10" i="4"/>
  <c r="D18" i="4" s="1"/>
  <c r="D17" i="3"/>
  <c r="D15" i="3"/>
  <c r="H9" i="3"/>
  <c r="H20" i="3" s="1"/>
  <c r="F9" i="3"/>
  <c r="F20" i="3" s="1"/>
  <c r="E9" i="3"/>
  <c r="E20" i="3" s="1"/>
  <c r="H44" i="1"/>
  <c r="F44" i="1"/>
  <c r="F43" i="1" s="1"/>
  <c r="R43" i="1"/>
  <c r="Q43" i="1"/>
  <c r="P43" i="1"/>
  <c r="O43" i="1"/>
  <c r="N43" i="1"/>
  <c r="M43" i="1"/>
  <c r="L43" i="1"/>
  <c r="K43" i="1"/>
  <c r="J43" i="1"/>
  <c r="I43" i="1"/>
  <c r="H43" i="1"/>
  <c r="G43" i="1"/>
  <c r="N41" i="1"/>
  <c r="H41" i="1" s="1"/>
  <c r="H40" i="1" s="1"/>
  <c r="H39" i="1" s="1"/>
  <c r="F41" i="1"/>
  <c r="F40" i="1" s="1"/>
  <c r="F39" i="1" s="1"/>
  <c r="R40" i="1"/>
  <c r="R39" i="1" s="1"/>
  <c r="P40" i="1"/>
  <c r="M40" i="1"/>
  <c r="M39" i="1" s="1"/>
  <c r="L40" i="1"/>
  <c r="K40" i="1"/>
  <c r="K39" i="1" s="1"/>
  <c r="J40" i="1"/>
  <c r="J39" i="1" s="1"/>
  <c r="I40" i="1"/>
  <c r="I39" i="1" s="1"/>
  <c r="G40" i="1"/>
  <c r="G39" i="1" s="1"/>
  <c r="Q39" i="1"/>
  <c r="P39" i="1"/>
  <c r="O39" i="1"/>
  <c r="L39" i="1"/>
  <c r="H36" i="1"/>
  <c r="F36" i="1"/>
  <c r="H35" i="1"/>
  <c r="F35" i="1"/>
  <c r="H34" i="1"/>
  <c r="F34" i="1"/>
  <c r="H33" i="1"/>
  <c r="F33" i="1"/>
  <c r="R32" i="1"/>
  <c r="P32" i="1"/>
  <c r="N32" i="1"/>
  <c r="M32" i="1"/>
  <c r="L32" i="1"/>
  <c r="K32" i="1"/>
  <c r="J32" i="1"/>
  <c r="I32" i="1"/>
  <c r="G32" i="1"/>
  <c r="H31" i="1"/>
  <c r="F31" i="1"/>
  <c r="H30" i="1"/>
  <c r="F30" i="1"/>
  <c r="H29" i="1"/>
  <c r="F29" i="1"/>
  <c r="H28" i="1"/>
  <c r="F28" i="1"/>
  <c r="H27" i="1"/>
  <c r="F27" i="1"/>
  <c r="H26" i="1"/>
  <c r="F26" i="1"/>
  <c r="H25" i="1"/>
  <c r="H24" i="1" s="1"/>
  <c r="F25" i="1"/>
  <c r="R24" i="1"/>
  <c r="P24" i="1"/>
  <c r="N24" i="1"/>
  <c r="M24" i="1"/>
  <c r="L24" i="1"/>
  <c r="K24" i="1"/>
  <c r="J24" i="1"/>
  <c r="I24" i="1"/>
  <c r="G24" i="1"/>
  <c r="H22" i="1"/>
  <c r="F22" i="1"/>
  <c r="H21" i="1"/>
  <c r="F21" i="1"/>
  <c r="H20" i="1"/>
  <c r="F20" i="1"/>
  <c r="R19" i="1"/>
  <c r="P19" i="1"/>
  <c r="N19" i="1"/>
  <c r="M19" i="1"/>
  <c r="L19" i="1"/>
  <c r="K19" i="1"/>
  <c r="J19" i="1"/>
  <c r="I19" i="1"/>
  <c r="G19" i="1"/>
  <c r="H18" i="1"/>
  <c r="G18" i="1"/>
  <c r="G9" i="1" s="1"/>
  <c r="G8" i="1" s="1"/>
  <c r="F18" i="1"/>
  <c r="H17" i="1"/>
  <c r="F17" i="1"/>
  <c r="H16" i="1"/>
  <c r="F16" i="1"/>
  <c r="H15" i="1"/>
  <c r="F15" i="1"/>
  <c r="H14" i="1"/>
  <c r="F14" i="1"/>
  <c r="H13" i="1"/>
  <c r="F13" i="1"/>
  <c r="H12" i="1"/>
  <c r="F12" i="1"/>
  <c r="H11" i="1"/>
  <c r="F11" i="1"/>
  <c r="N10" i="1"/>
  <c r="N9" i="1" s="1"/>
  <c r="K10" i="1"/>
  <c r="H10" i="1" s="1"/>
  <c r="F10" i="1"/>
  <c r="R9" i="1"/>
  <c r="P9" i="1"/>
  <c r="M9" i="1"/>
  <c r="L9" i="1"/>
  <c r="J9" i="1"/>
  <c r="I9" i="1"/>
  <c r="X6" i="1"/>
  <c r="W6" i="1"/>
  <c r="K57" i="16" l="1"/>
  <c r="E10" i="21"/>
  <c r="E67" i="21" s="1"/>
  <c r="H134" i="23"/>
  <c r="L8" i="1"/>
  <c r="H32" i="1"/>
  <c r="G57" i="16"/>
  <c r="K38" i="13"/>
  <c r="F80" i="13"/>
  <c r="R8" i="1"/>
  <c r="R6" i="1" s="1"/>
  <c r="P8" i="1"/>
  <c r="P6" i="1" s="1"/>
  <c r="H9" i="1"/>
  <c r="F9" i="1"/>
  <c r="F134" i="23"/>
  <c r="D134" i="23"/>
  <c r="F44" i="22"/>
  <c r="L11" i="13"/>
  <c r="H11" i="13"/>
  <c r="K11" i="13"/>
  <c r="H67" i="13"/>
  <c r="H42" i="13"/>
  <c r="L38" i="13"/>
  <c r="D80" i="13"/>
  <c r="K80" i="13"/>
  <c r="G80" i="13"/>
  <c r="D32" i="7"/>
  <c r="F11" i="6"/>
  <c r="D9" i="3"/>
  <c r="D20" i="3" s="1"/>
  <c r="J8" i="1"/>
  <c r="J6" i="1" s="1"/>
  <c r="K9" i="1"/>
  <c r="K8" i="1" s="1"/>
  <c r="K6" i="1" s="1"/>
  <c r="L6" i="1"/>
  <c r="N8" i="1"/>
  <c r="F10" i="4"/>
  <c r="F18" i="4" s="1"/>
  <c r="K10" i="10"/>
  <c r="K34" i="10" s="1"/>
  <c r="I80" i="13"/>
  <c r="H106" i="23"/>
  <c r="I8" i="1"/>
  <c r="I6" i="1" s="1"/>
  <c r="M8" i="1"/>
  <c r="M6" i="1" s="1"/>
  <c r="F19" i="1"/>
  <c r="F24" i="1"/>
  <c r="F32" i="1"/>
  <c r="E80" i="13"/>
  <c r="D44" i="22"/>
  <c r="E44" i="22"/>
  <c r="H19" i="1"/>
  <c r="H8" i="1" s="1"/>
  <c r="H6" i="1" s="1"/>
  <c r="F8" i="1"/>
  <c r="F6" i="1" s="1"/>
  <c r="G6" i="1"/>
  <c r="N40" i="1"/>
  <c r="N39" i="1" s="1"/>
  <c r="H10" i="15"/>
  <c r="L80" i="13" l="1"/>
  <c r="H38" i="13"/>
  <c r="H80" i="13" s="1"/>
  <c r="N6" i="1"/>
</calcChain>
</file>

<file path=xl/comments1.xml><?xml version="1.0" encoding="utf-8"?>
<comments xmlns="http://schemas.openxmlformats.org/spreadsheetml/2006/main">
  <authors>
    <author>Baiba Birzniece</author>
  </authors>
  <commentList>
    <comment ref="J79" authorId="0" shapeId="0">
      <text>
        <r>
          <rPr>
            <b/>
            <sz val="9"/>
            <color indexed="81"/>
            <rFont val="Tahoma"/>
            <family val="2"/>
            <charset val="186"/>
          </rPr>
          <t>Baiba Birzniece:</t>
        </r>
        <r>
          <rPr>
            <sz val="9"/>
            <color indexed="81"/>
            <rFont val="Tahoma"/>
            <family val="2"/>
            <charset val="186"/>
          </rPr>
          <t xml:space="preserve">
Izmaksas pārceltas uz EKK5250.
</t>
        </r>
      </text>
    </comment>
  </commentList>
</comments>
</file>

<file path=xl/sharedStrings.xml><?xml version="1.0" encoding="utf-8"?>
<sst xmlns="http://schemas.openxmlformats.org/spreadsheetml/2006/main" count="5575" uniqueCount="3381">
  <si>
    <t>Jūrmalas pilsētas pašvaldības 2020.-2022.gada Ceļu fonda izlietojuma programma</t>
  </si>
  <si>
    <t>Nr.</t>
  </si>
  <si>
    <t>Objekta nosaukums</t>
  </si>
  <si>
    <t>Orientē-jošais apjoms</t>
  </si>
  <si>
    <t>FKK</t>
  </si>
  <si>
    <t>EKK</t>
  </si>
  <si>
    <t>Kopā, Ceļu fonds</t>
  </si>
  <si>
    <t>Mērķdotācija pašvaldību autoceļiem (ielām)</t>
  </si>
  <si>
    <t xml:space="preserve">Pašvaldības pamatbudžeta asignējumi </t>
  </si>
  <si>
    <t xml:space="preserve">2021.gadā </t>
  </si>
  <si>
    <t xml:space="preserve">2022.gadā </t>
  </si>
  <si>
    <t xml:space="preserve">Attīstības plānošanas dokumenta nosaukums/ Rīcības virziens un aktiv.numurs* </t>
  </si>
  <si>
    <t>2019.gada gaidāmā izpilde</t>
  </si>
  <si>
    <t>2020.gads budžeta pieprasījums</t>
  </si>
  <si>
    <t>2019.gada precizētais budžets</t>
  </si>
  <si>
    <t xml:space="preserve">Finansē-juma apjoms </t>
  </si>
  <si>
    <t>Finansē-juma apjoms</t>
  </si>
  <si>
    <t xml:space="preserve">PAVISAM KOPĀ </t>
  </si>
  <si>
    <r>
      <t xml:space="preserve">Struktūrvienība: </t>
    </r>
    <r>
      <rPr>
        <b/>
        <sz val="9"/>
        <rFont val="Times New Roman"/>
        <family val="1"/>
        <charset val="186"/>
      </rPr>
      <t>Attīstības pārvaldes Infrastruktūras investīciju projektu nodaļas Būvniecības daļa</t>
    </r>
  </si>
  <si>
    <t>KR</t>
  </si>
  <si>
    <t>PB</t>
  </si>
  <si>
    <t xml:space="preserve">KOPĀ </t>
  </si>
  <si>
    <t>Kapitālais remonts</t>
  </si>
  <si>
    <t xml:space="preserve">Ielu  seguma kapitālais </t>
  </si>
  <si>
    <r>
      <t>15 700 m</t>
    </r>
    <r>
      <rPr>
        <sz val="9"/>
        <rFont val="Calibri"/>
        <family val="2"/>
        <charset val="186"/>
      </rPr>
      <t>²</t>
    </r>
  </si>
  <si>
    <t>04.510.</t>
  </si>
  <si>
    <t>5250</t>
  </si>
  <si>
    <r>
      <t>26 700 m</t>
    </r>
    <r>
      <rPr>
        <sz val="9"/>
        <rFont val="Calibri"/>
        <family val="2"/>
        <charset val="186"/>
      </rPr>
      <t>²</t>
    </r>
  </si>
  <si>
    <r>
      <t>14 800 m</t>
    </r>
    <r>
      <rPr>
        <sz val="9"/>
        <rFont val="Calibri"/>
        <family val="2"/>
        <charset val="186"/>
      </rPr>
      <t>²</t>
    </r>
  </si>
  <si>
    <t>Trotuāru izbūve un esošo trotuāru atjaunošana</t>
  </si>
  <si>
    <r>
      <t>2 762 m</t>
    </r>
    <r>
      <rPr>
        <sz val="9"/>
        <rFont val="Calibri"/>
        <family val="2"/>
        <charset val="186"/>
      </rPr>
      <t>²</t>
    </r>
  </si>
  <si>
    <r>
      <t>33 800 m</t>
    </r>
    <r>
      <rPr>
        <sz val="9"/>
        <rFont val="Calibri"/>
        <family val="2"/>
        <charset val="186"/>
      </rPr>
      <t>²</t>
    </r>
  </si>
  <si>
    <r>
      <t>17 900 m</t>
    </r>
    <r>
      <rPr>
        <sz val="9"/>
        <rFont val="Calibri"/>
        <family val="2"/>
        <charset val="186"/>
      </rPr>
      <t>²</t>
    </r>
  </si>
  <si>
    <t>JPAP_P2.1._R.2.1.1._62</t>
  </si>
  <si>
    <t>Seguma remonts, atjaunošana publiskās vietās un pašvaldības teritorijās</t>
  </si>
  <si>
    <r>
      <t>200 m</t>
    </r>
    <r>
      <rPr>
        <sz val="9"/>
        <rFont val="Calibri"/>
        <family val="2"/>
        <charset val="186"/>
      </rPr>
      <t>²</t>
    </r>
  </si>
  <si>
    <r>
      <t>6 655 m</t>
    </r>
    <r>
      <rPr>
        <sz val="9"/>
        <rFont val="Calibri"/>
        <family val="2"/>
        <charset val="186"/>
      </rPr>
      <t>²</t>
    </r>
  </si>
  <si>
    <t>Seguma atjaunošana, teritorijas labiekārtošana pilsētas iekškvartālos</t>
  </si>
  <si>
    <r>
      <t>11 420 m</t>
    </r>
    <r>
      <rPr>
        <sz val="9"/>
        <rFont val="Calibri"/>
        <family val="2"/>
        <charset val="186"/>
      </rPr>
      <t>²</t>
    </r>
  </si>
  <si>
    <r>
      <t>1 400 m</t>
    </r>
    <r>
      <rPr>
        <sz val="9"/>
        <rFont val="Calibri"/>
        <family val="2"/>
        <charset val="186"/>
      </rPr>
      <t>²</t>
    </r>
  </si>
  <si>
    <r>
      <t>1 770 m</t>
    </r>
    <r>
      <rPr>
        <sz val="9"/>
        <rFont val="Calibri"/>
        <family val="2"/>
        <charset val="186"/>
      </rPr>
      <t>²</t>
    </r>
  </si>
  <si>
    <t>JPAP_P2.8._R.2.8.1._106</t>
  </si>
  <si>
    <t>Jaunu autostāvvietu izbūve</t>
  </si>
  <si>
    <r>
      <t>3 130 m</t>
    </r>
    <r>
      <rPr>
        <sz val="9"/>
        <rFont val="Calibri"/>
        <family val="2"/>
        <charset val="186"/>
      </rPr>
      <t>²</t>
    </r>
  </si>
  <si>
    <t>5240</t>
  </si>
  <si>
    <r>
      <t>950 m</t>
    </r>
    <r>
      <rPr>
        <sz val="9"/>
        <rFont val="Calibri"/>
        <family val="2"/>
        <charset val="186"/>
      </rPr>
      <t>²</t>
    </r>
  </si>
  <si>
    <r>
      <t>2 500 m</t>
    </r>
    <r>
      <rPr>
        <sz val="9"/>
        <rFont val="Calibri"/>
        <family val="2"/>
        <charset val="186"/>
      </rPr>
      <t>²</t>
    </r>
  </si>
  <si>
    <t>Grantēto ielu asfaltēšana</t>
  </si>
  <si>
    <r>
      <t>6 050 m</t>
    </r>
    <r>
      <rPr>
        <sz val="9"/>
        <rFont val="Calibri"/>
        <family val="2"/>
        <charset val="186"/>
      </rPr>
      <t>²</t>
    </r>
  </si>
  <si>
    <r>
      <t>19 800 m</t>
    </r>
    <r>
      <rPr>
        <sz val="9"/>
        <rFont val="Calibri"/>
        <family val="2"/>
        <charset val="186"/>
      </rPr>
      <t>²</t>
    </r>
  </si>
  <si>
    <r>
      <t>13 800 m</t>
    </r>
    <r>
      <rPr>
        <sz val="9"/>
        <rFont val="Calibri"/>
        <family val="2"/>
        <charset val="186"/>
      </rPr>
      <t>²</t>
    </r>
  </si>
  <si>
    <t>Tiltu atjaunošana</t>
  </si>
  <si>
    <t>2 gb.</t>
  </si>
  <si>
    <t>2 gab.</t>
  </si>
  <si>
    <t>2 gab</t>
  </si>
  <si>
    <t>Jaunu ielu izbūve</t>
  </si>
  <si>
    <t>3 obj.</t>
  </si>
  <si>
    <t>Veloceliņu tīkla attīstība Jūrmalas pilsētā</t>
  </si>
  <si>
    <r>
      <t>1 490 m</t>
    </r>
    <r>
      <rPr>
        <sz val="9"/>
        <rFont val="Calibri"/>
        <family val="2"/>
        <charset val="186"/>
      </rPr>
      <t>²</t>
    </r>
  </si>
  <si>
    <r>
      <t>2 300 m</t>
    </r>
    <r>
      <rPr>
        <sz val="9"/>
        <rFont val="Calibri"/>
        <family val="2"/>
        <charset val="186"/>
      </rPr>
      <t>²</t>
    </r>
  </si>
  <si>
    <r>
      <t>11 600 m</t>
    </r>
    <r>
      <rPr>
        <sz val="9"/>
        <rFont val="Calibri"/>
        <family val="2"/>
        <charset val="186"/>
      </rPr>
      <t>²</t>
    </r>
  </si>
  <si>
    <t>JPAP_P2.1._R.2.1.2._67</t>
  </si>
  <si>
    <t>Kārtējais remonts</t>
  </si>
  <si>
    <t>Grantēto ielu uzturēšana</t>
  </si>
  <si>
    <r>
      <t>360 000 m</t>
    </r>
    <r>
      <rPr>
        <sz val="9"/>
        <rFont val="Calibri"/>
        <family val="2"/>
        <charset val="186"/>
      </rPr>
      <t>²</t>
    </r>
  </si>
  <si>
    <t>2246</t>
  </si>
  <si>
    <t>97.4 km</t>
  </si>
  <si>
    <t>96.0 km</t>
  </si>
  <si>
    <t>Ceļa seguma remonts (t.sk.bedrīšu remonts)</t>
  </si>
  <si>
    <r>
      <t>8 000 m</t>
    </r>
    <r>
      <rPr>
        <sz val="9"/>
        <rFont val="Calibri"/>
        <family val="2"/>
        <charset val="186"/>
      </rPr>
      <t>²</t>
    </r>
  </si>
  <si>
    <t>Asfalta seguma remonts iekškvartālos</t>
  </si>
  <si>
    <r>
      <t>1 000 m</t>
    </r>
    <r>
      <rPr>
        <sz val="9"/>
        <rFont val="Calibri"/>
        <family val="2"/>
        <charset val="186"/>
      </rPr>
      <t>²</t>
    </r>
  </si>
  <si>
    <t>Ceļu infrastruktūra</t>
  </si>
  <si>
    <t>Ceļa horizontālo apzīmējumu uzklāšana</t>
  </si>
  <si>
    <r>
      <t>7 000 m</t>
    </r>
    <r>
      <rPr>
        <sz val="9"/>
        <rFont val="Calibri"/>
        <family val="2"/>
        <charset val="186"/>
      </rPr>
      <t>²</t>
    </r>
  </si>
  <si>
    <r>
      <t>5 600 m</t>
    </r>
    <r>
      <rPr>
        <sz val="9"/>
        <rFont val="Calibri"/>
        <family val="2"/>
        <charset val="186"/>
      </rPr>
      <t>²</t>
    </r>
  </si>
  <si>
    <r>
      <t>5 700 m</t>
    </r>
    <r>
      <rPr>
        <sz val="9"/>
        <rFont val="Calibri"/>
        <family val="2"/>
        <charset val="186"/>
      </rPr>
      <t>²</t>
    </r>
  </si>
  <si>
    <t>Ceļa zīmju un barjeru ekspluotācija</t>
  </si>
  <si>
    <t>7 630 gab.ceļazīmes/3935 m barjeras</t>
  </si>
  <si>
    <t>7 433 gab./3 560 m</t>
  </si>
  <si>
    <t>Barjeru remonts</t>
  </si>
  <si>
    <t>350 m</t>
  </si>
  <si>
    <t>26 m</t>
  </si>
  <si>
    <t>Jaunu barjeru uzstādīšana</t>
  </si>
  <si>
    <t>500 m</t>
  </si>
  <si>
    <t>5239</t>
  </si>
  <si>
    <t>50 m</t>
  </si>
  <si>
    <t>Ceļa zīmju nomaiņa</t>
  </si>
  <si>
    <t>700 gb.</t>
  </si>
  <si>
    <t>350 gb.</t>
  </si>
  <si>
    <t>2312</t>
  </si>
  <si>
    <t>350 gab.</t>
  </si>
  <si>
    <t>10 gb.</t>
  </si>
  <si>
    <t>Citi</t>
  </si>
  <si>
    <t>Tiltu inspekcija</t>
  </si>
  <si>
    <t>3.obj.</t>
  </si>
  <si>
    <t>Lielupes kreisā krasta atbalstsienas atjaunošana</t>
  </si>
  <si>
    <t>1.obj.</t>
  </si>
  <si>
    <t xml:space="preserve">Jūrmalas pilsētas satiksmes drošības uzlabošana </t>
  </si>
  <si>
    <t>4.obj.</t>
  </si>
  <si>
    <t>Pilsētas centrālās daļas ielu brauktuvju un gājēju celiņu atjaunošana un autostāvvietu izbūve</t>
  </si>
  <si>
    <r>
      <t>Struktūrvienība:</t>
    </r>
    <r>
      <rPr>
        <b/>
        <sz val="9"/>
        <rFont val="Times New Roman"/>
        <family val="1"/>
        <charset val="186"/>
      </rPr>
      <t xml:space="preserve"> Īpašumu pārvaldes Pilsētsaimniecības un labiekārtošanas nodaļa</t>
    </r>
  </si>
  <si>
    <t>Labiekārtošanas pasākumi</t>
  </si>
  <si>
    <t xml:space="preserve">Ielu ietvju un zaļo zonu mehanizētā un nemehanizētā tīrīšana (tai skaitā arī BC kategorijas ielas) </t>
  </si>
  <si>
    <t>365 km</t>
  </si>
  <si>
    <t>05.100.</t>
  </si>
  <si>
    <t>2244</t>
  </si>
  <si>
    <t>Kredītu atmaksa</t>
  </si>
  <si>
    <t>Ceļu un to kompleksa investīciju projektu īstenošana</t>
  </si>
  <si>
    <t>*Informatīvi</t>
  </si>
  <si>
    <t>Jūrmalas pilsētas attīstības programma 2014.-2020.gadam (JPAP):</t>
  </si>
  <si>
    <t>Rīcības virziens: R.2.1.1. Ielu un ceļu rekonstrukcija, satiksmes drošības uzlabošana</t>
  </si>
  <si>
    <t xml:space="preserve">    Aktivitāte: Nr.62 Jūrmalas ielu un tiltu tīkla pilnveide</t>
  </si>
  <si>
    <t>Rīcības virziens: R.2.1.2. Velotransporta infrastruktūras attīstība</t>
  </si>
  <si>
    <t xml:space="preserve">    Aktivitāte: Nr.67 Veloceliņu tīkla attīstība                </t>
  </si>
  <si>
    <t>Rīcības virziens: R.2.8.1. Publiskās telpas pilnveide</t>
  </si>
  <si>
    <t xml:space="preserve">    Aktivitāte: Nr. 106 Jūrmalas pilsētā esošo daudzdzīvokļu namu pagalmu, izglītības iestāžu un piebraucamo ceļu rekonstrukcija</t>
  </si>
  <si>
    <t xml:space="preserve">Budžeta finansēta institūcija: </t>
  </si>
  <si>
    <t>Jūrmalas pilsētas dome</t>
  </si>
  <si>
    <t xml:space="preserve">Reģistrācijas Nr.: </t>
  </si>
  <si>
    <t xml:space="preserve">2020.gada budžeta pieprasījuma atšifrējums pa programmām </t>
  </si>
  <si>
    <t>Struktūrvienība:</t>
  </si>
  <si>
    <t>Attīstības pārvaldes Infrastruktūras investīciju projektu nodaļas Būvniecības daļa</t>
  </si>
  <si>
    <t>Programma:</t>
  </si>
  <si>
    <t>Publisko teritoriju, ēku un mājokļu būvniecība, atjaunošana un uzlabošana</t>
  </si>
  <si>
    <t>Funkcionālās klasifikācijas kods:</t>
  </si>
  <si>
    <t>6.600</t>
  </si>
  <si>
    <t>Pasākums/ aktivitāte/ projekts/ pakalpojuma nosaukums/ objekts</t>
  </si>
  <si>
    <t xml:space="preserve">2020.gada budžeta pieprasījums </t>
  </si>
  <si>
    <t>Ekonomiskās klasifikācijas kodi</t>
  </si>
  <si>
    <t xml:space="preserve">2020.gada budžeta projekts </t>
  </si>
  <si>
    <t>Piezīmes</t>
  </si>
  <si>
    <t>KOPĀ</t>
  </si>
  <si>
    <t xml:space="preserve">Dubultu kultūras un izglītības centrs Strēlnieku prospektā 30, Jūrmalā </t>
  </si>
  <si>
    <t xml:space="preserve">JPAP_P3.3._ R3.3.1._192 JPAP_P3.2_R3.2.4._173
JPKAP U5.5 P5.5.1. </t>
  </si>
  <si>
    <t>Aktivitāte īstenota 2019.gadā</t>
  </si>
  <si>
    <t>Aktivitāte īstenota 2019.gadā.</t>
  </si>
  <si>
    <t>Jūrmalas pašvaldības, Lielupes radīto plūdu un krasta erozijas risku apdraudējumu novēršanas pasākumi Dubultos-Majoros-Dzintaros (SAM 5.1.1.)</t>
  </si>
  <si>
    <t>JPAP_P1.6._R1.6.2._35 
JPŪRARP M.2, RV1.6.2_6</t>
  </si>
  <si>
    <t>Pāriet uz projektiem.</t>
  </si>
  <si>
    <t>Pilotprojekts "Ērts ceļš uz jūru"</t>
  </si>
  <si>
    <t>Pāriet Ceļu programmā.</t>
  </si>
  <si>
    <t>Pašvaldības ēkas Raiņa iela 62, Jūrmalā pārbūve un energoefektivitātes paaugstināšana (ITI SAM 4.2.2.)</t>
  </si>
  <si>
    <t>JPAP_P2.6._ R2.6.2._89 JPAP_P2.9._ R2.9.1._115 JPAP_P3.5._ R3.5.1._216 JPIERP_P.4.3_ A4.3.1 JPIERP_P.4.3_ A4.3.2</t>
  </si>
  <si>
    <t>Priekšfinansējums ES fondu projektam. Projekta iesnieguma izstrāde plānota 2019.gadā. (Projekta Nr.4.2.2.0/19/I/006)</t>
  </si>
  <si>
    <t>Būvprojekta izstrāde.
Pakopojumu līgumu Nr.1.2-16.4.3/675 (10.05.2019.) 62 774.80EUR.  Pakalpojuma līguma ietvaros ir iekļauta Autoruzraudzība 9 704.20EUR apmērā, kas tiks uzsākta 2021.gadā.
2019.gadā izmaksāts 1.avansa maksājums 20% apmērā jeb 12 554.96EUR. 
Būvprojekts minimālā sastāvā būvvaldē iesniegts 23.09.19., precizēti dokumenti tiks iesniegti līdz 06.12.19. 
2020.gadā plānota 2.avansa maksājuma 20% apmērā jeb 12 554.96EUR apmaksa, kas veicama pēc būvatļaujas saņemšanas un gala norēķins 37 664.88EUR apmērā, kopā 50 219.84EUR.</t>
  </si>
  <si>
    <t>Būvprojekta ekspertīze. Zemsliekšņa iepirkums 9999EUR + PVN.</t>
  </si>
  <si>
    <t xml:space="preserve">Būvtāfeles un tehniskās dokumentācijas izstrāde. Orientējoši 370.00EUR. </t>
  </si>
  <si>
    <t>Atpūtu un sportu veicinošas infrastruktūras izveide, atjaunošana un labiekārtošana</t>
  </si>
  <si>
    <t xml:space="preserve"> 08.100</t>
  </si>
  <si>
    <t>Pilsētas atpūtas parka un Jauniešu mājas izveide Kauguros (ITI SAM 3.3.1.)</t>
  </si>
  <si>
    <t xml:space="preserve">JPAP_P2.8._R2.8.1._103 JPAP_P3.7._R3.7.2._230 </t>
  </si>
  <si>
    <t>Priekšfinansējums ES fondu projektam. Projekta iesnieguma izstrāde plānota 2019.gadā. (Projekta Nr.3.3.1.0/19/I/003)</t>
  </si>
  <si>
    <t>Būvprojekta izstrāde.
Pakalpojumu līgums Nr. 1.2-16.4.3/1909 (27.12.2017.) 265 595.00EUR.                         Veikta apmaksa 2019.gadā ieturot līgumsodu 9 295.86EUR.</t>
  </si>
  <si>
    <t>Būvprojekta ekspertīzes.
Pakalpojuma līgums Nr.1.2-16.4.3/1397 16 940.00EUR.                                                  Veikta apmaksa 2019.gadā ieturot līgumsodu 1 400.00EUR.</t>
  </si>
  <si>
    <t>Autoruzraudzība.
Pakalpojumu līgums Nr. 1.2-16.4.3/1909 (27.12.2017.)  44 770.00EUR.
Izmaksas pāriet uz projekta Nr.3.3.1.0/18/I/___ budžetu, pēc projekta iesnieguma apstiprināšanas. Izmaksas iekļautas Investīciju plānā.</t>
  </si>
  <si>
    <t>Daudzfunkcionāla dabas tūrisma centra jaunbūve un meža parka labiekārtojums Ķemeros (ITI SAM 5.6.2.)</t>
  </si>
  <si>
    <t>JPAP_R1.6.1._21
JPIERP_P.4.4_ A4.4.2
JPIERP_P.4.4_ A4.4.3
JPTARP_M1_U1.4._P1.4.1</t>
  </si>
  <si>
    <t xml:space="preserve">Priekšfinansējums ES fondu projektam. Projekta iesnieguma izstrāde plānota 2019.gadā (Projekta Nr.5.5.1.0/19/I/004). </t>
  </si>
  <si>
    <t>Būvprojekta izstrāde.
Pakalpojumu līgumu Nr.1.2-16.4.3/192 (15.02.2018.) 326 700.00EUR.
2018.gadā izmaksāts avanss 98 010.00EUR.
2019.gadā plānots veikt gala norēķinu par Sēravotu ielas jaunbūves (projekts Nr.2) būvprojekta izstrādi 15 255.04 EUR, ieturot līgumsodu 837.96 EUR.
2020.gadā plānots veikt gala norēķinu par Daudzfunkcionāla dabas tūrisma centra jaunbūves būvprojekta izstrādi (Projekts Nr.1) – 172 788.00 EUR un Meža parka labiekārtojuma būvprojekta izstrādi (Projekts Nr.3) – 39 809.00 EUR.
Izpildītājs kavē līgumā noteikto būvprojektu izstrādes termiņu – 29.08.19.</t>
  </si>
  <si>
    <t>Būvprojekta izstrādei – papildus izmaksas.
Vienošanās Nr.1.2-16.4.3/262 (04.03.19.) pie pakalpojumu līguma Nr. 1.2-16.4.3/192 (15.02.18.). Papildus izmaksas 22 933.13EUR.
2020.gadā plānots veikt gala norēķinu par Daudzfunkcionāla dabas tūrisma centra jaunbūves būvprojekta izstrādi (Projekts Nr.1) – 11 658.35 EUR un Meža parka labiekārtojuma būvprojekta izstrādi (Projekts Nr.3) – 11 274.78 EUR, kopā 22 933.13EUR.
Izpildītājs kavē līgumā noteikto būvprojektu izstrādes termiņu – 29.08.19.</t>
  </si>
  <si>
    <t>Būvprojekta ekspertīze. 
Pakalpojumu līgumu Nr.1.2-16.4.3/859 (06.06.2019.) 15 921.05EUR.
2019.gadā plānots pilns norēķins 15 921.05EUR.</t>
  </si>
  <si>
    <t>Autoruzraudzība.
Pakalpojuma līgums Nr.1.2-16.4.3/192 (15.02.2018.) 24 200.00EUR.
Izmaksas pāriet uz projekta Nr.5.6.2.0/19/I/004 budžetu, pēc projekta iesnieguma apstiprināšanas. Izmaksas iekļautas Investīciju plānā.</t>
  </si>
  <si>
    <t>Kultūras centru un namu būvniecība, atjaunošana un uzlabošana</t>
  </si>
  <si>
    <t>08.230</t>
  </si>
  <si>
    <t>Jūrmalas teātra ēkas energoefektivitātes paaugstināšana (ITI SAM 4.2.2.)</t>
  </si>
  <si>
    <t xml:space="preserve">JPAP_P3.3._R3.3.1._192 JPAP_P2.6., R.2.6.2._89 JPIERP_P4.3._A4.3.1        JPKAP_U5.1_P5.1.6. JPTARP_M3_U3.3._P3.3.1 </t>
  </si>
  <si>
    <t>Priekšfinansējums ES fondu projektam. Projekta iesnieguma izstrāde plānota 2019.gadā (Projekta Nr.4.2.2.0/19/I/005).</t>
  </si>
  <si>
    <t>Būvprojekta izstrāde.
Pakalpojumu līgumu Nr.1.2-16.4.3/122 (05.02.2019.) 32 065.00EUR.
2020.gadā plānots norēķins par būvprojekta izstrādi 32 065.00EUR.
Būvprojekts būvvaldē tiks iesniegts līdz 06.12.19. Būvprojekta izstrādi kavēja zemes īpašnieka ilgstošā vilcināšanās ar saskaņojuma sniegšanu.</t>
  </si>
  <si>
    <t>Būvprojekta izstrāde.
Pakalpojumu līgumu Nr.1.2-16.4.3/1390 (19.09.2019.) 5 808.00EUR.
2020.gadā plānots norēķins par būvprojekta būvkonstrukciju daļas izstrādi 5 808.00EUR.
Būvprojekts būvvaldē tiks iesniegts līdz 06.12.19. Būvprojekta izstrādi kavēja zemes īpašnieka ilgstošā vilcināšanās ar saskaņojuma sniegšanu.</t>
  </si>
  <si>
    <t>Būvprojekta ekspertīze. 
Pakalpojumu līgumu Nr.1.2-16.4.3/1288 (06.09.2019.) 9 244.40EUR.
2019.gadā plānots pilns norēķins 9 244.40EUR.</t>
  </si>
  <si>
    <t>Būvtāfeles un tehniskās dokumentācijas izstrāde. Orientējoši 370EUR. Būvtāfeles uzstādīšana tiks veikts 2019.gada decembrī, informējot sabiedrību par plānotajiem būvdarbiem mēneša periodā. Samaksa tiek veikta pēc būvtāfeles demontāžas, kas izriet 2020.gada janvārī.</t>
  </si>
  <si>
    <t>Autoruzraudzība.
Pakalpojuma līgums Nr.1.2-16.4.3/122 (05.02.2019.) 3 630.00EUR.
Izmaksas pāriet uz projekta Nr.4.2.2.0/19/I/005 budžetu, pēc projekta iesnieguma apstiprināšanas. Izmaksas iekļautas Investīciju plānā.</t>
  </si>
  <si>
    <t>Teātra, koncertzāles un estrāžu būvniecība, atjaunošana un uzlabošana</t>
  </si>
  <si>
    <t>08.240</t>
  </si>
  <si>
    <t>Mellužu estrādes ēkas restaurācija un bāra ēkas pārbūve, teritorijas labiekārtojums (SAM 5.5.1.)</t>
  </si>
  <si>
    <t>JPAP_P3.3._R3.3.1._195 JPKAP U1.1, P5.1.1. JPTARP M1, U1.5._P1.5.3</t>
  </si>
  <si>
    <t>ES fondu projekta papildus nepieciešamie darbi ārpus projekta izmaksām. Pamatbudžeta līdzekļi.</t>
  </si>
  <si>
    <t xml:space="preserve">Būvprojekta izstrāde elektrības jaudas palielināšanai.
Izmaksu summa noteikta atbilstoši SIA "S.O.S. projekti" (23.11.18.) sniegtajam cenu piedāvājumam, 530EUR + PVN.
Izmaksas nav iekļaujamas projekta Nr.5.5.1.0/17/I/010 budžetā, jo nav tieši saistītas ar projektā paredzētajām darbībām un projekta mērķa sasniegšanu.
</t>
  </si>
  <si>
    <t xml:space="preserve">Būvdarbi.
Elektrības jaudas palielināšanai.
AS "Sadales tīkli" līgums Nr. 1.2-16.11/806 (28.05.2019.)  7768.97EUR.
Izmaksas nav iekļaujamas projekta Nr.5.5.1.0/17/I/010 budžetā, jo nav tieši saistītas ar projektā paredzētajām darbībām un projekta mērķa sasniegšanu.
</t>
  </si>
  <si>
    <t>Būvuzraudzība.
Pakalpojuma līgums Nr.1.2-16.4.3/810 (28.05.2019.) 5 929.00EUR par papildus būvuzraudzību.
Izmaksu dalījums Projekta līdzekļos iekļaujas līguma summas daļa 5604.50EUR, pamatbudžetā apmaksa 324.50EUR.</t>
  </si>
  <si>
    <t>09.100</t>
  </si>
  <si>
    <t>Pirmsskolas izglītības iestādes ''Bitīte'' pārbūve</t>
  </si>
  <si>
    <t>JPAP_P3.2._R3.2.2._155 JPAP_P2.6_R2.6.2._89 JPIAK_R3.2.2._A11 JPIAK_R3.2.2._A12 JPIAK_R3.2.2._A3</t>
  </si>
  <si>
    <t>Pilsētas projekts, kas pēc būvprojekta izstrādes tiks finansēts no Valsts kases kredīta līdzekļiem.</t>
  </si>
  <si>
    <r>
      <t xml:space="preserve">Būvprojekta izstrāde.
Pakalpojumu līgums Nr.1.2-16.4.3/1744 (07.12.2017) un Vienošanās Nr.1.2-16.4.3/703 (15.05.19.). Kopsumma 51 546.00EUR, t.sk. līguma kopsumma 42 955.00EUR un Vienošanās kopsumma 8 591.00EUR.
2018.gadā veikts 20% avansa maksājums – 8 591.00EUR.
2020.gadā plānots gala norēķins par būvprojekta izstrādi – 42 955.00EUR.
Izpildītājs kavē līgumā noteikto būvprojektu izstrādes termiņu – 20.06.19.
Būvprojekts ekspertīzei nodots 26.09.19. Sākotnējās ekspertīzes atzinums saņemts 18.10.19.
Izpildītājs kavē precizēta būvprojekta iesnigšanas termiņu – 04.11.19.
Atkārtotai ekspertīzei nepieciešamas 2 nedēļas.
Ņemot vērā būvprojekta izstrādes gaitu un izpildītāja ilgstoši kavēto līgumsaistību izpildi, būvprojekta realizācijas iespējas - PII "Bitītes" būvdarbu uzsākšana tiks izvērtēta 2020.gadā.
</t>
    </r>
    <r>
      <rPr>
        <b/>
        <i/>
        <sz val="9"/>
        <rFont val="Times New Roman"/>
        <family val="1"/>
        <charset val="186"/>
      </rPr>
      <t>Pakalpojumu līgumā Nr.1.2-16.4.3/1744 (07.12.17.) noteiktā autoruzraudzības summa – 12 100.00EUR iekļauta Investīciju plānā.</t>
    </r>
  </si>
  <si>
    <t>Būvprojekta ekspertīze.
Pakalpojumu līgums Nr.1.2-16.4.3/658 (08.05.2019.), līguma kopsumma 17 303.00EUR.
Būvprojekts ekspertīzei nodots 26.09.19. Ekspertīzes norisei paredzētas 8 nedēļas, līdz 22.11.19. Ņemot vērā izpildes dokumentācijas izstrādei un saskaņošanai nepieciešamo laiku, norēķini tiek plānoti 2020.gada pirmajā pusē.</t>
  </si>
  <si>
    <t>Būvtāfeles un tehniskās dokumentācijas izstrāde. Saskaņā ar 2019.gada 15.janvāra Cenu piedāvājumu no SIA "TipOff". Samaksa tika veikta pēc būvtāfeles demontāžas 363.00EUR apmērā.</t>
  </si>
  <si>
    <t>Infrastruktūras pilnveide pakalpojumu sniegšanai bērniem ar funkcionāliem traucējumiem (ITI SAM 9.3.1.)</t>
  </si>
  <si>
    <t>JPAP_P3.2., R3.2.2._155 JPIAK R3.2.2.</t>
  </si>
  <si>
    <t>Priekšfinansējums ES fondu projektam. Projekta iesnieguma izstrāde plānota 2019./2020.gadā.                                        Saskaņā ar Eiropas Savienības fondu integrētu teritoriālo investīciju projektu iesniegumu atlases un vērtēšanas komisijas 2019.gada 23.oktobra Lēmumu Nr.1.1.2-3/19 "Lēmums par projekta iesnieguma "Infrastruktūras pilnveide sabiedrībā balstītu sociālo pakalpojumu nodrošināšani Jūrmalā" Nr.9.3.1.1/19/I/031 nosacījumu izpildi" naudas līdzekļi tiks plānoti projekta budžetā.</t>
  </si>
  <si>
    <t>Būvprojekta izstrāde. Mazais iepirkums, orientējoši 15 000.00EUR + PVN. Plānots 2019.gada 4.ceturksnī izsludināt iepirkumu par būvprojekta izstrādi.</t>
  </si>
  <si>
    <t>Saskaņā ar Ministru kabineta 2014.gada 19.augusta noteikumu Nr.500 “Vispārīgie būvnoteikumi” 43.punktu būvprojekta ekspertīze ir obligāta trešās grupas būvju būvprojektiem. Šī ēka ir otrās grupas būvprojekts, kā rezultātā ekspertīze nav veicama obligāti.</t>
  </si>
  <si>
    <t>Būvtāfeles un tehniskās dokumentācijas izstrāde. Orientējoši 370.00EUR.</t>
  </si>
  <si>
    <t xml:space="preserve">Sākumskolu, pamatskolu, vidusskolu būvniecība, atjaunošana un uzlabošana </t>
  </si>
  <si>
    <t>09.210</t>
  </si>
  <si>
    <t>Jūrmalas pilsētas Ķemeru pamatskolas ēkas pārbūve un energoefektivitātes paaugstināšana (ITI SAM 4.2.2.)</t>
  </si>
  <si>
    <t>JPAP_P3.2._R3.2.3._165 JPIAK R3.2.3.            VVPJP M2.3.2; U 1_1.1</t>
  </si>
  <si>
    <t>Priekšfinansējums ES fondu projektam. Būvdarbu, būvuzraudzības un autoruzraudzības izmaksas pāriet uz projekta Nr. 4.2.2.0/18/I/065  budžetu, pēc projekta iesnieguma apstiprināšanas. Izmaksas iekļautas Investīciju plānā.</t>
  </si>
  <si>
    <t>Būvprojekta izstrāde.
Pakalpojumu līgums Nr.1.2-16.4.3/1738 (06.12.2017.), 64 130.00EUR.
2018.gadā izmaksāti divi avansa maksājumi 32 065.00EUR.
2019.gadā veikts gala norēķins 32 065E.00UR, ieturot soda naudu 6 413.00EUR apmērā.</t>
  </si>
  <si>
    <t>Būvprojekta ekspertīze.
Pakalpojuma līgums Nr.1.2-16.4.3/1135 (18.09.2018.), 17545EUR.</t>
  </si>
  <si>
    <t>Autoruzraudzība.
Pakalpojumu līgums Nr.1.2-16.4.3/1738 (06.12.2017.), 6 413.00EUR.
Pāriet uz projekta Nr.4.2.2.0/18/I/065 budžetu, pēc projekta iesnieguma apstiprināšanas. Izmaksas iekļautas Investīciju plānā.</t>
  </si>
  <si>
    <t>Lielupes pamatskolas pārbūve un sporta zāles piebūve</t>
  </si>
  <si>
    <t>JPAP_P1.6._R1.6.3_41 JPAP_P2.6._R2.6.2._89 JPAP_P3.2._R3.2.3._165 JPIERP_P4.3._A4.3.1 JPIERP_P4.3._A4.3.2  JPIAK_R3.2.3._A17     JPSAAAS_M1_U 1.2_PI.4                         VVPJP_M2.3.2_U1_1.1</t>
  </si>
  <si>
    <t>Jūrmalas Valsts ģimnāzijas ēkas Raiņa iela 55, Jūrmalā, pārbūve (ITI SAM 8.1.2.)</t>
  </si>
  <si>
    <t xml:space="preserve">JPAP_P3.2._R3.2.3._165
JPIAK R3.2.3.   </t>
  </si>
  <si>
    <t>Priekšfinansējums ES fondu projektam. Būvdarbu, būvuzraudzības un autoruzraudzības izmaksas pāriet uz projekta Nr.8.1.2.0/18/I/006 budžetu, pēc projekta iesnieguma apstiprināšanas. Izmaksas iekļautas Investīciju plānā.</t>
  </si>
  <si>
    <t>Mežmalas vidusskola</t>
  </si>
  <si>
    <t xml:space="preserve">JPAP_P2.6._R2.6.2._89 JPAP_P3.2._R3.2.3._165 
JPIAK_R3.2.3._A11 VVPJP_M2.3.2_U1_1.1   </t>
  </si>
  <si>
    <t>Būvprojekta izstrāde.
Iepirkums sporta zāles pārbūves būvprojekta izstrādei ir sagatavots un tiks izsludināts 2019.gada 4.ceturksnī. Mazais iepirkums, orientējoši 41 300EUR+PVN. Norēķini plānoti 2020.gadā. Būvprojekta izstrādei paredzēti 12 mēneši (2019.gada decembris – 2020.gada novembris). 
Budžeta projekts pie PĪNPĪTND</t>
  </si>
  <si>
    <t>Būvprojekta izstrāde un autoruzraudzība.
Iepirkums sporta stadiona pārbūves būvprojekta izstrādei ir sagatavots un tiks izsludināts kopā ar sporta zāles pārbūves būvprojekta izstrādi 2019.gada 4.ceturksnī. Mazais iepirkums, orientējoši 12000EUR+PVN. Norēķini plānoti 2020.gadā.
Būvprojekta izstrādei paredzēti 5 mēneši (2019.gada decembris – 2020.gada aprīlis), izbūvei 5 mēneši (2020.gada jūnijs – oktobris). 
Budžeta projekts pie PĪNPĪTND</t>
  </si>
  <si>
    <t>Būvdarbi sporta stadiona pārbūvei.
Mazais būvdarbu iepirkums, orientējoši 160 000EUR + PVN. 
Budžeta projekts pie PĪNPĪTND</t>
  </si>
  <si>
    <t>Būvuzraudzība sporta stadiona pārbūvei.
Mazais būvdarbu iepirkums, orientējoši 2% no būvdarbu vērtības, 3 200EUR + PVN. 
Budžeta projekts pie PĪNPĪTND</t>
  </si>
  <si>
    <t>Pārējo sociālo iestāžu būvniecība, atjaunošana un uzlabošana</t>
  </si>
  <si>
    <t>10.700</t>
  </si>
  <si>
    <t>Jūrmalas pilsētas pašvaldības iestādes "Jūrmalas veselības veicināšanas un sociālo pakalpojumu centrs" ēku energoefektivitātes paaugstināšanas pasākumi un ēkas pārbūve</t>
  </si>
  <si>
    <t>JPAP_P2.5._R.3.5.1._223 JPAP_P2.6._R.2.6.2._89</t>
  </si>
  <si>
    <t>Pilsētas projekts, kas pēc būvprojekta izstrādes tiks finansēts no Valsts kases kredīta līdzekļiem.                                                             Saskaņā ar Informatīvā ziņojuma projektu “Ziņojums  par Jūrmalas pilsētas pašvaldībā sociālās aprūpes un sociālās rehabilitācijas pakalpojumu un infrastruktūras pieejamību”  iestādes "Jūrmalas veselības veicināšanas un sociālo pakalpojumu centrs" plānotie projektēšanas darbi ir izvērtējami 2020.gada ietvaros, realizācijas uzsākšanu plānojot 2021.gadā.</t>
  </si>
  <si>
    <t>Būvprojekta izstrāde. 
Atklāts konkurss, orientējoši 68 500.00EUR + PVN (ar PVN 82 885.00EUR).           2020.gadā plānots 60%, 2021.gadā 40% apmērā.                                                       Iepriekš izstrādātais būvprojekts saskaņā ar līgumu  - Pakalpojumu līgums Nr.1.2-16.4.3/1185 (18.08.2017.) lauzts 01.03.2018. vēstule Nr.1.1-37/831.</t>
  </si>
  <si>
    <t>Būvprojekta ekspertīze. Mazais iepirkums, orientējoši 12 000.00EUR + PVN.</t>
  </si>
  <si>
    <t xml:space="preserve">Administratīvās ēkas pārbūve sociālo funkciju nodrošināšanai, Talsu šosejā 31 k-25, Jūrmalā </t>
  </si>
  <si>
    <t xml:space="preserve">JPAP_P2.5._R.3.5.1._223 </t>
  </si>
  <si>
    <t>Talsu šosejā 31 k-25, Jūrmalā. Pilsētas projekts, kas tiek finansēts no Valsts kases kredīta līdzekļiem un pamatbudžeta līdzekļiem.</t>
  </si>
  <si>
    <t>Pamatbudžeta līdzekļi</t>
  </si>
  <si>
    <t>Kredīta līdzekļi</t>
  </si>
  <si>
    <t>Būvdarbi. 
Būvdarbu līgums Nr. 1.2-16.4.2/113 (29.01.2018.), 1 000 044.02EUR.
2018.gadā apgūts – 237 528.05EUR.
2019.gadā plānots gala norēķins – 762 515.97EUR.
Valsts kases kredīta līdzekļi.</t>
  </si>
  <si>
    <t>Autoruzraudzība.
Pakalpojuma līgums Nr.1.2-16.4.3/1433 (03.11.2016.).
Norēķini 2420.00EUR apmērā veikti vienreiz pēc darbu izpildes pabeigšanas.</t>
  </si>
  <si>
    <t>Būvuzraudzība.
Pakalpojumu līgums Nr. 1.2-16.4.3/151 (06.02.2018.), 12087.90 EUR.
Norēķini veikti proporcionāli būvdarbu grafikam - 2018.gadā apgūts 4029.30EUR, 2019.gadā 8058.60EUR.</t>
  </si>
  <si>
    <t>Būvuzraudzība.
Pakalpojumu līgums Nr. 1.2-16.4.3/151 (06.02.2018.), 12087.90 EUR.
Norēķini veikti proporcionāli būvdarbu grafikam - 2018.gadā apgūtie līdzekļi 4029.30EUR apmērā no pamatbudžeta līdzekļiem.</t>
  </si>
  <si>
    <t xml:space="preserve">Būvprojekta izmaiņu projekta dokumentācijas izstrāde. </t>
  </si>
  <si>
    <t>Valsts zemes dienests, kadastrālās uzmērīšanas lieta.</t>
  </si>
  <si>
    <t>Infrastruktūras izveide bez vecāku gādības palikušu bērnu aprūpei ģimeniskā vidē (ITI SAM 9.3.1.)</t>
  </si>
  <si>
    <t xml:space="preserve"> JPAP_P3.5._R.3.5.1._216</t>
  </si>
  <si>
    <t>Priekšfinansējums ES fondu projektam. Projekta iesnieguma izstrāde plānota 2019./2020.gadā. Saskaņā ar Eiropas Savienības fondu integrētu teritoriālo investīciju projektu iesniegumu atlases un vērtēšanas komisijas 2019.gada 23.oktobra Lēmumu Nr.1.1.2-3/19 "Lēmums par projekta iesnieguma "Infrastruktūras pilnveide sabiedrībā balstītu sociālo pakalpojumu nodrošināšani Jūrmalā" Nr.9.3.1.1/19/I/031 nosacījumu izpildi" naudas līdzekļi tiks iekļauti projekta budžetā.</t>
  </si>
  <si>
    <t>Būvprojekta izstrāde. Mazais iepirkums, orientējoši 41 000.00EUR + PVN.                 Plānots 2019.gada 4.ceturksnī izsludināt iepirkumu par būvprojekta izstrādi.</t>
  </si>
  <si>
    <t>Infrastruktūras pilnveide sabiedrībā balstītu sociālo pakalpojumu sniegšanai personām ar garīga rakstura traucējumiem (ITI SAM 9.3.1.)</t>
  </si>
  <si>
    <t xml:space="preserve"> JPAP_P3.5._R.3.5.1._223</t>
  </si>
  <si>
    <t>Būvprojekta izstrāde. Mazais iepirkums, orientējoši 30 000.00EUR + PVN.</t>
  </si>
  <si>
    <t>Jaunu grupu dzīvokļu izveide sabiedrībā balstītu sociālo pakalpojumu sniegšanai personām ar garīga rakstura traucējumiem (ITI SAM 9.3.1.)</t>
  </si>
  <si>
    <t>Kopā finansējums pa programmām</t>
  </si>
  <si>
    <t>Jūrmalas pilsētas attīstības programma 2014.-2020.gadam (JPAP)</t>
  </si>
  <si>
    <t>Prioritātes:</t>
  </si>
  <si>
    <t>P1.4. Viesmīlības pakalpojumu attīstība</t>
  </si>
  <si>
    <t>P1.6. Aktīvā un dabas tūrisma attīstība</t>
  </si>
  <si>
    <t>P1.7. Kultūras tūrisma attīstība</t>
  </si>
  <si>
    <t>P2.1. Ceļu un ielu, to apgaismojuma kvalitātes uzlabošana, satiksmes drošības uzlabojumi, veloceliņu un gājēju celiņu attīstība</t>
  </si>
  <si>
    <t>P2.4. Jūrmalas ostas attīstība un kuģošanas infrastruktūras attīstība Lielupē</t>
  </si>
  <si>
    <t>P2.6. Energoapgādes un sakaru attīstība</t>
  </si>
  <si>
    <t>P2.8. Publiskās telpas labiekārtošana</t>
  </si>
  <si>
    <t>P2.9. Dzīvojamā fonda attīstība</t>
  </si>
  <si>
    <t>P3.2. Kvalitatīva un sociāli pieejama izglītība</t>
  </si>
  <si>
    <t>P3.3. Daudzveidīgas kultūras un sporta vide</t>
  </si>
  <si>
    <t>P3.5. Kvalitatīvs sociālais atbalsts</t>
  </si>
  <si>
    <t>P3.7. Atbalsts uzņēmējdarbības iniciatīvām un uzņēmēju sadarbības veicināšana</t>
  </si>
  <si>
    <t>Rīcības virzieni:</t>
  </si>
  <si>
    <t>R1.4.3.: Citu tūrisma pakalpojumu attīstība</t>
  </si>
  <si>
    <t>R1.6.1.: Dabas tūrisma infrastruktūras attīstība</t>
  </si>
  <si>
    <t>R1.6.2.: Peldvietu infrastruktūras attīstība</t>
  </si>
  <si>
    <t>R1.7.2.: Kultūras tūrisma infrastruktūras attīstība</t>
  </si>
  <si>
    <t>R2.1.1.: Ielu un ceļu rekonstrukcija, satiksmes drošības uzlabošana</t>
  </si>
  <si>
    <t>R2.4.2.: Kuģošanas infrastruktūras attīstība Lielupē</t>
  </si>
  <si>
    <t>R2.6.2.: Racionālas un videi draudzīgas energoapgādes sistēmas attīstība</t>
  </si>
  <si>
    <t>R2.8.1.: Publiskās telpas pilnveide</t>
  </si>
  <si>
    <t>R2.8.2.: Kapsētu un to infrastruktūras labiekārtošana</t>
  </si>
  <si>
    <t>R2.9.1.: Pašvaldības dzīvojamā fonda attīstība</t>
  </si>
  <si>
    <t>R3.1.2.: Pašvaldības pārvaldes kapacitātes celšana</t>
  </si>
  <si>
    <t>R3.2.1.: Kopējā sektora attīstība, pārvaldība</t>
  </si>
  <si>
    <t>R3.2.2.: Pirmsskolas izglītības pakalpojumi</t>
  </si>
  <si>
    <t>R3.2.3.: Vispārizglītojošo skolu izglītības pakalpojumi</t>
  </si>
  <si>
    <t>R3.2.4.: Profesionālās ievirzes un interešu izglītības pakalpojumi</t>
  </si>
  <si>
    <t>R3.3.1.: Pilsētas kultūras iestāžu un muzeju darbības pilnveide</t>
  </si>
  <si>
    <t>R3.3.3.: Sporta sektora attīstība</t>
  </si>
  <si>
    <t>R3.5.1.: Sociālo pakalpojumu attīstība</t>
  </si>
  <si>
    <t>R3.7.2.: Vietējās uzņēmējdarbības atbalsta infrastruktūras attīstība</t>
  </si>
  <si>
    <t>Aktivitātes:</t>
  </si>
  <si>
    <t>Nr.17 Tūrisma pakalpojumu piedāvājuma dažādošana</t>
  </si>
  <si>
    <t>Nr.21 Daudzfunkcionāla, interaktīva dabas tūrisma objekta izveide Ķemeros</t>
  </si>
  <si>
    <t>Nr.30 Pašvaldības īpašumā esošo glābšanas staciju rekonstrukcija un būvniecība</t>
  </si>
  <si>
    <t xml:space="preserve">Nr.35 Krasta erozijas procesu aizkavēšanas pasākumi </t>
  </si>
  <si>
    <t>Nr.45 Ķemeru teritorijas un Ķemeru parka infrastruktūras atjaunošana un pilnveide</t>
  </si>
  <si>
    <t>Nr.62 Jūrmalas ielu un tiltu tīkla pilnveide</t>
  </si>
  <si>
    <t>Nr.80 Lielupes kuģošanas un ūdenstūrisma infrastruktūras un pakalpojumu attīstība</t>
  </si>
  <si>
    <t>Nr.89 Ilgtspējīga atjaunojamo energoresursu izmantošana, energoefektivitātes paaugstināšana un energopārvaldības sistēmas ieviešana un sertificēšana Jūrmalas pašvaldības teritorijā</t>
  </si>
  <si>
    <t>Nr.98 Parku, skvēru un kūrorta mazās infrastruktūras attīstība uzturēšana</t>
  </si>
  <si>
    <t xml:space="preserve">Nr.99 Publiskās telpas apsaimniekošana </t>
  </si>
  <si>
    <t>Nr.103 Pilsētas atpūtas parka un Jauniešu mājas izveide</t>
  </si>
  <si>
    <t xml:space="preserve">Nr.115 Jūrmalas pašvaldības dzīvojamā fonda attīstības plānošana un plānu realizācija </t>
  </si>
  <si>
    <t xml:space="preserve">Nr.131 Kvalitatīva pašvaldības pārvaldes kapacitātes nodrošināšana </t>
  </si>
  <si>
    <t>Nr.155 Pirmsskolas izglītības iestāžu mācību vides uzlabošana</t>
  </si>
  <si>
    <t>Nr.165 Vispārējās izglītības iestāžu mācību vides uzlabošana</t>
  </si>
  <si>
    <t>Nr.185 Profesionālās ievirzes un interešu izglītības iestāžu mācību vides uzlabošana</t>
  </si>
  <si>
    <t>Nr.192 Jūrmalas kultūras iestāžu ēku remonts un būvniecība, teritoriju labiekārtošana un materiāltehniskais nodrošinājums</t>
  </si>
  <si>
    <t xml:space="preserve">Nr.195 Mellužu estrādes kompleksa restaurācija un pārbūve </t>
  </si>
  <si>
    <t xml:space="preserve">Nr.196  Ķemeru ūdenstorņa restaurācija un pārbūve </t>
  </si>
  <si>
    <t>Nr.200 Jūrmalas brīvdabas muzeja attīstība</t>
  </si>
  <si>
    <t>Nr.206 Publiskās sporta infrastruktūras attīstība</t>
  </si>
  <si>
    <t>Nr.216 Sociālā atbalsta infrastruktūras attīstība</t>
  </si>
  <si>
    <t>Nr.223 Kvalitatīva sociālās palīdzības nodrošināšana un sociālā atbalsta sniegšana</t>
  </si>
  <si>
    <t>Nr.230 Uzņēmējdarbības veicināšana</t>
  </si>
  <si>
    <t>Jūrmalas pilsētas ūdens resursu aizsardzības rīcības plāns 2016.-2020.gadam (JPŪRARP)</t>
  </si>
  <si>
    <t>Mērķis Nr.4 Piekrastes ūdeņu un Lielupes plānotā izmantošana</t>
  </si>
  <si>
    <t>Rīcības virziens: RV2.4.1. Jūrmalas ostas attīstība</t>
  </si>
  <si>
    <t>Uzdevums Nr.13 Uzlabot Jūrmalas ostas infstruktūru atbilstoši ostas attīstības programmai</t>
  </si>
  <si>
    <t>Mērķis Nr.2 Veselīga jūras vides</t>
  </si>
  <si>
    <t>Rīcības virziens: RV1.6.2. Peldvietu infstruktūras attīstība</t>
  </si>
  <si>
    <t>Uzdevums Nr.6 Aizkavēt krasta erozijas procesu</t>
  </si>
  <si>
    <t>Jūrmalas pilsētas ilgtspējības enerģētikas rīcības programma 2013.-2020.gadam (JPIERP)</t>
  </si>
  <si>
    <t xml:space="preserve">Pasākums: 4.3.  Pasākumi ēku sektorā </t>
  </si>
  <si>
    <t>Aktivitāte: 4.3.1. Enerģijas patērīņa samazināšana pašvaldības un tās kapitālsabiedrību ēkās</t>
  </si>
  <si>
    <t xml:space="preserve">Pasākums 4.4.  Ielu apgaismojuma sistēmas modernizācija </t>
  </si>
  <si>
    <t xml:space="preserve">Aktivitāte: 4.4.2. Gaismekļu un luksoforu nomaiņa </t>
  </si>
  <si>
    <t xml:space="preserve">Aktivitāte: 4.4.3. Ielu apgaismojuma uzstādīšana pilsētā vēl neapgaismotajās ielās </t>
  </si>
  <si>
    <t>Jūrmalas pilsētas tūrisma attīstības rīcības plāns  2018.-2020.gadam (JPTARP)</t>
  </si>
  <si>
    <t>Mērķi:</t>
  </si>
  <si>
    <t>AM1: Atpūtas, rekreācijas un viesmīlības pakalpojumu pilnveidošana un kvalitātes uzlabošana</t>
  </si>
  <si>
    <t>AM3: Jūrmalas kā konferenču, kongresu, pasākumu un motivējošā tūrisma (MICE) galamērķa attīstība</t>
  </si>
  <si>
    <t>Uzdevumi:</t>
  </si>
  <si>
    <t>1.2. Atpūtas un rekreācijas tūrisma piedāvājuma pilnveidošana vietējiem un ārvalstu viesiem</t>
  </si>
  <si>
    <t>1.3. Izziņas, kultūrizgizglītojošā tūrisma piedāvājuma pilnveide</t>
  </si>
  <si>
    <t>1.4. Dabas tūrisma piedāvājuma attīstības veicināšana un popularizēšana</t>
  </si>
  <si>
    <t>1.5. Pasākumu un aktivitāšu piedāvājuma pilnveidošana ģimenēm ar bērniem</t>
  </si>
  <si>
    <t>3.5. Infrastruktūras attīstība un vide MICE, t.sk. pasākumu tūrisma attīstībai</t>
  </si>
  <si>
    <t>Pasākumi:</t>
  </si>
  <si>
    <t>P. 1.2.10. Ķemeru parka pārbūve un restaurācija</t>
  </si>
  <si>
    <t xml:space="preserve">P. 1.2.11. Stāvvietas izbūve E.Dārziņa ielā 17 un Tūristu ielas atjaunošana </t>
  </si>
  <si>
    <t xml:space="preserve">P. 1.2.12. Ūdens tūrisma  pakalpojumu centra “Majori” izveide (Straumes ielā 1a)
</t>
  </si>
  <si>
    <t>P. 1.3.1. Ķemeru ūdenstorņa atjaunošana</t>
  </si>
  <si>
    <t xml:space="preserve">P 1.4.1. Daudzfunkcionāla interaktīva dabas tūrisma objekta izveide Ķemeros </t>
  </si>
  <si>
    <t xml:space="preserve">P. 1.5.3. Mellužu estrādes un Piena paviljona/bāra ēkas atjaunošana, t.sk. teritorijas labiekārtošana </t>
  </si>
  <si>
    <t>Jūrmalas pilsētas kultūrvides attīstības plāns 2017.–2020.gadam (JPKAP)</t>
  </si>
  <si>
    <t>RV1: Radošā Jūrmala: apkaimju unikalitātes stiprināšana un iedzīvotāju līdzdalības sekmēšana.</t>
  </si>
  <si>
    <t>RV2: Kultūras piedāvājuma izcilība un daudzveidība Jūrmalā: kvalitatīva un sistemātiska kultūras piedāvājuma veidošana dažādām mērķauditorijas grupām vietējā, nacionālā un starptautiskā mērogā.</t>
  </si>
  <si>
    <t>RV5: Kultūras pieejamība Jūrmalā: ģeogrāfiski līdzsvarota kultūras infrastruktūras attīstība un kultūras pieejamības sekmēšana.</t>
  </si>
  <si>
    <t xml:space="preserve">Uzdevumi: </t>
  </si>
  <si>
    <t>U1.1. Rosināt un atbalstīt radošu un oriģinālu kultūras piedāvājumu integrēšanu pilsētvidē; akcentēt apkaimju vizuālo un saturisko identitāti.</t>
  </si>
  <si>
    <t xml:space="preserve">U2.1. Rīkot kvalitatīvas un daudzveidīgas kultūras norises konkrētiem auditorijas segmentiem  (jūrmalniekiem, vietēja mēroga un starptautiskiem tūristiem) katrā sezonā. </t>
  </si>
  <si>
    <t xml:space="preserve">U5.1. Attīstīt kultūras tūrismu Jūrmalā. </t>
  </si>
  <si>
    <t>U5.2. Aktualizēt kūrorta un tikšanās vietas tēlu.</t>
  </si>
  <si>
    <t xml:space="preserve">U5.3. Labiekārtot publisko telpu. </t>
  </si>
  <si>
    <t>U5.4. Veidot uz nākotni orientētu pilsētas pārvaldību, kas atbalsta pilsonisko iniciatīvu</t>
  </si>
  <si>
    <t>U5.5. Attīstīt daudzveidīgu kultūras vidi.</t>
  </si>
  <si>
    <t>P1.1.2. Mellužu estrādes un Piena paviljona/bāra ēkas atjaunošana, t.sk. teritorijas labiekārtošana.</t>
  </si>
  <si>
    <t>P5.1.1. Jūrmalas brīvdabas muzeja infrastruktūras attīstība, tai skaitā autostāvvietas izbūve un jaunas ēkas izbūve administratīvām un apmeklētāju vajadzībām.</t>
  </si>
  <si>
    <t>P5.1.2. Jūrmalas pilsētas muzeja 3. kārtas īstenošana</t>
  </si>
  <si>
    <t>P.5.1.3. Jūrmalas kultūras centra infrastruktūras pilnveide, tajā skaitā Jūrmalas Mākslinieku nama infrastruktūras uzlabošana.</t>
  </si>
  <si>
    <t>P5.1.4. Jūrmalas mākslas telpas izveide – projekta izstrāde.</t>
  </si>
  <si>
    <t>P5.1.5. Kauguru kultūras nama infrastruktūras pilnveide.</t>
  </si>
  <si>
    <t>P5.1.6. Jūrmalas teātra ēkas pārbūve un energoefektivitātes paaugstināšana Muižas ielā 7, Jūrmalā (ITI SAM 4.2.2.).</t>
  </si>
  <si>
    <t>P5.2.1. Ķemeru ūdenstorņa atjaunošana (SAM 5.5.1.)</t>
  </si>
  <si>
    <t>P5.3.1. Jaunrades parka un Jauniešu mājas izveide Kauguros (ITI SAM 3.3.1.).</t>
  </si>
  <si>
    <t>P5.3.2. Jūrmalas 6 bibliotēku infrastruktūras pilnveide.</t>
  </si>
  <si>
    <t>P5.4.1. Sabiedriskā centra Valtera prospektā 54, Jūrmalā attīstība</t>
  </si>
  <si>
    <t>P5.5.1. Dubultu kultūras un izglītības centrs Strēlnieku prospektā 30, Jūrmalā</t>
  </si>
  <si>
    <t>Jūrmalas pilsētas izglītības attīstības koncepcija 2015.-2020.gadam (JPIAK)</t>
  </si>
  <si>
    <t>Tematiskais plānojums "Ķemeru attīstības vīzija" (TP ĶAV)</t>
  </si>
  <si>
    <t>2. Uzdevums: Uzlabot satiksmes infrastruktūru</t>
  </si>
  <si>
    <t>2.3. Izveidot jaunus stāvlaukumus</t>
  </si>
  <si>
    <t>4. Uzdevums: Rekonstruēt ūdenstorni, veidojot daudzfunkcionālu izmantošanu</t>
  </si>
  <si>
    <t>4.1. Rekonstruēt ūdenstorni</t>
  </si>
  <si>
    <t>4.2. Izveidot ūdenstornī tūrisma informācijas centru</t>
  </si>
  <si>
    <t>Jūrmalas pilsētas sporta un aktīvās atpūtas attīstības starteģija 2008.-2020.gadam (JPSAAAS)</t>
  </si>
  <si>
    <t>Mērķis:</t>
  </si>
  <si>
    <t>1. Sporta un aktīvās atpūtas infrastruktūras pilnveide un veicināšana</t>
  </si>
  <si>
    <t>1.1. Sporta infrastruktūras pilnveidošana</t>
  </si>
  <si>
    <t>1.2. Sporta bāžu izveide/pilnveide treniņnometņu organizēšanai visa gada garumā</t>
  </si>
  <si>
    <t>1.4.  Sporta infrastruktūras pielāgošana personām ar kustību traucējumiem</t>
  </si>
  <si>
    <t>Veselības veicināšanas  plāns Jūrmalas pilsētai 2013.-2020.gadam (VVPJP)</t>
  </si>
  <si>
    <t>Mērķis</t>
  </si>
  <si>
    <t xml:space="preserve">2.1.: Atbalstošas un drošas vides attīstīšana, uzturēšana un pilnveidošana </t>
  </si>
  <si>
    <t xml:space="preserve">Uzdevums: 1. Vides pieejamības nodrošināšana personām ar īpašām vajadzībām (ar nespēju) </t>
  </si>
  <si>
    <t xml:space="preserve">Aktivitāte: 1.1. Aprīkot Jūrmalas pirmskolas izglītības iestādes un vispārizglītojošās skolas ar tehniskām iekārtām, kas nodrošina piekļūšanu ēkām un pārvietošanos tajās.  
</t>
  </si>
  <si>
    <t xml:space="preserve">2.3.2.:  Fizisko aktivitāšu veicināšana </t>
  </si>
  <si>
    <t xml:space="preserve">Uzdevums: 1. Sporta sistēmas, infrastruktūras attīstīšana un pakalpojumu piedāvājuma paplašināšana bērnu (skolēnu) fizisko aktivitāšu veicināšanas nolūkos   </t>
  </si>
  <si>
    <t>Aktivitāte: 1.1. Radīt iespējas bērniem pie izglītības iestādēm esošo sporta infrastruktūru izmantot ārpus mācību stundām</t>
  </si>
  <si>
    <t>Aktivitāte: 1.5. Nodrošināt bērniem nepieciešamo fizioterapeita pakalpojumu pieejamību bez samaksas, lai radītu iespēju nodarboties ar fiziskiem vingrinājumiem, gan individuāli, gan grupās, kuri sekmē bērnu veselības uzlabošanu, (stājas korekciju, skeleto muskulārās sistēmas stiprināšanu, u.c.) realizējot šos pasākumus, iesaistot vecākus, apmācot gan bērnus, gan vecākus, lai vingrinājumus varētu veikt ikdienā.</t>
  </si>
  <si>
    <t>Attīstības pārvaldes Infrastruktūras investīciju projekta nodaļa</t>
  </si>
  <si>
    <t>Pilsētas ekonomiskās attīstības pasākumi</t>
  </si>
  <si>
    <t>04.900</t>
  </si>
  <si>
    <t>Darbības programmas "Izaugsme un nodarbinātība" projektu iesniegumu pamatojošās un pielikumu dokumentācijas izstrāde (projektu izmaksu un ieguvumu analīzes izstrāde)</t>
  </si>
  <si>
    <r>
      <t>JPAP_P2.4._R2.4.2._80 
JPAP_P2.8._R2.8.1._99 JPAP_P3.7._R3.7.2._230
JPŪRARP_M4_RV2.4.1_13</t>
    </r>
    <r>
      <rPr>
        <sz val="9"/>
        <rFont val="Times New Roman"/>
        <family val="1"/>
        <charset val="186"/>
      </rPr>
      <t xml:space="preserve">
JPTARP_M.1_U1.2._P1.2.12 JPIERP_P.4.4_ A4.4.2
JPIERP_P.4.4_ A4.4.3</t>
    </r>
  </si>
  <si>
    <t>Projekta "Jūrmalas ūdenstūrisma pakalpojumu infrastruktūras attīstība atbilstoši pilsētas ekonomiskajai specializācijai (centra "Majori" izveide) (ITI SAM 3.3.1.)" Izmaksu un ieguvumu analīzes izstrādes izmaksas.
Pakalpojumu līgums Nr.1.2-16.4.3/1481 (01.11.2017.).</t>
  </si>
  <si>
    <r>
      <rPr>
        <sz val="9"/>
        <color theme="1"/>
        <rFont val="Times New Roman"/>
        <family val="1"/>
        <charset val="186"/>
      </rPr>
      <t xml:space="preserve">JPAP_P1.2._R1.2.1._8 JPAP_P1.2._R1.2.1._9 JPAP_P1.2._R1.2.1._12 </t>
    </r>
    <r>
      <rPr>
        <sz val="9"/>
        <rFont val="Times New Roman"/>
        <family val="1"/>
        <charset val="186"/>
      </rPr>
      <t xml:space="preserve">JPAP_P1.7._R1.7.2._45 JPAP_P2.1._R.2.1.1._62 JPAP_P2.8._R2.8.1._98
JPAP_P2.8._R2.8.1._99 
JPTARP_M1_U1.2._P1.2.10
JPIERP_P.4.4_ A4.4.2
JPIERP_P.4.4_ A4.4.3              </t>
    </r>
    <r>
      <rPr>
        <sz val="9"/>
        <color theme="1"/>
        <rFont val="Times New Roman"/>
        <family val="1"/>
        <charset val="186"/>
      </rPr>
      <t>TP ĶAV M2_U3.1</t>
    </r>
  </si>
  <si>
    <t>Projekta "Ķemeru parka pārbūve un restaurācija (ITI SAM 5.6.2.) " Izmaksu un ieguvumu analīzes izstrādes izmaksas.
Pakalpojumu līgums Nr.1.2-16.4.3/1481 (01.11.2017.).</t>
  </si>
  <si>
    <r>
      <t xml:space="preserve">JPAP_P1.7._R1.7.2._45 JPAP_P2.1._R.2.1.1._62 </t>
    </r>
    <r>
      <rPr>
        <sz val="9"/>
        <color theme="1"/>
        <rFont val="Times New Roman"/>
        <family val="1"/>
        <charset val="186"/>
      </rPr>
      <t xml:space="preserve">JPAP_P2.1._R.2.1.1._63  </t>
    </r>
    <r>
      <rPr>
        <sz val="9"/>
        <rFont val="Times New Roman"/>
        <family val="1"/>
        <charset val="186"/>
      </rPr>
      <t xml:space="preserve">JPAP_P2.8._R2.8.1._98
JPAP_P2.8._R2.8.1._99 
</t>
    </r>
    <r>
      <rPr>
        <sz val="9"/>
        <color theme="1"/>
        <rFont val="Times New Roman"/>
        <family val="1"/>
        <charset val="186"/>
      </rPr>
      <t>JPTARP_M1_U1.6._P1.6.1     JPIERP_P.4.4_ A4.4.2
JPIERP_P.4.4_ A4.4.3                    TP ĶAV M2_U1.3                        TP ĶAV M2_U2.1                    TP ĶAV M2_U2.2                        TP ĶAV M2_U2.4</t>
    </r>
  </si>
  <si>
    <t>Projekta “Pilsētas centrālās daļas ielu brauktuvju un gājēju celiņu atjaunošana un autostāvvietu izbūve” Nr.3.3.1.0/18/I/003 Izmaksu un ieguvumu analīzes izstrāde. 
Pakalpojumu līgums Nr.1.2-16.4.3/1481 (01.11.2017.),  1.2.3. punktā noteiktai daļai tiks veikta daļēja samaksa sastādot kopsummu 70% apmērā - kas veido 2019.gadā 484.00EUR apmērā.</t>
  </si>
  <si>
    <t>JPAP_P1.3_R1.3.1._13 JPAP_P1.6_R1.6.1._21 JPAP_P1.7_R1.7.2._45 JPAP_P2.1._R.2.1.1._62  
JPAP_P2.8._R.2.8.1._98
JPAP_P2.8._R.2.8.1._99
JPIERP_P.4.4_ A4.4.2
JPIERP_P.4.4_ A4.4.3
JPTARP_M1_U1.4._P1.4.1</t>
  </si>
  <si>
    <t>Projekta "Daudzfunkcionāla dabas tūrisma centra jaunbūve un meža parka labiekārtojums Ķemeros (ITI SAM 5.6.2.)" konsultāciju pakalpojumu izmaksas projekta iesnieguma izstrādei.
Pakalpojumu līgums Nr.1.2-16.4.3/1481 (01.11.2017.). Norēķini, atbilstoši līguma 2.1.1.punktā noteiktajam, veicami pēc būvvaldes atzīmes par projektēšanas nosacījumu izpildi saņemšanas būvatļaujā. Būvatļauja Nr.BIS-BV-4.1-2018-4664 (2109) saņemta 17.09.18. Būvprojektam līdz 06.11.19. tiek veikta ekspertīze, pēcāk būvprojekts tiks iesniegts būvvaldē. Atzīmi būvatļaujā tiek plānots saņemt līdz 20.12.19. un norēķinus veikt 2020.gada janvārī.</t>
  </si>
  <si>
    <t xml:space="preserve">JPAP_P1.7_R1.7.2._45 JPAP_P2.1._R.2.1.1._62  JPAP_P2.1._R.2.1.1._63 JPAP_P2.1._R.2.1.2._67
JPAP_P2.8._R.2.8.1._98
JPAP_P2.8._R.2.8.1._99 
JPIERP_P.4.4_A4.4.2 JPIERP_P.4.4_A4.4.3 
JPTARP_M1_U1.2._P1.2.11. JPTARP_M1_U1.6._P1.6.1
TP ĶAV M2_U1_1.3                TP ĶAV M2_U2                      </t>
  </si>
  <si>
    <t>Projekta “Ceļu infrastruktūras atjaunošana un autostāvvietas izbūve Ķemeros” Nr.5.6.2.0/18/I/002 Izmaksu un ieguvumu analīzes izstrāde. 
Pakalpojumu līgums Nr.1.2-16.4.3/1481 (01.11.2017.).</t>
  </si>
  <si>
    <t>Projektam "Pilsētas atpūtas parka un jauniešu mājas izveide Kauguros (ITI SAM 3.1.1.)" izstrādāt izmaksu ieguvumu analīzi un veikt precizējumus. Apmaksa pēc līguma 2019.gadā 50% no līgumsummas (2117.50EUR), 2020.gadā 50% no līgumcenas (2117.50EUR).
Pakalpojumu līgums Nr.1.2-16.4.3/197 (20.02.2019.).</t>
  </si>
  <si>
    <t>Pašvaldības īstenoto projektu ilgtspējas nodrošināšanai</t>
  </si>
  <si>
    <t>JPAP_P1.6._R.1.6.1._25  
JPAP_P1.6._R.1.6.2._32
JPAP_P2.8._R.2.8.1._104 JPŪRARP_M4_RV1.6.2_9</t>
  </si>
  <si>
    <t>Eiropas Jūrlietu un zivsaimniecības fonda līdzfinansēta projekta “Antropogēnās slodzes mazināšana dabas liegumā “Lielupes grīvas pļavās”, izveidojot trīs labiekārtotas peldvietas pie Lielupes” Nr.16-08-FL01-F043.0202-000007 ietvaros iegādāto un uzstādīto marķēšanas boju atjaunošana. Saskaņā ar Piegādes līgumu Nr. 1.2-16.4.1/1041 (18.07.2019.) piegādātas un uzstādītas marķētas bojas Jūrmalas pilsētas pašvaldības atpūtas vietās pie Lielupes. Katra gada ietvaros plānots uzstādīt 43 (četrdesmit trīs) bojas. 2019.gadā tika uzstādītas 40 bojas, 3150.84EUR vērtībā. 2020.gadam plānots saskaņā ar līguma Tehnisko specifikāciju 6.punktu 43 bojas*78.77EUR/par vienu boju =3387.11EUR.</t>
  </si>
  <si>
    <t>Veikti ģeneratora un saules baterijas hibrīda apgaismojuma remontdarbi.</t>
  </si>
  <si>
    <t>Pašvaldības īstenoto projektu informatīvās plāksnītes iegāde un uzstādīšana</t>
  </si>
  <si>
    <t xml:space="preserve">JPAP_P2.4._R2.4.2._80  JPAP_P2.6._R.2.6.2._89 
JPAP_P3.2._R3.2.3._165              JPAP_P3.2_R3.2.4._185    JPAP_P3.3_R3.3.3._206 JPŪRARP_M.4_RV2.4.1_13
JPTARP_AM1_U1.2._P1.2.12 JPIAK_R3.2.3_13  JPIAK_R3.2.3_14  JPIAK_R3.2.4_5                    VVPJP_M2.3.2_U1_1.1              VVPJP_M2.3.2_U1_1.7                </t>
  </si>
  <si>
    <t>Saskaņā ar Vienošanās 1.pielikumu (projekta iesnieguma 1.5.punkta 5.apakšpunktā minēto) projekta realizācijas laikā tiek uzstādīts informatīvais stends, kas pēc projekta realizācijas jānomaina pret informatīvo plāksni. Plāksnītes nepieciešams uzstadīt visiem 2019. gada beigās un 2020.gadā realizētajiem ES projektiem pēc būvdarbu pabeigšanas un nodošanas ekspluatācijā (kopumā 5 objektiem): "Jūrmalas pilsētas Jaundubultu vidusskolas ēkas energoefektivitātes paaugstināšana" , “Jūrmalas pilsētas Jaundubultu vidusskolas ēkask-1 (autoskolas ēka) energoefektivitātes paaugstināšana” , "Jūrmalas Sporta skolas peldbaseinu ēkas pārbūve un energoefektivitātes paaugstināšana", "Jūrmalas ūdenstūrisma pakalpojumu infrastruktūras attīstība atbilstoši pilsētas ekonomiskajai specializācijai", "Jūrmalas pilsētas Ķemeru pamatskolas ēkas pārbūve un energoefektivitātes paaugstināšana".  Pārējiem realizējamajiem projektiem ir iekļautas plāksnes būvdarbu tāmēs. Cenas aprēķins 5 plāksnēm *21.96EUR=109.80EUR</t>
  </si>
  <si>
    <t>Maksājums Lauku atbalsta dienestam - Eiropas Jūrlietu un zivsaimniecības fonda līdzfinansējuma daļas atmaksa</t>
  </si>
  <si>
    <t>JPAP_P1.6_R1.6.1._25
JPAP_P1.6_R1.6.2._32
JPAP_P2.8._R.2.8.1._104</t>
  </si>
  <si>
    <r>
      <t xml:space="preserve">Saņemtā Eiropas Jūrlietu un zivsaimniecības fonda līdzfinansējuma atmaksa par 5 Dubultu atpūtas vietā – peldvietā trūkstošajām bojām projekta “Antropogēnās slodzes mazināšana dabas liegumā “Lielupes grīvas pļavās”, izveidojot trīs labiekārtotas peldvietas pie Lielupes” Nr.16-08-FL01-F043.0202-000007 ilgtspējas periodā, atbilstoši Lauku atbalsta dienesta 06.11.19. vēstulē Nr.1.1-19/17896 norādītajam – 427.81EUR.
Atmaksa veicama 60 dienu laikā no vēstules izsūtīšanas dienas – līdz 05.01.20.
Projekta ilgtspēja noteikta līdz 07.11.24., 1 bojas iegādes vērtība, atbilstoši Piegādes līgumā Nr.1.2-16.4.1/1041 (18.07.19.) noteiktajam ir 78.77EUR. Trūkstošo 5 boju atjaunošanas izmaksas 2020.-2024.gada periodā ir 1 969.25EUR.
</t>
    </r>
    <r>
      <rPr>
        <b/>
        <i/>
        <u/>
        <sz val="12"/>
        <rFont val="Times New Roman"/>
        <family val="1"/>
        <charset val="186"/>
      </rPr>
      <t>Izdevumi ieplānoti Pašvaldības budžetā (Atmaksa valsts budžetam)</t>
    </r>
  </si>
  <si>
    <t>* Informatīvi -</t>
  </si>
  <si>
    <t>Attīstības plānošanas dokumenta nosaukums un rīcības virzienu atšifrējums.</t>
  </si>
  <si>
    <t>P1.2. Kūrorta attīstība</t>
  </si>
  <si>
    <t>R1.2.1.: Jūrmalas kūrorta resursu aizsardzības pasākumi un racionāla dabas dziedniecisko resursu izmantošana</t>
  </si>
  <si>
    <t>Attīstības pārvaldes Projektu nodaļa</t>
  </si>
  <si>
    <t>Iedzīvotāju projektu konkurss pašvaldības administratīvajā teritorijā esošas atpūtas infrastruktūras attīstībai</t>
  </si>
  <si>
    <t>AS J4 ; J14                                  JPAP P2.8_R2.8.1._98 JPAP P3.1. R3.1.3._133 JPAP P3.3_R3.3.3._206</t>
  </si>
  <si>
    <r>
      <t xml:space="preserve">Finansējums jaunajam uzsaukumam 3.1.kategorijā tiek plānots 2019.gada  apmērā </t>
    </r>
    <r>
      <rPr>
        <b/>
        <sz val="9"/>
        <rFont val="Times New Roman"/>
        <family val="1"/>
        <charset val="186"/>
      </rPr>
      <t>14 000 EUR</t>
    </r>
    <r>
      <rPr>
        <sz val="9"/>
        <rFont val="Times New Roman"/>
        <family val="1"/>
        <charset val="186"/>
      </rPr>
      <t xml:space="preserve"> - pirms grozījumiem, kur tika pārdalīti atlikumi. (paredzot apstiprināt divus projektu iesniegumus ar maksimālo līdzfinansējumu 7000EUR vienam). Kā arī tiek plānots pārejošs atlikums no 25.07.2019. vienošanās Nr.1.2-16.5.5/1062  </t>
    </r>
    <r>
      <rPr>
        <b/>
        <sz val="9"/>
        <rFont val="Times New Roman"/>
        <family val="1"/>
        <charset val="186"/>
      </rPr>
      <t>3726.62 EUR</t>
    </r>
    <r>
      <rPr>
        <sz val="9"/>
        <rFont val="Times New Roman"/>
        <family val="1"/>
        <charset val="186"/>
      </rPr>
      <t xml:space="preserve"> apmērā)</t>
    </r>
  </si>
  <si>
    <t>Informatīvo plāksnīšu par pašvaldības veikto ieguldījumu iniciatīvas projektu īstenošanā izgatavošana un uzstādīšana. 2020.gadā plānos līdzfinansēt 3 iniciatīvas projektu īstenošanu.</t>
  </si>
  <si>
    <t>Biedru nauda dalībai biedrībā ''Partnerība laukiem un jūrai''</t>
  </si>
  <si>
    <t>JPAP P3.8. R3.8.1._236</t>
  </si>
  <si>
    <t>Biedru nauda, atbilstoši 2016.gada 14.marta biedru pārstāvju sapulces (Protokols Nr.3, 4.punkts) lēmumam.</t>
  </si>
  <si>
    <t>Projektu iesniegumu pamatojošās dokumentācijas izmaksas</t>
  </si>
  <si>
    <t>AS J4 ; U6                   JPAP P1.6. R1.6.1._21                JPAP P1.6. R1.6.1._22      JPAP P1.9. R1.9.2._55       TARP M1_U1.4._P1.4.1.             TARP M1_U1.4._P1.4.2.                 TPĶAV M2_U3_3.2.                        TPĶAV M2_U6_6.1.                              TPĶAV  M2_U9_9.1.                         TPĶAV M2_U9_ 9.2.                                                                                          TPĶAV  M3_U1_1.3.</t>
  </si>
  <si>
    <r>
      <t xml:space="preserve">Ārpakalpojumā iepirkta projektu iesniegumu pamatojošās dokumentācijas izstrāde, tai skaitā tehniskā dokumentācija, IIA un cita dokumentācija atbilsoši programmu nosacījumiem.  (plānotās programmas Igaunijas-Latvijas pārrobežu sadarbības programma, un Eiropas jūras un zivju fonds). Projektu pieteikumu virzieni - dabas tūrisma un kurortoloģijas attīstība, tai skaitā digitālo informācijas stendu izveide, dabas tūrisma pakalpjumu attīstība. Indikatīvi 2020.gadā  dokumentācijas sagatavošanai tiek plānoti </t>
    </r>
    <r>
      <rPr>
        <b/>
        <sz val="9"/>
        <rFont val="Times New Roman"/>
        <family val="1"/>
        <charset val="186"/>
      </rPr>
      <t xml:space="preserve">10 000 EUR. </t>
    </r>
    <r>
      <rPr>
        <sz val="9"/>
        <rFont val="Times New Roman"/>
        <family val="1"/>
        <charset val="186"/>
      </rPr>
      <t xml:space="preserve">Ppaildus 2020.gadā tiek plānots pārejošs finansējums 02.09.2019. noslēgtā līguma Nr. 1.2-16.4.3./1259 ar SIA "Laurus kosultācijas" </t>
    </r>
    <r>
      <rPr>
        <b/>
        <sz val="9"/>
        <rFont val="Times New Roman"/>
        <family val="1"/>
        <charset val="186"/>
      </rPr>
      <t>605,00EUR</t>
    </r>
    <r>
      <rPr>
        <sz val="9"/>
        <rFont val="Times New Roman"/>
        <family val="1"/>
        <charset val="186"/>
      </rPr>
      <t xml:space="preserve"> apmērā</t>
    </r>
  </si>
  <si>
    <t>Daudzfunkcionāla dabas tūrisma centra jaunbūve un meža parka labiekārtojums Ķemeros</t>
  </si>
  <si>
    <t>AS K4 ; J4 ; U6 ; U8 ; J11; J14                                              JPAP_P1.3_R1.3.1._13 JPAP P1.6. R1.6.1._21                JPAP P1.6. R1.6.1._22 JPAP_P1.7_R1.7.2._45       JPAP P1.9. R1.9.2._55 JPAP_P2.1._R.2.1.1._62 JPAP_P2.8._R.2.8.1._98
JPAP_P2.8._R.2.8.1._99       TARP M1_U1.4._ P1.4.1.                                                       TPĶAV M2_U3_3.2.                        TPĶAV M2_U6_6.1.                              TPĶAV  M2_U9_9.1.                         TPĶAV M2_U9_9.2.                                                                                              TPĶAV  M3_U1_1.3.               JPIAK R3.2.4._2 JPIERP_P.4.4_ A4.4.2
JPIERP_P.4.4_ A4.4.3</t>
  </si>
  <si>
    <r>
      <t xml:space="preserve"> - finansējums 21.02.2018. līguma  Nr.1.2-16.4.3/202 līgumsaistību izpildei -  (autoruzraudzība) 11800 EUR + PVN (kopā </t>
    </r>
    <r>
      <rPr>
        <b/>
        <sz val="9"/>
        <rFont val="Times New Roman"/>
        <family val="1"/>
        <charset val="186"/>
      </rPr>
      <t>14278,00 EUR</t>
    </r>
    <r>
      <rPr>
        <sz val="9"/>
        <rFont val="Times New Roman"/>
        <family val="1"/>
        <charset val="186"/>
      </rPr>
      <t xml:space="preserve">) apmērā būs nepieciešams 2021.gadā un 2020.gada budžeta pieprasījumā netiek atspoguļots.                                                                - 2020.gadā tiek plānots pārejošs atlikums no iepirkuma JPD 2019/190/A21/IP3/IP4 RIK rezultātā noslēgtā līguma (indikatīvi </t>
    </r>
    <r>
      <rPr>
        <b/>
        <sz val="9"/>
        <rFont val="Times New Roman"/>
        <family val="1"/>
        <charset val="186"/>
      </rPr>
      <t>8390,00EUR</t>
    </r>
    <r>
      <rPr>
        <sz val="9"/>
        <rFont val="Times New Roman"/>
        <family val="1"/>
        <charset val="186"/>
      </rPr>
      <t xml:space="preserve">)                                                   - 2020.gadā tiek plānots organizēt metu konkursu centra zīmolam (ne ātrāk kā tad, kad tiks noslēgtas vienošanās ar CFLA par projekta īstenošanu). Šim mērķim nepieciešams finansējums balvām </t>
    </r>
    <r>
      <rPr>
        <b/>
        <sz val="9"/>
        <rFont val="Times New Roman"/>
        <family val="1"/>
        <charset val="186"/>
      </rPr>
      <t xml:space="preserve">10 000,00 </t>
    </r>
    <r>
      <rPr>
        <sz val="9"/>
        <rFont val="Times New Roman"/>
        <family val="1"/>
        <charset val="186"/>
      </rPr>
      <t>EUR apmērā)</t>
    </r>
  </si>
  <si>
    <t>'ZINĀTnieks Ķemeros''</t>
  </si>
  <si>
    <t>AS U6 ; J11                 JPAP P1.6. R1.6.1._21                JPAP P1.6. R1.6.1._22      JPAP P3.2. R3.2.3._165    JPAP P3.2. R3.2.4._169                  TARP M1_U1.4._P1.4.1.                                                                                                       TPĶAV M2_U9_9.2.                                                                                                      JPIAK R3.2.4._2</t>
  </si>
  <si>
    <t>Jūrmalas pilsētas attīstības stratēģija 2010.-2030.gadam (2010.gada 16.decembra lēmums Nr.825) - AS</t>
  </si>
  <si>
    <t xml:space="preserve">K4 Ķemeru kūrortvides veidošana </t>
  </si>
  <si>
    <t xml:space="preserve">J4 Publiskās telpas izcilība </t>
  </si>
  <si>
    <t xml:space="preserve">J11 Izglītības pakalpojumu konkurētspējas paaugstināšana </t>
  </si>
  <si>
    <t xml:space="preserve">J12 Dzīves vides un uzņēmējdarbības vides uzlabošana Ķemeros </t>
  </si>
  <si>
    <t xml:space="preserve">J14  Sabiedrības līdzdalības uzlabošana pilsētas dzīves veidošanā un efektīva pilsētas pārvalde </t>
  </si>
  <si>
    <t xml:space="preserve">U6 Tūrisma piedāvājuma dažādošana </t>
  </si>
  <si>
    <t xml:space="preserve">U8 Daudzveidīgas uzņēmējdarbības teritoriju attīstība 
</t>
  </si>
  <si>
    <t xml:space="preserve"> Jūrmalas pilsētas attīstības programma 2014.-2020.gadam (2013.gada 7.novembra lēmums Nr.625) - JPAP</t>
  </si>
  <si>
    <t>P1.3. Kurortoloģijas un kūrortam nepieciešamās izglītības attīstība</t>
  </si>
  <si>
    <t>R1.3.2.</t>
  </si>
  <si>
    <t>Kūrortoloģijas un kompetences centra attīstība</t>
  </si>
  <si>
    <t>Nr.13 "Kompetences centra ieceres attīstība"</t>
  </si>
  <si>
    <t>R1.6.1.</t>
  </si>
  <si>
    <t xml:space="preserve">Dabas tūrisma infrastruktūras attīstība </t>
  </si>
  <si>
    <t xml:space="preserve">Nr.21 "Daudzfunkcionāla, interaktīva dabas tūrisma objekta izveide Ķemeros"
</t>
  </si>
  <si>
    <t>Nr.22 "Jaunu dabas tūrisma objektu izveide un esošo dabas tūrisma objektu pilnveidee"</t>
  </si>
  <si>
    <t>Nr.45 "Ķemeru teritorijas un Ķemeru parka infrastruktūras atjaunošana un pilnveide"</t>
  </si>
  <si>
    <t>Nr.62 "Jūrmalas ielu un tiltu tīkla pilnveide"</t>
  </si>
  <si>
    <t>Nr.99 "Publiskās telpas un ēku apsaimniekošana"</t>
  </si>
  <si>
    <t>P3.1. Uz nākotni orientēta pilsētas pārvaldība, kas atbalsta pilsonisko iniciatīvu</t>
  </si>
  <si>
    <t>R3.1.3.</t>
  </si>
  <si>
    <t>Nevalstiskā sektora attīstības atbalsts</t>
  </si>
  <si>
    <t>Nr.133 "Sadarbība ar nevalstiskajām organizācijām"</t>
  </si>
  <si>
    <t>R3.2.3. Vispārizglītojošo skolu izglītības pakalpojumi</t>
  </si>
  <si>
    <t>Nr.165 Vispārējās izglītības iestāžu mācību vides uzlabošana un kvalitatīva izglītības programmu īstenošana</t>
  </si>
  <si>
    <t xml:space="preserve">Nr.169 Interešu izglītības attīstība dabaszinātņu jomā, materiāltehniskais aprīkojums </t>
  </si>
  <si>
    <t>Nr 206 Publiskās sporta infrastruktūras attīstība</t>
  </si>
  <si>
    <t>P3.8. Partnerattiecību veidošana ar citām pašvaldībām</t>
  </si>
  <si>
    <t>R3.8.1.</t>
  </si>
  <si>
    <t>Sadarbība ar kaimiņu pašvaldībām</t>
  </si>
  <si>
    <t>Nr.236 "Sadarbības attīstība ar kaimiņu pašvaldībām"</t>
  </si>
  <si>
    <t>P1.9. Kūrorta un tikšanās vietas tēla veidošana</t>
  </si>
  <si>
    <t>R1.9.2.</t>
  </si>
  <si>
    <t>Informācijas pieejamības nodrošināšana</t>
  </si>
  <si>
    <t>Nr.55 "Digitālo informācijas stendu informācijas sistēmas  ieviešana un saistošu informācijas pasniegšanas objektu izveide"</t>
  </si>
  <si>
    <t xml:space="preserve"> Jūrmalas pilsētas tūrisma attīstības rīcības plāns 2018.-2020.gadam (2017.gada 26.oktobra lēmums Nr.455) - TARP</t>
  </si>
  <si>
    <t xml:space="preserve">AM1 Atpūtas, rekreācijas un viesmīlības pakalpojumu pilnveidošana un kvalitāte
</t>
  </si>
  <si>
    <t xml:space="preserve">P 1.4.1. Daudzfunkcionāla interaktīva dabas tūrisma objekta izveide Ķemeros
</t>
  </si>
  <si>
    <t xml:space="preserve">P 1.4.2. Jaunu dabas taku izveide un popularizēšana </t>
  </si>
  <si>
    <t>Jūrmalas pilsētas izglītības attīstības koncepcija 2015.-2020.gadam (2015.gada 11.jūnija lēmums Nr.221) - JPIAK</t>
  </si>
  <si>
    <t>R3.2.4. PROFESIONĀLĀS IEVIRZES UN INTEREŠU IZGLĪTĪBAS PAKALPOJUMI</t>
  </si>
  <si>
    <t>2. Interešu izglītības
attīstība dabaszinātņu
jomā, materiāltehniskais
aprīkojums</t>
  </si>
  <si>
    <t>Tematiskais plānojums „Ķemeru attīstības vīzija” (2014.gada 15.maija lēmums Nr.243) - TPĶAV</t>
  </si>
  <si>
    <t xml:space="preserve">II mērķis  ATTĪSTĪTA
INFRASTRUKTŪRA UN
UZŅĒMĒJDARBĪBA 
</t>
  </si>
  <si>
    <t>3. Attīstīt zaļās teritorijas (parki, skvēri)</t>
  </si>
  <si>
    <t xml:space="preserve">3.2.Labiekārtot Ķemeru centrālās daļas zaļās teritorijas
</t>
  </si>
  <si>
    <t>6. Uzņēmējdarbības veicināšana</t>
  </si>
  <si>
    <t>6.1. Veicināt uzņēmējdarbību, piesaistot ES fondu finansējumu</t>
  </si>
  <si>
    <t>9. Attīstīt taku tīklu</t>
  </si>
  <si>
    <t>9.1. Attīstīt dozētās pastaigu takas</t>
  </si>
  <si>
    <t xml:space="preserve">9.2. Attīstīt dažādas izzinošās takas </t>
  </si>
  <si>
    <t>III mērķis KULTŪRVĒSTURSKO
VĒRTĪBU SAGLABĀŠANA
UN ATJAUNOŠANA</t>
  </si>
  <si>
    <t>1.3. Veicināt vidi degradējošo objektu samazināšanu</t>
  </si>
  <si>
    <t>Attīstības pārvaldes Stratēģiskās plānošanas nodaļa</t>
  </si>
  <si>
    <t>Jūrmalas attīstības plānošanas darbi</t>
  </si>
  <si>
    <t>JPAP_P3.1._R3.1.1._119</t>
  </si>
  <si>
    <t>Pārcelt EUR 20 000 uz 2020.gadu, jo 2019.gadā plānots noslēgt 1 pakalpojumu līgumu par sabiedrības līdzdalības pasākumu īstenošanu un 5 līgumus ar ekspertiem par viņu dalību un ieguldījumu tematiskajā darba grupās, kas risināsies 2020.gadā. Savukārt izmaksas EUR 9000 ir plānots ieguldīt tematisko darba grupu kapacitātes nodrošināšanai (tikšanās vietas ar iedzīvotājiem, informācijas izstrādei nepieciešamie resursi).</t>
  </si>
  <si>
    <t xml:space="preserve">2232
</t>
  </si>
  <si>
    <t>Pārcelt EUR 8500 uz 2020.gadu, jo 2019.gadā plānots noslēgt 1 pakalpojuma līgumu par stratēģiskās vides novērtējuma izstrādes pakalpojumiem, savukārt izmaksas ir plānots veikt 2020.gadā</t>
  </si>
  <si>
    <t>Jūrmalas pilsētas pašvaldības ielu un ceļu infrastruktūras elementu uzskaites aktualizācija / Ģeogrāfiskās informācijas sistēmas attīstība un uzturēšana</t>
  </si>
  <si>
    <t>JPAP_P3.1._R3.1.1._119 JPIKTP_P.1.1_R1.9.2_15</t>
  </si>
  <si>
    <t>2019.gadā ir ieplānots noslēgt 1 pakalpojumu līgumu par sistēmas pilnveidi (EUR 9800,24), taču finanšu līdzekļus 2019.gadā plānots izmaksāt daļēji (EUR 5000), līdz ar to atlikums (EUR 4800) pāriet uz 2020.gadu. Papildus tam EUR 10 000 apmērā 2020.gadā ir plānots nodrošināt sistēmas izmaiņas un tās uzturēšanu atbilstoši Jūrmalas pilsētas pašvaldības vajadzībām.</t>
  </si>
  <si>
    <t>Energopārvaldības sistēmas ieviešana un uzturēšana</t>
  </si>
  <si>
    <t>JPAP_P2.6._R2.6.2._89 IERP_4.3._4.3.1.</t>
  </si>
  <si>
    <t>Energopārvaldības sistēmas atbilstoši ISO 50001 uzraudzības audits, konsultācijas energopārvaldības sistēmas sertifikācijas uzturēšanai.</t>
  </si>
  <si>
    <t>Daudzdzīvokļu dzīvojamo ēku energoefektivitātes pasākumu atbalsta programmas īstenošana</t>
  </si>
  <si>
    <t>JPAP_P.2.9._R2.9.2._116 
IERP_4.3._4.3.5.</t>
  </si>
  <si>
    <t>Saskaņā ar 2019.gada precizēto budžetu 2019.gadam, atlikums ir EUR 20 000, no kuriem EUR 5000 plānots izmaksāt 2019.gadā un EUR 15000 pārcelt uz 2020.gadu. Ņemot vērā, ka projekts "Accelerate Sunshine" tiek īstenots līdz 31.03.2020., kura ietvaros varējo veikt energoauditus un tehniskās apsekošanas atzinumus, līdz ar to pārceltie EUR 15000 uz 2020.gadu ir nepieciešami energoauditu, tehniskās apsekošanas atzinumu un būvprojektu izstrādei.  Līdzfinansējuma piešķiršana energoefektivitātes pasākumu veikšanai daudzdzīvokļu dzīvojamās mājās atbilstoši JPD 26.07.2018. saistošajiem noteikumiem Nr.29 "Līdzfinansējuma piešķiršanas kārtība energoefektivitātes pasākumu veikšanai daudzdzīvokļu dzīvojamās mājās Jūrmalas pilsētā".</t>
  </si>
  <si>
    <t>Finansējums ir paredzēts dauzddzīvokļu dzīvojamo māju iedzīvotāju informēšanas pasākumu nodrošināšanai, pielāgojot informatīvos materiālus Jūrmalas pašvaldības vajadzībām</t>
  </si>
  <si>
    <t>Sabiedriskās domas pētījuma veikšana</t>
  </si>
  <si>
    <t>JPAP_P3.1._R3.1.1_119 JPAP_P3.1._R3.1.1_118</t>
  </si>
  <si>
    <t>Saskaņā ar Attīstības programmā 2014. - 2020.gadam noteikto, ir jāveic iedzīvotāju un uzņēmēju aptauja reizi divos gados, ņemot vērā, ka minētā aptauja tika veikta 2018.gadā, atbilstoši nākošo vajadzētu veikt - 2020.gadā.</t>
  </si>
  <si>
    <t>JPAP - Jūrmalas pilsētas attīstības programma 2014.-2020.gadam</t>
  </si>
  <si>
    <t>P3.1. - Uz nākotni orientēta pilsētas pārvaldība, kas atbalsta pilsonisko iniciatīvu</t>
  </si>
  <si>
    <t>R3.1.1. - Pilsētas attīstības plānošana</t>
  </si>
  <si>
    <t>Aktivitāte Nr.118 Iedzīvotāju un uzņēmēju aptauju veikšana</t>
  </si>
  <si>
    <t>Aktivitāte Nr.119 - Pašvaldības attīstības plānošanas dokumentu izstrāde un uzraudzība</t>
  </si>
  <si>
    <t>P2.6. - Energoapgādes un sakaru attīstība</t>
  </si>
  <si>
    <t>R2.6.2. - Racionālas un videi draudzīgas energoapgādes sistēmas attīstība</t>
  </si>
  <si>
    <t>Aktivitāte Nr.89 - Ilgtspējīga atjaunojamo energoresursu izmantošana, energoefektivitātes paaugstināšana un energopārvaldības sistēmas ieviešana un sertificēšana Jūrmalas pašvaldības teritorijā</t>
  </si>
  <si>
    <t>P2.9. - Dzīvojamā fonda attīstība</t>
  </si>
  <si>
    <t>R2.9.2. - Daudzdzīvokļu namu modernizācija</t>
  </si>
  <si>
    <t>Aktivitāte Nr.116 - Jūrmalas daudzdzīvokļu dzīvojamo ēku, energoefektivitātes veicināšana</t>
  </si>
  <si>
    <t>IERP - Jūrmalas pilsētas ilgtspējīgas enerģētikas rīcības programma 2013.-2020.gadam</t>
  </si>
  <si>
    <t>4.3. - Pasākumi ēku sektorā</t>
  </si>
  <si>
    <t>4.3.1. – Enerģijas patēriņa samazināšana pašvaldības un tās kapitālsabiedrību ēkās</t>
  </si>
  <si>
    <t>4.3.5. – Ēku infrastruktūras attīstības stratēģijas izstrāde</t>
  </si>
  <si>
    <t>JPIAK - Jūrmalas pilsētas izglītības attīstības koncepcija 2015.-2020.gadam</t>
  </si>
  <si>
    <t>R3.2.3. - Vispārizglītojošo skolu izglītības pakalpojumi</t>
  </si>
  <si>
    <t>Aktivitāte Nr.5 - Karjeras konsultāciju attīstība</t>
  </si>
  <si>
    <t xml:space="preserve">JPIKTP - Jūrmalas pilsētas Informācijas un komunikācijas tehnoloģiju rīcības plāns 2015.–2020.gadam  </t>
  </si>
  <si>
    <t>P1.1. - Kūrorta tiesiskā un plānošanas statusa nostiprināšana</t>
  </si>
  <si>
    <t>R1.9.2 Jūrmalas kartogrāfiskās informācijas attīstība</t>
  </si>
  <si>
    <t>Aktivitāte Nr.15 - Ģeogrāfijas informācijas sitēmas ieviešana</t>
  </si>
  <si>
    <t>Reģistrācijas Nr.:</t>
  </si>
  <si>
    <t>2020.gada budžeta pieprasījuma atšifrējums pa programmām un budžeta veidiem</t>
  </si>
  <si>
    <t>Attīstības pārvaldes Tūrisma un uzņēmējdarbības attīstības nodaļa</t>
  </si>
  <si>
    <t>Sabiedriskā transporta organizēšanas pasākumi</t>
  </si>
  <si>
    <t>04.510</t>
  </si>
  <si>
    <t>2019.gada precizētais budžets (EUR)</t>
  </si>
  <si>
    <t>2019.gada gaidāmā izpilde (EUR)</t>
  </si>
  <si>
    <t>2020.gada budžeta pieprasījums (EUR)</t>
  </si>
  <si>
    <t>VB</t>
  </si>
  <si>
    <t>pamatbudžets</t>
  </si>
  <si>
    <t>maksas pakalpojumi</t>
  </si>
  <si>
    <t>KOPĀ:</t>
  </si>
  <si>
    <t>Braukšanas maksas atlaides un zaudējumu kompensēšana Jūrmalas pilsētas maršrutu tīkla pilsētas nozīmes maršrutos</t>
  </si>
  <si>
    <t xml:space="preserve">JPAP_P2.3._R2.3.1._74 </t>
  </si>
  <si>
    <t xml:space="preserve">Pamatojoties uz 2015.gada 15.septembra līgumu Nr. 1.2-16/1381" Par sabiedriskā transporta pakalpojumu sniegšanu ar autobusiem Jūrmalas pilsētas maršrutu tīkla pilsētas nozīmes maršrutos". </t>
  </si>
  <si>
    <t>Produktu subsīdijas komersantiem sabiedriskā transporta pakalpojumu nodrošināšanai (par pasažieru regulārajiem pārvadājumiem)</t>
  </si>
  <si>
    <t>JPAP_P2.3._R2.3.1._74</t>
  </si>
  <si>
    <t>Pēc pārvadātāja iesniegtās prognozes 2020.gadam, samazināsies I un II grupas invalīdu skaits, kuri izmantos sabiedrisko transportu.Papildus finansējums nepieciešams 2019.gada dotācijas pārēķina summa, kura parasti tiek ieskaitīta 2020.gadā.</t>
  </si>
  <si>
    <t>Karšu shēmas un kustību sarakstu izstrāde</t>
  </si>
  <si>
    <t>JPAP_P2.3._R2.3.1._74 JPAP_P2.3._R2.3.1._75</t>
  </si>
  <si>
    <t>2019.gadā veikta pamata maketa izstrāde, bet karšu shēmas druka paredzēta 2020.gadā saistībā ar izmaiņām sabiedriskā transporta maršrutu tīklā. 2019.gadā paredzēto finansējumu nepieciešams pārcelt uz 2020.gadu, lai nodrošinātu izstrādāta maketa drukas pakalpojumu. Papildus finansējums nepieciešams uzlīmju drukai un to izvietošanai pieturvietās, sabiedriskā transporta maršruta attēlošanai.</t>
  </si>
  <si>
    <t>Autobusu aplīmēšanas pakalpojums</t>
  </si>
  <si>
    <t>2019.gadā iegādāti divi jauni elektroautibusi, kuriem bija nepieciešama aplīmēšana ar Jūrmalas pilsētas stilam atbilstošu dizainu. 2020.gadā aktivitāte nav paredzēta.</t>
  </si>
  <si>
    <t>Transportlīdzekļu noma</t>
  </si>
  <si>
    <t>JPAP_P2.3._R2.3.1._74
JIAK_R3.2.1_7</t>
  </si>
  <si>
    <t>Atbilstoši 27.08.2019. pakalpojuma līguma 1.2-16.4.3/1236  nosacījumiem, kura tehniskās specifikācijas paredz veikt apmēram 168 km vienā dienā, atlikušais dienu skaits 2020. mācību gadā 94 mācību dienas 94x168km = 53000eur +PVN 11 130 EUR kopā 65 000 EUR</t>
  </si>
  <si>
    <t>Sabiedriskā transporta kontrole</t>
  </si>
  <si>
    <t>2019. gadā sabiedrskā transporta kontrole tika veikta katru mēnesi 65 reizes mēnesī. Ņemot vērā, ka tiks izsludināts jauns iepirkums par kontroli 2020. gadam nav zināms konkrēts pakalpojuma sniedzējs un vienas kontroles cena var pieaugt ņemot vērā, ka vienas kontroles cena svārstās no 8.00 - 13.00 EUR par vienu kontroli. 2019.gada noslēgtais līgums beidzas 31.decembrī kā rezultātā daļa finansējuma (628.50 eur, par 65 kontrolēm) paredzēta izmaksai 2020.gada janvāra mēnesī.</t>
  </si>
  <si>
    <t>Jūrmalas kartes ieviešana</t>
  </si>
  <si>
    <t>JPAP_P3.1._R3.1.5._139
       IKTRP R.3.1.5_4</t>
  </si>
  <si>
    <t xml:space="preserve">
Ievērojot  skolu energoefektiviātes un pārbūves pasākumus, 2019.gadā turniketi tika uzstādīti vienā izglītības istādē, tomēr, ievērojot nepieciešamību uzsākt ēdināšanas pakalpojumu uzskaites izveidi, finansējums daļēji tika novirzīts sistēmas un ierīču uzstādīšanai četrās izglītības iestādēs. 
Lai nodrošinātu vienmērīgu turniketu un ēdināšanas istēmas uzstādīšanu visas izglītības iestādēs atbilstoši 25.11.2016. pakalpojumu līgumama Nr. 1.2-16.4.3/1576 finansējums 2020.gadā paredzēts 2 turinketu komplektu iegādei (21744 EUR, ieskaitot PVN),  2 turinketu uzstādīšanas izmaksām 2 izglītības iestādēs (līdz 12099 EUR,ieskaitot PVN) un 3 izglītības iestāžu aprīkošanas ar ēdināšanas uzskaites sistēmu-iekārtu iegāde un uzstādīšana (līdz 12099, ieskaitot PVN).</t>
  </si>
  <si>
    <t>Papildus 10 000 viedkaršu iegāde un apdruka, lai nodrošinātu pieprasījumu pēc viedkartēm. Atbilstoši iepriekš noslēgtajam līgumama 10 000*3.80=38000 EUR (ieskaitot PVN), kur daļa tiek segta no plānotajiem 2019.gada maksas ieņēmumiem 5 000 EUR apmērā.</t>
  </si>
  <si>
    <t>Atbilstoši 25.11.2016. līguma Nr. 1.2-16.4.3/1576, Jūrmalas kartes sistēmas uzturēšanas maksa 12*7 029.8=84 357.60 euro (ieskaitot PVN). 2019.gada decembra samaksa tiks veikta 2019.gadā.</t>
  </si>
  <si>
    <t>Atbilstoši 18.10.2005. Ministru kabineta noteikumiem Nr. 779 "Noteikumi par vispārējās izglītības iestāžu pedagoģiskā procesa organizēšanai nepieciešamo obligāto dokumentāciju", skolēna apliecībai jāsatur atzīme par klases skaitli. Ievērojot, ka pašvaldības skolēnu apliecības ir elektronizētas viedkartes, katru gadu tiek veikta uzlīmes ar klases skaitli izdale izglītības iestādēm 2019.gadā iepriekš sagatvotas uzlīme sir beigušās un ir nepieciešamas jaunas.</t>
  </si>
  <si>
    <t>2017.gadā iegādāti un uzstādīti elektroniskās validācijas aparāti sabiedriskajā transportā. Atbilstoši 25.11.2016. līgumam Nr. 1.2-16.4.3/1576, garantijas terminš validatoriem ir beidzies, kas nozīmē, ka gadījumā, ja ir jāveic to nomaiņa, ir nepieciešams finansējums jaunu validatoru iegādei un uzstādīšanai. Prognozētās izmaksas 605 EUR*3=1815 EUR (ieskaitot PVN).</t>
  </si>
  <si>
    <t>Aktiviātei finansējums vairs nav nepieciešams.</t>
  </si>
  <si>
    <t>Tūrisma attīstības nodrošināšanas pasākumi</t>
  </si>
  <si>
    <t>04.730</t>
  </si>
  <si>
    <t>pamatbudžets*</t>
  </si>
  <si>
    <t>Dalība tūrisma gadatirgos un izstādēs. Tūrisma stenda nodrošinājums un glābāšana.</t>
  </si>
  <si>
    <t>JPAP_P1.8._R1.8.2._47 JPTARP _U.1.9_ P.1.9.6.</t>
  </si>
  <si>
    <t xml:space="preserve">Stenda montāža/demontāža/transportēšana/glabāšana uz 3 izstādēm (Rīga, Tallina, Viļņa) - 12 100,00 EUR. Stenda glābāšana 1 gadu - 750,00 EUR. Dalības maksa izstādē "Balttour 2020" 4 342,00 EUR par 36kv.m. platības nomu (Dalība pārējās izstādēs tiek segta no LIAA projekta budžeta.) Papildus stenda dekorācijas, aktivitātes 600,00 EUR. </t>
  </si>
  <si>
    <t>Dalība tūrisma darba semināros, dienās, prezentācijās un to rīkošana augsti prioritārajos tirgos, pieredzes apmaiņa ārvalstīs</t>
  </si>
  <si>
    <t>JPAP_P1.1._R1.1.1._3 JPTARP_U.1.9. P.1.9.11.; U. 4.5. P.4.5.2. un  P.4.5.3.</t>
  </si>
  <si>
    <t xml:space="preserve">Atbilstoši tūrisma JPTARP plānots piedalīties tūrisma darbsemināros, pieredzes apmaiņas braucienos un prezentācijās augsti prioritārajos tirgos. </t>
  </si>
  <si>
    <t>Tūrisma piesaistes pasākumi</t>
  </si>
  <si>
    <t>JPAP_P.1.4._R1.4.3._17 JPAP_P.1.8._R1.8.2._47 JPTARP_U.1.5._P.1.5.2. JPTARP_U.3.2._P3.2.2.</t>
  </si>
  <si>
    <t xml:space="preserve">Tūrisma piesaistes pasākumu organizēšana Jūrmalas popularizēšanai. </t>
  </si>
  <si>
    <t xml:space="preserve">Tūrisma piesaistes pasākumi Dzintaru Gaismas parkā </t>
  </si>
  <si>
    <r>
      <t xml:space="preserve">JPAP_P.1.4._R1.4.3._17 </t>
    </r>
    <r>
      <rPr>
        <sz val="9"/>
        <rFont val="Times New Roman"/>
        <family val="1"/>
        <charset val="186"/>
      </rPr>
      <t>JPTARP_U.1.5._P.1.5.2.</t>
    </r>
  </si>
  <si>
    <t>Lai aktivizētu pasākumu apmeklētājus ziemas periodā, Dzintaru Gaismas parkā tiek rīkotas dažādas atrakcijas, darbnīcas un aktivitātes atbilstoši Ziemassvētku un Ziemas tematikai.Pamatojoties uz 2018.gada iepirkuma rezultātiem 2019.gada nogalē par pasākumu rīkošanu 2019./2020.gada sezonā, finansējums nepieciešams pakalpojuma apmaksai 34 323 EUR (novembrīs noslēgsies iepirkums).
Līgums Nr.1.2-16.4.3/1772   28.11.2019., SIA "Ēži noma")</t>
  </si>
  <si>
    <t>Tūrisma viesmīlības un tūrisma produktu veidošanas apmācību rīkošana Jūrmalas tūrisma nozares darbieniekiem/Tīklošanās pasākumu rīkošana</t>
  </si>
  <si>
    <t>JPAP_P1.4._R1.4.1._15 ; P1.4._R1.4.2._16;              P1.4._R1_4.3._17;      P3.7._R3.7.3._234       JPTARP U_1.8. P.1.8.3.; U_2.1.P.2.1.1.;             U_2.1.P.2.1.3.;                 U_2.3.P.2.3.4.;              U_3.6.P.3.6.1.</t>
  </si>
  <si>
    <t>Tūrisma viesmīlības un tūrisma produktu veidošanas apmācību rīkošana Jūrmalas tūrisma nozares darbieniekiem un tīklošanās pasākumu organizēšanai nepieciešama 2 lektoru/pasniedzēju/vadītāju piesaiste. Vidēji viena pasniedzēja lekcijas/semināra/darbnīcas vadīšana izmaksā 700 EUR. Plānoti 2 pasākumi.</t>
  </si>
  <si>
    <t>Kafijas pauzes nodrošināšana semināra dalībniekiem 2 pasākumos ( 2 pasākumi x 50 cilvēki x 6 EUR no pers)</t>
  </si>
  <si>
    <t>Tūrisma statistikas datu sagatavošana</t>
  </si>
  <si>
    <t>JPAP_P1.1._R1.1.2._7 JPTARP_R_4.4._P 4.4.2.</t>
  </si>
  <si>
    <t>Tūrisma statistikas datu sagatvošana 2 reizes gadā. No 2020.gada Centrālās statistikas pārvalde sniegs detalizētāku statistikas pārskatu ar plašāku informāciju.</t>
  </si>
  <si>
    <t>Publiskās slidotavas darbības nodrošināšana</t>
  </si>
  <si>
    <r>
      <t xml:space="preserve">JPAP_P_1.7._R1.7.1._43 </t>
    </r>
    <r>
      <rPr>
        <sz val="9"/>
        <rFont val="Times New Roman"/>
        <family val="1"/>
        <charset val="186"/>
      </rPr>
      <t xml:space="preserve">
JPTARP_U_1.2._P 1.2.6.</t>
    </r>
  </si>
  <si>
    <t>Aktiviāti turpmāk īstenost Sporta servisa centrs.</t>
  </si>
  <si>
    <t>Dalība asociācijās</t>
  </si>
  <si>
    <t>JPAP_P1.10._R1.10.3_59 JPAP_P1.10._R1.10.3._60
JPTARP_U_1.9. P.1.9.13. U.3.7._P.3.7.2.</t>
  </si>
  <si>
    <t xml:space="preserve">Atbilstoši 2011.gada 29.septembra Jūrmalas pilsētas domes lēmuma Nr. 416 "Jūrmalas pilsētas domes dalība asociācijā "EDEN tīklojums"" 4.punktam. </t>
  </si>
  <si>
    <t>Atbilstoši 2013.gada 6.augusta Jūrmalas pilsētas domes lēmumam Nr.575 "Par Jūrmalas pilsētas iestāšanos Eiropas Kūrortu Asociācijā".</t>
  </si>
  <si>
    <t>Konference ''Mini-Limund''</t>
  </si>
  <si>
    <t xml:space="preserve">JPAP_P1.9._R1.9.1._49
JPTARP_U3.1.._P3.1.2
</t>
  </si>
  <si>
    <t>Aktivitāte noslēgusies</t>
  </si>
  <si>
    <t>Projekts "Pārgājienu maršruts gar Baltijas jūras piekrasti Latvijā un Igaunijā"</t>
  </si>
  <si>
    <t>JPAP_P1.6._R1.6.1._22 JPTARP U _2.3. P.2.3.1.;U_1.4._ P.1.4.3.</t>
  </si>
  <si>
    <t>Budžeta ietvaros tika plānoti braucieni uz Igauniju, dienas naudas atmaksai. Finansējums netika izlietots. Projekta aktiviāte nākamgad nav paredzēta.</t>
  </si>
  <si>
    <t>Uzņēmējdarbības attīstības veicināšana</t>
  </si>
  <si>
    <t>Finansējums nepieciešams, lai, atbilstoši 25.04.2018. līgumam Nr.1.2-16.8/551 un 25.04.2018. līgumam Nr. 1.2-16.8/550,  grantu programmas (ie)dvesma ietvaros nodrošinātu svinīga noslēguma pasākuma organizēšanu, kurā piedalās Jūrmalas jaunie uzņēmēji. Konkursa mērķis ir veicināt uzņēmējdarbības attīstību un jaunu uzņēmumu rašanos Jūrmalas teritorijā. Noslēguma pasākuma dalībnieku skaits - vidēji 150 personas. Finansējums nepieciešams pasākuma organizēšanai, t.i., telpu nomai, pasākuma vadīšanai, apskaņošanai, ziediem, granta "čeka" izgatavošanai, uzkodām, suvenīru izgatavošanai ar granta nosaukuma logo.</t>
  </si>
  <si>
    <t>06.08.2019. JPD ir noslēgusi sadarbības līgumu Nr.1.2-16.8/1103 ar Ķekavas novada pašvaldību, Mārupes novada Domi, Siguldas novada pašvaldību, Olaines novada pašvaldību, ropažu novada pašvaldību, Stopiņu novada pašvaldību un SEB banku par sadarbību Grantu programmas "(ie)dvesma" īstenošanā. Konkurss sekmīgi norisinājās 2019.gadā, kopumā ir saņemti 50 (Jūrmala 13) pieteikumi, kurus vērtē speciāli šim nolūkam izveidota žūrijas komisija. Finansējums nepieciešams grantu programmas turpināšanai 2020.gadā 10 000 EUR apmērā un 2019.gadā noslēgto līgumu 20% izmaksai gala maksājumā-2 000 EUR.</t>
  </si>
  <si>
    <t>Finansējums tiek plānots atbilstoši JPD 9.06.2017. lēmumam Nr.297 un 20.06.2017. līgumam Nr.1.2-16.8/911 ar biznesa izglītības biedrību "Junior Achievement - Young Enterprise Latvija" par Jūrmalas pilsētas izglītības iestāžu dalību skolēnu mācību uzņēmumu programmā 3 gadu periodā, sākot no 2017.gada, 2020.gadā paredzot līguma pagarināšanas iespēju uz vēl trīs gadiem, pienemot attiecīgu domes lēmumu.</t>
  </si>
  <si>
    <t>Finansējums plānots atbilstoši JPD 09.06.2017. lēmuma Nr.297 2.punktam, t.i., plānots sadarbībā ar "Junior Achievement - Young Enterprise Latvija" orgnaizēt trīs Jūrmalas izglītības iestāžu skolēnu mācību uzņēmumu gadatirgus Jūrmalā (pavasarī, rudens sākumā un pirms Ziemassvētkiem), kuru ietvaros notiek lekcijas skolēniem, ko sniedz pieredzējuši uzņēmēji, tīklošanās pasākumi starp Jūrmalas un citu pašvaldību skolēnu mācību uzņēmumiem, kā arī labākā skolēnu mācību uzņēmuma apbalvošana. Viena pasākuma vidējais dalībnieku skaits - 150 personas. Pasākumu nodrošināšanai nepieciešams paredzēt finansējumu telpu tehniskajam nodrošinājumam (galdiem, krēsliem, tehniskajam personālam telpu iekārtošanai, lektoriem, apskaņošanai un pasākumu vadīšanai, kā arī ēdināšanas pakalpojumu sniegšanai.</t>
  </si>
  <si>
    <t xml:space="preserve">Finansējums nepieciešams "Uzņēmēju dienu 2020" organizēšanai, kuras ietvaros tiek plānots pasākuma Vakanču gadatirgus 2020 organizēšana (dalībnieku skaits vidēji 25 uzņēmumi un 500 apmeklētāji), finansējums nepieciešams baneru īres un apdrukas nodrošināšanai, galdu un krēslu nomai, pasākuma vadītājam un Jūrmalas uzņēmēju ikgadējā tikšanās iepriekšējā gada darba rezultātu izvērtēšanai, dalībnieku skaits - 50, finansējums nepieciešams tehniskā nodrošinājuma, pasākuma vadīšanas, ēdināšanas pakalpojumu nodrošināšanai. 
Pasākuma organizēšana tiks iepirkta kompleksi, kā rezultātā tiks slēgts pakalpojuma līgums. 
Summa aprēķināta balstoties uz 2019.gada "Uzņēmēju dienu" organizatoriskajiem izdevumiem.
</t>
  </si>
  <si>
    <t>Latvijas skolēnu mācību uzņēmumu konkursa gada fināla pasākuma organizēšana Jūrmalā. No 2017. gada programmā ir iesaistījušās 14 Jūrmalas izglītības iestādes. Lai popularizētu šo programmu Jūrmalas izglītības iestāžu vidū, 2020.gadā tiek plānots Latvijas skolēnu mācību uzņēmumu konkursa finālu organizēt Jūrmalā. Pasākuma ilgums ir 3 dienas un tā norise tiek plānota 2020.gada maijā, kopējais pasākuma dalībnieku skaits - 300. Šāda pasākuma organizēšana pilsētā tiešā veidā popularizē pilsētas tēlu Latvijā un veicina programmas atpazīstamību Jūrmalas jauniešu vidū. No pašvaldības budžeta tiek paredzēts finansējumu pasākuma organizēšanas izmaksu daļējai segšanai, kopēja līguma ietvaros.</t>
  </si>
  <si>
    <t>SIA "CLS" līgums Nr. 1.2-16.4.3/120 pārejošas saistības. Līgums termiņš ir beidzies, bet piegādātājs neiesniedz rēķinu kā rezultātā nav eispējams norēķināties, bet uzņemtās saistības pret piegādātāju no JPD puses turpinās.</t>
  </si>
  <si>
    <t>Pēc Jūrmalas Uzņēmēju konsultatīvā padomes ierosinājuma 2020.gadā plānots organizēt jaunu produktu un pakalpojumu veidošanas seminārus, kura ietvaros tiktu dibināti jauni un stiprināti esošie kontakti ar nolūku veidot jaunus produktus un pakalpojumus uzņēmēju un pilsētas attīstības interesēs, t.i., kompleksu uzņēmēju pakalpojumu veidošanu, lai piesaistītu Latvijas iedzīvotājums un viesus Jūrmalas pilsētai un kas būtiskāk, aicinātu tos uzkavēties ilgāk. Pakalpojums tiks iepirkts kompleksi, nodrošinot publicitātes materiālus, telpu īri, vadītāja pakalpojumus u.c.</t>
  </si>
  <si>
    <t>JPAP_P3.7._R3.7.1._229 JPAP_P1.4._R1.4.3._17
JPTARP_U.1.1., P.1.1.2.</t>
  </si>
  <si>
    <t>Aktivitāte īstenojama, saskaņā ar Jūrmalas pilsētas domes 18.10.2018.nolikumu Nr.39 "Atbalsts ieguldījumiem uzņēmējdarbības attīstībai Jūrmalas pilsētā", finansējums plānots atbilstoši Jūrmalas pilsētas Tūrisma attīstības rīcības plānam 2014.-2020.gadam 2019.gada ietvaros, ievērojot, ka 2019.gadā tika izsludinātas divas kārtas, bet pieteikumi tika noraidīti nolikuma norādīto prasību dēļ.</t>
  </si>
  <si>
    <t xml:space="preserve">Jūrmalas Uzņēmēju konsultatīvās padomes, kas apstiprināta ar JPD 24.05.2018. lēmumu Nr.226, Jūrmalas biznesa inkubatora konsultatīvās komisijas (JPD 01.12.2016. rīkojums Nr.1.1-14/266), kuras sastāvā ir LDDK, LTRK, JUKP un ALTUM pārstāvji, komisiju vada JPD pārstāvis) (vismaz 6 reizes gadā) sanāksmju nodrošināšana, kuru ietvaros ir nepieciešami ēdināšanas pakalpojumi.  Papildus atbilstoši Tūrisma attīstības rīcības plāna 2018.-2020.gadam tiek plānotas uzņēmēju tikšanās un tīlošanās pasākumi, lai nodrošinātu komplekso piedāvājumu izstrādi veselības un darījumu tūrisma jomā atbilstoši plānam 1200 EUR.
JUKP sanāksmju organizēšana 4 (sanāksm.)*20 (personas)*9eur=720
Jūrmalas biznesa inkubatora konsultatīvās komisijas sēdes 6 (komisijas sēdes)*30 (personas)*9eur=1 620
</t>
  </si>
  <si>
    <t>Nodarbinātības veicināšanas pasākumi</t>
  </si>
  <si>
    <t>JPAP_P.3.7._R3.7.3._235
JPP_AM4_U4.3.._P4.3.2</t>
  </si>
  <si>
    <t>Jauniešu nodarbinātības pasākumu īstenošana - saskaņā ar Jūrmalas pilsētas domes 10.03.2016. iekšējiem noteikumiem Nr.1 "Kārtība, kādā tiek īstenots nodarbinātības veicināšanas atbalsta mehānisms jauniešiem vecumā no 15-20 gadiem sadarbībā ar Nodarbinātības valsts aģentūru Jūrmalas pilsētas teritorijā" un 27.04.2017. iekšējiem  noteikumiem Nr.2 "Kārtība, kādā tiek īstenoti jauniešu nodarbinātības pasākumi jauniešiem vecumā no 15-25 gadiem Jūrmalas pilsētas administratīvajā teritorijā". 2019.gadā nodarbināti 76 jaunieši 13 uzņēmumos.</t>
  </si>
  <si>
    <t>JPAP_P3.7._R3.7.3._235</t>
  </si>
  <si>
    <t>Šogad netiek plānots īstenot aktivitāti atbalsts Jūrmalas jauno speciālistu kompetenču pilnveidei atbilstoši pilsētas specializācijai, jo tika iegūts ES finansējums aktivitātes īstenošanai. 2020.gadā aktivitāte nav paredzēta.</t>
  </si>
  <si>
    <t>Telpu noma biznesa inkubatora darbības nodrošināšanai</t>
  </si>
  <si>
    <t>JPAP_P3.7._R3.7.1._229</t>
  </si>
  <si>
    <t>Saskaņā ar Jūrmalas pilsētas domes 2019.gada 4.jūlija līgumu Nr.1.2-16.3.2/995 līgumsaistības ir līdz 2023.gadam. Mēnesī veicot 265*12=3180</t>
  </si>
  <si>
    <t>Transporta pakalpojumi</t>
  </si>
  <si>
    <t>JPAP_ P3.7._R3.7.2._230    JPAP_ P3.7._R3.7.3._235
JPP_AM4_U4.2._P4.2.2</t>
  </si>
  <si>
    <t>Finansējums nepieciešams, lai nodrošinātu Jūrmalas izglītības iestāžu pedagogu un audzēkņu nokļūšanu uz pasākumu norises vietām, kad to nenodrošina organizatori - biedrība Junior Achievement Latvia. Piemēram, apmeklējot seminārus vai pieredzes apmaiņas vizītes uz citu pašvaldību skolām, tāpat arī apmeklējot citu pašvaldību skolu organizētos skolēnu mācību uzņēmumu gadatirgus, tādejādi gūstot pieredzi par to, kā citu pašvaldību skolās norisinās programmas ieviešana. Papidus finansējums nepieciešma transporta pakalpojumu nodrošināšanai, paredzot tīklošanās pasākuma laikā veikt pilsētas apskates ekskursijas, pārvadājot tūrisma specālistus un tūroperatorus, lainodrošinātu pilsētas reklāmas iespēju un veicinātu tūroperatoru interi par pilsētu un tās apsaktes objektiem.</t>
  </si>
  <si>
    <t>2019.gada 19.septembrī noslēgts pakalpojuma līgums Nr. 1.2-16.4.3/1376 par Jūrmalas pašvaldības sniegto pakalpojumu portāla izveidi, kura izpildes termiņš paredzēts 2020.gadā kā rezultātā nepieciešams finansējums uzņemto līgumsaistību izpildei.</t>
  </si>
  <si>
    <t>Dzintaru koncertzāles attīstība</t>
  </si>
  <si>
    <t>JPAP_P3.7._R3.3.1._192;JPTARP_U3.5._P3.4.1;
DzKVTDS M_3</t>
  </si>
  <si>
    <t>Finansējums Paredzēts pakalpojuma līguma noslēgšanai, lai izstrādtu iepirkuma dokumentāciju Dzintaru koncertzāles būvprojekta izstrādei atbilstoši iepriekšjeā gadā noslēgtajam metu konkursam.</t>
  </si>
  <si>
    <t>JPAP_P1.6._R1.6.1._21;
JPTARP_U1.4._P1.4.1</t>
  </si>
  <si>
    <t>Aktiviāte pārcelta uz Attīstības pārvaldes Projektu nodaļas budžetu.</t>
  </si>
  <si>
    <t>P1.1. - Kūrortu tiesiskā un plānošanas statusa nostiprināšana</t>
  </si>
  <si>
    <t>Rīcības virziens: R1.1.1. - Kūrortu tiesiskās sistēmas un organizācijau izveides veicināšana</t>
  </si>
  <si>
    <t>Aktivitātes Nr.3. Sadarbība ar ārvalstu un starptautiskajām kūrortu un tūrisma organizācijām</t>
  </si>
  <si>
    <t>Rīcības virziens: R1.1.2. - Kūrortu attīstības plānošana</t>
  </si>
  <si>
    <t>Aktivitātes Nr.7. Datu ieguve par tūrisma pieprasījumu un starptautisko kontekstu</t>
  </si>
  <si>
    <t>P1.4 - Viesmīlības pakalpojumu attīstība</t>
  </si>
  <si>
    <t>Rīcības virziens: R1.4.1. - Izmitināšanas pakalpojumu un infrastruktūras attīstība</t>
  </si>
  <si>
    <t>Aktivitātes Nr.15. Izmitināšanas pakalpojumu kvalitātes paaugstināšanas veicināšana</t>
  </si>
  <si>
    <t>Rīcības virziens: R1.4.2. - Ēdināšanas pakalpojumu attīstība</t>
  </si>
  <si>
    <t>Aktivitāte Nr.16. Kvalitatīvas ēdināšanas pakalpojumu kvalitātes paaugstināšanas veicināšana</t>
  </si>
  <si>
    <t>Rīcības virziens: R1.4.3. - Citu pakalpojumu attīstība</t>
  </si>
  <si>
    <t>Aktivitātes Nr.17. Tūrisma pakalpojumu piedāvājuma dažādošana</t>
  </si>
  <si>
    <t>P1.6 - Aktīvā un dabas tūrisma attīstība</t>
  </si>
  <si>
    <t>Rīcības virziens: R1.6.1 - Dabas tūrisma infrastruktūras attīstība</t>
  </si>
  <si>
    <t>Aktivitātes Nr.21. Daudzfunkcionālā, interaktīva dabas tūrisma objekta izveide Ķemeros</t>
  </si>
  <si>
    <t>Aktivitātes Nr.22. Jaunu dabas tūrisma objektu izveide un esošo dabas tūrisma objektu pilnveide</t>
  </si>
  <si>
    <t>P1.7. - Kultūras tūrisma produktu attīstība</t>
  </si>
  <si>
    <t>Rīcības virziens: R1.7.1. - Kultūras tūrisma piedāvājuma attīstība</t>
  </si>
  <si>
    <t>Aktivitātes Nr.43.Kultūras dzīves piedāvājuma attīstība visa gada garumā</t>
  </si>
  <si>
    <t>P1.8. - Konferenču tūrisma attīstība</t>
  </si>
  <si>
    <t>Rīcības virziens: R18.2. - Konferenču un korporatīvo pasākumu nodrošināšanas pakalpojumu attīstība</t>
  </si>
  <si>
    <t>Aktivitātes Nr.47 - Konferenču un citu pasākumu komplekso piedāvājumu sagatavošana un popularizēšana</t>
  </si>
  <si>
    <t>P1.9 - Kūrorta un tikšanās vietas tēla veidošana</t>
  </si>
  <si>
    <t>Rīcības virziens R1.9.1. - Jūrmalas kā kūrorta un tikšanās vietas tēla veidošana</t>
  </si>
  <si>
    <t>Aktivitātes Nr.49. Jūrmalas kā konferenču un tikšanās vietas popularizēšana nozares speciālistu vidē</t>
  </si>
  <si>
    <t>P1.10 - Partnerattiecību veidošana ar starptautiskām organizācijām un institūcijām, sadraudzības pilsētām, citām pašvaldībām Latvijā un ārpus tās</t>
  </si>
  <si>
    <t>Rīcības virziens R1.10.3. - Sadarbība ar asociācijām, starptautiskām organizācijām un institūcijām un institūcijām Latvijā un ārvalstīs</t>
  </si>
  <si>
    <t>Aktivitātes Nr.59. Asociācijām, starptautisko organizāciju informēšanas un monitoringa aktivitātes</t>
  </si>
  <si>
    <t>Aktivitātes Nr.60. Dalība Latvijas pašvaldību interešu pārstāvjošanās asociācijās</t>
  </si>
  <si>
    <t>P2.3 - Sabiedriskā transporta sistēmas attīstība</t>
  </si>
  <si>
    <t>Rīcības virziens: R2.3.1 - Racionālas sabiedriskā transporta sistēmas attīstība</t>
  </si>
  <si>
    <t>Aktivitātes Nr.74. Sabiedriskā transporta attīstība Jūrmalā</t>
  </si>
  <si>
    <t>Rīcības virziens R2.3.2.: Ērtas sabiedriskā transporta infrastruktūras nodrošināšana</t>
  </si>
  <si>
    <t>Aktivitātes Nr.75. Sabiedriskā transporta infrastruktūras attīstība</t>
  </si>
  <si>
    <t>P3.1 - Uz nākotni orientēta pilsētas pārvaldība, kas atbalsta pilsonisko iniciatīvu</t>
  </si>
  <si>
    <t>Rīcības virziens: R3.1.1 - Pilsētas attīstības plānošana</t>
  </si>
  <si>
    <t>Aktivitāte: Nr.118. Iedzīvotāju un uzņēmēju aptauju veikšana</t>
  </si>
  <si>
    <t>Rīcības virziens: R3.1.5. Pilsētas pārvaldības infrastruktūras pilnveide</t>
  </si>
  <si>
    <t>Aktivitāte: Nr.139. Jūrmalas kartes ieviešana</t>
  </si>
  <si>
    <t>P3.3 - Daudzveidīgas kultūras un sporta vide</t>
  </si>
  <si>
    <t>Rīcības virziens: R3.3.1 - Pilsētas kultūras iestāžu un muzeju darbības pilnveide</t>
  </si>
  <si>
    <t>Aktivitāte: Nr.192. Jūrmalas kultūras iestāžu ēku remonts un būvniecība, teritoriju labiekārtošana un materiāltejniskai nodrošinājums</t>
  </si>
  <si>
    <t>P3.7 - Atbalsts uzņēmējdarbības iniciatīvām un uzņēmēju sadarbības veicināšana</t>
  </si>
  <si>
    <t>Rīcības virziens: R3.7.1 - Pašvaldības uzņēmējdarbības atbalsta politikas plānošana un attīstība</t>
  </si>
  <si>
    <t>Aktivitāte: Nr.228. Uzņēmējdarbības atbalsta veicināšana</t>
  </si>
  <si>
    <t>Aktivitāte: Nr.229. Veicināt esošo uzņēmumu attīstību un jaunu uzņēmumu rašanos</t>
  </si>
  <si>
    <t>Rīcības virziens: R3.7.2 - Vietējās uzņēmējdarbības atbalsta infrastruktūras attīstība</t>
  </si>
  <si>
    <t>Aktivitāte: Nr.230. Uzņēmējdarbības veicināšana</t>
  </si>
  <si>
    <t>Rīcības virziens: R3.7.3 - Uzņēmumu izveides, darbības un sadarbības motivācija</t>
  </si>
  <si>
    <t>Aktivitātes Nr.234. Uzņēmējdarbības motivācijas veicināšana</t>
  </si>
  <si>
    <t>Aktivitātes Nr.235. Skolu iesaiste un Jūrmalas pilsētas iedzīvotāju, t.sk., izglītojamo, intereses veicināšana par uzņēmējdarbību un nodarbinātību</t>
  </si>
  <si>
    <t>Rīcības virziens R3.8.1.: Sadarbība ar kaimiņu pašvaldībām</t>
  </si>
  <si>
    <t>Aktivitātes Nr.236.Sadarbības attīstība ar kaimiņu pašvaldībām</t>
  </si>
  <si>
    <t>Jūrmalas pilsētas tūrisma attīstības rīcības plāns 2018.-2020.gadam (JPTARP):</t>
  </si>
  <si>
    <t>R1.1.-Atraktīvu piesaistes objektu izveide ar augustu tūristu piesaistes potenciālu</t>
  </si>
  <si>
    <t>P.1.1.2.-Līdzfinansējuma projektu konkurss inovatīvum radošu tūrisma prduktu izveides veicināšanai</t>
  </si>
  <si>
    <t>R1.2. - Atpūtas, rekreācijas tūrisma piedāvājuma pilnveidošana vietējiem un ārvalstu viesiem</t>
  </si>
  <si>
    <t>P.1.2.6. - Mākslīgā ledus slidotavas izveide un ar to saistīto pakalpojumu nodrošināšana Majoros un Kauguros ziemā</t>
  </si>
  <si>
    <t>R1.4. - Dabasa tūrisma piedāvājuma attīstības veicināšana un popularizēšana</t>
  </si>
  <si>
    <t>P.1.4.3. Dabas piesaistes objektu sasaiste (marķējuma izveide - norādes) ar pilsētas centru un atbilstošs mārketings (skat.Vide un infrastruktūra)</t>
  </si>
  <si>
    <t>R1.5. - Pasākumu/aktivitāšu piedāvājuma pilnveidošana ģimenēm ar bērniem</t>
  </si>
  <si>
    <t>P.1.5.2. Kompleksā pakalpojuma piedāvājuma ģimenēm ar bērniem izveides veicināšana.</t>
  </si>
  <si>
    <t>R1.8. - Viesmīlības pakalpojumu kvalitātes pilnveidošana</t>
  </si>
  <si>
    <t>P.1.8.3. Tūrisma un viesmīlības darbinieku zināšanu par Jūrmalas tūrisma piedāvājumu veicināšana.</t>
  </si>
  <si>
    <t>R1.9 - Jūrmalas kā tūrisma galamērķa mārketings Latvijas un ārvalstu mērķa tirgos</t>
  </si>
  <si>
    <t>P.1.9.6.Dalība tūrisma izstādēs/gadatirgos augsti prioritāros mērķa tirgos t.sk. Latvijā un MICE.</t>
  </si>
  <si>
    <t>P.1.9.11. Dalība darbsemināros, misijās, semināros.</t>
  </si>
  <si>
    <t>P.1.9.13. Dalība vietējās un starptautiskās (Baltijas, Eiropas) tūrisma organizācijās un darbības efektivitātes izvērtēšana</t>
  </si>
  <si>
    <t>R2.1. -Veselības produktu un pakalpojumu pilnveidošana atbilstoši pieprasījumam</t>
  </si>
  <si>
    <t>P.2.1.1. Personāla viesmīlības kompetenču pilnveides veicināšanas pasākumi.</t>
  </si>
  <si>
    <t>P.2.1.3. Tīklošanās pasākumi komplekso pakalpojumu/produktu veidošanas veicināšanai.</t>
  </si>
  <si>
    <t>R2.3. - Jūrmalas pilsētas vides pilnveide veselīgam dzīvesveidam</t>
  </si>
  <si>
    <t>P.2.3.1. Pastaigu maršrutu izveide un marķēšana vidē.</t>
  </si>
  <si>
    <t>P.2.3.4. Veselīga dzīvesveida elementu iekļaušanas viesmīlības uzņēmumu piedāvājumā veicināšana.</t>
  </si>
  <si>
    <t>R3.1. - Konferenču tūrisma attīstība, fokusējoties uz vidēja lieluma (~300 dalībnieki) konferenēm</t>
  </si>
  <si>
    <t>P.3.1.2. Finansiāla atbalsta piešķiršana starptautisku konferenču organizēšanā</t>
  </si>
  <si>
    <t xml:space="preserve">R3.2. Motivējošā tūrisma piedāvājuma veidošana vietējam un ārvalstu tirgiem </t>
  </si>
  <si>
    <t xml:space="preserve">P.3.2.2. Motivējošo programmu Latvijas un ārvalstu klientiem apkopošana un publiskošana </t>
  </si>
  <si>
    <t>P3.6. - Pakalpojumu kvalitātes pilnveide MICE tūrisma sektorā</t>
  </si>
  <si>
    <t>P.3.6.1. Tūrisma un ar tūrismu saistītu uzņēmēju kompetenču pilnveidošanas veicināšana par MICE tūrisma pieprasījuma specifiku.</t>
  </si>
  <si>
    <t>R4.2.-Profesionālā darbaspēka piesaistes veicināšana</t>
  </si>
  <si>
    <t>P.4.2.3.-Kompetenču pilnveidošanas atbalsts jauniešiem viesmīlības un apkalpošanas jomā</t>
  </si>
  <si>
    <t>R4.4. - Atbalsts tūrisma uzņēmējdarbības īstenošanai</t>
  </si>
  <si>
    <t>P4.4.2. Statistikas apkopošana un datu pieejamības nodrošināšana (datu bankas izveide)</t>
  </si>
  <si>
    <t>R4.5. - Pilsētas attīstības prioritātēm atbilstošas tūrisma pārvaldes organizatoriskās struktūras izveide un kapacitātes stiprināšana</t>
  </si>
  <si>
    <t>P.4.5.2.Piedalīšanās Jūrmalas pilsētas sadraudzības pilsētu rīkotajos pasākumos.</t>
  </si>
  <si>
    <t>P.4.5.3. Tūrisma un mārketinga nodaļu darbinieku pieredzes apmaiņas vizītes ārvalstu kūrortpilsētās.</t>
  </si>
  <si>
    <t xml:space="preserve">Jūrmalas pilsētas izglītības attīstības koncepcija 2015.-2020.gadam
</t>
  </si>
  <si>
    <t>R3.2.1 KOPĒJĀ SEKTORA ATTĪSTĪBA, PĀRVALDĪBA</t>
  </si>
  <si>
    <t>Aktivitāte Nr.7 Sabiedriskā transporta maršrutu pieejamības uzlabošana Jūrmalas izglītības iestāžu audzēkņiem</t>
  </si>
  <si>
    <t>Jūrmalas pilsētas informācijas un komunikācijas tehnoloģiju rīcības plāns 2015.–2020.gadam</t>
  </si>
  <si>
    <t>R3.1.5 Jūrmalnieka kartes izveide</t>
  </si>
  <si>
    <t>Aktivitāte Nr.4 Jūrmalas e-kartes informācijas sistēmas ieviešana</t>
  </si>
  <si>
    <t>Attīstības pārvaldes Vides nodaļa</t>
  </si>
  <si>
    <t>Vides piesārņojuma novēršana un samazināšana</t>
  </si>
  <si>
    <t>05.300</t>
  </si>
  <si>
    <t>Priedaines rekultivētā atkritumu izgāztuve - atkritumu nosedzošā slāņa aizsardzība/ apsaimniekošana</t>
  </si>
  <si>
    <t>JPAP_P2.7._R2.7.1._96</t>
  </si>
  <si>
    <t>Saskaņā ar Ministru kabineta 27.12.2011. noteikumiem Nr.1032 „Atkritumu poligonu ierīkošanas, atkritumu poligonu un izgāztuvju apsaimniekošanas, slēgšanas un rekultivācijas noteikumi” 86.punktu. Rekultivētās atkritumu izgāztuves "Priedaine" nosedzošā slāņa apauguma (zāles un krūmi) pļaušana un nozāģēšana, lai aizsargātu nosedzošo slāni no sakņu bojājumiem. Apsaimniekojamā platība 9ha, 2019. gada vienības cena 509.33 EUR par ha. Izgāztuves kopējā platība 13,13ha.</t>
  </si>
  <si>
    <t>Slēgtās rekultivētās atkritumu izgāztuves ''Priedaine'' monitorings</t>
  </si>
  <si>
    <t>JPAP_P2.7._R2.7.1._96 JPAP_P3.4_R3.4.1_208</t>
  </si>
  <si>
    <r>
      <t>Saskaņā ar Ministru kabineta 27.12.2011. noteikumiem Nr.1032 „Atkritumu poligonu ierīkošanas, atkritumu poligonu un izgāztuvju apsaimniekošanas, slēgšanas un rekultivācijas noteikumi” 85.p. 86.p. un 5.pielikumu. Monitorings jāveic no 2009.g. līdz 2029.g. Pakalpojums: 1) Vides stāvokļa (gruntsūdens) monitorings visiem 12.gab. urbumiem. 2) Uzmērījumu veikšana/ topogrāfijas izstrāde (par nosedzošā slāņa virsmas un augstuma atzīmju salīdzinājumu un tā izmaiņām) 9 ha platībai (izveidotais rekultivētais atkritumu "kalns"). Valsts vides dienesta 16.08.2012. vēstule Nr.4-5/3030 par monitoringu.  Jūrmalas pilsētas domes vispārīgās vienošanās par mērniecības pakalpojumiem (25.06.2019. Nr.1.2-16.4.3/94</t>
    </r>
    <r>
      <rPr>
        <sz val="9"/>
        <color theme="1"/>
        <rFont val="Times New Roman"/>
        <family val="1"/>
        <charset val="186"/>
      </rPr>
      <t>7; 04.07.2019. Nr.1.2-16.4.3/999; 04.07.2019. Nr.1.2-16.4.3/1000</t>
    </r>
    <r>
      <rPr>
        <sz val="9"/>
        <rFont val="Times New Roman"/>
        <family val="1"/>
        <charset val="186"/>
      </rPr>
      <t>) ietvaros.</t>
    </r>
  </si>
  <si>
    <t>Rīgas jūras līča, Lielupes, Slokas karjera, noteku uz jūru ūdens kvalitātes mikrobioloģiskās un fizikāli ķīmiskās analīzes</t>
  </si>
  <si>
    <t xml:space="preserve"> JPAP_P2.5._R2.5.2._83
JPAP_P3.4._R3.4.1._208
URARP_M2_RV1.6.2._7</t>
  </si>
  <si>
    <t xml:space="preserve">Saskaņā ar Ministru kabineta 28.11.2017. noteikumiem Nr. 692 "Peldvietas izveidošanas, uzturēšanas un ūdens kvalitātes pārvaldības kārtība" 25.punktu. Pašvaldības veiktais ūdens monitorings: Rīgas jūras līča ūdens, Lielupes un Slokas karjera ūdens paraugu ņemšana, testēšana un ūdens kvalitātes novērtēšana 2020. gada peldsezonas laikā. </t>
  </si>
  <si>
    <t>Ekspertu konsultācijas dažādu pilsētas teritoriju vides sakārtošanas un piesārņojuma likvidēšanas jautājumos</t>
  </si>
  <si>
    <t>JPAP_R3.4.1._208</t>
  </si>
  <si>
    <t>Vides aizsardzības pasākumi bioloģiskās daudzveidības un ainavas aizsardzības jomā</t>
  </si>
  <si>
    <t>05.400</t>
  </si>
  <si>
    <t>Dabas lieguma ''Lielupes grīvas pļavas'' apsaimniekošana</t>
  </si>
  <si>
    <t>JPAP_P1.6._R1.6.1._25 JPAP_P2.8._R2.8.1._104
URARP_M4_RV1.6.2._9
URARP_M4_RV2.8.1._12</t>
  </si>
  <si>
    <t xml:space="preserve">Saskaņā ar likumu “Par īpaši aizsargājamām dabas teritorijām” 26.pantu pašvaldības veiktie apsaimniekošanas pasākumi. Pļavu un niedrāju nopļaušana dabas liegumā ”Lielupes grīvas pļavas”, nopļautās masas savākšana un novietošana kaudzēs. 2019. gada izpilde 42.7 ha apjomā (451.94 EUR ar PVN par 1ha). 2020. gadā plānots nopļaut ~ 43 ha lielu platību. </t>
  </si>
  <si>
    <t>Finansējums nepieciešams inženierbūves projektēšanas izdevumu segšanai (JPD 2019/189/A22/A25/A104 RIK “  Paskaidrojuma raksta I grupas inženierbūvei izstrāde nožogojuma ierīkošanai dabas lieguma “Lielupes grīvas pļavas” III teritorijā ganību dzīvnieku izvietošanai, t. sk. būvniecības izmaksu aprēķināšana). Finansējumu plānots pārnest uz 2020.gadu - norēķinu veikšanai saskaņā ar slēdzamo līgumu un darbu izpildes termiņu.</t>
  </si>
  <si>
    <t>Jūras pludmales un Lielupes krastu (pilsētas peldvietu/ atpūtas vietu) erozijas ietekmes mazināšanas pasākumi.</t>
  </si>
  <si>
    <t>JPAP_P1.2._R1.2.1._8  JPAP_P1.6._R1.6.2._35
URARP_M2_RV1.6.2._6 URARP_M4_RV2.8.1._12</t>
  </si>
  <si>
    <r>
      <t>Smilšu pārvešana no Jūrmalas ostas pārvaldes grunts novietnes Lielupes grīvā un izvietošana pilsētas pludmalē, atpūtas vietās pie Lielupes, Ezeru ielas peldvietā un Druvciemā - 2019.gadā veikti darbi par 27 180.96 EUR. Rīgas jūras līča piekrastē kārklu apauguma apzāģēšana - 2019.gadā veikti darbi par 9 174.83 EUR. Saskaņā ar 17.04.2018. MK noteikumiem Nr.222 "Noteikumi par Jūrmalas ostas robežu noteikšanu" un  Jūrmalas pilsētas domes 18.12.2018. lēmumu Nr.642 “Par nekustamā īpašuma nodošanu valdījumā Jūrmalas ostas pārvaldei”, pagaidu grunts novietne Lielupes grīvas kreisajā krastā 2019.g. ir nodota valdījumā JPI Jūrmalas ostas pārvaldei,</t>
    </r>
    <r>
      <rPr>
        <b/>
        <sz val="9"/>
        <color rgb="FFFF0000"/>
        <rFont val="Times New Roman"/>
        <family val="1"/>
        <charset val="186"/>
      </rPr>
      <t xml:space="preserve"> attiecīgi ostas pārvalde 2020.g. budžeta pieprasījumā pašvaldībai plāno finansējumu smilšu pārvešanas pasākumu veikšanai. AP Vides nodaļa izsniegs nosacījumus smilšu pārvešanai ikgadējās erozijas pasākumu mazināšanas ietvaros.</t>
    </r>
  </si>
  <si>
    <t>Pilsētas aizsargājamo koku sakopšana pamatojoties uz inventarizāciju</t>
  </si>
  <si>
    <t>JPAP_R2.8.1._101</t>
  </si>
  <si>
    <t>Veikts iepirkums darbus saskaņā ar līguma darba uzdevumu plānots veikt līdz 2019.gada beigām. Izpilde atbilstoši darba uzdevumam nepārsniedzot budžeta asignējumu.</t>
  </si>
  <si>
    <t>Vides aizsardzības veicināšanas pasākumu vadība, regulēšana, uzraudzība</t>
  </si>
  <si>
    <t>05.600</t>
  </si>
  <si>
    <t>Zilā Karoga programmas realizēšana</t>
  </si>
  <si>
    <t>JPAP_P1.6._R1.6.2._29 JPAP_P3.6._R3.6.2._227</t>
  </si>
  <si>
    <r>
      <t xml:space="preserve">Pašvaldības dalības maksa par dalību Zilā karoga programmā.  </t>
    </r>
    <r>
      <rPr>
        <b/>
        <sz val="9"/>
        <rFont val="Times New Roman"/>
        <family val="1"/>
        <charset val="186"/>
      </rPr>
      <t>ZK programmas ieviešana Jūrmalas pilsētā 2020.gadā netiek plānota ņemot vērā būtiskās izmaiņas dalības maksas apjomā uz 2020.gadu par vienu ZK godalgoto peldvietu</t>
    </r>
    <r>
      <rPr>
        <sz val="9"/>
        <rFont val="Times New Roman"/>
        <family val="1"/>
        <charset val="186"/>
      </rPr>
      <t xml:space="preserve"> - ZK nacionālajam koordinatoram: NVO biedrībai "Vides izglītības fonds".  Vienas peldvietas dalības maksa 2020.gadā sastādītu 1200,00 EUR budžeta pieprasījumu.</t>
    </r>
  </si>
  <si>
    <t>JPAP_P1.6._R1.6.2._29 JPAP_P3.1._R3.1.3._133</t>
  </si>
  <si>
    <t>Finansējums iedzīvotāju iniciatīvas konkursa ietvaros - vides izglītošanas jomā. AP Vides nodaļas priekšlikums 2020.gadā šo konkursu neorganizēt, jo pēdējos divus gadus ir ļoti zema nevalstisko organizāciju atsaucība. 2019.gadā nav ieviests neviens projekts.</t>
  </si>
  <si>
    <r>
      <rPr>
        <b/>
        <sz val="9"/>
        <rFont val="Times New Roman"/>
        <family val="1"/>
        <charset val="186"/>
      </rPr>
      <t xml:space="preserve">ZK programmas ieviešana Jūrmalas pilsētā 2020.gadā netiek plānota ņemot vērā būtiskās izmaiņas dalības maksas apjomā uz 2020.gadu par vienu ZK godalgoto peldvietu - ZK nacionālajam koordinatoram: NVO biedrībai "Vides izglītības fonds".  </t>
    </r>
    <r>
      <rPr>
        <sz val="9"/>
        <rFont val="Times New Roman"/>
        <family val="1"/>
        <charset val="186"/>
      </rPr>
      <t>Finansējums Zilā Karoga programmas kritērija izpildi- nepieciešamo vides izglītojošo pasākumu organizēšanai. Vienas peldvietas dalība ZK programmā, t.sk. īstenojot vides izglītības pasākumus 2020.gadā sastādītu 4500,00 EUR budžeta pieprasījumu.</t>
    </r>
  </si>
  <si>
    <t>Jūrmalas pilsētas attīstības programma 2014-2020. (JPAP):</t>
  </si>
  <si>
    <t>Rīcības virziens: R1.2.1. Ilgtspējīgas kūrorta resursu ieguves un izmantošanas attīstība</t>
  </si>
  <si>
    <t xml:space="preserve">                          Aktivitātes: Nr.8. Jūrmalas kūrorta dabas resursu aizsardzības pasākumi un racionāla dabas dziedniecisko resursu izmantošana</t>
  </si>
  <si>
    <t>Rīcības virziens: R1.6.1. Dabas tūrisma infrastruktūras attīstība</t>
  </si>
  <si>
    <t xml:space="preserve">                          Aktivitātes: Nr.25. Dabas lieguma “Lielupes grīvas pļavas” apsaimniekošanas pasākumu realizācija un atbilstošas infrastruktūras izveide</t>
  </si>
  <si>
    <t>Rīcības virziens: R1.6.2. Peldvietu infrastruktūras attīstība</t>
  </si>
  <si>
    <t xml:space="preserve">                          Aktivitātes: Nr.29. Baltijas jūras Rīgas jūras līča peldvietu un Jūrmalas iekšzemes peldvietas infrastruktūras attīstība saskaņā ar „Zilā karoga” </t>
  </si>
  <si>
    <t xml:space="preserve">                          programmas standartu un Jūrmalas iekšzemes peldvietu un atpūtas vietu infrastruktūras attīstība</t>
  </si>
  <si>
    <t xml:space="preserve">                          Aktivitātes: Nr.35. Krasta erozijas procesu aizkavēšanas pasākumi</t>
  </si>
  <si>
    <t>Rīcības virziens: R2.5.2. Notekūdeņu apsaimniekošanas sistēmu pilnveide</t>
  </si>
  <si>
    <t xml:space="preserve">                          Aktivitātes: Nr.83. Notekūdeņu un lietus ūdens savākšanas un attīrīšanas sistēmu attīstība Jūrmalas pilsētā</t>
  </si>
  <si>
    <t>Rīcības virziens: R2.7.1. Atkritumu apsaimniekošanas sistēmas pilnveide</t>
  </si>
  <si>
    <t xml:space="preserve">                          Aktivitātes: Nr.96. Atkritumu apsaimniekošanas sistēmas pilnveide</t>
  </si>
  <si>
    <t>Rīcības virziens: R2.8.1. Publiskās telpas pilnveide</t>
  </si>
  <si>
    <t xml:space="preserve">                          Aktivitātes: Nr.101. Ielu apstādījumu koku sakopšana</t>
  </si>
  <si>
    <t xml:space="preserve">                          Aktivitātes: Nr.104. Lielupes krastmalas un piekrastes ekosistēmas ilgtspējīga apsaimniekošana</t>
  </si>
  <si>
    <t>Rīcības virziens: R3.1.3. Nevalstiskā sektora attīstības atbalsts</t>
  </si>
  <si>
    <t xml:space="preserve">                          Aktivitātes: Nr.133. Sadarbība ar nevalstiskajām organizācijām</t>
  </si>
  <si>
    <t>Rīcības virziens: R3.4.1. Sabiedriskās kārtības un iedzīvotāju drošības nodrošināšana</t>
  </si>
  <si>
    <t xml:space="preserve">                          Aktivitātes: Nr.208. Vides monitoringa informācijas sistēmas ieviešana un dažādu vides monitoringu veikšana</t>
  </si>
  <si>
    <t>Rīcības virziens R3.6.2.: Veselīga dzīvesveida veicināšana</t>
  </si>
  <si>
    <t>Aktivitāte Nr. 227 Veselīga dzīvesveida veicināšana</t>
  </si>
  <si>
    <t>Jūrmalas pilsētas ūdens resursu aizsardzības rīcības plāns 2016.-2020.gadam (JPŪRAP):</t>
  </si>
  <si>
    <t>Rīcības virziens: RV1.6.2. Peldvietu infrastruktūras attīstība</t>
  </si>
  <si>
    <t xml:space="preserve">                          Aktivitātes: Nr.6. Aizkavēt krasta erozijas procesu, t.sk., veikt pētījumu par plūdu iespējas novēršanu, klimata pārmaiņu ietekmi un krasta erozijas mazināšanu</t>
  </si>
  <si>
    <t xml:space="preserve">                          Aktivitātes: Nr.7. Peldūdens monitorings</t>
  </si>
  <si>
    <t xml:space="preserve">                          Aktivitātes: Nr.9. Uzlabot publisko ūdeņu piekrastes pieejamību</t>
  </si>
  <si>
    <t>Rīcības virziens: RV2.8.1. Publiskās telpas pilnveide</t>
  </si>
  <si>
    <t xml:space="preserve">                          Aktivitātes: Nr.12. Lielupes krastmalas un piekrastes ekosistēmas ilgtspējīga apsaimniekošana</t>
  </si>
  <si>
    <t xml:space="preserve">Īpašumu pārvaldes Pašvaldības īpašumu nodaļas pašvaldības īpašumu tehniskā nodrošinājuma daļa </t>
  </si>
  <si>
    <t>Administratīvo ēku būvniecība, atjaunošana un uzlabošana</t>
  </si>
  <si>
    <t xml:space="preserve"> 01.110</t>
  </si>
  <si>
    <t>Domes administratīvo ēku infrastruktūras attīstība</t>
  </si>
  <si>
    <t>JPAP_P3.1_R3.1.2._131 JPAP_P2.8_R2.8.1_99</t>
  </si>
  <si>
    <t>Tūrisma informācijas centrs (Lienes 5):</t>
  </si>
  <si>
    <t>Kondicioneru ierīkošana. Logu atjaunošanai (fasādes pusē, tuvāk ceļam). Nožogojuma uzstādīšanu ēkas pagalma pusē.</t>
  </si>
  <si>
    <t>Jomas iela 10 k-1</t>
  </si>
  <si>
    <r>
      <t xml:space="preserve">Būvprojekta "Telpu atjaunošana Jomas ielā 10 k-1, Jūrmalā" izstrāde un tā realizācijā veicamo būvdarbu </t>
    </r>
    <r>
      <rPr>
        <b/>
        <sz val="9"/>
        <rFont val="Times New Roman"/>
        <family val="1"/>
        <charset val="186"/>
      </rPr>
      <t>autoruzraudzība</t>
    </r>
    <r>
      <rPr>
        <sz val="9"/>
        <rFont val="Times New Roman"/>
        <family val="1"/>
        <charset val="186"/>
      </rPr>
      <t xml:space="preserve"> (SIA VD Service, līgums Nr. 1.2-16.4.3/1256)</t>
    </r>
  </si>
  <si>
    <t>Jomas iela 1/5</t>
  </si>
  <si>
    <r>
      <t xml:space="preserve">Vestibila interjera projekta izstrāde Jomas ielā 1/5 un </t>
    </r>
    <r>
      <rPr>
        <b/>
        <sz val="9"/>
        <rFont val="Times New Roman"/>
        <family val="1"/>
        <charset val="186"/>
      </rPr>
      <t>autoruzraudzība</t>
    </r>
    <r>
      <rPr>
        <sz val="9"/>
        <rFont val="Times New Roman"/>
        <family val="1"/>
        <charset val="186"/>
      </rPr>
      <t xml:space="preserve"> (SIA Sampling, līgums Nr. 1.2-16.4.3/580)</t>
    </r>
  </si>
  <si>
    <r>
      <t>Kondicionēšanas sistēmas būvdarbi 2.kārta Jūrmalas pilsētas domes administratīvajā ēkā</t>
    </r>
    <r>
      <rPr>
        <b/>
        <sz val="9"/>
        <rFont val="Times New Roman"/>
        <family val="1"/>
        <charset val="186"/>
      </rPr>
      <t xml:space="preserve"> (5% garantijas laika garantija)</t>
    </r>
    <r>
      <rPr>
        <sz val="9"/>
        <rFont val="Times New Roman"/>
        <family val="1"/>
        <charset val="186"/>
      </rPr>
      <t>, SIA Moduls Engineering, Līgums Nr.  1.2-16.4.2/1356</t>
    </r>
  </si>
  <si>
    <r>
      <t>Centralizētās gaisa kondicionēšanas sistēmas JPD administratīvajā ēkā būvprojekta izstrāde un tā realizācijā veicamo būvdarbu</t>
    </r>
    <r>
      <rPr>
        <b/>
        <sz val="9"/>
        <rFont val="Times New Roman"/>
        <family val="1"/>
        <charset val="186"/>
      </rPr>
      <t xml:space="preserve"> autoruzraudzība</t>
    </r>
    <r>
      <rPr>
        <sz val="9"/>
        <rFont val="Times New Roman"/>
        <family val="1"/>
        <charset val="186"/>
      </rPr>
      <t xml:space="preserve"> (SIA Namejs Pluss, līgums Nr. 1.2-16.4.3/808)</t>
    </r>
  </si>
  <si>
    <t>Būvprojekta ''Administratīvās ēkas jumta konstrukcijas. Mehāniskās stiprības un stabilitātes pastiprināšana.'' izstrāde ēkai Jomas ielā 1/5, veicamo būvdarbu autoruzraudzība (SIA Pils M, līgums Nr. 1.2-16.4.3/1053)</t>
  </si>
  <si>
    <t>Būvuzraudzība (JPD divslīpu jumts)</t>
  </si>
  <si>
    <t>Būvdarbi. Domes ēkas divslīpu jumta konstrukciju izbūve (Būvprojekts atbilstoši BVKB prasībām)</t>
  </si>
  <si>
    <t xml:space="preserve">Dokumentācijas izdevumi (JPD divslīpu jumts) </t>
  </si>
  <si>
    <t>Sliekšņa remonts sēžu zāles rezerves izejā uz iekšējo pagalmu</t>
  </si>
  <si>
    <t xml:space="preserve">Galveno kāpņu remonts </t>
  </si>
  <si>
    <t xml:space="preserve">Dzimtsarakstu nodaļa </t>
  </si>
  <si>
    <t>Parketa nomaiņa laulību reģistrācijas zālē; Galvenās ieejas ārdurvju nomaiņa (2 gab.); Griestu un sienu krāsošana 3 kabinetos</t>
  </si>
  <si>
    <t>Dubultu pr.1</t>
  </si>
  <si>
    <r>
      <t>I</t>
    </r>
    <r>
      <rPr>
        <sz val="9"/>
        <rFont val="Times New Roman"/>
        <family val="1"/>
        <charset val="186"/>
      </rPr>
      <t xml:space="preserve"> stāva gaiteņa  remonts, grīdas seguma atjaunošana, ieejas vējtvera grīdas flīzējuma atjaunošana</t>
    </r>
  </si>
  <si>
    <t>Avārijas darbi</t>
  </si>
  <si>
    <t xml:space="preserve">Objektu apsekošana, to ekonomisko daļu, apjomu, tāmju sastādīšana </t>
  </si>
  <si>
    <t>JPAP P3.1.,R3.1.2._131</t>
  </si>
  <si>
    <t>Nekustamā īpašuma būvniecība, atjaunošana un uzlabošana policijas vajadzībām</t>
  </si>
  <si>
    <t>03.110</t>
  </si>
  <si>
    <t>Policijas vajadzībām nepieciešamo ēku remonts</t>
  </si>
  <si>
    <t>JPAP_P1.6_R1.6.2._30 JPAP_P2.8_R2.8.1_99</t>
  </si>
  <si>
    <r>
      <rPr>
        <u/>
        <sz val="9"/>
        <rFont val="Times New Roman"/>
        <family val="1"/>
        <charset val="186"/>
      </rPr>
      <t>Smilšu iela 7</t>
    </r>
    <r>
      <rPr>
        <sz val="9"/>
        <rFont val="Times New Roman"/>
        <family val="1"/>
        <charset val="186"/>
      </rPr>
      <t xml:space="preserve"> konstrukciju remontdarbi</t>
    </r>
  </si>
  <si>
    <t>Smilšu iela 7, ēkas elektrotīkla pieslēguma un uzskaites pārbūve</t>
  </si>
  <si>
    <t>JPAP_P1.6_R1.6.2._30</t>
  </si>
  <si>
    <t>Glābšanas staciju būvniecība, atjaunošana un uzlabošana</t>
  </si>
  <si>
    <t>03.600</t>
  </si>
  <si>
    <t>Glābšanas stacijas</t>
  </si>
  <si>
    <t>JPAP_P1.6_R1.6.2._30 JPAP_P2.8_R2.8.1_99 JPAP_P3.4_R3.4.1_213</t>
  </si>
  <si>
    <r>
      <rPr>
        <u/>
        <sz val="9"/>
        <rFont val="Times New Roman"/>
        <family val="1"/>
        <charset val="186"/>
      </rPr>
      <t>Buldru glābšanas stacijas</t>
    </r>
    <r>
      <rPr>
        <sz val="9"/>
        <rFont val="Times New Roman"/>
        <family val="1"/>
        <charset val="186"/>
      </rPr>
      <t xml:space="preserve"> remontdarbi, nožogojums, vārtu atjaunošana</t>
    </r>
  </si>
  <si>
    <t>06.600</t>
  </si>
  <si>
    <t>Jauno Slokas kapu izbūve un labiekārtošana</t>
  </si>
  <si>
    <t>JPAP_P2.8_R2.8.2._114</t>
  </si>
  <si>
    <t>JLD" kapsētas teritorijas labiekārtojuma projekta izstrāde</t>
  </si>
  <si>
    <r>
      <t xml:space="preserve">Asfalta segumu remontdarbi </t>
    </r>
    <r>
      <rPr>
        <u/>
        <sz val="9"/>
        <rFont val="Times New Roman"/>
        <family val="1"/>
        <charset val="186"/>
      </rPr>
      <t>Jaundubultu kapsētas</t>
    </r>
    <r>
      <rPr>
        <sz val="9"/>
        <rFont val="Times New Roman"/>
        <family val="1"/>
        <charset val="186"/>
      </rPr>
      <t xml:space="preserve"> centrālajam gājēju ceļam</t>
    </r>
  </si>
  <si>
    <r>
      <rPr>
        <u/>
        <sz val="9"/>
        <rFont val="Times New Roman"/>
        <family val="1"/>
        <charset val="186"/>
      </rPr>
      <t>Beberbeķu kapsēta</t>
    </r>
    <r>
      <rPr>
        <sz val="9"/>
        <rFont val="Times New Roman"/>
        <family val="1"/>
        <charset val="186"/>
      </rPr>
      <t>: kapličas jumta remonts (tek 5 vietās); kapličas lietusūdeņu noteku iegāde un montāža; elektrosadales skapja, rozešu, slēdžu nomaiņa; kapličas telpu remonts; WC remonts, durvju iegāde un montāža; pakāpienu izveide Katoļu sektorā 3 komplekti; Galvenā ceļa pievada sakārtošana (šķembu uzbēršana).</t>
    </r>
  </si>
  <si>
    <r>
      <rPr>
        <u/>
        <sz val="9"/>
        <rFont val="Times New Roman"/>
        <family val="1"/>
        <charset val="186"/>
      </rPr>
      <t>Slokas kapsētas</t>
    </r>
    <r>
      <rPr>
        <sz val="9"/>
        <rFont val="Times New Roman"/>
        <family val="1"/>
        <charset val="186"/>
      </rPr>
      <t xml:space="preserve"> Varoņu ielas pusē - nožogojuma maiņa; vārtu uzstādīšana no Leona Paegles ielas puses; kapličas atjaunošana</t>
    </r>
  </si>
  <si>
    <r>
      <rPr>
        <u/>
        <sz val="9"/>
        <rFont val="Times New Roman"/>
        <family val="1"/>
        <charset val="186"/>
      </rPr>
      <t>Ķemeru kapsētas</t>
    </r>
    <r>
      <rPr>
        <sz val="9"/>
        <rFont val="Times New Roman"/>
        <family val="1"/>
        <charset val="186"/>
      </rPr>
      <t xml:space="preserve"> kapličas nojaukšana un atzīmes saņemšana par būves neesamību</t>
    </r>
  </si>
  <si>
    <t>Pašvaldības dzīvojamā fonda remonts</t>
  </si>
  <si>
    <t>JPAP_P2.9_R2.9.1._115  JPAP_P3.5_R3.5.1_216</t>
  </si>
  <si>
    <t>Individuālo ūdens skaitītāju uzstādīšana un verifikācija Jūrmalas pašvaldības īpašumā esošajos dzīvokļos (SIA"TASSMA'' Līgums nr. 1.2-16.4.2/1429)</t>
  </si>
  <si>
    <t>Pašvaldības īpašumā esošo dzīvokļu remontdarbi (Līgums Nr. 1.2-16.4.2/1410)</t>
  </si>
  <si>
    <t>JPAP_P2.9_R2.9.1._115 JPAP_P3.5_R3.5.1_216</t>
  </si>
  <si>
    <t>Pašvaldības īpašumā esošo dzīvokļu remontdarbi</t>
  </si>
  <si>
    <t>Dzīvokļu remontdarbi</t>
  </si>
  <si>
    <t>Ēku nojaukšana</t>
  </si>
  <si>
    <t>JPAP_P2.8_R2.8.1._105 JPAP_P2.8_R2.8.1_99</t>
  </si>
  <si>
    <t>Ēkas nojaukšanas būvprojekta izstrāde (energo pieslēguma pārcelšana) Raiņa ielā 70</t>
  </si>
  <si>
    <t>'VD Service'' nojaukšanas būvprojekta izstrāde ēkām Raiņa ielā 70 (Līgums Nr. 1.2-16.4.2/934)</t>
  </si>
  <si>
    <t>Tūristu 18</t>
  </si>
  <si>
    <t xml:space="preserve">Nojaukšanas būvprojekts </t>
  </si>
  <si>
    <t>Ēku kompleksa nojaukšana</t>
  </si>
  <si>
    <t>Būvuzraudzība</t>
  </si>
  <si>
    <t>Tirdzniecības kiosks pie dzīvojamās ēkas Slokas ielā 63/1</t>
  </si>
  <si>
    <t>Atbalss ielas un Alkšņu ielas krustojumā, Jūrmalā Būves nojaukšana ar projekta izstrādi</t>
  </si>
  <si>
    <t>Lienes 15 (ar nojaukšanas projektu)</t>
  </si>
  <si>
    <t>Priedaines policijas postenis (ar nojaukšanas projektu)</t>
  </si>
  <si>
    <t>Skrundas ielā 1 ēku pazemes daļas demontāža un teritorijas sakārtošana atbilstoši Būvvaldes prasībām</t>
  </si>
  <si>
    <t>Kapteiņa Zolta piemiņas vietas teritorijas labiekārtošana Kaugurciema ielā, Jūrmalā</t>
  </si>
  <si>
    <t>JPAP_P2.8_R2.8.1._98</t>
  </si>
  <si>
    <t>Autoruzraudzība Kapteiņa Zolta piemiņas vietas labiekārtošanai Kaugurciemā 4201 (SIA Multibau-projekts, vēstule Nr. 1.1-37/2079)</t>
  </si>
  <si>
    <t>Tirdzniecības nojumes jaunbūve un inženierkomunikāciju izbūve Slokas ielā 3313, Jūrmalā</t>
  </si>
  <si>
    <t>JPAP_P3.7_R3.7.2_231</t>
  </si>
  <si>
    <t>Pašvaldības īpašumā esošo ēku, kas nav nodotas citu pašvaldības iestāžu valdījumā vai apsaimniekošanā, remonts</t>
  </si>
  <si>
    <t xml:space="preserve">JPAP_P2.9_R2.9.1_115 JPAP_P3.5_R3.5.1_216 JPAP_P2.8_R2.8.1_99 </t>
  </si>
  <si>
    <t>RD Consult" ugunsgrēka atklāšanas un trauksmes signalizācijas sistēmas uzstādīšana Jūrmalas pilsētas pašvaldības sociālajās mājās Nometņu ielā 2A, Jūrmalā un Valkas ielā 3 (Līgums Nr. 1.2-16.4.2/1780)</t>
  </si>
  <si>
    <t>Papildus darbi (Ugunsdrošība Nometņu 2a un Valkas 3)</t>
  </si>
  <si>
    <t>Sabiedriskās tualetes kanalizācijas sistēmas remontdarbi Baznīcas ielā 2A (1.2-16.4.2/1685   11.11.2019., SIA "Jūrmalas ūdens")</t>
  </si>
  <si>
    <t>Slokas iela 63k-3</t>
  </si>
  <si>
    <t>Skursteņu kanālu virsjumta daļas demontāža un pārmūrēšana (avārijas stāvoklī)</t>
  </si>
  <si>
    <t>Mājas lietus aizsargapmales atjaunošana; koplietošanas telpu apgaismojuma atjaunošana; āra kāpņu atjaunošana un jumtiņa seguma hidroizolācija; pasta kastīšu uzlikšana</t>
  </si>
  <si>
    <t>Nometņu iela 2A</t>
  </si>
  <si>
    <t>Karstā un aukstā cirkulācijas guļvadu nomaiņa; Caurumu aizdarīšana sienās, šahtu aizvēršana, sienu krāsošana; Fasādes atjaunošana līdz otrajam stāvam; koridoru logu mehānismu remonts</t>
  </si>
  <si>
    <t>Līču iela 2 un 2k-1</t>
  </si>
  <si>
    <t>Ventilācijas kanālu pareiza pārbūve, jumtiņu demontāža un maiņa; ieejas durvju maiņa</t>
  </si>
  <si>
    <t>Skolas iela 44</t>
  </si>
  <si>
    <t>Starpstāvu durvju maiņa un durvju nomaiņa 1.stāvā; Pie mājas bojātā bruģa seguma atjaunošana; Koridoru logu mehānismu remonts</t>
  </si>
  <si>
    <t>Valkas iela 3</t>
  </si>
  <si>
    <t>Apkures sistēmas renovācija; kanalizācijas sistēmas maiņa; ūdens sūkņa maiņa</t>
  </si>
  <si>
    <t>JPAP_P2.9_R2.9.1_115 JPAP_P2.8_R2.8.1_99</t>
  </si>
  <si>
    <t>Pašvaldības īpašumā esošo dzīvojamo un nedzīvojamo telpu remonta darbi</t>
  </si>
  <si>
    <t>Ēku konservācija</t>
  </si>
  <si>
    <t>JPAP_P2.8_R2.8.1_105 JPAP_P2.8_R2.8.1_99</t>
  </si>
  <si>
    <r>
      <t xml:space="preserve">Pagaidu nožogojuma žoga noma un uzturēšana </t>
    </r>
    <r>
      <rPr>
        <b/>
        <sz val="9"/>
        <rFont val="Times New Roman"/>
        <family val="1"/>
        <charset val="186"/>
      </rPr>
      <t>Ģertrūdes prospektā 31</t>
    </r>
    <r>
      <rPr>
        <sz val="9"/>
        <rFont val="Times New Roman"/>
        <family val="1"/>
        <charset val="186"/>
      </rPr>
      <t xml:space="preserve"> (vēstule Nr. 1.1-37/5467)</t>
    </r>
  </si>
  <si>
    <r>
      <t xml:space="preserve">Pagaidu nožogojuma žoga noma un uzturēšana </t>
    </r>
    <r>
      <rPr>
        <b/>
        <sz val="9"/>
        <rFont val="Times New Roman"/>
        <family val="1"/>
        <charset val="186"/>
      </rPr>
      <t>Ģertrūdes prospektā 31</t>
    </r>
    <r>
      <rPr>
        <sz val="9"/>
        <rFont val="Times New Roman"/>
        <family val="1"/>
        <charset val="186"/>
      </rPr>
      <t xml:space="preserve"> (6.mēneši 2020.gadā)</t>
    </r>
  </si>
  <si>
    <r>
      <t xml:space="preserve">Dzīvojamās mājas </t>
    </r>
    <r>
      <rPr>
        <b/>
        <sz val="9"/>
        <rFont val="Times New Roman"/>
        <family val="1"/>
        <charset val="186"/>
      </rPr>
      <t>Brocēnu ielā 3</t>
    </r>
    <r>
      <rPr>
        <sz val="9"/>
        <rFont val="Times New Roman"/>
        <family val="1"/>
        <charset val="186"/>
      </rPr>
      <t>, Jūrmalā, konservācija. Paskaidrojuma raksts.</t>
    </r>
  </si>
  <si>
    <t>Pašvaldības policijas postenis ''Priedaine''</t>
  </si>
  <si>
    <t xml:space="preserve"> JPAP_P2.8_R2.8.1_99</t>
  </si>
  <si>
    <t>Aizvietotājizpildes piemērošana patvaļīgi veiktas būvniecības vai vidi degradējošas/bīstamas būves esamības gadījumos</t>
  </si>
  <si>
    <t>JPAP_P2.9_R2.9.1._115 JPAP_P2.8_R2.8.1_99</t>
  </si>
  <si>
    <t>Pašvaldības palīdzības sniegšana iedzīvotājiem dzīvojamo telpu remontiem</t>
  </si>
  <si>
    <t xml:space="preserve">JPAP_P2.9_R2.9.1._115 JPAP_P2.8_R2.8.1_99 JPAP_P3.5_R3.5.1_216 </t>
  </si>
  <si>
    <t>JPAP P3.1.,R3.1.2._131 JPAP_P2.8_R2.8.1_99</t>
  </si>
  <si>
    <t>08.100</t>
  </si>
  <si>
    <t>Sabiedriskās tualetes remontdarbi</t>
  </si>
  <si>
    <t>JPAP_P2.8_R2.8.1_99</t>
  </si>
  <si>
    <t>WC Baznīcas 2A (Jūrmalas Ūdens)</t>
  </si>
  <si>
    <t xml:space="preserve">Sporta nams "Taurenītis" </t>
  </si>
  <si>
    <t>JPAP_P1.6_R1.6.3_41 JPAP_P3.3_R3.3.3_206 JPAP_P3.6_R3.6.2_227</t>
  </si>
  <si>
    <t>'SMS Construction'' papildus būvdarbi objektā ''Sporta nama ''Taurenītis'' Kļau ielā 29/31, Jūrmalā, būves telpiskās noturības elementu pārbūvē'', garantijas laika garantija (Līgums Nr. 1.2-16.4.2/645)</t>
  </si>
  <si>
    <t>Majoru sporta laukums</t>
  </si>
  <si>
    <t>Jumta seguma remontdarbi</t>
  </si>
  <si>
    <t>Slokas stadions</t>
  </si>
  <si>
    <t>Arena Sports'' Jūrmalas pilsētas stadiona ''Sloka'' skrejceliņu seguma atjaunošana Skolas ielā 5 (Līgums Nr. 1.2-16.4.2/944)</t>
  </si>
  <si>
    <t>BŪVREM'' papildus būvuzraudzība objektā ''Jūrmalas pilsētas stadiona ''Sloka'' skrejceliņu seguma atjaunošana'' Skolas ielā 5 (Līgums Nr. 1.2-16.4.3/1037)</t>
  </si>
  <si>
    <t>Dzintaru mežaparks</t>
  </si>
  <si>
    <t>JPAP_P2.8_R2.8.1_98 JPAP_P3.3_R3.3.3_206 JPAP_P3.6_R3.6.2_227</t>
  </si>
  <si>
    <t>Ārējo inženiertīklu (kanalizācijas sistēmas) atjaunošana</t>
  </si>
  <si>
    <t>Velonovietnes Jūrmalas pilsētas pašvaldības īpašumos</t>
  </si>
  <si>
    <t>JPAP_P2.8_R2.8.1_98 JPAP_P3.6_R3.6.2_227</t>
  </si>
  <si>
    <t>JPAP P3.1.,R3.1.2._131 JPAP_P2.8_R2.8.1_98 JPAP_P2.8_R2.8.1_99</t>
  </si>
  <si>
    <t>Bibliotēku ēku būvniecība, atjaunošana un uzlabošana</t>
  </si>
  <si>
    <t>08.210</t>
  </si>
  <si>
    <t>Bibliotēku remonts</t>
  </si>
  <si>
    <t>JPAP P3.1.,R3.1.2._131  JPAP_P2.8_R2.8.1_99 JPAP_P3.3_R3.3.1_192</t>
  </si>
  <si>
    <t>Investīciju plāns</t>
  </si>
  <si>
    <t>Asaru bibliotēkas ūdensvada un kanalizācijas novadsistēmas pārbūve, pieslēgšana pie pilsētas sistēmas, fasādes remonts, ēkas krāsojuma atjaunošana</t>
  </si>
  <si>
    <t>Kauguru bibliotēka. Centrālās ieejas kāpņu remonts; ēkas siltināšana un fasādes atjaunošana; Izgaismotas izkārtnes "Kauguru bibliotēka" ierīkošana virs centrālās ieejas; Jumtiņu uztādīšana virs centrālās un rezerves ieejas</t>
  </si>
  <si>
    <t>A.Kronenberga Slokas bibliotēka. Ēkas R fasādes atjaunošana; šķūņa jumta seguma nomaiņa</t>
  </si>
  <si>
    <t>Bulduru bibliotēka. Esošo apkures katlu ZWE 24-3MFK un ZWE 24-KP nomaiņa pret vienu, jaudīgu un ekonomisku; Ugunsdrošības signalizācijas sistēmas (USS) atjaunošana atbilstoši normatīviem</t>
  </si>
  <si>
    <t>JPAP P3.1.,R3.1.2._131 JPAP_P2.8_R2.8.1_99 JPAP_P3.3_R3.3.1_192</t>
  </si>
  <si>
    <t>Muzeja ēku būvniecība, atjaunošana un uzlabošana</t>
  </si>
  <si>
    <t>08.220</t>
  </si>
  <si>
    <t>Muzeji un izstāžu zāles</t>
  </si>
  <si>
    <t xml:space="preserve">JPAP_P3.3_R3.3.1._192                    JPAP P3.1.,R3.1.2._131 JPAP_P2.8_R2.8.1_99 </t>
  </si>
  <si>
    <t>Jūrmalas pilsētas muzejs (Tirgoņu 29)</t>
  </si>
  <si>
    <t>'Livland Group'' Jūrmalas pilsētas muzeja būvprojekta izstrādi – esošas ēkas atsevišķu daļu nomaiņa un atjaunošana un tā realizācijā veicamo būvdarbu autoruzraudzību (Līgums Nr. 1.2-16.4.3/1175)</t>
  </si>
  <si>
    <t>IZMAIŅU PROJEKTS SADALĪŠANAI KĀRTĀS ''Livland Group'' Jūrmalas pilsētas muzeja būvprojekta izstrādi – esošas ēkas atsevišķu daļu nomaiņa un atjaunošana un tā realizācijā veicamo būvdarbu autoruzraudzību (Līgums Nr. 1.2-16.4.3/1175) Vienošanās pie līguma</t>
  </si>
  <si>
    <t>Būvdarbi I kārta atbilstoši ''Livland Group'' būvprojektam</t>
  </si>
  <si>
    <t>Būvuzraudzība I kārta atbilstoši ''Livland Group'' būvprojektam</t>
  </si>
  <si>
    <t>Dokumentācijas izdevumi atbilstoši ''Livland Group'' būvprojektam</t>
  </si>
  <si>
    <t>Jūrnalas pilsētas muzeja ēkas terases un lietus noteku remontdarbi (SIA"T.I.P.Būvprojekts" Nr.1.2-16.4.2/1805   04.12.2019.)</t>
  </si>
  <si>
    <t>Ēkas fasādes remonts Lienes ielas pusē blakus evakuācijas izejai un jumta pārkares remonts galvenajai fasādei no apakšas Tirgoņu ielā (BVKB atzinumu Nr. 4-2.1-2017-208-4240)</t>
  </si>
  <si>
    <t xml:space="preserve">JPAP P3.1.,R3.1.2._131 JPAP_P3.3_R3.3.1._192                     JPAP_P2.8_R2.8.1_99 </t>
  </si>
  <si>
    <t>Kultūras centra ēku remonts</t>
  </si>
  <si>
    <t>JPAP_P3.3_R3.3.1._192                      JPAP P3.1.,R3.1.2._131                     JPAP_P2.8_R2.8.1_99</t>
  </si>
  <si>
    <t xml:space="preserve">JŪRMALAS KULTŪRAS CENTRS Jomas 35 </t>
  </si>
  <si>
    <t xml:space="preserve">Siltuma zudumi pa logu spraugām; Bojātas durvju slēdzenes; Foajē stikli ar defekltiem; Ēkas ūdensapgādes cauruļu nomaiņa. Fasādes remonts </t>
  </si>
  <si>
    <t>JKC KAUGURU KULTŪRAS NAMS, RAIŅA IELA 110</t>
  </si>
  <si>
    <r>
      <t>'Lejnieku projektēšanas birojs'' inženierkomunikāciju sistēmas tehniskā izpēte un būvprojekta izstrāde Kauguru kultūras nama ēkai (</t>
    </r>
    <r>
      <rPr>
        <b/>
        <sz val="9"/>
        <rFont val="Times New Roman"/>
        <family val="1"/>
        <charset val="186"/>
      </rPr>
      <t>autoruzraudzība</t>
    </r>
    <r>
      <rPr>
        <sz val="9"/>
        <rFont val="Times New Roman"/>
        <family val="1"/>
        <charset val="186"/>
      </rPr>
      <t>, Līgums Nr. 1.2-16.4.3/1209)</t>
    </r>
  </si>
  <si>
    <t>Zāles evakuācijas durvju maiņa, atbilstoši VUGD prasībām, divvērtņu durvis; komunikācijas, apkures sistēmas ievads; Avārijas rezultāta  griestu bojājumi nodarbību telpā</t>
  </si>
  <si>
    <t>JKC JŪRMALAS TEĀTRIS, MUIŽAS IELA 7</t>
  </si>
  <si>
    <t>Izskalotā ieejas laukuma atjaunošana</t>
  </si>
  <si>
    <t>JKC MELLUŽU ESTRĀDE, MELLUŽU PROSPEKTS 6</t>
  </si>
  <si>
    <t>Ik pavasara skatuves grīdas atjaunošana</t>
  </si>
  <si>
    <t>JPAP P3.1.,R3.1.2._131 JPAP_P3.3_R3.3.1._192                     JPAP_P2.8_R2.8.1_99</t>
  </si>
  <si>
    <t>Pirmsskolas izglītības iestāžu būvniecība, atjaunošana un uzlabošana</t>
  </si>
  <si>
    <t>JPAP_P3.2_R3.2.2._155 JPAP_P2.8_R2.8.1_99</t>
  </si>
  <si>
    <t>Invetīciju plāns</t>
  </si>
  <si>
    <t>Pirmsskolas izglītības iestāžu pieejamības uzlabošana</t>
  </si>
  <si>
    <t>Jūrmalas PII ''Katrīna''</t>
  </si>
  <si>
    <t>Sienu plaisas un gaļas ceha ventilācija atbilstoši PVD protokolam (termiņš 23.04.2020.) Atdzelžošanas sistēmas remonts; Galvenās ieejas durvju remonts; Dienas gaismu lampu nomaiņa; nožogojuma bojāto elementu nomaiņa</t>
  </si>
  <si>
    <t>Jūrmalas PII ''Madara''</t>
  </si>
  <si>
    <t>Ventilācijas sistēmas (rekuperācija) ierīkošana ar Apliecinājuma kartes dokumentāciju un saskaņošanu (Veselības insp. norādījumi par paaugstinātu CO2 līmeni / Noteikumi par LBN 231-15 "Dzīvojamo un publisko ēku apkure un ventilācija")</t>
  </si>
  <si>
    <t>Grīdu remontdarbi un ventilācijas atjaunošana zālē (Līg. Nr.1.2-16.4.2/1774    29.11.2019.)</t>
  </si>
  <si>
    <t>Jūrmalas PII ''Mārīte''</t>
  </si>
  <si>
    <r>
      <t>Kāpņu remonts pie ieejām; Unsdrošības signalizācijas ierīkošana un mehāniskās ventilācijas sistēmas demontāža pagrabstāvā (</t>
    </r>
    <r>
      <rPr>
        <b/>
        <sz val="9"/>
        <rFont val="Times New Roman"/>
        <family val="1"/>
        <charset val="186"/>
      </rPr>
      <t>VUGD aktā</t>
    </r>
    <r>
      <rPr>
        <sz val="9"/>
        <rFont val="Times New Roman"/>
        <family val="1"/>
        <charset val="186"/>
      </rPr>
      <t xml:space="preserve"> 21.03.2019. noteikts  nodrošināt ugunsgrēka atklāšanas un trauksmes signalizācijas sistēmu 3 (trīs) pagrabos līdz 11.03.2020.); Tualetes telpu atjaunošana (1.grupa un (pieaugušo) 2.korpusā) (</t>
    </r>
    <r>
      <rPr>
        <b/>
        <sz val="9"/>
        <rFont val="Times New Roman"/>
        <family val="1"/>
        <charset val="186"/>
      </rPr>
      <t>Veselības insp.</t>
    </r>
    <r>
      <rPr>
        <sz val="9"/>
        <rFont val="Times New Roman"/>
        <family val="1"/>
        <charset val="186"/>
      </rPr>
      <t xml:space="preserve"> pārbaudes akts); Iekštelpu kāpņu remonts (pie 7., 8., 4., 9., grupām)</t>
    </r>
  </si>
  <si>
    <t>Jūrmalas PII ''Podziņa''</t>
  </si>
  <si>
    <t>Apkures sistēmas remontdarbi (Iepirkums 2019/91/A155/IP65 (SIA A Celtne)) Darbi netika uzsākti (iestāde atteica darbu veikšanas iespēju mācību sezonas laikā)</t>
  </si>
  <si>
    <t>Aizsagslēdžu nomaiņa atbilstoši kabeļu šķērsgriezumam (Elektroinstalācijas pārbaude Nr. 2018-TD-124); Trauku mazgātuves grīdas nomaiņa (PVD  protokols  01-19-19474  (Regula 852/2004  II pielikums  II nodaļa 1.punkts)); Kāpņu margu stiprinājuma atjaunošana; Kāpņu seguma krāsojuma atjaunošana vienā kāpņu telpā; Flīžu seguma nostiprinājuma atjaunošana; Karstā ūdens pieejamība personāla tualetes telpā (PVD  protokols  01-19-19474  (Regula 852/2004  II pielikums  I nodaļa 4.punkts)); Radiatora  nomaiņa trauku mazgātuvē; Šķūņa durvju un režģu  nomaiņa</t>
  </si>
  <si>
    <t>Jūrmalas PII ''Saulīte''</t>
  </si>
  <si>
    <t>Ventilācijas sistēmas (rekuperācija) ierīkošana ar Apliecinājuma kartes dokumentāciju un saskaņošanu (Veselības insp. norādījumi par paaugstinātu CO2 līmeni / Noteikumi par LBN 231-15 "Dzīvojamo un publisko ēku apkure un ventilācija"); Grīdas remonts (9.grupā)</t>
  </si>
  <si>
    <t>Jūrmalas PII ''Zvaniņš''</t>
  </si>
  <si>
    <t>Elektrības sistēmas atjaunošana (konstatēta vadu degšana, sistēma nolietojusies); Iestādes grupu grīdas seguma nomaiņa; Grupas virtuvītes remonts</t>
  </si>
  <si>
    <t>Jūrmalas PII ''Namiņš''</t>
  </si>
  <si>
    <t>1. grupiņas telpu grupas remontdarbi; Iekšējo inženierkomunikāciju pārbaude un remonts.</t>
  </si>
  <si>
    <t>Jūrmalas PII ''Lācītis''</t>
  </si>
  <si>
    <t>Pagrabstāva aprīkošana ar automātisko ugunsgrēka atklāšanas un trauksmes signalizācijas sistēmu (VUGD akts); 11. un 12. grupiņu telpu remontdarbi (Veselības inspekcijas akts - 1.stāva gaiteņa grīda, nelīdzena, nepieciešama grīdas seguma atjaunošana. 11. un 12.grupā nepieciešams atjaunot griestu, un sienu segumus); Teritorijas nožogojuma un stabu nomaiņa.</t>
  </si>
  <si>
    <t>Jūrmalas PII "Austras koks"</t>
  </si>
  <si>
    <t>JPAP P3.1.,R3.1.2._131 JPAP_P3.2_R3.2.2._155 JPAP_P2.8_R2.8.1_99</t>
  </si>
  <si>
    <t>Sākumskolu, pamatskolu, vidusskolu būvniecība, atjaunošana un uzlabošana</t>
  </si>
  <si>
    <t>JPAP_P3.2_R3.2.3._165 JPAP_P2.8_R2.8.1_99</t>
  </si>
  <si>
    <t>Jūrmalas  sākumskola "Atvase"</t>
  </si>
  <si>
    <t>'Pirmais Princips'' apliecinājuma kartes (būvprojekta) dokumentācijas ''Rekuperācijas sistēmas izbūve Jūrmalas sākumskolā ''Atvase'' mācību telpās'' Raiņa ielā 53 izstrāde un tā realizācijā veicamo būvdarbu autoruzraudzība (Līgums Nr. 1.2-16.4.3/522)</t>
  </si>
  <si>
    <t>Jumta remonts nomainot iekšējos lietus ūdens kanalizācijas stāvvadus (notiek regulāra pārplūšana); Fasādes attīrīšana ar ķīmiju un a/spiedienu; Ārējo un pagrabstāva kanalizācijas tīklu rekonstrukcija; Vecās siltumtrases demontāža; EL instalācijas atjaunošana (elektrosadales novecojusi (instalācija 1976.g.), vietām nepienāk strāva, sistēma bīstama)</t>
  </si>
  <si>
    <t>Jūrmalas sākumskola ''Ābelīte''</t>
  </si>
  <si>
    <t>Telpu pielāgošana PII vajadzībām</t>
  </si>
  <si>
    <t>Jūrmalas sākumskola ''Taurenītis''</t>
  </si>
  <si>
    <t>'Jūrmalas gaisma'' sākumskolas ''Taurenītis'' teritorijas apgaismojuma rekonstrukcijas projekta dokumentācijas izstrāde (Vēstule Nr. 1.1-34/2219)</t>
  </si>
  <si>
    <t>Skolas klašu pārbūves par pirmsskolas grupām projekta dokumentācijas izstrāde</t>
  </si>
  <si>
    <t>Skolas klašu pārbūve par pirmsskolas grupām atbilstoši projekta dokumentācijai; Kāpņu remonts  (atkārtoti - par avārijas situāciju tika ziņots 09.03.2016.); Grīdas seguma atjaunošana un sienu ugunsnedrošā apšuvuma nomaiņa skolas koplietošanas telpās - galerija, gaiteņi (atkārtoti - pieteikums no 08.09.2016.); Ugunsdrošo durvju montāža skolas arhīva telpai; Ūdens noteku, reņu remonts (atkārtoti - pieteikums no 14.09.2018.); Instalācijas, slēdžu, apgaismes ķermeņu nomaiņa pagrabtelpās, drošinātāju nomaiņa kāpņu telpu elektrības skapjos (VUGD prasības)</t>
  </si>
  <si>
    <t>Ķemeru pamatskola</t>
  </si>
  <si>
    <t>Jaundubultu vidusskola</t>
  </si>
  <si>
    <t>'3d birojs'' apliecinājuma kartes dokumentācijas izstrāde sākumskolas izvietošanai Jaundubultu vidusskolas telpās Lielupes ielā 21 un tā realizācijā veicamo būvdarbu autoruzraudzība (Līgums Nr. 1.2-16.4.3/589)</t>
  </si>
  <si>
    <t>Telpu pielāgošana Kauguru vsk.prasībām (ietverts kopējā būvdarbu apjomā atbilstoši ''3d birojs'' apliecinājuma kartei)</t>
  </si>
  <si>
    <t>Ēkas atjaunošanas būvdarbi atbilstoši ''3d birojs'' apliecinājuma kartei (sākumskolas Ābelīte telpas)</t>
  </si>
  <si>
    <t>Būvuzraudzība atbilstoši ''3d birojs'' apliecinājuma kartes būvdarbiem</t>
  </si>
  <si>
    <t>Investīciju plāns 'Sporta laukums Lielupes ielā 17</t>
  </si>
  <si>
    <t>Kauguru vidusskola</t>
  </si>
  <si>
    <t>Raiņa 118, Jūrmalā</t>
  </si>
  <si>
    <t>Ieejas vestibila un galvenās kāpņu telpas (I - III st.) sienu un griestu apdares atjaunošana. Kāpņu margu nomaiņa (3. kāpņu telpas I -III st.) atbilstoši BVKB aktā norādīto (neatbilstošs augstums).</t>
  </si>
  <si>
    <t xml:space="preserve">Lēdurgas 27, Jūrmalā </t>
  </si>
  <si>
    <t>1.stāva gaiteņa remonts – grīdas,  durvju nomaiņa, sienu un griestu apdares remonts; Nomainīt izlietnes, remontēt tualetes</t>
  </si>
  <si>
    <t>Investīciju plāns - futbola laukuma apgaismojums</t>
  </si>
  <si>
    <t>Majoru vidusskola</t>
  </si>
  <si>
    <t>Skolas B korpusā II stāvā meiteņu un zēnu tualešu ventilācijas ierīkošana; Skolas jumta un noteču remonts; Skolas teritorijā pie ēdnīcas un atkritumu novietnes nepieciešams pārbūvēt nožogojumu un uzstādīt jaunus vārtus; Kāpņu telpās uzstādīt sildelementus; Jaunu durvju uzstādīšana</t>
  </si>
  <si>
    <t>Nomainīt skolas B korpusā logus (logu nomaiņa vienā stāvā - precizēt skaitu un apjomus)</t>
  </si>
  <si>
    <t>Skolas A korpusā aktu zālē nomainīt izdegušās spuldzes un atjaunot visas pārējās uz ekonomiskajām LED spuldzēm</t>
  </si>
  <si>
    <t>Slokas pamatskola</t>
  </si>
  <si>
    <t>Ventilācijas sistēmas gaisa pievads caur jumtu - laiž cauri ūdeni; 2.stāva kabinetu logu ailes ar spraugām; 1.stāva mitruma bojāto sienu remonts; Skolas āra sporta laukuma  līniju - apzīmējumu atjaunošana</t>
  </si>
  <si>
    <t>Teritorijas apgaismojuma izbūve (SIA Jūrmalas gaisma) līdz 03.03.2020. Uzņemtās saistības 2019.gada decembrī nebūs iespējams segt administratīvo procesu dēļ.</t>
  </si>
  <si>
    <t>Elektroinstalācijas atjaunošana un saistītie remontdarbi. Akts Nr.19-8828 - skolas virtuvē deguši elektrības vadi - ēkas elektroinstalācijas sistēma ir nolietojusies un bīstama; Lietus kanalizācijas regulāras pārplūšana novēršana (akts, rezolūcija, aprēķins)</t>
  </si>
  <si>
    <t>Būvprojekta izstrāde.
Iepirkums sporta zāles pārbūves būvprojekta izstrādei ir sagatavots un tiks izsludināts 2019.gada 4.ceturksnī. Mazais iepirkums, orientējoši 41 300EUR+PVN. Norēķini plānoti 2020.gadā. Būvprojekta izstrādei paredzēti 12 mēneši (2019.gada decembris – 2020.gada novembris).</t>
  </si>
  <si>
    <t>Būvprojekta izstrāde un autoruzraudzība.
Iepirkums sporta stadiona pārbūves būvprojekta izstrādei ir sagatavots un tiks izsludināts kopā ar sporta zāles pārbūves būvprojekta izstrādi 2019.gada 4.ceturksnī. Mazais iepirkums, orientējoši 12000EUR+PVN. Norēķini plānoti 2020.gadā.
Būvprojekta izstrādei paredzēti 5 mēneši (2019.gada decembris – 2020.gada aprīlis), izbūvei 5 mēneši (2020.gada jūnijs – oktobris).</t>
  </si>
  <si>
    <t>Būvdarbi sporta stadiona pārbūvei.
Mazais būvdarbu iepirkums, orientējoši 160 000EUR + PVN.</t>
  </si>
  <si>
    <t>Būvuzraudzība sporta stadiona pārbūvei.
Mazais būvdarbu iepirkums, orientējoši 2% no būvdarbu vērtības, 3 200EUR + PVN.</t>
  </si>
  <si>
    <t>Pumpuru vidusskola</t>
  </si>
  <si>
    <t>Mehāniski bojātā apmetuma labošana skolas ēkas un saimniecības ēkas sienās, lai novērstu siltumizolācijas slāņa bojāšanos mitruma ietekmē; Pakāpienu poliuritāna/epoksīda pārklājuma atjaunošana; Nokritušā apmetuma atjaunošana</t>
  </si>
  <si>
    <t>Mainīt logus jaunā mācību korpusa klasēs un koplietošanas telpās (logu bloki novecojuši un vairumā gadījumu nav atverami. Mehānismu nomaiņa nav iespējama, jo konstrukcijas novecojušas)</t>
  </si>
  <si>
    <t>Lielupes pamatskola</t>
  </si>
  <si>
    <t>Jūrmalas pilsētas pamatskola</t>
  </si>
  <si>
    <t>Dzirnavu iela 50</t>
  </si>
  <si>
    <t>Skolas ēkas katlamājas remonts un esošā apkures katla nomaiņa</t>
  </si>
  <si>
    <t>Dzirnavu iela 59</t>
  </si>
  <si>
    <t>Internāta ēkas apkures sistēmas atjaunošana, stāvvadu pārbūve, jaunu radiatoru uzstādīšana</t>
  </si>
  <si>
    <t>Vaivaru pamatskola</t>
  </si>
  <si>
    <r>
      <t xml:space="preserve">Pirmsskolas izglītības grupu sanitāro mezglu remonts; Skolas sanitāro mezglu remonts </t>
    </r>
    <r>
      <rPr>
        <i/>
        <sz val="9"/>
        <rFont val="Times New Roman"/>
        <family val="1"/>
        <charset val="186"/>
      </rPr>
      <t>(Veselības inspekcijas aktos norādītais – grīdas, apgaismojums)</t>
    </r>
  </si>
  <si>
    <t>Jūrmalas Valsts ģimnāzija</t>
  </si>
  <si>
    <t>JPAP P3.1.,R3.1.2._131 JPAP_P3.2_R3.2.3._165 JPAP_P2.8_R2.8.1_99</t>
  </si>
  <si>
    <t>Interešu un profesionālās ievirzes izglītības iestāžu būvniecība, atjaunošana un uzlabošana</t>
  </si>
  <si>
    <t>09.510</t>
  </si>
  <si>
    <t>Jūrmalas Sporta skola</t>
  </si>
  <si>
    <t>JPAP_P3.2_R3.2.4._185</t>
  </si>
  <si>
    <t>Sporta zāles grīdas seguma atjaunošana. Investīciju plāns</t>
  </si>
  <si>
    <t>Jūrmalas bērnu un jauniešu interešu centrs</t>
  </si>
  <si>
    <t>JPAP_P3.2_R3.2.4._185 JPAP_P3.2_R3.2.4._184 JPAP_P2.8_R2.8.1_99</t>
  </si>
  <si>
    <t>Pilsētas ūdensapgādes un kanalizācijas pieslēgums iestādei Zemgales ielā 4 (projekta dokumentācijas izstrāde un saskaņošana)</t>
  </si>
  <si>
    <t>Jūrmalas BJIC teritorijai, Zemgales ielā 4, žoga izbūve, 2 transporta vārti, 1 gājēju vārti.</t>
  </si>
  <si>
    <t>Jūrmalas mūzikas vidusskola</t>
  </si>
  <si>
    <t>JPAP P3.1.,R3.1.2._131 JPAP_P3.2_R3.2.4._185 JPAP_P3.2_R3.2.4._184 JPAP_P2.8_R2.8.1_99</t>
  </si>
  <si>
    <t>JPAP_P3.5_R3.5.1._216 JPAP_P2.8_R2.8.1_99</t>
  </si>
  <si>
    <t>Veselības veicināšanas un sociālo pakalpojumu centrs</t>
  </si>
  <si>
    <t>Strēlnieku pr. 38</t>
  </si>
  <si>
    <t>Karstā un aukstā ūdensvada cauruļvadu un noslēgarmatūras nomaiņa pansionāta ēkā (celtnē Nr.2); Pansionāta 1. stāva klientu istabas un koridors (ventilācijas sistēmas ierīkošama)</t>
  </si>
  <si>
    <t>DAC, Dūņu ceļš 2, Ķemeri</t>
  </si>
  <si>
    <t>Piekarāmie griesti, grīdas, apgaismojums, radiatori, jumta renes</t>
  </si>
  <si>
    <t>JPAP P3.1.,R3.1.2._131 JPAP_P3.5_R3.5.1._216 JPAP_P2.8_R2.8.1_99</t>
  </si>
  <si>
    <t>Atbilstoši Jūrmalas pilsētas attīstības programmas 2014.–2020.gadam 2.daļas „Stratēģiskā daļa un rīcības plāns” II.nodaļas "Rīcības plāns"  g) apakšnodaļa „Darbības un pasākumi”, Pielikums Jūrmalas pilsētas domes 2019.gada 21.februāra lēmumam Nr.60 (protokols Nr.2, 18.punkts)</t>
  </si>
  <si>
    <t xml:space="preserve"> P1.6. Aktīvā un dabas tūrisma attīstība</t>
  </si>
  <si>
    <t>Aktivitāte Nr.30 Pašvaldības īpašumā esošo glābšanas staciju rekonstrukcija un būvniecība</t>
  </si>
  <si>
    <t xml:space="preserve"> R1.6.3.: Sporta pasākumu un pakalpojumu attīstība</t>
  </si>
  <si>
    <t>Aktivitāte Nr. 41 Sporta infrastruktūras un pasākumu un pakalpojumu attīstība</t>
  </si>
  <si>
    <t>Prioritāte P2.8. Publiskās telpas labiekārtošana</t>
  </si>
  <si>
    <t>Aktivitāte Nr.98 Parku, skvēru un kūrorta mazās infrastruktūras attīstība uzturēšana</t>
  </si>
  <si>
    <t>Aktivitāte Nr.99 Publiskās telpas un ēku apsaimniekošana</t>
  </si>
  <si>
    <t>Aktivitāte Nr. 105 Graustu novākšana pilsētā</t>
  </si>
  <si>
    <t>Aktivitāte Nr.114 Kapsētu paplašināšana un jaunu kapsētu izveide un to apsaimniekošana</t>
  </si>
  <si>
    <t>Aktivitāte Nr.115 Jūrmalas pašvaldības dzīvojamā fonda attīstības plānošana un plānu realizācija</t>
  </si>
  <si>
    <t>Aktivitāte Nr.131 Kvalitatīva pašvaldības pārvaldes kapacitātes nodrošināšana</t>
  </si>
  <si>
    <t>Aktivitāte Nr. 155 Pirmsskolas izglītības iestāžu mācību vides uzlabošana un kvalitatīva izglītības programmu īstenošana</t>
  </si>
  <si>
    <t>Aktivitāte Nr.165 Vispārējās izglītības iestāžu mācību vides uzlabošana un kvalitatīva izglītības programmu īstenošana</t>
  </si>
  <si>
    <t>Aktivitāte Nr. 183 Jauniešu veselības, drošības un sociālās aizsardzība un informācijas un izglītošanas pasākumu nodrošinājums</t>
  </si>
  <si>
    <t>Aktivitāte Nr. 184 Brīvā laika pavadīšanas iespējas pilsētā, izmantojot esošās un radot jaunas</t>
  </si>
  <si>
    <t xml:space="preserve"> R3.3.1.: Pilsētas kultūras iestāžu un muzeju darbības pilnveide</t>
  </si>
  <si>
    <t>Aktivitāte Nr. 192 Jūrmalas kultūras iestāžu ēku remonts un būvniecība, teritoriju labiekārtošana un materiāltehniskais nodrošinājums</t>
  </si>
  <si>
    <t>Aktivitāte Nr.206 Publiskās sporta infrastruktūras attīstība</t>
  </si>
  <si>
    <t>P3.4. Droša dzīves vide</t>
  </si>
  <si>
    <t xml:space="preserve"> R3.4.1.: Sabiedriskās kārtības un iedzīvotāju drošības nodrošināšana</t>
  </si>
  <si>
    <t>Aktivitāte Nr.213 Sabiedriskās kārtības un iedzīvotāju drošības pakalpojumu nepārtrauktības nodrošināšana un kvalitātes uzlabošana</t>
  </si>
  <si>
    <t>Aktivitāte Nr.216 Sociālā atbalsta infrastruktūras attīstība</t>
  </si>
  <si>
    <t>P3.6. Kvalitatīvi veselības aprūpes pakalpojumi</t>
  </si>
  <si>
    <t>R3.6.2.: Veselīga dzīvesveida veicināšana</t>
  </si>
  <si>
    <t xml:space="preserve"> R3.7.2.: Vietējās uzņēmējdarbības atbalsta infrastruktūras attīstība</t>
  </si>
  <si>
    <t>Aktivitāte Nr 231 Tirdzniecības vietu attīstība un esošo tirdzniecības vietu efektīvas darbības nodrošināšana un labiekārtošana</t>
  </si>
  <si>
    <t xml:space="preserve"> Īpašumu pārvaldes Pilsētsaimniecības un labiekārtošanas nodaļa</t>
  </si>
  <si>
    <t xml:space="preserve"> Pašvaldības pārziņā esošo teritoriju apsaimniekošana (kopšana un tīrīšana)</t>
  </si>
  <si>
    <t>05.100</t>
  </si>
  <si>
    <t>Parku, skvēru, atpūtas vietu un apstādījumu kopšana un ierīkošana</t>
  </si>
  <si>
    <t>JPAP_P2.8.__R2.8.1._98 JPAP_P2.8.__R2.8.1._99 JPAS_K4                                    JPAS_J4</t>
  </si>
  <si>
    <t>Palielinājums budžetā sakarā ar 39 gab. puķu trauku skaita palielināšanos pie apgaismes stabiem pilsētā.</t>
  </si>
  <si>
    <t>Iekšpagalmu kopšana</t>
  </si>
  <si>
    <t>JPAP_P2.8._R2.8.1._99</t>
  </si>
  <si>
    <t>Budžetā  palielinājums par 4,1% salīdzinājumā ar 2019.gada vienību līguma cenām. 08.08.2019. līgums Nr. 1.2-16.4.3/1130.</t>
  </si>
  <si>
    <t>Pašvaldības īpašumu kopšana</t>
  </si>
  <si>
    <t>08.08.2019. līgums Nr. 1.2-16.4.3/1130.</t>
  </si>
  <si>
    <t>Jaunu puķu trauku iegāde un apsaimniekošana</t>
  </si>
  <si>
    <t>20. gab jaunu puķu trauku iegāde+stiprinājuma elementi un apsaimniekošana Rīgas ielā. 08.08.2019. līgums Nr. 1.2-16.4.3/1130.
80 jaunu puķu trauku pie laternu stabiem un 7 puķu piramīdu iegāde un apsaimniekošana</t>
  </si>
  <si>
    <t>Puķu siena</t>
  </si>
  <si>
    <t>Dzintaru mežaparka apsaimniekošana</t>
  </si>
  <si>
    <t>JPAP_P2.8._R2.8.1._98 JPAP_P2.8._R2.8.1._99</t>
  </si>
  <si>
    <t>Budžetā  palielinājums par 19% salīdzinājumā ar 2019.gada vienību līguma cenām. 08.08.2019. līgums Nr. 1.2-16.4.3/1130.</t>
  </si>
  <si>
    <t>Dzintaru Mežaparkā esošo koka un metāla solu un tribīņu pie skeitparka atjaunošana.</t>
  </si>
  <si>
    <t>Pludmales sakopšana</t>
  </si>
  <si>
    <t>JPAP_ P1.6_R.1.6.2_29 JPAP_P1.6._R1.6.2._33 JPAP_P2.8._R2.8.1._99  JPAP_P2.8._R2.8.1._104 JPŪRRP_RV1.6.2_9</t>
  </si>
  <si>
    <t>Budžeta pieaugums saskaņā ar 2018.gada 22.augustā noslēgto līgumu Nr. 1.2-16.4.3/1022</t>
  </si>
  <si>
    <t>Sadzīves atkritumu konteinieru izvietošana pludmalē un izejās uz jūru un atkritumu izvešana</t>
  </si>
  <si>
    <t xml:space="preserve"> 14.03.2017  līgumā Nr. 1.2-16.4.3/259 (7 gadi)                                      26.04.2017.līgums Nr.1.2-16.4.1./554                  05.06.2017. līgums Nr.1.-16.4.3/843 </t>
  </si>
  <si>
    <t>Sabiedrisko tualešu apsaimniekošana un izveide</t>
  </si>
  <si>
    <t xml:space="preserve">JPAP_ P1.6_R.1.6.2_29 JPAP_P1.6._R1.6.2._33 JPAP_P2.8._R2.8.1._99 </t>
  </si>
  <si>
    <r>
      <t>Sakarā ar bezmaksas tualetēm ir palielinājies apmeklētāju skaits, kā rezultātā pieauguši izdevumi par komunālajiem maksājumiem. Stacionāro tualešu Dzintaru Mežaparkā , Jomas ielā 35a, Baznīcas ielā 2a,  Mellužu prospektā 6a,</t>
    </r>
    <r>
      <rPr>
        <b/>
        <sz val="9"/>
        <rFont val="Times New Roman"/>
        <family val="1"/>
        <charset val="186"/>
      </rPr>
      <t xml:space="preserve"> Turaidas ielā 2</t>
    </r>
    <r>
      <rPr>
        <sz val="9"/>
        <rFont val="Times New Roman"/>
        <family val="1"/>
        <charset val="186"/>
      </rPr>
      <t>, cenu palielinājums saskaņā ar  2019.gada iepirkuma rezultātiem. Konteinera tipa tualetēm pludmalē un Jomas ielā budžeta palielinājums saskaņā ar noslēgto 2019.gada 10.septembra līgumu Nr. 1.2-16.4.3/1300.  BIO tualetes Kauguru vidusskolā, Jaundubultu un Asaru parkos, Dubultu tirgus laukumā, Zīmuļu parkā, Skrundas iela 4,  Slokā pie autoostas, atpūtas vietās Ezeru ielā, Dubultos, Majoros un Priedainē budžeta palielinājums saskaņā ar  2019.gada iepirkuma rezultātiem.</t>
    </r>
  </si>
  <si>
    <t>Paskaidrojuma rakstu izstrādāšanai sabiedrisko tualešu novietošanai</t>
  </si>
  <si>
    <t>Sadzīves atkritumu un  bioloģiski noārdāmo atkritumu savākšana un aizvešana</t>
  </si>
  <si>
    <t>JPAP_P2.7._R2.7.1._96 JPAP_P2.8._R2.8.1._104</t>
  </si>
  <si>
    <t xml:space="preserve">14.03.2017. līgums Nr.1.2.-16.4.3/259   
05.06.2017. līgums Nr.1.-16.4.3/843     
26.05.2017. līgums Nr.1.2-16.4.3/761 
16.04.2019. līgums Nr. 1.2-.16.4.3/546 </t>
  </si>
  <si>
    <t>Dzīvnieku uzturēšanas izmaksas patversmē un savvaļas dzīvnieku izķeršana</t>
  </si>
  <si>
    <t>JPAP_P2.8_R2.8.1._110 JPAP_P3.4_R3.4.1._211</t>
  </si>
  <si>
    <t>02.11.2018. līgums Nr. 1.2-16.4.3/1364</t>
  </si>
  <si>
    <t>Bezsaimnieku dzīvnieku (kaķu) sterilizācija</t>
  </si>
  <si>
    <t>JPAP_P2.8_R2.8.1._110</t>
  </si>
  <si>
    <t>Klejojošu dzīvnieku izķeršana, dzīvnieku līķu apglabāšana</t>
  </si>
  <si>
    <t>Puķu dobju ierīkošana, kopšana un apsaimniekošana</t>
  </si>
  <si>
    <t xml:space="preserve">JPAP_P2.8._R2.8.1._98 JPAP_P2.8._R2.8.1._99 </t>
  </si>
  <si>
    <t>08.08.2019. līgums Nr. 1.2-16.4.3/1130.
15 983 € Lāčplēša skveram;
30 769 € P 128 četriem rotācijas apļiem;
9 597 € skvēram pie Dzintaru koncertzāles.</t>
  </si>
  <si>
    <t>Jaunu stādījumu ierīkošana Asaru parkā</t>
  </si>
  <si>
    <t>Apstādījumu labiekārtojuma projekts, jauni soliņi un atkritumu urnas, kokaugu un ziemciešu ierīkošana.</t>
  </si>
  <si>
    <t>Pilsētas dīķu tīrīšana</t>
  </si>
  <si>
    <t>JPAP_P2.8._R2.8.1._98</t>
  </si>
  <si>
    <t>Lai nodrošinātu pilsētas strūklaku darbību, Mellužu un Ķemeru dīķos nepieciešama to padziļināšana.</t>
  </si>
  <si>
    <t xml:space="preserve">Programma: </t>
  </si>
  <si>
    <t>Pilsētas teritoriju labiekārtošanas pasākumi</t>
  </si>
  <si>
    <t xml:space="preserve">Funkcionālās klasifikācijas kods: </t>
  </si>
  <si>
    <t>Ielu nosaukumu plāksnīšu un to stiprinājuma stabiņu  komplektu apsaimniekošana un izgatavošana</t>
  </si>
  <si>
    <t>JPAP_P2.2_R2.2.1._70 JPAP_P2.8._R2.8.1._99</t>
  </si>
  <si>
    <t>Ielu nosaukumu stabi ir tehniski sliktā stāvoklī, jo lielākā daļa stabu ir uzstādīti 2008.gadā.</t>
  </si>
  <si>
    <t>Autobusu pieturu tehniskā projekta izstrāde, izgatavošana, uzstādīšana un remonts.</t>
  </si>
  <si>
    <t>JPAP_P2.3_R2.3.2._75 JPAP_P2.8._R2.8.1._99</t>
  </si>
  <si>
    <t>Autobusu pieturu metu konkurss</t>
  </si>
  <si>
    <t>Bērnu rotaļu laukumu un sporta laukumu izveide, sintētiskā seguma ieklāšana un remonts iekšpagalmos, parkos un pludmalē</t>
  </si>
  <si>
    <t>JPAP_P2.8._R2.8.1._99 JPAP_P2.8._R2.8.1._106 JPAP_P1.6._R1.6.2._33 JPAP_P3.6._R3.6.2._227</t>
  </si>
  <si>
    <t>Saskaņā ar investīciju plānu pludmalē un  iekšpagalmos - uzstādīt  jaunus un atjaunot esošos rotaļu laukumus: pludmalē - Majoros pie Pilsoņu ielas, Mellužos pie Rožu ielas izejas uz jūru, Dubultos pie Baznīcas ielas, Kauguros, pie K.Zolta ielas izejas un iekšpagalmos - Kauguri 1106,1816,7008, 0808, 0080, 3404,0512, Dubulti 3007.</t>
  </si>
  <si>
    <t xml:space="preserve"> Jūrmalas pašvaldības īpašumā un izglītības iestādēs esošo rotaļu laukumu remonts</t>
  </si>
  <si>
    <t>Slidotavas ierīkošana Engures ielas iekšpagalmā</t>
  </si>
  <si>
    <t>Jaunu solu un atkritumu urnu izvietošana pludmalē parkos un uz ielām</t>
  </si>
  <si>
    <t>JPAP_ P1.6_R.1.6.2_29 JPAP_P1.6._R1.6.2._33 JPAP_P2.8._R2.8.1._99</t>
  </si>
  <si>
    <t xml:space="preserve">Izgatavot un uzstādīt izejās uz jūru 31 gab. jaunu solu un 33 gab. atkritumu urnas </t>
  </si>
  <si>
    <t>Pārējie izdevumi pilsētas apsaimniekošanā</t>
  </si>
  <si>
    <t>JPAP_P2.8._R2.8.1._98 JPAP_P2.8._R2.8.1._99 JPAP_P1.6._R1.6.2._33</t>
  </si>
  <si>
    <t>Strūklaku uzturēšana</t>
  </si>
  <si>
    <t>Turaidas ielas strūklakas, Omnibusa laukuma strūklakas un  strūklakām Mellužu un Ķemeru parku dīķos apsaimniekošanai.</t>
  </si>
  <si>
    <t xml:space="preserve">Paredzēts Mellužu parka, Ķemeru parka, Turaidas ielas un Omnibusa laukuma strūklaku darbībai no 15.05.-15.10. un pārējā laikā pieslēguma nodrošināšanai ar elektrību. </t>
  </si>
  <si>
    <t>Pēc strūklakas slēgšanas apkopes darbiem rudenī konstatēts, ka Turaidas ielas strūklakā bojāti 15gab. zemūdens RGB prožektori,barošanas avots, vadības bloka relejas, drenāžas sūknis.</t>
  </si>
  <si>
    <t>Suņu ekskramentu atkritumu urnu ar piktogramām, maisiņu turētāju un maisiņu izgatavošana un uzstādīšana</t>
  </si>
  <si>
    <t xml:space="preserve">Uzstādīt 11 gab. speciālās suņu ekskramentu atkritumu urnas  daudzdzīvokļu māju iekšpagalmos. </t>
  </si>
  <si>
    <t>Jūrmalas daiļdārzu konkursa organizēšana</t>
  </si>
  <si>
    <t>JPAP_P2.10_R2.10._117</t>
  </si>
  <si>
    <t>Apbalvošanas pasākuma organizēšana, veicināšanas balvu iegādei.</t>
  </si>
  <si>
    <t>Lielformātu vides stendu un informācijas norāžu izgatavošana un uzstādīšana Jūrmalas pilsētā</t>
  </si>
  <si>
    <t xml:space="preserve">JPAP_P1.6._R1.6.2._33 JPAP_P2.2_R2.2.1._70 JPAP_P2.8._R2.8.1._99 </t>
  </si>
  <si>
    <t>Lielformātu vides reklāmas stendu izgatavošana un uzstādīšana. Jaunu informācijas norāžu izgatavošana un esošo apsaimniekošana.</t>
  </si>
  <si>
    <t>Suņu pastaigas laukuma izveide un uzturēšana</t>
  </si>
  <si>
    <t>JPAP_P2.8._R2.8.1._98 JPAP_P2.8_R2.8.1._110</t>
  </si>
  <si>
    <t>Suņu pastaigas laukuma izveidošana un uzturēšana Slokā, Ventspils šosejā  37.</t>
  </si>
  <si>
    <t>8.100</t>
  </si>
  <si>
    <t>1.</t>
  </si>
  <si>
    <t xml:space="preserve">Pludmales labiekārtošana, tai skaitā informatīvo norāžu un pārģērbšanās kabīņu remonts, izvietošana, demontāža, atjaunošana   </t>
  </si>
  <si>
    <t>JPAP_P1.6._R1.6.2._33 JPAP_P2.2_R2.2.1._70  JPŪRRP_RV1.6.2_10</t>
  </si>
  <si>
    <t>Dažādu darbu veikšanai pludmalē un atpūtas vietās pie Lielupes.</t>
  </si>
  <si>
    <t>Jaunu informatīvo norāžu, pilonu un trīstūrveidu stendu izgatavošanai pludmalē un izejās  uz jūru.</t>
  </si>
  <si>
    <t>Pludmales stendos esošo uzlīmju nomaiņai.</t>
  </si>
  <si>
    <t>Ezeru ielas atpūtas vietas atjaunošanas darbi</t>
  </si>
  <si>
    <t>2.</t>
  </si>
  <si>
    <t>Pludmales solu uzglabāšana ziemas sezonā</t>
  </si>
  <si>
    <t xml:space="preserve">3. </t>
  </si>
  <si>
    <t>Izeju uz jūru labiekārtošana pludmalēs (laipas, kāpnes, betona plāksnes)</t>
  </si>
  <si>
    <t>JPAP_P1.6._R1.6.2._34 JPAP_P1.6._R1.6.2._33  JPAP_P2.8._R2.8.1_107 JPŪRRP_RV1.6.2_10</t>
  </si>
  <si>
    <t>49 izeju koka laipu apsaimniekošanai.</t>
  </si>
  <si>
    <t>Jaunu laipu izgatavošanai izejās  uz jūru, kuras ir tehniski sliktā stāvoklī.</t>
  </si>
  <si>
    <t>Jaunu betona plākšņu izgatavošanai, uzstādīšanai un demontāžai.</t>
  </si>
  <si>
    <t>4.</t>
  </si>
  <si>
    <t>Dušu, kāju mazgājamo krānu un sabiedrisko tualešu konteinieru un ūdens sūkņu apkope, remonts, iegāde un uzstādīšana</t>
  </si>
  <si>
    <t>JPAP_ P1.6_R.1.6.2_29 JPAP_P1.6._R1.6.2._33 JPŪRRP_RV1.6.2_10</t>
  </si>
  <si>
    <t>Kāju mazgātāju un dušu uzstādīšanai pavasarī un noņemšanai rudenī. Esošo kāju mazgātāju, dušu un tualetes konteineru motoru remonta darbiem. Remonta darbi tualešu konteineros palielinājušies.</t>
  </si>
  <si>
    <t>5.</t>
  </si>
  <si>
    <t>Jaunu pludmales solu izgatavošanai</t>
  </si>
  <si>
    <t xml:space="preserve"> 2018. gadā noslēgtā līguma garantijas ieturējums.</t>
  </si>
  <si>
    <t>6.</t>
  </si>
  <si>
    <t>Elektrolīnijas rekonstrukcijai Kļavu ielā un Līgatnes ielā u.c. ielās (projektu izstrādei)</t>
  </si>
  <si>
    <t>JPAP_P1.6._R1.6.2._34 JPAP_P1.6._R1.6.2._33 JPŪRRP_RV1.6.2_10</t>
  </si>
  <si>
    <t>Līgatnes ielas izbūves darbiem un Kļavu ielas projekta izstrādei.</t>
  </si>
  <si>
    <t>Pirmsskolas izglītības iestāžu labiekārtošanas pasākumi</t>
  </si>
  <si>
    <t>9.100</t>
  </si>
  <si>
    <t>Bērnu rotaļu laukumu izveide pirmsskolas izglītības iestādēs un vispārizglītojošās iestādēs</t>
  </si>
  <si>
    <t>JPAP_P3.2._3.2.2_155 JPAP_P3.2._3.2.3_165 JPAP_P3.6._R3.6.2._227</t>
  </si>
  <si>
    <t xml:space="preserve">Saskaņā ar inestīciju plānu  Izglītības iestādēs: ''Ābelīte", 'Taurenītis", "Mārīte", "Podziņa", "Lācītis" , "Saulīte" "Bitīte". </t>
  </si>
  <si>
    <t>Jūrmalas pašvaldības izglītības iestādēs esošo rotaļu laukumu remonts</t>
  </si>
  <si>
    <t>Jūrmalas pilsētas attīstības programma 2014. - 2020.gadam (JPAP)</t>
  </si>
  <si>
    <t>Prioritāte P1.6. Aktīvā un dabas tūrisma attīstība</t>
  </si>
  <si>
    <t>Rīcības virziens R1.6.2.: Peldvietu infrastruktūras attīstība</t>
  </si>
  <si>
    <t>Aktivitāte Nr.29 Baltijas jūras Rīgas jūras līča peldvietu un Jūrmalas iekšzemes peldvietas infrastruktūras attīstība saskaņā ar „Zilā karoga” programmas standartu un Jūrmalas iekšzemes peldvietu un atpūtas vietu infrastruktūras attīstība</t>
  </si>
  <si>
    <t>Aktivitāte Nr.32 Peldvietu un atpūtas vietu attīstība Lielupes krastos</t>
  </si>
  <si>
    <t>Aktivitāte Nr.33 Pludmales zonas labiekārtošana un apsaimniekošana</t>
  </si>
  <si>
    <t>Aktivitāte Nr.34 Transporta piekļuves uzlabošana pludmales zonai</t>
  </si>
  <si>
    <t>Prioritāte P2.1. Ceļu un ielu, to apgaismojuma kvalitātes uzlabošana, satiksmes drošības uzlabojumi, veloceliņu un gājē'ju celiņu attīstība</t>
  </si>
  <si>
    <t>Rīcības virziens R2.1.1.: Ielu un celiņu rekonstrukcija, satiksmes drošības uzlabošana</t>
  </si>
  <si>
    <t>Aktivitāte Nr.62 Jūrmalas ielu un tiltu tīkla pilnveide</t>
  </si>
  <si>
    <t>Prioritāte P2.2. Marķējumu un informācijas zīmju sistēmas pilnveide</t>
  </si>
  <si>
    <t>Rīcības virziens R2.2.1.: Jūrmalas vizuālās identitātes standarta izstrāde un ieviešana</t>
  </si>
  <si>
    <t>Aktivitāte Nr.70 Jūrmalas vizuālās identitātes veidošana un uzraudzīšana</t>
  </si>
  <si>
    <t>Prioritāte P2.3. Sabiedriskā transporta sistēmas attīstība</t>
  </si>
  <si>
    <t>Aktivitāte Nr. 75 Sabiedriskā transporta infrastruktūras attīstība</t>
  </si>
  <si>
    <t>Prioritāte P2.7. Atkritumu utilizācijas sistēmas plinveide</t>
  </si>
  <si>
    <t>Rīcības virziens R2.7.1.: Atkritumu apsaimniekošanas sistēmas pilnveide</t>
  </si>
  <si>
    <t>Aktivitāte Nr.96 Atkritumu apsaimniekošanas sistēmas pilnveide</t>
  </si>
  <si>
    <t xml:space="preserve">Prioritāte P2.8. Publiskās telpas labiekārtošana </t>
  </si>
  <si>
    <t>Rīcības virziens R2.8.1.: Publiskās telpas pilnveide</t>
  </si>
  <si>
    <t>Aktivitāte Nr.106 Jūrmalas pilsētā esošo daudzdzīvokļu namu pagalmu, izglītības iestāžu un piebraucamo ceļu rekonstrukcija</t>
  </si>
  <si>
    <t>Aktivitāte Nr.104  Lielupes krastmalas un piekrastes ekosistēmas ilgtspējīga apsaimniekošana</t>
  </si>
  <si>
    <t>Aktivitāte Nr.107 Vides pieejamības nodrošināšana cilvēkiem ar īpašām vajadzībām</t>
  </si>
  <si>
    <t>Aktivitāte Nr.110 Dzīvnieku labturības pasākumu nodrošināšana</t>
  </si>
  <si>
    <t>Prioritāte P2.10. Privātīpašuma sakārtošanas motivācija</t>
  </si>
  <si>
    <t>Rīcības virziens R2.10.1.: Privātā īpašuma sakopšanas motivēšana</t>
  </si>
  <si>
    <t>Aktivitāte Nr.117 Privātīpašumu sakoptības veicināšana</t>
  </si>
  <si>
    <t>Prioritāte P3.2.   Kvalitatīva un sociāli pieejama izglītība</t>
  </si>
  <si>
    <t>Rīcības virziens R3.2.2.: Pirmsskolas izglītības pakalpojmi</t>
  </si>
  <si>
    <t>Aktivitāte Nr.155 Pirmsskolas izglītības iestāžu mācību vides uzlabošana</t>
  </si>
  <si>
    <t>Rīcības virziens R3.2.3. : Vispārizglītojošo skolu  izglītības pakalpojmi</t>
  </si>
  <si>
    <t>Aktivitāte Nr.165 Vispārējās izglītības iestāžu mācību vides uzlabošana</t>
  </si>
  <si>
    <t>Prioritāte P3.4. Droša dzīves vide</t>
  </si>
  <si>
    <t>Rīcības virziens R3.4.1.: Sabiedriskās kārtības un iedzīvotāju drošības nodrošināšana</t>
  </si>
  <si>
    <t xml:space="preserve">Aktivitāte Nr.211 Savvaļas dzīvnieku aktivitāšu ierobežošana </t>
  </si>
  <si>
    <t>Prioritāte P3.6. Kvalitatīvi veselības aprūpes pakalpojumi</t>
  </si>
  <si>
    <t>Jūrmalas pilsētas ūdens resursu rīcības plāns 2016.-2020.gadam (JPŪRRP)</t>
  </si>
  <si>
    <t>Mērķis 4: Piekrastes ūdeņu un Lielupes plānotā izmantošana. Rīcības virziens R1.6.2 Peldvietu infrastruktūras attīstība</t>
  </si>
  <si>
    <t>Aktivitāte Nr.9 Uzlabot publisko ūdeņu piekrastes pieejamību</t>
  </si>
  <si>
    <t xml:space="preserve">Aktivitāte Nr.10 Aktualizēt pludmales aktivitāšu zonējumu un labiekārtojumu
</t>
  </si>
  <si>
    <t>Jūrmalas pilsētas attīstības stratēģija 2010. - 2030.gadam (JPAS)</t>
  </si>
  <si>
    <t>Budžeta finansēta institūcija</t>
  </si>
  <si>
    <t>Reģistrācijas Nr.</t>
  </si>
  <si>
    <t>Īpašumu pārvaldes Pašvaldības īpašumu nodaļa</t>
  </si>
  <si>
    <t>Pašvaldības īpašumu pārvaldīšana</t>
  </si>
  <si>
    <t>Vērtēšana (tirgus vērtību noteikšana un aktualizācija; kapitālsabiedrību pamatkapitālā iekļaujamo nekustamo īpašumu vērtēšana; kapitālsabiedrību vērtēšana)</t>
  </si>
  <si>
    <t>Iepirkuma rezultātā ar  SIA "Vindeks", SIA "Grant Thornton Baltic" un SIA "VESTABALT" 18.07.2018. noslēgta Vispārīga vienošanās Nr.1.2-16.4.3/903 "Par nekustamā īpašuma tirgus vērtības noteikšanu". Vispārīgā vienošanās noslēgta uz 24 mēnešiem, t.i., līdz 18.07.2020. vienošanās līgumcena nevar pārsniegt 41 999 EUR, neieskaitot PVN. 2020.gadā plānots jauns iepirkums līdz ar ko nepieciešams papildus finansējums.</t>
  </si>
  <si>
    <t>Sludinājumi un reklāmas</t>
  </si>
  <si>
    <r>
      <t xml:space="preserve">Tiek plānots atsavināt 25 nekustamo īpašumu objektus (atbilstoši pielikumam), bet, ņemot vērā atkārtotu izsoļu organizēšanu, 2020.gadā plānojas ~50 sludinājumi par nekustamā īpašuma atsavināšanu  laikrakstā "Latvijas Vēstnesis"(60 EURx50=3000 EUR). Krievu val. masu mēdijos ("Biznes Vesti", "MK Latvija", "Otkrito" </t>
    </r>
    <r>
      <rPr>
        <i/>
        <sz val="9"/>
        <rFont val="Times New Roman"/>
        <family val="1"/>
        <charset val="186"/>
      </rPr>
      <t>(cenas atbilstoši Mārektinga pārvaldes iepirkumam)</t>
    </r>
    <r>
      <rPr>
        <sz val="9"/>
        <rFont val="Times New Roman"/>
        <family val="1"/>
        <charset val="186"/>
      </rPr>
      <t xml:space="preserve">~ 4900 EUR un  tīmekļa vietnē ss.com  ~ 100 EUR  </t>
    </r>
    <r>
      <rPr>
        <i/>
        <sz val="9"/>
        <rFont val="Times New Roman"/>
        <family val="1"/>
        <charset val="186"/>
      </rPr>
      <t>(cena atkarīga no objekta pārdošanas cenas)</t>
    </r>
    <r>
      <rPr>
        <sz val="9"/>
        <rFont val="Times New Roman"/>
        <family val="1"/>
        <charset val="186"/>
      </rPr>
      <t xml:space="preserve">.  </t>
    </r>
  </si>
  <si>
    <t>Informatīvie stendi (izgatavošana, uzstādīšana, demontāža)</t>
  </si>
  <si>
    <r>
      <t>Iepirkuma  rezultātā 201</t>
    </r>
    <r>
      <rPr>
        <sz val="9"/>
        <color theme="1"/>
        <rFont val="Times New Roman"/>
        <family val="1"/>
        <charset val="186"/>
      </rPr>
      <t>9.gada 11.oktobr</t>
    </r>
    <r>
      <rPr>
        <sz val="9"/>
        <rFont val="Times New Roman"/>
        <family val="1"/>
        <charset val="186"/>
      </rPr>
      <t>ī ar  SIA "labadruka.lv" tiks noslēgts pakalpojuma līgums Nr. 1.2-16.4.3/1517 uz 12 mēnešiem. Līgumce</t>
    </r>
    <r>
      <rPr>
        <sz val="9"/>
        <color theme="1"/>
        <rFont val="Times New Roman"/>
        <family val="1"/>
        <charset val="186"/>
      </rPr>
      <t>na ir 8500 EU</t>
    </r>
    <r>
      <rPr>
        <sz val="9"/>
        <rFont val="Times New Roman"/>
        <family val="1"/>
        <charset val="186"/>
      </rPr>
      <t xml:space="preserve">R, neskaitot PVN.
</t>
    </r>
  </si>
  <si>
    <t>Zemes noma</t>
  </si>
  <si>
    <t>Nekustamā īpašuma nodokļa kompensācija</t>
  </si>
  <si>
    <t>Telpu noma</t>
  </si>
  <si>
    <t>Pašvaldības īpašumā esošo nekustamo īpašumu pārvaldīšana un komunālie pakalpojumi</t>
  </si>
  <si>
    <t xml:space="preserve">Dzīvojamo telpu īre </t>
  </si>
  <si>
    <t>JPAP_R2.9.1._115</t>
  </si>
  <si>
    <t>(skat.pielikumu Skaidrojums)</t>
  </si>
  <si>
    <t>Īpašumu apdrošināšana</t>
  </si>
  <si>
    <t xml:space="preserve">Iepirkuma rezultātā 2019.gada ___ oktobrī tiks noslēgts līgums Nr. ____  ar AAS "BTA Baltic Insurance Company"
Termiņš - 24 mēneši. Apdrošināšanas prēmijas summa ievērojami lielāka kā iepriekšējos finanšu gados. </t>
  </si>
  <si>
    <t>skat.pielikumu: Apdrošināšana</t>
  </si>
  <si>
    <t>Ēku tehniskā stāvokļa novērtēšana</t>
  </si>
  <si>
    <r>
      <t xml:space="preserve">Iepirkuma rezultātā līdz </t>
    </r>
    <r>
      <rPr>
        <sz val="9"/>
        <color theme="1"/>
        <rFont val="Times New Roman"/>
        <family val="1"/>
        <charset val="186"/>
      </rPr>
      <t>24.10.2019. spēkā esošs līgums ar SIA "Baltic Construction".</t>
    </r>
    <r>
      <rPr>
        <sz val="9"/>
        <rFont val="Times New Roman"/>
        <family val="1"/>
        <charset val="186"/>
      </rPr>
      <t xml:space="preserve">
2019.gada oktobrī izsludināts jauns iepirkums, kas paredzēs gan tehnisko izpēti, gan konstrukciju atsegšanu un fotofiksāciju. Termiņš - 24 mēneši.
</t>
    </r>
  </si>
  <si>
    <t>Kadastrālā uzmērīšana zemesgabaliem, kas ierakstāmi zemesgrāmatā uz Jūrmalas pilsētas pašvaldības vārda, zemes ierīcības projekti</t>
  </si>
  <si>
    <t>Iepirkuma rezultātā noslēgtas vispārīgās vienošanās ar "Geopols" 04.07.2019. Nr.1.2-16.4.3/1000; "Terra Topo" 04.07.2019. Nr.1.2-16.4.3/999;                             "Metrum" 25.06.2019. Nr.1.2-16.4.3/947. Termiņš 24 mēneši no noslēgšanas brīža un līgumsumma 41 999 (EUR). Plānoti ~ 25 objekti gadā.</t>
  </si>
  <si>
    <t>Inventarizācijas lietas, būvju vai dzīvokļu kadastrālās uzmērīšanas lietas, datu aktualizācija un citu dokumentu sagatavošana eģistrēšanai zemesgrāmatā uz Jūrmalas pilšetas pašvaldības vārda, t.sk.Valsts zemes dienesta izziņas</t>
  </si>
  <si>
    <t xml:space="preserve">Izpildītājs - Valsts zemes dienests.  VZD izziņas par iespējamo kadastrālo vērtību nomas vajadzībām: 69x33,35=2301,15 EUR; Rezervēts pārējām datu aktualizācijām VZD kadastrā par pašvaldības nekustamajiem īpašumiem 800 EUR, kā arī PIN TND vajadzībām ~ 1200 EUR. 
</t>
  </si>
  <si>
    <t>Kancelejas nodevas, valsts nodevas</t>
  </si>
  <si>
    <t>Pašvaldībai piekrītošu zemesgabalu reģistrācija zemesgrāmatā: 
50x35,57=1778,50 EUR; rezervēts pārreģistrēšanai pēc sadales un pārņemšanas  no valsts, dažādiem grozījumiem zemesgrāmatu ierakstos: 321,50 EUR.</t>
  </si>
  <si>
    <t>Izdevumi juridiskās palīdzības sniedzējiem - notāra pakalpojumi, juridiskie slēdzieni zemes īpašuma lietās, konsultācijas apdrošināšanas jautājumos</t>
  </si>
  <si>
    <t>Darījumos ar īpašumu iegādi, pārdodot, pie īpašumu sadales, bezmantinieku mantas noteikšanai, notariāla akta sagatavošanai, paraksta apliecināšanai.</t>
  </si>
  <si>
    <t>Zaudējumu segšana trešajām personām</t>
  </si>
  <si>
    <t xml:space="preserve">Trešām personām izdarīto zaudējumu segšana pamatojoties uz iesniegto pretenziju par zaudējumiem, kas nodarīti trešajām personām, ja tādi radīsies. </t>
  </si>
  <si>
    <t>Prioritāte: P2.2. Marķējumu un informācijas zīmju sistēmas pilnveide</t>
  </si>
  <si>
    <t>Rīcības virziens: R2.2.1. Jūrmalas vizuālās identitātes standarta izstrāde un ieviešana</t>
  </si>
  <si>
    <t>Aktivitāte Nr.70 Jūrmalas vizuālās identitātes veidošanaun uzraudzīšana</t>
  </si>
  <si>
    <t>Aktivitāte Nr.99 Publiskās telpas apsaimniekošana</t>
  </si>
  <si>
    <t>Prioritāte P2.9. Dzīvojamā fonda attīstība</t>
  </si>
  <si>
    <t>Aktivitāte Nr.115 Privātīpašumu sakoptības veicināšana</t>
  </si>
  <si>
    <t>Prioritāte: P3.1. Uz nākotni orientēta pilsētas pārvaldība, kas atbalsta pilsonisko iniciatīvu</t>
  </si>
  <si>
    <t>Rīcības virziens: R3.1.2. Pašvaldības pārvaldes kapacitātes celšana</t>
  </si>
  <si>
    <t>Īpašumu pārvaldes Dzīvokļu nodaļa</t>
  </si>
  <si>
    <t>Līdzekļi apsaimniekošanas un komunālo pakalpojumu maksas segšanai neizīrētos pašvaldības dzīvokļos</t>
  </si>
  <si>
    <t>JPAP_P2.9._R2.9.1_115</t>
  </si>
  <si>
    <t>Budžets aktivitātei plānots ar samazinājumu, ievērojot, ka ir atbrīvota pašvaldībai piederošā dzīvojamā māja Raiņa ielā 62, Jūrmalā un no 01.09.2019. nav jāveic maksājumi par obligātajām u.c. pārvaldīšanas darbībām, pakalpojumiem. Kā arī 2019.gadā ir noslēgti 20 (divdesmit) dzīvokļa pirkuma līgumi, atsavinot pašvaldībai piederošos dzīvokļus.</t>
  </si>
  <si>
    <t>Līdzekļi pašvaldības dzīvojamo telpu īrnieku parādu segšanai SIA "Jūrmalas namsaimnieks" un citiem pārvaldniekiem, SIA ,,Jūrmalas siltums" par dzīvojamo telpu apsaimniekošanas maksu un maksu par komunālajiem pakalpojumiem</t>
  </si>
  <si>
    <t>Budžets aktivitātei plānots 2019.gada gaidāmās izpildes apmērā.</t>
  </si>
  <si>
    <t>Līdzekļi apsaimniekošanas un komunālo pakalpojumu maksas segšanai pašvaldības dzīvokļos, kur beidzies dzīvojamās telpas īres līguma termiņš</t>
  </si>
  <si>
    <t>Budžets aktivitātei plānots ar samazinājumu. 2019.gadā atbrīvotas 18 (astoņpadsmit) dzīvojamās telpas, kas tika lietotas bez tiesiska pamata (bez spēkā esoša dzīvojamās telpas īres līguma).</t>
  </si>
  <si>
    <t>Izdevumi, kas saistīti ar izpildu dokumenta nodošanu zvērinātam tiesu izpildītājam un tā veiktajām darbībām</t>
  </si>
  <si>
    <t>Budžets aktivitātei plānots 2019.gada apmērā.</t>
  </si>
  <si>
    <t>Prioritāte: P2.9.Dzīvojamā fonda attīstība</t>
  </si>
  <si>
    <t>Rīcības virziens: R2.9.1.:Pašvaldības dzīvojamā fonda attīstība</t>
  </si>
  <si>
    <t>Aktivitāte Nr.115: Jūrmalas pašvaldības dzīvojamā fonda attīstības plānošana un plānu realizācija</t>
  </si>
  <si>
    <t>.</t>
  </si>
  <si>
    <t>Īpašumu pārvaldes Mežsaimniecības nodaļa</t>
  </si>
  <si>
    <t>Pilsētas mežu un publiskās teritorijas esošo koku un apstādījumu kopšanas pasākumi</t>
  </si>
  <si>
    <t>04.220</t>
  </si>
  <si>
    <t>Nokaltušo, avārijas un ainaviski mazvērtīgo koku nociršana/novākšana</t>
  </si>
  <si>
    <t>JPAP_P2.8_R2.8.1._100</t>
  </si>
  <si>
    <r>
      <t xml:space="preserve">Pilsētvides sakopšana –  nokaltušo, avārijas un ainaviski mazvērtīgo koku nociršana. 2019.gada 8.augusta līgums Nr.1.2-16.4.3/1130, </t>
    </r>
    <r>
      <rPr>
        <u/>
        <sz val="9"/>
        <rFont val="Times New Roman"/>
        <family val="1"/>
        <charset val="186"/>
      </rPr>
      <t>kurā ir būtiski paaugstināta pakalpojuma līgumcena.</t>
    </r>
  </si>
  <si>
    <t>Ielu apstādījumu koku vainagu regulārā kopšana</t>
  </si>
  <si>
    <t>JPAP_P2.8_R2.8.1._101</t>
  </si>
  <si>
    <r>
      <t xml:space="preserve">Ielu apstādījumu liepu regulāra vainagu veidošana un formēšana. 2019.gada 8.augusta līgums Nr.1.2-16.4.3/1130,  </t>
    </r>
    <r>
      <rPr>
        <u/>
        <sz val="9"/>
        <rFont val="Times New Roman"/>
        <family val="1"/>
        <charset val="186"/>
      </rPr>
      <t xml:space="preserve">kurā ir paaugstināta pakalpojuma līgumcena </t>
    </r>
  </si>
  <si>
    <t>Zaru nozāģēšana ielu koiem</t>
  </si>
  <si>
    <r>
      <t xml:space="preserve">Zaru nozāģēšanu kokiem pie ielu apgaismes stabiem, kā arī zaru nozāģēšanu, kuri traucē satiksmes drošībai (zemu noliekušies uz ielu un ietvēm, krustojumu pārredzamība u.c.). 2019.gada 8.augusta līgums Nr.1.2-16.4.3/1130,  </t>
    </r>
    <r>
      <rPr>
        <u/>
        <sz val="9"/>
        <rFont val="Times New Roman"/>
        <family val="1"/>
        <charset val="186"/>
      </rPr>
      <t>kurā ir paaugstināta pakalpojuma līgumcena.</t>
    </r>
  </si>
  <si>
    <t>Atvasāju nopļaušana mežos</t>
  </si>
  <si>
    <t>JPAP_P2.8_R2.8.1._102</t>
  </si>
  <si>
    <r>
      <t xml:space="preserve">Atvasāju nopļaušana mežos veicama, lai nepieļautu priežu mežu aizaugšanu ar lapu kokiem un uzlabotu pilsētvides ainavu. 2019.gada 8.augusta līgums Nr.1.2-16.4.3/1130,  </t>
    </r>
    <r>
      <rPr>
        <u/>
        <sz val="9"/>
        <rFont val="Times New Roman"/>
        <family val="1"/>
        <charset val="186"/>
      </rPr>
      <t xml:space="preserve"> kurā ir paaugstināta pakalpojuma līgumcena.</t>
    </r>
  </si>
  <si>
    <t>Celmu izfrēzēšana apstādījumos</t>
  </si>
  <si>
    <t xml:space="preserve">Nocirsto koku celmu izfrēzēšana zāliena atjaunošana. 2019.gada 8.augusta līgums Nr.1.2-16.4.3/1130. </t>
  </si>
  <si>
    <t>Papildu dokumentācija</t>
  </si>
  <si>
    <t>JPAP_P2.8_R2.8.1._99</t>
  </si>
  <si>
    <t>Pašvaldības mežu inventarizācija, apstādījumu atsevišķu koku novērtēšana, ciršanas apliecinājumu saņemšana u.c.</t>
  </si>
  <si>
    <t>Meža stādu iegāde</t>
  </si>
  <si>
    <t>JPAP_P2.8_R2.8.1._104</t>
  </si>
  <si>
    <r>
      <t xml:space="preserve">Ikgadējā Mežsaimniecības nodaļas aktivitāte - priežu ietvarstādu stādīšana meža degumos un kāpu zonā. </t>
    </r>
    <r>
      <rPr>
        <b/>
        <sz val="9"/>
        <rFont val="Times New Roman"/>
        <family val="1"/>
        <charset val="186"/>
      </rPr>
      <t xml:space="preserve"> </t>
    </r>
    <r>
      <rPr>
        <sz val="9"/>
        <rFont val="Times New Roman"/>
        <family val="1"/>
        <charset val="186"/>
      </rPr>
      <t/>
    </r>
  </si>
  <si>
    <t>Atkritumu savākšana mežos</t>
  </si>
  <si>
    <t xml:space="preserve">JPAP_P2.7_R2.7.1._96; JPAP_P2.8_R2.8.1._99 JPAP_P2.8_R2.8.1._104 JPŪRARP_RV2.8.1._12 </t>
  </si>
  <si>
    <t xml:space="preserve">Profesināla dažādu atkritumu savākšana. 2019.gada 8.augusta līgums Nr.1.2-16.4.3/1130. </t>
  </si>
  <si>
    <t>Saīsinājumi:</t>
  </si>
  <si>
    <t>JPAP</t>
  </si>
  <si>
    <t>Jūrmalas pilsētas attīstības programma 2014.-2020.gadam</t>
  </si>
  <si>
    <t xml:space="preserve">P2.8 </t>
  </si>
  <si>
    <t>Publiskās telpas labiekārtošan</t>
  </si>
  <si>
    <t>P.2.8.1.</t>
  </si>
  <si>
    <t>Publiskās telpas pilnveide</t>
  </si>
  <si>
    <t>Nr.99</t>
  </si>
  <si>
    <t>Publiskās telpas un ēku apsaimniekošana</t>
  </si>
  <si>
    <t>Nr.100</t>
  </si>
  <si>
    <t>Nokaltušo, avārijas un ainaviski mazvērtīgo koku nociršana ielu apstādījumos</t>
  </si>
  <si>
    <t>Nr.101</t>
  </si>
  <si>
    <t>Ielu apstādījumu koku sakopšana</t>
  </si>
  <si>
    <t>Nr.102</t>
  </si>
  <si>
    <t xml:space="preserve">Atvasāju nopļaušana un savākšana mežos </t>
  </si>
  <si>
    <t>Nr.104</t>
  </si>
  <si>
    <t>Lielupes krastmalas un piekrastes ekosistēmas ilgtspējīga apsaimniekošana</t>
  </si>
  <si>
    <t>P2.7</t>
  </si>
  <si>
    <t>Atkritumu utilizācijas sistēmas pilnveide</t>
  </si>
  <si>
    <t>P.2.7.1</t>
  </si>
  <si>
    <t>Atkritumu apsaimniekošanas sistēmas pilnveide</t>
  </si>
  <si>
    <t>Nr.96</t>
  </si>
  <si>
    <t xml:space="preserve">JPŪRARP    </t>
  </si>
  <si>
    <t xml:space="preserve">Jūrmalas pilsētas Ūdens resursu aizsardzības rīcības plāns </t>
  </si>
  <si>
    <t xml:space="preserve">Mērķis Nr.4 </t>
  </si>
  <si>
    <t>Piekrastes ūdeņu un Lielupes plānotā izmantošana</t>
  </si>
  <si>
    <t>RV2.8.1.</t>
  </si>
  <si>
    <t>Nr.12</t>
  </si>
  <si>
    <t>Informāciju un komunikāciju tehnoloģiju pārvalde</t>
  </si>
  <si>
    <t>Iebraukšanas nodevas iekasēšanas nodrošinājums</t>
  </si>
  <si>
    <t xml:space="preserve">Caurlaižu POS terminālu uzturēšana un apsaimniekošana </t>
  </si>
  <si>
    <t>JPAP_P3.1._R3.1.2.  JPAP_P2.1._R.2.1.1._63
JPAP_P2.1._R.2.1.1._65
IKTRP_R2.1.3._10</t>
  </si>
  <si>
    <t>Piemakas štata darbiniekam caurlaižu sezonas laikā</t>
  </si>
  <si>
    <t>Atalgojums štata vai ārštata darbiniekam caurlaižu sezonas laikā</t>
  </si>
  <si>
    <t>700 EUR/aparāts, aparāti noveco</t>
  </si>
  <si>
    <t>Norēķina automātu informācijas sistēmas uzturēšana 1 900 €</t>
  </si>
  <si>
    <t>Vienreizējo čeku iegāde, izmaksas, ja tiek pagarināta iebraukšanas kontroles sezona, Kancelejas preces - pildspalvas, izolācijas lentas, tīrīšanas līdzekļi skārienjūtīgiem ekrāniem</t>
  </si>
  <si>
    <t xml:space="preserve">Aprātu pārvalki 2* 50
</t>
  </si>
  <si>
    <t>Personāla specializēto tērpu iegāde, , ja tiek pagarināta iebraukšanas kontroles sezona</t>
  </si>
  <si>
    <t>Detaļas, diagnostikas un servisa aparatūra</t>
  </si>
  <si>
    <t>Caurlaižu kontroles punktu uzturēšana un apsaimbiekošana</t>
  </si>
  <si>
    <t>JPAP_P3.1._R3.1.2.  JPAP_P2.1._R.2.1.1._63
JPAP_P2.1._R.2.1.1._65
JPAP_P3.4._R3.4.1._209
IKTRP_R2.1.3._10</t>
  </si>
  <si>
    <t>Pacēlāja īre 25 stundas</t>
  </si>
  <si>
    <t>Caurlaižu kontroles punktu attīstība</t>
  </si>
  <si>
    <t>Caurlaižu sistēmas uzturēšana un attīstība</t>
  </si>
  <si>
    <t>JPAP_P2.1._R.2.1.1._65
IKTRP_R2.1.3._10
JPAP_P3.1._R3.1.2._121</t>
  </si>
  <si>
    <t xml:space="preserve"> Informācijas tehnoloģiju pakalpojumi (CSDD) 730 €</t>
  </si>
  <si>
    <r>
      <t xml:space="preserve">E-pakalpojuma - iebraukšanas nodeva izmaiņas, - Datu pārbaudi VID par iestāžu/ uzņēmumu darbinieku darba attiecību uzsākšanu, izbeigšanu, lai automātiskiizskatītu iesniegumu un pēc nodevas samaksas automātiski piešķirtu caurlaidi /anulētu caurlaidi saskaņā ar SN 1 12.01.2017 14.3., 14.4., 14.5.,14.6.,14.7.,14.8.,14.9.,14.11., 45.7. apakšpunktiem - Datu pārbaudi IR par personas laulāto, bērnu un vecāku  un automātisku caurlaides iesnieguma izskatīšanuun pēc nodevas samaksas caurlaides piešķiršanu(45000 EUR); un </t>
    </r>
    <r>
      <rPr>
        <strike/>
        <sz val="9"/>
        <rFont val="Times New Roman"/>
        <family val="1"/>
        <charset val="186"/>
      </rPr>
      <t>Lietvedības sistēmas apmaiņas integrācija ar Sodu reģistru 9000 EUR</t>
    </r>
  </si>
  <si>
    <t>Pievienotās vērtības nodoklis</t>
  </si>
  <si>
    <t>JPAP_P3.1._R3.1.2. 
JPAP_P2.1._R.2.1.1._65
IKTRP_R2.1.3._10</t>
  </si>
  <si>
    <t>Tīkla telefons un internets</t>
  </si>
  <si>
    <t>JPAP_P3.1._R3.1.2.  JPAP_P3.1._R.3.1.2._120</t>
  </si>
  <si>
    <t>Pārējie pamatlīdzekļi</t>
  </si>
  <si>
    <t>JPAP_P2.1._R.2.1.1._65
IKTRP_R2.1.3._10</t>
  </si>
  <si>
    <t>Informācijas un komunikācijas tehnoloģiju uzturēšana, atjaunošana un uzlabošana</t>
  </si>
  <si>
    <t>Interneta pakalpojumi - interneta pieslēgumi domes nodaļām</t>
  </si>
  <si>
    <t>JPAP_P2.6._R2.6.3._90
JPAP_P3.1._R3.1.2._120 JPAP_P3.1._R3.1.2. IKTRP_R2.6.3_32</t>
  </si>
  <si>
    <t>Interneta pakalpojumi, Interneta pieslēgums un datu kanālu nodrošinašana.</t>
  </si>
  <si>
    <t xml:space="preserve">Maksa par elektroenerģiju    </t>
  </si>
  <si>
    <t>JPAP_P3.4._R3.4.1._209 JPAP_P1.6._R1.6.1_37
IKTRP_R3.4.1._5
IKTRP_R3.4.1._6 JPAP_P3.1._R3.1.2.</t>
  </si>
  <si>
    <t>Videonovērošanas kamerām un tīkla aparatūrai</t>
  </si>
  <si>
    <t xml:space="preserve">Iekārtu, invent. un aparat. remonts, tehniskā apkalpošana     </t>
  </si>
  <si>
    <t>Informācijas sistēmas uzturēšana</t>
  </si>
  <si>
    <t>Pašvaldības vienotās informācijas sistēmas uzturēšana saskaņā ar līgumu (NEKIP, NINO, PERS, SOPA, DZIMTS, BUDZIS)</t>
  </si>
  <si>
    <t>JPAP_P2.8._R2.8.1._112
JPAP_P3.5._R3.5.1._218 JPAP_P3.1._R3.1.2. 
IKTRP_3.5.1._8 
IKTRP_2.8.1._13</t>
  </si>
  <si>
    <t>Tā kā papildinātas sistēmas, ieplānots 10% pieaugums</t>
  </si>
  <si>
    <t>Lietvedības programmas DocLogix uzturēšana</t>
  </si>
  <si>
    <t>JPAP_P3.1._R3.1.2.  JPAP_P3.1._R3.1.5._144
IKTRP_R3.1.5._18</t>
  </si>
  <si>
    <t>8 gab 36.3 EUR un 398gab. 54.45 EUR</t>
  </si>
  <si>
    <t>DocLogix  pakalpojumu darbi - lietvedības gada slēgšana un kosultācijas</t>
  </si>
  <si>
    <t xml:space="preserve">1-cilvēkstunda 85.91 EUR   </t>
  </si>
  <si>
    <t>Grāmatvedības programmas Ozols  uzturēšana</t>
  </si>
  <si>
    <t>JPAP_P3.1._R3.1.2.  JPAP_P3.1._R3.1.2._123
JPAP_P3.1._R3.1.2._124
IKTRP_R3.1.2._19
IKTRP_R3.1.2._20</t>
  </si>
  <si>
    <t>3 630 EUR x 12 mēn</t>
  </si>
  <si>
    <t>Ugunsmūra un drošības aizsardzības licenču uzturēšana</t>
  </si>
  <si>
    <t>JPAP_P3.1._R3.1.2.  JPAP_P3.1._R3.1.5._141 IKTRP_R3.1.5._25 IKTRP_R3.1.5._27</t>
  </si>
  <si>
    <t>Agrāk bija EKK 5121; tikai uzturēšanas apjoms esošai infrastruktūrai.</t>
  </si>
  <si>
    <t>Qliksense tehniskā apkalpošana</t>
  </si>
  <si>
    <t>JPAP_P3.1._R3.1.2.  JPAP_P2.1._R2.1.1._65
IKTRP_R2.1.3._10</t>
  </si>
  <si>
    <t>Esošo 30 licenču apkalpošana</t>
  </si>
  <si>
    <t xml:space="preserve">Ģis programmatūras pielāgojumu pakalpojumi </t>
  </si>
  <si>
    <t xml:space="preserve">JPAP_P3.1._R3.1.2. </t>
  </si>
  <si>
    <t xml:space="preserve"> ADTI datu bāzes profilaktiskā apkope</t>
  </si>
  <si>
    <t>Informācijas sistēmas licenču nomas izdevumi</t>
  </si>
  <si>
    <t>Oracle tehniskā apkalpošana</t>
  </si>
  <si>
    <t>JPAP_P3.1._R3.1.2. JPAP_P2.8._R2.8.1._112
JPAP_P3.5._R3.5.1._218
IKTRP_3.5.1._8
IKTRP_2.8.1._13</t>
  </si>
  <si>
    <t>Oracle notiektais 3% pieaugums</t>
  </si>
  <si>
    <t>Microsoft licenču noma</t>
  </si>
  <si>
    <t>JPAP_P3.1._R3.1.2.  JPAP_P3.1._R3.1.5._140 JPAP_P3.1._R3.1.2._126 JPAP_P3.2._R3.2.3._165
IKTRP_R3.1.5._35</t>
  </si>
  <si>
    <t>JPD saistības, noslēgts līgums uz 3 gadiem līdz 31.12.2021 (tas ir 128,744 EUR/gadā)</t>
  </si>
  <si>
    <t>RVS moduļu noma un uzturēšana</t>
  </si>
  <si>
    <t>JPAP_P3.1._R3.1.2._123
JPAP_P3.1._R3.1.2._124
IKTRP_R3.1.2._19
IKTRP_R3.1.2._20</t>
  </si>
  <si>
    <t>Jaunās Resursu vadības sistēmas licenču noma un uzturēšana katru gadu (no 2021.gada) ar pieņēmumu, ka nepalielinās lietotāju skaits un izmaksu vienību cena (36000+7500+12000+5500)*1.21=73,810 EUR/gadā</t>
  </si>
  <si>
    <t>Pārējie informācijas tehnoloģiju pakalpojumi</t>
  </si>
  <si>
    <t>Elektronisko datu abonēšana (VZD)</t>
  </si>
  <si>
    <t>Uzņēmumu datu bāzu izmantošana</t>
  </si>
  <si>
    <t>Domēna vārda gada īres maksa</t>
  </si>
  <si>
    <t>JPAP_P3.1._R3.1.2.</t>
  </si>
  <si>
    <t>Pašvaldības klientu monitoriga pakalpojumi</t>
  </si>
  <si>
    <t xml:space="preserve">Skolu vadības sistēma e-klase </t>
  </si>
  <si>
    <t>20% ietaupījums, ja viens maksājums par visām izglītības iestādēm</t>
  </si>
  <si>
    <t>Uzņēmumu datu bāzu papildus atlases pakalpojumi</t>
  </si>
  <si>
    <t>Domain vārda lietošana (jurmala.lv, lifesaving.lv, visitjurmala.lv, jurmalatravel.lv)</t>
  </si>
  <si>
    <t>Balss un kontaktu centra produktu pakalpojumi</t>
  </si>
  <si>
    <t>Konfigurēšanas pakalpojumi</t>
  </si>
  <si>
    <t>Datortehnikas remonts un uzturēšana</t>
  </si>
  <si>
    <t>JPAP_P3.1._R3.1.2.  JPAP_P3.1._R3.1.5._139
IKRRP_R3.1.5._4</t>
  </si>
  <si>
    <t>Viedkaršu printera pilnkrāsu printeru remonts</t>
  </si>
  <si>
    <t>Biroja preces</t>
  </si>
  <si>
    <t>JPAP_P3.1._R3.1.2.  JPAP_P3.1._R3.1.5._139
IKRRP_R3.1.5._4  IKRRP_R3.1.5._5</t>
  </si>
  <si>
    <t xml:space="preserve">Viedkaršu printera pilnkrāsu lenšu kasetņu  piegāde papildus karšu izgatavošanai iedzīvotājiem un skolēniem 10 000 gab; </t>
  </si>
  <si>
    <t>Web kameras viedkaršu sagatavošanai (7 gabx 120EUR)</t>
  </si>
  <si>
    <t>Nemateriālie ieguldījumi (licences, programmas)</t>
  </si>
  <si>
    <t>Papildinājumi VPS programmatūrā  NINO, SOPA,NEKIP, BUDZIS</t>
  </si>
  <si>
    <t>JPAP_P2.8._R2.8.1._112
JPAP_P3.5._R3.5.1._218
IKTRP_3.5.1._8
IKTRP_2.8.1._13</t>
  </si>
  <si>
    <t>Esošo sistēmu papildinājumi, saskaņā ar struktūrvienību prasībām (1c/st.72.60 EUR) : valsts kadastra informācijas sistēmas problēmu automātiska risināšana 3 780 EUR; piedziņas dokumentu (brīdinājums, lēmums) veidlapu pilnveidošana 3 600 EUR; automātisko piedziņas dokumentu (brīdinājums, lēmums) nosūtīšana uz vairākām adresēm 2 905 EUR; BUDZIS pilnveidojumi - rezervētā summa - 3 600 EUR</t>
  </si>
  <si>
    <t>Ugunsmūris</t>
  </si>
  <si>
    <t>JPAP_P3.1._R3.1.5._142
IKTRP_R3.1.5._25</t>
  </si>
  <si>
    <t>Papildus Fortigate licence</t>
  </si>
  <si>
    <t>Lietvedības programmas DocLogix licences un papildinājumu izstrāde</t>
  </si>
  <si>
    <t>JPAP_P3.1._R3.1.5._144
IKTRP_R3.1.5._18</t>
  </si>
  <si>
    <t>30 c/st (1 c/st 85.91)</t>
  </si>
  <si>
    <t>Grāmatvedības programmas Ozols papildinājumi</t>
  </si>
  <si>
    <t>40 c/st ( 1 c/st 60.50)</t>
  </si>
  <si>
    <t>MicroStrategy licences ar viena gada uzturēšanu</t>
  </si>
  <si>
    <t>RVS ieviešana (MicroStategy licenču uzturēšana sākotnēji plānotajam apjomam no 2021.gada iekļauta pozīcijā RVS licenču noma un uzturēšana (9075 EUR) EKK 2251)</t>
  </si>
  <si>
    <t>Jauna grāmatvedības un budžeta resursu vadības sistēma (RVS)</t>
  </si>
  <si>
    <t>RVS ieviešana. Paredzamās izmaksas projekta turpināšanai 2021.gadā 130000*1.21=157300 EUR. No 2022.gada izmaksas iespējamas, ja tiks pasūtīta jauna papildus funkcionalitāte.</t>
  </si>
  <si>
    <t>IP zvanu centra aprīkojums - programmu nodrošinājums</t>
  </si>
  <si>
    <t>JPAP_P3.4._R3.4.1._208
JPAP_P3.4._R3.4.1._210
IKTRP_R3.4.1._44
IKTRP_R3.4.1._45
Jūrmalas pilsētas videonovērošanas konceptuālais ziņojums.</t>
  </si>
  <si>
    <t xml:space="preserve">JPD IKTP jaunais prioritārais pasākums 2019.-2021.gadā, atbalstīts 10.10.2018 Attīstības un vides jautājumu komitejas sēdē </t>
  </si>
  <si>
    <t>JPD IT infrastruktūras tehniskais nodrošinājums RVS darbībai</t>
  </si>
  <si>
    <t>Tehniskais nodrošinājums jaunajai RVS</t>
  </si>
  <si>
    <t>Videonovērošanas kameras</t>
  </si>
  <si>
    <t>JPAP_P3.4._R3.4.1._209
IKTRP_R3.4.1._5
IKTRP_R3.4.1._6</t>
  </si>
  <si>
    <t>10 publiskās videokameras</t>
  </si>
  <si>
    <t>Viedkaršu printeris</t>
  </si>
  <si>
    <t>JPAP_P3.1._R3.1.5._139
IKRRP_R3.1.5._4</t>
  </si>
  <si>
    <t>Viedkaršu printeri 3 gab nomaiņai bojāto vietā</t>
  </si>
  <si>
    <t>Pamatlīdzekļu izveidošana</t>
  </si>
  <si>
    <t>JPAP_P2.1._R2.1.1._64
JPAP_P2.1._R2.1.1._65
JPAP_P2.1._R2.1.3._69
JPAP_P2.6._R2.6.3._92
JPAP_P2.6._R2.6.3._93
JPAP_P3.1._R3.1.2._120
JPAP_P3.1._R3.1.2._127
JPAP_P3.4._R3.4.1._208
JPAP_P3.4._R3.4.1._209
JPAP_P3.4._R3.4.1._210 JPAP_P3.2._R3.2.3_162 JPAP_P3.2._R3.2.4._179
IKTRP_R3.1.5._29
IKTRP_R2.6.3._31
IKTRP_R3.1.2._34
IKTRP_R3.4.1._44
IKTRP_R3.4.1._45 JPIAK  R3.2.1_5</t>
  </si>
  <si>
    <t>R1.9.1. Jūrmala kā kūrorta un tikšanās vietas tēla veidošana</t>
  </si>
  <si>
    <t xml:space="preserve">Aktivitāte Nr.51 Jūrmalas pilsētas portāla funkcionalitātes paplašināšana </t>
  </si>
  <si>
    <t>R1.9.2. Informācijas pieejamības nodrošināšana</t>
  </si>
  <si>
    <t>Aktivitāte Nr.54 Ģeogrāfijas informācijas sistēmas ieviešana</t>
  </si>
  <si>
    <t>Aktivitāte Nr.55 Digitālo informācijas stendu informācijas sistēmas  ieviešana un saistošu informācijas pasniegšanas objektu izveide</t>
  </si>
  <si>
    <t>R2.1.1. Ielu un ceļu rekonstrukcija, satiksmes drošības uzlabošana</t>
  </si>
  <si>
    <t>Aktivitāte Nr.64 Pilsētas ielu apgaismojuma informācijas sistēmas ieviešana</t>
  </si>
  <si>
    <t>Aktivitāte Nr.65 Iebraukšanas caurlaižu informācijas sistēmas ieviešana</t>
  </si>
  <si>
    <t>R2.1.3. Elektrotransporta infrastruktūras attīstība</t>
  </si>
  <si>
    <t>Aktivitāte Nr.69 Transporta vadības informācijas sistēmas ieviešana</t>
  </si>
  <si>
    <t>R2.6.3. Sakaru un komunikācijas sistēmu attīstība</t>
  </si>
  <si>
    <t>Aktivitāte Nr.90 Interneta pieejamības nodrošināšana</t>
  </si>
  <si>
    <t>Aktivitāte Nr.92 Pašvaldības platjoslas optiskā datu pārraides tīkla izveide</t>
  </si>
  <si>
    <t>Aktivitāte Nr.93 Pašvaldības brīvpiekļuves publiskā bezvadu tīkla izveide</t>
  </si>
  <si>
    <t>R2.8.1. Publiskās telpas pilnveide</t>
  </si>
  <si>
    <t>Aktivitāte Nr.112 Nekustamā īpašuma uzskaites un nodokļu administrēšanas sistēmas funkcionalitātes paplašināšana</t>
  </si>
  <si>
    <t>R2.8.2. Kapsētu un to infrastruktūras labiekārtošana</t>
  </si>
  <si>
    <t>P.3.1. Uz nākotni orientēta pilsētas pārvaldība, kas atbalsta pilsonisko iniciatīvu</t>
  </si>
  <si>
    <t>R.3.1.2. Pašvaldības pārvaldes kapacitātes celšana</t>
  </si>
  <si>
    <t xml:space="preserve">Aktivitāte Nr.120 Ātrgaitas interneta nodrošinājums Jūrmalas pašvaldības iestādēs </t>
  </si>
  <si>
    <t>Aktivitāte Nr.121 Pašvaldības e-pakalpojumu platformas ieviešana</t>
  </si>
  <si>
    <t>Aktivitāte Nr.122 Jaunu e-pakalpojumu ieviešana</t>
  </si>
  <si>
    <t>Aktivitāte Nr.123 Grāmatvedības informācijas sistēmas uzlabošana</t>
  </si>
  <si>
    <t xml:space="preserve">Aktivitāte Nr.124 Personālvadības informācijas sistēmas ieviešana </t>
  </si>
  <si>
    <t>Aktivitāte Nr.126 Lietotāju darbstaciju standartizācijas risinājuma ieviešana, t.sk lietojumu virtualizācijas attīstība, izveidojot universālāku lietotāja darbstaciju un paaugstinot lietojumu drošību</t>
  </si>
  <si>
    <t>Aktivitāte Nr.127 Bezvadu datu pārraides tīkla risinājuma ieviešana Pašvaldības iestādēs</t>
  </si>
  <si>
    <t>Aktivitāte Nr.128 Budžeta plānošanas, formēšanas un izpildes kontroles informācijas sistēmas ieviešana</t>
  </si>
  <si>
    <t>R3.1.5. Pilsētas pārvaldības infrastruktūras pilnveide</t>
  </si>
  <si>
    <t>Aktivitāte Nr.139 Jūrmalas kartes ieviešana</t>
  </si>
  <si>
    <t>Aktivitāte Nr.140 Centralizētas infrastruktūras pārvaldības un rezerves kopēšanas risinājuma ieviešana</t>
  </si>
  <si>
    <t>Aktivitāte Nr.141 Centralizēta drošības informācijas un notikumu pārvaldības sistēmas (SIEM) ieviešana</t>
  </si>
  <si>
    <t>Aktivitāte Nr.142 Tīkla ielaušanās noteikšanas un novēršanas sistēmas (IDS/IPS) ieviešana</t>
  </si>
  <si>
    <t>Aktivitāte Nr.143 Esošā Pašvaldības datu centra modernizācija un rezerves virtuālā datu centra izveide</t>
  </si>
  <si>
    <t>Aktivitāte Nr.144 Dokumentu vadības sistēmas ieviešana</t>
  </si>
  <si>
    <t>Aktivitāte Nr.145 Lietotāju incidentu, problēmu un izmaiņu pieteikumu informācijas sistēmas funkcionalitātes paplašināšana</t>
  </si>
  <si>
    <t xml:space="preserve">Aktivitāte Nr.162 Pašvaldības izglītības iestāžu mājaslapu izveide un uzturēšana </t>
  </si>
  <si>
    <t xml:space="preserve">Aktivitāte Nr.179 Pašvaldības izglītības iestāžu mājaslapu izveide un uzturēšana </t>
  </si>
  <si>
    <t>R3.4.1. Sabiedriskās kārtības un iedzīvotāju drošības nodrošināšana</t>
  </si>
  <si>
    <t>Aktivitāte Nr.208 Vides monitoringa informācijas sistēmas ieviešana un dažādu vides monitoringu veikšana</t>
  </si>
  <si>
    <t>Aktivitāte Nr.209 Videonovērošanas sistēmas un videonovērošanas tīkla ieviešana</t>
  </si>
  <si>
    <t>Aktivitāte Nr.210 Pašvaldības civilās aizsardzības preventīvo un glābšanas pasākumu efektivitātes uzlabošana</t>
  </si>
  <si>
    <t>R3.5.1. Sociālo pakalpojumu attīstība</t>
  </si>
  <si>
    <t>Aktivitāte Nr.218 Sociālās palīdzības administrēšanas lietojumprogrammas funkcionalitātes paplašināšana</t>
  </si>
  <si>
    <t>IKTRP - Jūrmalas pilsētas informācijas un komunikācijas tehnoloģiju rīcības plāns 2015.-2020.gadam</t>
  </si>
  <si>
    <t>R.1.1.1. Kūrortu tiesiskās sistēmas un organizāciju izveides veicināšana</t>
  </si>
  <si>
    <t>Aktivitāte Nr.1 Datu noliktavas un datu analīzes rīka ieviešana</t>
  </si>
  <si>
    <t>R1.9.1. Jūrmalas kā kūrorta un tikšanās vietas tēla veidošana</t>
  </si>
  <si>
    <t>Aktivitāte Nr.2 Digitālo informācijas stendu informācijas sistēmas  ieviešana</t>
  </si>
  <si>
    <t>Aktivitāte Nr.3 Jūrmalas pilsētas portāla funkcionalitātes paplašināšana (ārējais portāls, mobilā aplikācija, Domes sēžu videotranslēšana un iekšējais portāls )</t>
  </si>
  <si>
    <t>Aktivitāte Nr.15 Ģeogrāfijas informācijas sistēmas ieviešana</t>
  </si>
  <si>
    <t>R2.1.3. Sabiedriskā transporta attīstība Jūrmalā</t>
  </si>
  <si>
    <t>Aktivitāte Nr.10 Iebraukšanas caurlaižu informācijas sistēmas ieviešana</t>
  </si>
  <si>
    <t>R2.6.3. Mobilo sakaru un interneta pieejamības nodrošināšana</t>
  </si>
  <si>
    <t>Aktivitāte Nr.31 Pašvaldības platjoslas optiskā datu pārraides tīkla izveide</t>
  </si>
  <si>
    <t>Aktivitāte Nr.32 Pašvaldības brīvpiekļuves publiskā bezvadu tīkla izveide</t>
  </si>
  <si>
    <t>R2.8.1 Publiskās telpas pilnveide</t>
  </si>
  <si>
    <t>Aktivitāte Nr.13 Nekustamā īpašuma uzskaites un nodokļu administrēšanas sistēmas funkcionalitātes paplašināšana</t>
  </si>
  <si>
    <t>R3.1.2. Pašvaldības pārvaldes kapacitātes celšana</t>
  </si>
  <si>
    <t>Aktivitāte Nr.19 Grāmatvedības informācijas sistēmas ieviešana</t>
  </si>
  <si>
    <t>Aktivitāte Nr.20 Personālvadības informācijas sistēmas ieviešana</t>
  </si>
  <si>
    <t>R3.1.2. Ātrgaitas interneta nodrošinājums Jūrmalas pašvaldības iestādēs</t>
  </si>
  <si>
    <t>Aktivitāte Nr.34 Bezvadu datu pārraides tīkla risinajuma ieviešana Pašvaldības iestādēs</t>
  </si>
  <si>
    <t>R.3.1.5. Jūrmalnieka kartes izveide</t>
  </si>
  <si>
    <t>R3.1.5. Dokumentu sagatavošanas un iesniegšanas tiešsaistes sistēmas izveide</t>
  </si>
  <si>
    <t>Aktivitāte Nr.17 Jaunu e-pakalpojumu ieviešana</t>
  </si>
  <si>
    <t>Aktivitāte Nr.18 Dokumentu vadības sistēmas ieviešana</t>
  </si>
  <si>
    <t xml:space="preserve">Aktivitāte Nr.25 Tīkla ielaušanās noteikšanas un novēršanas sistēmas (IDS/IPS) ieviešana </t>
  </si>
  <si>
    <t xml:space="preserve">Aktivitāte Nr.26 Centralizētas infrastruktūras pārvaldības un rezerves kopēšanas risinājuma ieviešana </t>
  </si>
  <si>
    <t xml:space="preserve">Aktivitāte Nr.27 Centralizēta drošības informācijas un notikumu pārvaldības sistēmas (SIEM) ieviešana </t>
  </si>
  <si>
    <t>Aktivitāte Nr.28 Lietotāju incidentu, problēmu un izmaiņu pieteikumu informācijas sistēmas funkcionalitātes paplašināšana</t>
  </si>
  <si>
    <t>Aktivitāte Nr.29 Pašvaldības datu centra modernizācija un rezerves virtuālā datu centra izveide</t>
  </si>
  <si>
    <t>R3.4.1. Sabiedriskās kārtības un iedzīvotāju drošīnas nodrošināšana</t>
  </si>
  <si>
    <t>Aktivitāte Nr.5 Videonovērošanas informācijas sistēmas ieviešana</t>
  </si>
  <si>
    <t>Aktivitāte Nr.6 Videonovērošanas tīkla ieviešana</t>
  </si>
  <si>
    <t>Aktivitāte Nr.44 Vides monitoringa informācijas sistēmas ieviešana</t>
  </si>
  <si>
    <t>Aktivitāte Nr.45 Pašvaldības civilās aizsardzības preventīvo un glābšanas pasākumu efektivitātes uzlabošana</t>
  </si>
  <si>
    <t>R3.5.1. Sociālā atbalsta infrastruktūras attīstība</t>
  </si>
  <si>
    <t>Aktivitāte Nr.8 Sociālās palīdzības administrēšanas lietojumprogrammas funkcionalitātes paplašināšana</t>
  </si>
  <si>
    <t>R3.7.2. Vietējās uzņēmējdarbības atbalsta infrastruktūras attīstība</t>
  </si>
  <si>
    <t>Aktivitāte Nr.9 Ielu tirdzniecības un citu Pašvaldības atļauju informācijas sistēmas ieviešana</t>
  </si>
  <si>
    <t>R.3.2.1. Kopējā sektora attīstība, pārvaldība</t>
  </si>
  <si>
    <t>Aktivitāte Nr. 5 Jūrmalas izglītības iestāžu mājaslapu izveide un uzturēšana</t>
  </si>
  <si>
    <t>Izglītības pārvalde</t>
  </si>
  <si>
    <t>1.programma:</t>
  </si>
  <si>
    <t>Kultūrizglītības un vides izglītības pasākumi</t>
  </si>
  <si>
    <t>Pilsētas mēroga pasākumi</t>
  </si>
  <si>
    <t>1.1.</t>
  </si>
  <si>
    <t>Sabiedriski nozīmīgi publiskie pasākumi</t>
  </si>
  <si>
    <t>JPAP_R3.2.4._184 ; JPAP_R3.2.4._134; JPAP_R3.2.4._182</t>
  </si>
  <si>
    <t>1.2.</t>
  </si>
  <si>
    <t>Konkursi un olimpiādes</t>
  </si>
  <si>
    <t>JPAP_R3.2.4._184; JPAP_R3.2.4._174; JPAP_R3.2.4._134</t>
  </si>
  <si>
    <t>1.3.</t>
  </si>
  <si>
    <t>Skates</t>
  </si>
  <si>
    <t xml:space="preserve">JPAP_R3.2.4._134; JPAP_R3.2.4._184 </t>
  </si>
  <si>
    <t xml:space="preserve">2. </t>
  </si>
  <si>
    <t>Reģiona un valsts mēroga skates, konkursi, sacensības</t>
  </si>
  <si>
    <t>2.1.</t>
  </si>
  <si>
    <t>Konkursi un skates</t>
  </si>
  <si>
    <t>JPAP_R3.2.4._184; JPAP_R3.2.4._170;  JPKAP_P2.4.1.; JPAP_R3.2.4._171; JPAP_R3.2.4._175; JPAP_R3.2.5._186</t>
  </si>
  <si>
    <t>2.2.</t>
  </si>
  <si>
    <t>2.programma:</t>
  </si>
  <si>
    <t>Sporta pasākumi</t>
  </si>
  <si>
    <t>Grupu sporta veidu sacensības</t>
  </si>
  <si>
    <t>JPAP_R3.2.4._184; JPAP_R3.2.4._174 JPSAAAS_2.1</t>
  </si>
  <si>
    <t>Individuālo sporta veidu sacensības</t>
  </si>
  <si>
    <t xml:space="preserve">JPAP_R3.2.4._174 JPSAAAS_2.1 </t>
  </si>
  <si>
    <t>3.programma:</t>
  </si>
  <si>
    <t>Pasākumi kvalitatīvas un daudzveidīgas izglītības attīstībai un atbalstam</t>
  </si>
  <si>
    <t>Semināri, kursi, konferences</t>
  </si>
  <si>
    <t>JPAP_R3.2.3._159 JPIAK_R_3.2.3._5. ; JPAP_R3.2.1._147 JPIAK_R_3.2.1._2.; JPAP_R3.2.1._146 JPIAK_R3.2.1._1; JPAP_R3.2.3._157JPIAK_R3.2.1._2; JPAP_R3.2.4._169 AK_R3.2.1._2; JPAP_R3.2.3._161; JPAP_R3.2.3._157; JPAP_R3.2.3._163</t>
  </si>
  <si>
    <t>Pedagogu un izglītojamo apbalvošana</t>
  </si>
  <si>
    <t>JPAP_R3.1.3._184; JPAP_R3.2.1._147 JPIAK_R_3.2.1._2</t>
  </si>
  <si>
    <t>Pasākumi izglītojamo karjeras kompetences attīstībai</t>
  </si>
  <si>
    <t xml:space="preserve">JPAP_R3.2.4._184; JPAP_R3.2.3._159  JPIAK_R_3.2.3._5.; JPAP_R3.2.3._159  </t>
  </si>
  <si>
    <t>Līgums Nr.1.2-16.4.3/61 (24.01.2019)</t>
  </si>
  <si>
    <t>Pedagoģiski medicīniskās komisijas dalībnieku darba apmaksai</t>
  </si>
  <si>
    <t>Kopā finansējums pa programmām (1-3)</t>
  </si>
  <si>
    <t>4.programma:</t>
  </si>
  <si>
    <t>Centralizētie pasākumi vispārējās izglītības jomā</t>
  </si>
  <si>
    <t>Atestāti un apliecības</t>
  </si>
  <si>
    <t>JPAP_R3.1.2_131</t>
  </si>
  <si>
    <t>Izglītības iestāžu akreditācija</t>
  </si>
  <si>
    <t>Vaivaru pamatsk. akred. + 4 progr.+vad.-1931,1; Jūrmalas Mūzikas vidussk. akred.+ 30 progr.+ vad. -12064, 42; Sākumskolas "Ābelīte" akred. +1 progr.+vad.-1188,4; JVĢ 3 progr.-851,36; JPII "Zvaniņš" vad.-567,58</t>
  </si>
  <si>
    <t>Līdzfinansējums privātajām izglītības iestādēm</t>
  </si>
  <si>
    <t>Līdzfinansējums privātajām pirmsskolas izglītības iestādēm</t>
  </si>
  <si>
    <t xml:space="preserve">JPAP_R3.2.2._154 </t>
  </si>
  <si>
    <t xml:space="preserve">2019. gada oktobrī ir noslēgti 77 līgumi pirmsskolas izglītības pakalpojuma nodrošināšanai bērnam privātajā izglītības iestādē, kuru izmaksas mēnesī sastāda           5 * 188.93 +72* 279.20=21047.05 EUR.
Plānojam, ka līdz gada beigām varētu tikt noslēgti pieci līgumi, kuru izmaksas būtu 5*279.20=1396 EUR, kopā mēnesī sasniedzot 22 443.05 EUR.
Līdzfinansējumu salīdzinot 2019. gadā ar 2018. gadu  maksa mēnesī ir pieaugusi vidēji par 60%, kas ir saistīts arī ar līdzfinansējuma pieaugumu vienam bērnam pakalpojuma nodrošināšanai un noslēgto līgumu skaitu.
Pamatojoties uz 2019. gadā noslēgtajiem līgumiem, kopējā summa  gadā ir 229594 EUR, pie nosacījuma, ka netiek noslēgti jauni līgumi minimālais nepieciešamais finansējums gadam ir 22443.05*12=269316.60 EUR.
Ņemot vērā to, ka finansējums pieprasīts jau noslēgtajiem līgumiem, tad ir jāparedz vēl papildus jauniem līgumiem un jāplāno vismaz septiņiem jauniem līgumiem, kas mēneša summu palielina par 1954.40 EUR, kopā 1954.40*12=23452.80 EUR.
Nākošā gada budžetā nepieciešams ieplānot 292769.40 EUR.
</t>
  </si>
  <si>
    <t xml:space="preserve">Kopā finansējums pa programmām </t>
  </si>
  <si>
    <t>Rīcības virziens R3.1.2.: Pašvaldības pārvaldes kapacitātes celšana</t>
  </si>
  <si>
    <t>Rīcības virziens R3.1.3.: Nevalstiskā sektora attīstības atbalsts</t>
  </si>
  <si>
    <t>Aktivitāte Nr.134 Atbalsts jauniešu sabiedriskajām organizācijām un iniciatīvas grupām</t>
  </si>
  <si>
    <t>Rīcības virziens R3.2.1.: Kopējā sektora attīstība, pārvaldība</t>
  </si>
  <si>
    <t>Aktivitāte Nr.146 Nacionālās un starptautiskās nozīmes izglītības jomas pasākumu organizēšana</t>
  </si>
  <si>
    <t>Aktivitāte Nr.147 Labāko izglītības sektora darbinieku godināšanas tradīciju izveide</t>
  </si>
  <si>
    <t>Rīcības virziens R3.2.2.: Pirmsskolas izglītības pakalpojumi</t>
  </si>
  <si>
    <t>Aktivitāte Nr.154  Nodrošināt pirmsskolas izglītības pieejamību visā Latvijas teritorijā Jūrmalas pilsētas administratīvajā teritorijā deklarētajiem iedzīvotājiem</t>
  </si>
  <si>
    <t>Rīcības virziens R3.2.3.: Vispārizglītojošo skolu izglītības pakalpojumi</t>
  </si>
  <si>
    <t>Aktivitāte Nr.156 Papildus atbalsts talantīgo skolotāju piesaistei</t>
  </si>
  <si>
    <t>Aktivitāte Nr.157 Pašvaldības atbalsts pedagogu tālākizglītībai</t>
  </si>
  <si>
    <t>Aktivitāte Nr.159 Karjeras konsultāciju attīstība</t>
  </si>
  <si>
    <t>Aktivitāte Nr.161 Starptautiskās sadarbības attīstība</t>
  </si>
  <si>
    <t>Aktivitāte Nr.163 Pašvaldības izglītības iestāžu pedagogu informācijas un komunikāciju tehnoloģiju lietošanas apmācības</t>
  </si>
  <si>
    <t>Rīcības virziens R3.2.4.: Profesionālās ievirzes un interešu izglītības pakalpojumi</t>
  </si>
  <si>
    <t>Aktivitāte Nr.169. Interešu izglītības attīstība dabaszinātņu jomā, materiāltehniskais aprīkojums</t>
  </si>
  <si>
    <t>Aktivitāte Nr.170. Starptautiskās sadarbības attīstība</t>
  </si>
  <si>
    <t>Aktivitāte Nr.171. Profesionālās ievirzes un interešu izglītības attīstība mūzikā, pedagogu piesaiste</t>
  </si>
  <si>
    <t>Aktivitāte Nr.174. Jūrmalas skolu un valsts mēroga sacensību rīkošana izglītojamajiem</t>
  </si>
  <si>
    <t>Aktivitāte Nr.175. Profesionālās ievirzes un interešu izglītības attīstība  mākslas jomā</t>
  </si>
  <si>
    <t>Aktivitāte Nr.182. Jauniešu informācijas pieejamības nodrošināšana saskaņā ar ikviena pilsētas jaunieša vajadzībām</t>
  </si>
  <si>
    <t>Aktivitāte Nr.184. Brīvā laika pavadīšanas iespējas pilsētā, izmantojot esošās un radot jaunas</t>
  </si>
  <si>
    <t>Rīcības virziens R3.2.5.: Iekļaujošās un alternatīvās izglītības pakalpojumi</t>
  </si>
  <si>
    <t>Aktivitāte Nr.186. Iekļaujošās izglītības attīstības centra attīstība</t>
  </si>
  <si>
    <t xml:space="preserve">Jūrmalas pilsētas izglītības attīstības koncepcija 2015.-2020.gadam (JPIAK): </t>
  </si>
  <si>
    <t>1.aktivitāte Nacionālas un starptautiskas nozīmes izglītības jomas pasākumu organizēšana</t>
  </si>
  <si>
    <t>2.aktivitāte Labāko izglītības sektora darbinieku godināšanas tradīciju izveide</t>
  </si>
  <si>
    <t>3.aktivitāte Individuāls metodiskais atbalsts jaunajiem pedagogiem</t>
  </si>
  <si>
    <t>1.aktivitāte Papildus atbalsts talantīgo skolotāju piesaistei</t>
  </si>
  <si>
    <t>2.aktivitāte Pašvaldības atbalsts pedagogu tālākizglītībai</t>
  </si>
  <si>
    <t>3.aktivitāte informācijas un komunikāciju tehnoloģiju lietošanas apmācības</t>
  </si>
  <si>
    <t>5.aktivitāte Karjeras konsultāciju attīstība</t>
  </si>
  <si>
    <t xml:space="preserve">Jūrmalas pilsētas kultūrvides attīstības plāns 2017.-2020.gadam (JPKAP): </t>
  </si>
  <si>
    <t>2. Rīcības virziens: Kultūras piedāvājuma izcilība un daudzveidība Jūrmalā: kvalitatīva un sistemātiska kultūras piedāvājuma veidošana dažādām mēkķauditorijas grupām vietējā, nacionājā un starptautiskā mērogā</t>
  </si>
  <si>
    <t xml:space="preserve">U2.2. Nostiprināt Jūrmalas kā kultūras un mākslas pilsētas identitāti un konkurētspēju </t>
  </si>
  <si>
    <t>P2.2.1. Valsts svētku un atceres dienu rīkošana pilsētas iedzīvotājiem un viesiem, tai skaitā Latvijai-100 atzīmēšana.</t>
  </si>
  <si>
    <t>U2.4.uzdevums. Iesaistīt kultūrizglītības audzēkņus un pasniedzējus Jūrmalas unikalitātes veidošanā.</t>
  </si>
  <si>
    <t>P2.4.1.Jūrmalas Mākslas skolas un Jūrmalas Mūzikas skolas iesaiste jaunas auditorijas veidošanā ar izstādēm un koncertiem.</t>
  </si>
  <si>
    <t>Jūrmalas pilsētas sporta un aktīvās atpūtas attīstības stratēģija 2008.-2020.gadam (JPSAAAS):</t>
  </si>
  <si>
    <t>Sporta un aktīvās atpūtas nozares attīstības Rīcības programma</t>
  </si>
  <si>
    <t>2.3.2. Mērķis: Fizisko aktivitāšu veicināšana</t>
  </si>
  <si>
    <t>2.1.apakšuzdevums. Sadarbības veicināšana starp sporta klubiem, izglītības iestādēm un uzņēmējiem sporta un aktīvās atpūtas infrastruktūras izmantošanā</t>
  </si>
  <si>
    <t>1.uzdevums: Sporta sistēmas, infrastruktūras attīstīšana un pakalpojumu piedāvājuma paplašināšana bērnu (skolēnu) fizisko aktivitāšu veicināšanas nolūkos </t>
  </si>
  <si>
    <t>Aktivitāte 1.8. “Nodrošināt bērnu ar īpašām vajadzībām iespējas līdzdalībai izglītības iestāžu sporta aktivitātēs”</t>
  </si>
  <si>
    <t>Veselības veicināšanas plāns Jūrmalas pilsētai 2013.-2020.gadam (VVPJP)</t>
  </si>
  <si>
    <t>Marketinga un ārējo sakaru pārvaldes Ārējo sakaru un protokola nodaļa</t>
  </si>
  <si>
    <t>Ar ārējo sakaru attīstību saistītās starptautiskās un institucionālās sadarbības aktivitātes</t>
  </si>
  <si>
    <t>Jūrmalas sadraudzības pilsētu delegāciju, ārvalstu delegāciju un ārvalstu vēstnieku uzņemšana</t>
  </si>
  <si>
    <t>JPAP_P1.7._ R1.7.1._43; JPAP_P1.8._ R1.8.2._48; JPAP_P1.10._ R1.10.1._57; JPAP_P1.10._ R1.10.2._58; JPAP_P1.10._ R.1.10.3.-59</t>
  </si>
  <si>
    <t>Vēstnieku uzņemšana, atbilstoši viņu rotācijai, sadraudzības/sadarbības pilsētu delegāciju no Ukrainas - Odesa, Brovari uzņemšana, Kabūra, potenciāli - Bresta</t>
  </si>
  <si>
    <t>Jūrmalas domes oficiālo delegāciju vizītes uz esošajām un potenciālajām sadraudzības pilsētām, domes vadības oficiālie ārvalstu komandējumi</t>
  </si>
  <si>
    <t>JPAP_P1.10._ R1.10.1._57;  JPAP_P1.10._ R.1.10.3.-59</t>
  </si>
  <si>
    <t>Vizītes tiks organizētas, izvērtējot  saņemtos uzaicinājumus, to atbilstībai izvirzītajiem pašvaldības aktuālajiem darba plāniem</t>
  </si>
  <si>
    <t>Ar ārējiem sakariem un sadraudzības pilsētu aktivitāšu īstenošanu saistīto pasākumu organizēšanas izdevumi (ēdināšana, izmitināšana, u.c. saistītie izdevumi)</t>
  </si>
  <si>
    <t>Budžets palielināts, jo iekļauts JPD oficiālais/protokolārais pasākums -  LR proklamēšanas svētki un Goda zīmes pasniegšana. Sadraudzības pilsētu dalība Kūrorta svētkos 30.05.2020.; Jūrmalas prezentācijas pasākums ; Ziemeļvalstu ministru padomes biroja organizētais Baltijas un Ziemeļvalstu radošai jaunatnes konferencei, UBC vizīšu/darba grupu uzņemšana.</t>
  </si>
  <si>
    <t>Valsts svētku svinīgais pasākums</t>
  </si>
  <si>
    <t>JPAP_R1.7.1._43
JPKAP_U2.2_P2.2.1</t>
  </si>
  <si>
    <t>Oficiālie reprezentācijas materiāli (dāvanas, prezentācijas, bukleti, plakāti, u.c.)</t>
  </si>
  <si>
    <t>JPAP_P1.10.3_ R.1.10.3._59</t>
  </si>
  <si>
    <t>Galda kalendārs 2021.gadam; "Piebalgas porcelāna fabrikas" krūzes ar Jūrmalas arhitektūras tematiku</t>
  </si>
  <si>
    <t>Sadraudzības līgumu notariālie tulkojumi, oficiālās sarakstes tulkojumi, reprezentatīvo oficiālo informatīvo materiālu tulkojumi (t.sk. notariāli apstiprināti tulkojumi)</t>
  </si>
  <si>
    <t>JPAP_P1.10.2_ R1.10.2._58</t>
  </si>
  <si>
    <t>Oficiālā sarakste, reprezentatīvais informatīvais materiāls par Jūrmalu uz gada  pārskata bāzes</t>
  </si>
  <si>
    <t>Dalībmaksa starptautiskajās organizācijās (UBC)</t>
  </si>
  <si>
    <t>JPAP_P1.10._ R.1.10.3._59</t>
  </si>
  <si>
    <t>Pamatots ar noslēgto dalības līgumu</t>
  </si>
  <si>
    <t>Autotransports, autotransporta noma</t>
  </si>
  <si>
    <t>JPAP_P1.7._ R1.7.1._43; JPAP_P1.8._ R1.8.2._48; JPAP_P1.10._ R1.10.1._57; JPAP_P1.10.2_ R1.10.2._58; JPAP_P1.10.3_ R.1.10.3.-59</t>
  </si>
  <si>
    <t>Gadījumos, ja JPD transports nav pieejams vai pasažieru skaits pārsniedz 7 pers.</t>
  </si>
  <si>
    <t>Autoratlīdzību honorāri</t>
  </si>
  <si>
    <t>JPAP_P1.10._ R1.10.2._58; JPAP_P1.10._ R.1.10.3._59</t>
  </si>
  <si>
    <t>Informatīvi-reprezentatīva materiāla tekstu izstrāde par pašvaldību uz gada pārskata bāzes. Maketu izstrāde porcelānu krūžu ar Jūrmalas koka arhitektūru izstrāde</t>
  </si>
  <si>
    <t>Vizuālo materiālu maketēšana un dizaina pakalpojumi</t>
  </si>
  <si>
    <t xml:space="preserve">Dizaina izstrāde un maketēšana - informatīvi-reprezentatīvais materiāls par pašvaldību uz gada pārskata bāzes. </t>
  </si>
  <si>
    <t>JPAP Jūrmalas pilsētas attīstības programmas 2014.–2020.gadam 2.daļas „Stratēģiskā daļa un rīcības plāns”II.nodaļas "Rīcības plāns"  g) apakšnodaļa „Darbības un pasākumi”</t>
  </si>
  <si>
    <t>R 1.7.1. Kultūras tūrisma piedāvājuma attīstība</t>
  </si>
  <si>
    <t>Aktivitāte Nr 43 Kultūras dzīves piedāvājuma attīstība visa gada garumā</t>
  </si>
  <si>
    <t>P1.8. Konferenču tūrisma attīstība</t>
  </si>
  <si>
    <t>R1.8.2. Konferenču un korporatīvo pasākumu nodrošināšanas pakalpojumu attīstība</t>
  </si>
  <si>
    <t>Aktivitāte Nr 48 Esošo un jaunu starptautisku kultūras un tikšanās pasākumu iniciēšana un īstenošana</t>
  </si>
  <si>
    <t>P1.10. Partnerattiecību veidošana ar starptautiskām organizācijām un institūcijām, sadraudzības pilsētām, citām pašvaldībām Latvijā un ārpus tās</t>
  </si>
  <si>
    <t xml:space="preserve"> R1.10.1. Sadarbība ar Jūrmalas sadraudzības pilsētām</t>
  </si>
  <si>
    <t>Aktivitāte Nr 57 Sadarbības projekti ar Jūrmalas sadraudzības pilsētām</t>
  </si>
  <si>
    <t>R1.10.2. Sadarbība ar diplomātisko korpusu (ārvalstu vēstniecībām Latvijā un Latvijas Republikas vēstniecībām un konsulātiem ārvalstīs)</t>
  </si>
  <si>
    <t>Aktivitāte Nr 58 Diplomātiskā dienesta Latvijā un ārvalstīs pārstāvju informēšanas aktivitātes</t>
  </si>
  <si>
    <t>R.1.10.3. Sadarbība ar asociācijām, starptautiskām organizācijām un institūcijām Latvijā un ārvalstīs</t>
  </si>
  <si>
    <t>Aktivitāte Nr 59 Asociāciju, starptautisko organizāciju informēšanas un monitoringa aktivitātes</t>
  </si>
  <si>
    <t>Jūrmalas pilsētas kultūrvides attīstības plāns 2017. - 2020.gadam (JPKAP)</t>
  </si>
  <si>
    <t xml:space="preserve">U.2.2. Nostiprināt Jūrmalas kā kultūras un mākslas pilsētas identitāti un konkurētspēju </t>
  </si>
  <si>
    <t>Pasākums: P2.2.1. Valsts svētku un atceres dienu rīkošana pilsētas iedzīvotājiem un viesiem, tai skaitā Latvijai-100 atzīmēšana.</t>
  </si>
  <si>
    <t xml:space="preserve">2020.gada budžeta projekta atšifrējums pa programmām </t>
  </si>
  <si>
    <t>Mārketinga un ārējo sakaru pārvaldes Mārketinga nodaļa</t>
  </si>
  <si>
    <t>Tūrisma mārketinga pasākumi</t>
  </si>
  <si>
    <t>Tūrisma informatīvo materiālu sagatavošana</t>
  </si>
  <si>
    <t>JPAP_ P1.9_R1.9.1._53 
JPTARP_U1.9._ P.1.9.4.</t>
  </si>
  <si>
    <t>Tūrisma informatīvo materiālu drukāšanas darbi izplatīšanai Tūrisma informācijas centrā un citviet Jūrmalas pilsētā un Rīgā.</t>
  </si>
  <si>
    <t>Tulkošanas darbu veikšana</t>
  </si>
  <si>
    <t>JPTARP_U.1.9._P.1.9.4.
JPTARP_U.3.3._ P.3.3.2.</t>
  </si>
  <si>
    <t>Nodrošināta informatīvo un reklāmas materiālu tulkošana un korektūra. 2019.gada septembrī izsludināts iepirkums Tulkošanas darbu veikšanai.</t>
  </si>
  <si>
    <t>Tūrisma mobilās aplikācijas funkcionalitātes papildināšana</t>
  </si>
  <si>
    <t>JPAP_ P1.9_R1.9.1._53 
JPAP_ P1.9_R1.9.1._51 
JPTARP_U1.9._ P.1.9.12. 
IKTR_R1.9.1._1</t>
  </si>
  <si>
    <t>Tūrisma mobilā aplikācijas izstrādāta 2019.gadā, 2020. gadā nepieciešams to vairāki papildināšanas darbi - Audio gida izstrāde un integrēšana un citi papildinājumi.</t>
  </si>
  <si>
    <t>Mārketinga kampaņu īstenošana augsti prioritāros mērķa tirgos</t>
  </si>
  <si>
    <t>JPAP_ P1.9_R1.9.1._53 
JPTARP_U1.9._P.1.9.9. 
JPTARP_U2.4._P.2.4.4.  
JPTARP_U.1.9_P.1.9.7. 
JPTARP_U.3.7._P.3.7.2. 
JPTARP_U.2.4._P.2.4.2. 
JPTARP_U.2.4._P.2.4.3.</t>
  </si>
  <si>
    <t>Pozīcijā apvienotas šādas Jūrmalas pilsētas Tūrisma attīstības rīcības plāna augstas prioritātes aktivitātes, kuru budžets atbilst rīcības dokumentā definētajam finansējumam -  Tūrisma mārketinga kampaņas augsti prioritārajos tirgos nesezonā (70000 eur), Tūrisma  mārketinga kampaņas sadarbībā ar citām LV tūrisma institūcijām (4000 eur).  Paredzēts arī izvietot reklāmas materiālus lidostā Rīga ( 3500 eur). Darījumu tūrisma kampaņas iekļautas šajā aktivitātē, tādēļ ka iepirkums mediju aģentūras pakalpojumiem notiek nedalot tūrisma veidus. Darījuma tūrisma piedāvājuma veicināšanai tiks izvietotas reklāmas biznesa žurnālos Somijā, Zviedrijā, kaimiņvalstīs, kā arī nacionālās aviokompānijas izdotajā ikmēneša žurnālā.Viedokļu līderu vizīšu publicitātes materiālu izvietošana medijos tūrisma piedāvājumu popularizēšanai ārvalstu tirgos. 2020. gadā tiks turpināts veidot vienotu un mērķtiecīgu komunikāciju, nesadrumstalojot mediju kanālus, kas paredz lielāku auditorijas sasniedzamību un kampaņu efektivitāti.</t>
  </si>
  <si>
    <t>Darījuma tūrisma kampaņu īstenošana Baltijas valstīs</t>
  </si>
  <si>
    <t>JPAP_ P1.9_R1.9.1._53 
JPTARP_U3.7._P.3.7.6. 
JPTARP_U2.4._P.2.4.4.
JPAP_P1.8 _R1.8.2._47.                 
 JPAP_P1.9 _R1.9.1._49.</t>
  </si>
  <si>
    <t>Darījuma tūrisma aktivitātes priekšlikums iekļaut aktivitātē 1.4. tā kā 2019.gadā notikušā iepirkuma ietvaros mediji tika iepirkti vienkopus un arī darījuma tūrisma publikāciju rēķini apmaksāti no 1.4. aktivitātes budžeta.</t>
  </si>
  <si>
    <t xml:space="preserve">Visitjurmala.lv mājas lapas funkcionalitātes papildināšana </t>
  </si>
  <si>
    <t>JPAP_P.1.9._R1.9.1._50
IKTRP_R1.9.1._3</t>
  </si>
  <si>
    <t xml:space="preserve"> Mājas lapas attīstībai tika veikti virkne funkcionālu uzlabojumu 2019.gadā, kas tika veltīti mājas lapas pirmās lapas izmaiņām, 2020. gadā nepieciešams turpināt iesākto un paredzēt jaunus papildinājumus citām mājas lapas sadaļām ( piemēram, darījumu tūrismam).</t>
  </si>
  <si>
    <t>Skārienjūtīgas sienas planšetes iegāde</t>
  </si>
  <si>
    <t>JPAP_P.1.9._R1.9.1._50    
IKTRP_R1.9.1._2</t>
  </si>
  <si>
    <t>Aktivitāte pabeigta.</t>
  </si>
  <si>
    <t>Organizatoriskie izdevumi, tai skaitā tūrisma profesionāļu un mediju pārstāvju uzņemšana Jūrmalā un citu pasākumu nodrošināšana</t>
  </si>
  <si>
    <t>JPTARP_U1.9._ P.1.9.10.</t>
  </si>
  <si>
    <t xml:space="preserve">Tūrisma pasākumu un aktivitāšu nodrošināšana, kā arī  mediju un tūrisma nozares pārstāvju uzņemšana, kuri informāciju par Jūrmalas kā tūrisma galamērķa priekšrocībām var nodot auditorijai, izmantojot savus informatīvos kanālus. </t>
  </si>
  <si>
    <t>Pasta pakalpojumi</t>
  </si>
  <si>
    <t>Pastkaršu sūtīšana- tūrisma mārketinga aktivitāte Jūrmalas kā tūrisma galamērķa popularizēšanai. Plānojās dažādu pasākumu ietvaros organizēt Jūrmalas pastkartkaršu nosūtīšanu pa Latviju (300 kartiņas x 0,60 EUR = 180 EUR) un uz ārvalstīm (350 gab. x 0.90 EUR = 315 EUR); kartiņu noformēšana 5 EUR.</t>
  </si>
  <si>
    <t>Tūrisma produktu attīstības pasākumi</t>
  </si>
  <si>
    <t>Tūrisma informatīvo ceļa zīmju kājāmgājējiem un autotransportam finansējums, kultūras objektu plāksnes, tai skaitā norādes uz ārstniecības iestādēm, tūrisma stendu uzlabošana</t>
  </si>
  <si>
    <t>JPTARP_U2.2._ P.2.2.4.         JPAP_P.2.2./R2.2.2./Nr.73</t>
  </si>
  <si>
    <t>Aktivitāte tiek nodota Īpašumu pārvaldes Pilsētsaimniecības un labiekārtošanas nodaļas pārziņā un budžetā.</t>
  </si>
  <si>
    <t>PVN</t>
  </si>
  <si>
    <t xml:space="preserve">JPAP_ P1.9_R1.9.1._53 </t>
  </si>
  <si>
    <t xml:space="preserve">Suvenīru un reprezentācijas materiālu realizācijas līgumi </t>
  </si>
  <si>
    <t>Tūrisma piesaistes veicināšanas mārketinga kampaņu reklāmu īstenošana medijos.</t>
  </si>
  <si>
    <t xml:space="preserve">JPAP_ P1.9_R1.9.1._53 
JPAP_P1.7._R1.7.1._43  
JPAP_P1.7._R1.7.1._47       
JPTARP_U2.4._P2.4.3. </t>
  </si>
  <si>
    <t>1)Tūrisma kampaņu komunikācijas nodrošināšanai medijos ( reklāmu un publikāciju izvietošanai) aptuveni 40000 eur apmērā.  Plānotas divas tūrisma piesaistes veicināšanas kampaņas nesezonā- pavasarī un rudenī ar mērķi popularizēt Jūrmalas tūrisma piedāvājumu un produktus Latvijas iedzīvotājiem. Plašāk Latvijas mērogā paredzēts reklamēt Nestāsti pasaciņas, Dubultu kvartāla, Jomas ielas svētkus. 2) Digitālās aģentūras pakalpojumiem - Facebook, Google un Instagram kontu stratēģiskā komunikācijas plāna sagatavošanai un šo kontu attīstībai, kā arī reklāmas aktivitātēm šajos kanālos nepieciešami 12100 euro.</t>
  </si>
  <si>
    <t>Tūrisma mārketinga reklāmas materiālu izstrāde un izgatavošana. Prezentmateriālu, suvenīru  un citu reklāmas objektu ražošana.</t>
  </si>
  <si>
    <t>JPAP_P1.9_R1.9.1._53
JPTARP_U.3.3_P.3.3.2.     
JPAP_P2.2_R2.2.1._70</t>
  </si>
  <si>
    <t>Plānota suvenīru ražošana saskaņā ar izstrādāto suvenīru katalogu.</t>
  </si>
  <si>
    <t xml:space="preserve">Reklāmas aģentūru pakalpojumi tūrisma kampaņu īstenošanai: kampaņu  koncepcijas, startēģijas un to realizācija. </t>
  </si>
  <si>
    <t>JPAP_P1.9_R1.9.1._53                  
 JPTARP_U2.4._P.2.4.4. 
JPTARP_U.3.7._P.3.7.6.</t>
  </si>
  <si>
    <t>Izmaksas  radošo aģentūras pakalpojumu nodrošināšanai tūrisma veicināšanas kampaņām  ( radošās koncepcijas,  reklāmas materiālu dizaina izstrāde u.c mārketinga aktivitātes).</t>
  </si>
  <si>
    <t>Reprezentatīvu Jūrmalas video izgatavošana.</t>
  </si>
  <si>
    <t xml:space="preserve">JPAP_P1.9_R1.9.1._53 
JPTARP_U.2.4._P.2.4.2.  
JPTARP_U.3.7._P.3.7.6.  </t>
  </si>
  <si>
    <t>Pilsētas reprezentatīvie video nepieciešami Jūrmalas zīmola veidošanas pasākumiem Jūrmalā un ārvalstīs, darījuma un veselības tūrisma piedāvājuma popularizēšanai. Šie klipi tiks izmantoti prezentācijās par Jūrmalu, darba semināros un citos tūrisma un pilsētas mārketinga pasākumos un pašvaldības mediju kanālos.</t>
  </si>
  <si>
    <t>Pilsētas tēla kampaņas reklāmu un publikāciju izvietošana medijos - TV, radio, internetā, presē, vidē. Informatīvo un imidža reklāmu izvietošana drukātajos materiālos.</t>
  </si>
  <si>
    <t>JPAP_ P1.9_R1.9.1._53      
KAP_RV2_U2.2_ P2.2.1. 
KAP_RV2_U2.2_ P2.2.3. 
KAP_RV2_U2.2_ P2.2.5.</t>
  </si>
  <si>
    <t xml:space="preserve">Aptuvenās plānotās izdevumu pozīcijas:
1) pilsētas svētku un citu pasākumu komunikācijas nodrošināšanai medijos (reklāmu un publikāciju izvietošanai)- Meteņi/Masļenica 3000 eur,  Jūrmalas kā kūrortpilsētas tēla veidošanas kampaņa 25000 eur, Kūrorta svētki 35000 eur, iebraukšanas kampaņa Jūrmalā 20000 eur, regulāras publikācijas par pasākumiem vasaras sezonā 15000 eur, Kauguru svētki 35000 eur, Dzintaru mežaparka iedegšanas popularizēšana 10 000 eur.
2) Jūrmalas pilsētas zīmola un pasākumu reklāmu vizuālās identitātes integrēšana pilsētvidē – reklāmas stendos, autobusu pieturvietās, uz sabiedriskā transporta aizmugurēm, pilsētas lielformāta reklāmas stendos iedzīvotāju un tūristu informēšanai, kopā 30000 eur.
3) Atbalsts citu pilsētas pasākumu popularizēšanā 5000 eur.
4) Viedokļu līderu vizīšu publicitātes materiālu izvietošana medijos tūrisma piedāvājumu popularizēšanai.
5)  Informēšanas kampaņa par caurlaižu iegādi pilsētas viesiem.
</t>
  </si>
  <si>
    <t>Jūrmalas pilsētas popularizēšana Latvijas un starptautiskajos komunikāciju kanālos starptautisku festivālu komunikācijas kampaņu ietvaros.</t>
  </si>
  <si>
    <t>JPAP_ P1.9_R1.9.1._53  
JPAP_P1.8._R1.8.2._48 
KAP_RV2_U2.1_ P2.1.2. 
KAP_RV2_U2.1_ P2.1.3. 
KAP_RV2_U2.2_ P2.2.3. 
KAP_RV2_U2.2_ P2.2.5.</t>
  </si>
  <si>
    <t>Budžeta līdzekļi nepieciešami, lai nodrošinātu publicitāti Jūrmalas pilsētai  starptautisku mūzikas festivālu ietvaros. Tādejādi tiks akcentēta Dzintaru koncertzāles nozīmība pilsētas kultūras dzīves bagātināšanā un nodrošināta pilsētas starptautiskā atpazīstamība un veicināts tūrisms Jūrmalā.</t>
  </si>
  <si>
    <t>Pilsētas mārketinga reklāmas materiālu izstrāde un izgatavošana, izvietošana.</t>
  </si>
  <si>
    <t>JPAP_P1.9_R1.9.1._53                       
JPTARP_U.3.3_P.3.3.2.     
JPAP_P2.2_R2.2.1._70</t>
  </si>
  <si>
    <t xml:space="preserve">Aptuvenās plānotās izmaksas: 1) Pilsētas drukāto reklāmas materiālu ražošana 8000 eur apmērā. 2)Vides baneru ražošana un izvietošana pilsētā 20000 eur. 3) Pludmales kabīņu apdruka 5000 eur. 4) Autobusu aizmugures līmplēves 4000 eur. 5) Dažādu pilsētas mārketinga materiālu izstrāde un izgatavošana ( sociālo tīklu reklāmas materiāli, radio džingli,  interneta baneri, karogi u.c). 5000 eur. 6) Ņemot vērā, ka Pilsētsaimniecības un labiekārtošanas nodaļa 2020. gadā uzstādīs jaunus pilsētvides reklāmas stendus, būs nepieciešami līdzekļi reklāmas baneru ražošanai.
</t>
  </si>
  <si>
    <t>Jaunu pilsētvides reklāmas vides lielo stendu izgatavošana un izvietošana Jūrmalā pāriet Pilsētsaimniecības un labiekārtošanas nodaļas budžetā.</t>
  </si>
  <si>
    <t>Jūrmalas mārketinga aktivitāšu rīcības plāna izstrāde.</t>
  </si>
  <si>
    <t>JPAP_P1.9_R1.9.1._53.</t>
  </si>
  <si>
    <t>Plānots pagarināt līguma termiņu un apmaksu veikt 2020. gadā.</t>
  </si>
  <si>
    <t>Organizatoriskie izdevumi.</t>
  </si>
  <si>
    <t xml:space="preserve">JPAP_P1.9_R1.9.1._53.  </t>
  </si>
  <si>
    <t>Ar zīmola mārketingu saistīto pasākumu tehnisko izmaksu segšanai ( piemēram, Meteņi, Gaismas parka pasākumi, Kauguru svētki);  Pasākumu saimnieciskā apkalpošana (ēdināšanas izdevumi, transporta un telpu īre u.c .).</t>
  </si>
  <si>
    <t>Reklāmas aģentūru pakalpojumi: kampaņu  koncepcijas, startēģijas un to realizācija. Pasākumu un mārketinga aktivitāšu nodrošināšana. Reklāmas objektu ražošana un izvietošana.</t>
  </si>
  <si>
    <t>Aptuvenās plānotās izmaksas 1) Reklāmas aģentūru pakalpojumi 12000 eur 2) Dizaina risinājuma izstrāde reklāmas materiāliem 3000 eur 3) Atbalsts publisko pasākumu nodrošināšanai 2000 eur 4) Reklāmu montāža un demontāža Jūrmalas vides reklāmas stendos 6500 eur 5) Vairāku pasākumu informatīvo stendu (sezonas pasākumu kalendāru) izvietošana tūristu un iedzīvotāju blīvi apmeklētās vietās par summu 2000 euro 6) Reklāmu izvietošana Jūrmalas pilsētas māju kāpņu telpās 3500 eur.  7) Ņemot vērā, ka 2019.gadā iepirkuma rezultātā ir noslēgts līgums par viedokļu līderu pakalpojumiem, Jūrmalas pilsētas tēla veidošanai ir nepieciešami papildus līdzekļi  2020.gada budžetā.</t>
  </si>
  <si>
    <t>Līgumi ar fiziskām personām (autoratlīdzības).</t>
  </si>
  <si>
    <t>Tēla kampaņu un zīmola aktivitāšu vajadzībām - video grafiķu, pasākumu gaismas režisoru, scenogrāfu, fotogrāfu, tekstu autoru, komponistu, u.c. mākslinieku autordarbi.</t>
  </si>
  <si>
    <t>Pētījumu veikšana</t>
  </si>
  <si>
    <t>Jūrmalas pilsētas vizuālās identitātes paplašinātu vadlīniju un lietojuma piemēru izstrāde</t>
  </si>
  <si>
    <t>M1: Kūrorts un tikšanās vieta</t>
  </si>
  <si>
    <t>P1.1. Kūrortu tiesiskā un plānošanas statusa nostiprināšana</t>
  </si>
  <si>
    <t xml:space="preserve"> Rīcības virziens R1.1.2. Kūrorta attīstības plānošana</t>
  </si>
  <si>
    <t>Aktivitāte Nr.6 Jūrmalas viesu aptauju veikšana</t>
  </si>
  <si>
    <t>Rīcības virziens: R1.7.1. Kultūras tūrisma piedāvājuma attīstība</t>
  </si>
  <si>
    <t xml:space="preserve"> Aktivitāte Nr.43 Kultūras dzīves piedāvājuma attīstība visa gada garumā</t>
  </si>
  <si>
    <t>Rīcības virziens: R1.8.2.Konferenču un korporatīvo pasākumu nodrošināšanas  pakalpojumu attīstība</t>
  </si>
  <si>
    <t>Aktivitāte Nr.47 Konferenču un citu pasākumu komplekso piedāvājumu sagatavošana un popularizēšana</t>
  </si>
  <si>
    <t>Aktivitāte Nr.48 Esošo un jaunu starptautisku kultūras un tikšanās pasākumu iniciēšana un īstenošana</t>
  </si>
  <si>
    <t>Rīcības virziens: R1.9.1. Jūrmalas kā kūrorta un tikšanās vietas tēla veidošana</t>
  </si>
  <si>
    <t>Aktivitāte Nr.53 Jūrmalas pilsētas zīmola integrētās komunikācijas kampaņu un pilsētas mārketinga aktivitāšu īstenošana</t>
  </si>
  <si>
    <t>M2: Komunālā un transporta infrastruktūra</t>
  </si>
  <si>
    <t>P2.2. Marķējumu un informācijas zīmju sistēmas pilnveide</t>
  </si>
  <si>
    <t>Rīcības virziens R2.2.1. Jūrmalas vizuālās identitātes standarta izstrāde un ieviešana</t>
  </si>
  <si>
    <t>Aktivitāte nr.70 Jūrmalas vizuālās identitātes veidošana</t>
  </si>
  <si>
    <t>Jūrmalas pilsētas tūrisma attīstības rīcības plāns 2018.–2020. gadam (JPTARP):</t>
  </si>
  <si>
    <t>Uzdevums:</t>
  </si>
  <si>
    <t>U 2.4. Jūrmalas kā veselības kūrorta un medicīnas tūrisma galamērķa mārketings</t>
  </si>
  <si>
    <t>P.2.4.2. Veselības tūrisma gada izsludināšana un mērķtiecīgas aktivitātes</t>
  </si>
  <si>
    <t>P.2.4.3. Mērķtiecīga veselīga dzīvesveida popularizēšanas kampaņa Latvijas tirgū</t>
  </si>
  <si>
    <t>P.2.4.4. Mārketinga kampaņa augsti prioritāros tirgos, uzsverot ārpus tūrisma sezonu</t>
  </si>
  <si>
    <t>U3.7. MICE tūrisma piedāvājuma mārketings</t>
  </si>
  <si>
    <t>P.3.7.6. Darījuma tūrisma kampaņu īstenošana Baltijas valstīs</t>
  </si>
  <si>
    <t>U 1.9. Jūrmalas kā tūrisma galamērķa mārketings Latvijas un ārvalstu mērķa tirgos</t>
  </si>
  <si>
    <t>P1.9.13. Dalība vietējās un starptautiskās tūrisma organizācijās un darbības efektivitātes izvērtēšana</t>
  </si>
  <si>
    <t>P 1.9.14. Tūrisma tirgus pētījumi</t>
  </si>
  <si>
    <t>U3.3. Kultūras pasākumu kā atraktīvu tūrisma piesaišu izmantošana, koncentrējoties uz dažādu tūristu segmentu vajadzībām un pieprasījuma sezonālām svārtībām</t>
  </si>
  <si>
    <t>P.3.3.2. Informācijas par pasākumiem nodrošināšana dažādiem mērķa tirgiem (tic)</t>
  </si>
  <si>
    <t>Jūrmalas pilsētas kultūrvides attīstības plāns 2017.-2020.gadam ( KAP)</t>
  </si>
  <si>
    <t>RV2_ 2. rīcības virziens Kultūras piedāvājuma izcilība un daudzveidība Jūrmalā: kvalitatīva un sistemātiska kultūras piedāvājuma veidošana dažādām mērķauditorijas grupām vietējā, nacionālā un starptautiskā mērogā</t>
  </si>
  <si>
    <t>U.2.1. Rīkot kvalitatīvas un daudzveidīgas kultūras norises konkrētiem auditorijas segmentiem (jūrmalniekiem, vietēja mēroga un starptautiskiem tūristiem) katrā sezonā).</t>
  </si>
  <si>
    <t>P2.1.2. Dzintaru koncertzāles konkurētspējas stiprināšana nacionālā un starptautiskā mērogā (t.sk. ilgtermiņa finanšu instrumenta nodrošināšana starptautisko mākslinieku piesaistei).</t>
  </si>
  <si>
    <t>P2.1.3. Jūrmalu kā kūrortpilsētu pozicionējošu ikgadēju profesionālās mākslas festivālu un pasākumu rīkošana vai līdzfinansēšana</t>
  </si>
  <si>
    <t>P2.2.3. Gadskārtu svētku, pilsētas svētku un dažādām sabiedrības mērķgrupām domātu pasākumu rīkošana, nostiprinot Jūrmalas zīmolu vietējā, nacionālā un starptautiskā mērogā.</t>
  </si>
  <si>
    <t>P2.2.5. Jūrmalas kā festivālu pilsētas tēla nostiprināšana.</t>
  </si>
  <si>
    <t>Jūrmalas pilsētas tūrisma attīstības rīcības plāns 2018.-2020.gadam (JPTARP)</t>
  </si>
  <si>
    <t>Uzdevums: U1.9. Jūrmalas kā tūrisma galamērķa mārketings Latvijas un ārvalstu mērķa tirgos</t>
  </si>
  <si>
    <t>P.1.9.4. Tūrisma informatīvo reklāmas materiālu izveide mērķa tirgu vajadzībām.</t>
  </si>
  <si>
    <t>P.1.9.7. Nestandarta tūrisma reklāmas pilsētvidē Rīgā un/vai lidostā par Jūrmalu kā tūrisma galamērķi.</t>
  </si>
  <si>
    <t>P.1.9.9. Sadarbībā ar LIVE Rīga un citām Latvijas tūrismu veicinošām organizācijām kopēju mārketinga kampaņu īstenošana ārvalstīs.</t>
  </si>
  <si>
    <t>P.1.9.10. Žurnālistu un tūrisma operatoru iepazīšanās vizīšu uzņemšana no ārvalstu tirgiem.</t>
  </si>
  <si>
    <t>P.1.9.12 . Jūrmalas tūrisma piedāvājuma mobilās aplikācijas izveide</t>
  </si>
  <si>
    <t>Uzdevums: U.2.2 Infrastruktūras attīstības veselības tūrisma attīstībai</t>
  </si>
  <si>
    <t>P.2.2.4. Norāžu izvietošana vienotas zīmju sistēmas ietvaros t.sk.uz medicīnas pakalpojumu iestādēm.</t>
  </si>
  <si>
    <t>Uzdevums: U.2.4. Jūrmalas kā veselības kūrorta un medicīnas tūrisma galamērķa mārketings</t>
  </si>
  <si>
    <t>P.2.4.2. Veselības tūrisma gada aktivitātes.</t>
  </si>
  <si>
    <t>P.2.4.4. Mārketinga kampaņa augsti prioritāros mērķa tirgos (Igaunija, Lietuva, Krievija), uzsverot ārpus tūrisma sezonas</t>
  </si>
  <si>
    <t>Uzdevums: U3.7. MICE tūrisma piedāvājuma mārketings</t>
  </si>
  <si>
    <t>P.3.7.2. Sadarbība ar Latvijas konferenču un kongresu biroju un Meet Riga.</t>
  </si>
  <si>
    <t>P.3.7.6. Darījuma tūrisma kampaņu īstenošana Baltijas valstīs.</t>
  </si>
  <si>
    <t>Jūrmalas pilsētas informācijas un komunikācijas tehnoloģiju rīcības plāns 2015.-2020.gadam (IKTRP)</t>
  </si>
  <si>
    <r>
      <t xml:space="preserve"> </t>
    </r>
    <r>
      <rPr>
        <sz val="9"/>
        <rFont val="Times New Roman"/>
        <family val="1"/>
        <charset val="186"/>
      </rPr>
      <t>M1: Kūrorts un tikšanās vieta</t>
    </r>
  </si>
  <si>
    <t>R1.9.1._1 Jūrmalas kūrorta pārstāvniecība interneta un mobilo aplikāciju resursos</t>
  </si>
  <si>
    <t>R1.9.1._2 Saistošu informācijas pasniegšanas objektu izveide</t>
  </si>
  <si>
    <t>R1.9.1._3 Jūrmalas pilsētas portāla funkcionalitātes paplašināšana (ārējais portāls, mobilā aplikācija, Domes sēžu videotranslēšana un iekšējais portāls )</t>
  </si>
  <si>
    <t>Jūrmalas pilsētas attīstības programmas 2014.–2020.gadam (JPAP)</t>
  </si>
  <si>
    <t>M1. Kūrorts un tikšanās vieta</t>
  </si>
  <si>
    <t xml:space="preserve"> P1.8. Konferenču tūrisma attīstība</t>
  </si>
  <si>
    <t>Rīcības virziens: R1.8.2.: Konferenču un korporatīvo pasākumu nodrošināšanas pakalpojumu attīstība</t>
  </si>
  <si>
    <t>Aktivitāte nr.47. Konferenču un citu pasākumu komplekso piedāvājumu sagatavošana un popularizēšana</t>
  </si>
  <si>
    <t>Aktivitāte Nr. 48 Esošo un jaunu starptautisku kultūras un tikšanās pasākumu iniciēšana un īstenošana</t>
  </si>
  <si>
    <t xml:space="preserve"> P1.9. Kūrorta un tikšanās vietas tēla veidošana</t>
  </si>
  <si>
    <t>Rīcības virziens: R1.9.1.: Jūrmalas kā kūrorta un tikšanās vietas tēla veidošana</t>
  </si>
  <si>
    <t>Aktivitāte nr.49 Jūrmalas kā konferenču un tikšanās vietas popularizēšana nozares speciālistu vidē</t>
  </si>
  <si>
    <t>Aktivitāte nr. 50 Jūrmalas kūrorta pārstāvniecība interneta un mobilo aplikāciju resursos</t>
  </si>
  <si>
    <t>Aktivitāte nr.53 Jūrmalas pilsētas zīmola integrētās komunikācijas kampaņu un pilsētas mārketinga aktivitāšu īstenošana</t>
  </si>
  <si>
    <t>M2. Komunālā un transporta infrastruktūra</t>
  </si>
  <si>
    <t>Rīcības virziens R2.2.2.: Racionālu un ērtu informācijas zīmju sistēmas izveide</t>
  </si>
  <si>
    <t>Aktivitāte nr. 73 Tūrisma objektu informācijas zīmju izvietošana</t>
  </si>
  <si>
    <t>2020.gada budžeta pieprasījuma atšifrējums pa programmām</t>
  </si>
  <si>
    <t>Mārketinga un ārējo sakaru pārvaldes Sabiedrisko attiecību nodaļa</t>
  </si>
  <si>
    <t>Sabiedrisko attiecību veidošanas pasākumi</t>
  </si>
  <si>
    <t>08.300</t>
  </si>
  <si>
    <t xml:space="preserve">2019.gada precizētais budžets </t>
  </si>
  <si>
    <t>Tipogrāfijas un maketēšanas pakalpojumi Jūrmalas pašvaldības informatīvā izdevuma izdošanai</t>
  </si>
  <si>
    <t>JPAP_P3.1._R3.1.4._135
JPAP_P3.1._R.3.1.2._131</t>
  </si>
  <si>
    <t xml:space="preserve">Līgums par maketēšanas un korektūras pakalpojumiem ar SIA "Rīgas Apriņķa Avīze" spēkā līdz 2020.gada beigām. </t>
  </si>
  <si>
    <t>Pašvaldības informatīvā izdevuma piegāde (pasta pakalpojumi)</t>
  </si>
  <si>
    <t xml:space="preserve">Saskaņā ar 11.06.2019. noslēgto līgumu ar VAS "Latvijas Pasts" piegādes cenas ir pieaugušas divas reizes. Saistībā ar to ir ieplānots minimālais pašvaldības izdevumu izdošanas skaits. </t>
  </si>
  <si>
    <t>Sociālo pakalpojumu informatīvā bukleta sagatavošana un izdošana (maketēšana un druka)</t>
  </si>
  <si>
    <t xml:space="preserve">Sadarbībā ar Labklājības pārvaldi plānots izdot aktualizētu sociālo pakalpojumu un atbalsta informatīvo bukletu, lai nodrošinātu iedzīvotāju informētību par pašvaldības sociālo atbalstu un pakalpojumiem. </t>
  </si>
  <si>
    <t>Online ziņu abonements (ziņu aģentūra LETA), mediju monitorings un publicitātes pārskati</t>
  </si>
  <si>
    <t xml:space="preserve">Iepirkuma līgums "Ziņu aģentūras un fotoreportiera pakalpojumi" ar SIA LETA 1.2-16.4.3/74 spēkā līdz 31.12.2019. 2019.gada novembrī tiks organizēts jauns iepirkums. </t>
  </si>
  <si>
    <t>Sabiedrisko attiecību, mediju pasākumu, konferenču, semināru, gadadienu u.c. pasākumu organizēšanas izdevumi. Aģentūru pakalpojumi</t>
  </si>
  <si>
    <t>JPAP_P3.1._R3.1.4._135
JPAP_P1.2._R1.2.2._11
JPAP_P1.7._R1.7.1._43
JPAP_P3.3._R3.3.1._199
JPAP_P3.3._R3.3.1._202</t>
  </si>
  <si>
    <t xml:space="preserve">Iepirkumi pasākumu, mediju pasākumu, objektu atklāšanu organizēšanai, sabiedrisko attiecību, radošo aģentūru pakalpojumi. PVO "Veselīga pilsēta" statusa piešķiršans pasākums, jaunu pilsētas objektu atklāšanas pasākumi/ objektu būvniecības procesa sākšanas publicitātes pasākumi (Ķemeri, Kauguru parks). </t>
  </si>
  <si>
    <t xml:space="preserve">Preces pašvaldības sabiedrisko attiecību pasākumu nodrošināšanai, lielāko daļu budžeta veido Ziemassvētku paciņas pirmsskolas izglītības iestāžu audzēkņiem. </t>
  </si>
  <si>
    <t>Jūrmalas pilsētas sociālo kontu pašreklāma, kampaņu organizēšana sociālajos tīklos (Facebook, Twitter, Instagram)</t>
  </si>
  <si>
    <t>JPAP_P3.1._R3.1.4._135
JPAP_P1.2._R1.2.2._11</t>
  </si>
  <si>
    <t xml:space="preserve">Pakalpojums: pašvaldības sociālo mediju profilu reklāmai un papildus mērķauditorijas sasniegšanai Facebook, Instagram un Twitter sociālajos tīklos. </t>
  </si>
  <si>
    <t xml:space="preserve">Pašvaldības tīmekļa vietnes www.jurmala.lv funkcionālā izpēte, ieteikumu un vadlīniju izstrāde. </t>
  </si>
  <si>
    <t xml:space="preserve">JPAP_P3.1._R3.1.4._135
JPAP_P3.1._R.3.1.2._131
JPAP_P1.9._R1.9.1._51 </t>
  </si>
  <si>
    <t>Līdzekļus savā budžetā ieplānojusi Attīstības pārvalde.</t>
  </si>
  <si>
    <t>Līgumi ar fiziskām personām (autoratlīdzības, uzņēmuma līgumi)</t>
  </si>
  <si>
    <t>JPAP_P3.1._R3.1.4._135
JPAP_P1.2._R1.2.2._11
JPAP_P1.7._R1.7.1._43
JPAP_P1.9._R1.9.1._51 
JPAP_P3.3._R3.3.1._199
JPAP_P3.3._R3.3.1._202</t>
  </si>
  <si>
    <t xml:space="preserve">Autoratlīdzības un uzņēmuma līgumi video materiālu izgatavošanai mājaslapai un sociālajiem tīkliem; skaidrojošu grafisku materiālu izveide komunikācijas vajadzībām; maksa par pasākumu vadīšanu u.c. </t>
  </si>
  <si>
    <t>Informācijas izvietošana vietējā laikrakstā</t>
  </si>
  <si>
    <t xml:space="preserve">Pakalpojums: pašvaldības informācijas izvietošana vietējā lairakstā. </t>
  </si>
  <si>
    <t xml:space="preserve">Jūrmalas pilsētas attīstības programma 2014-2020. 2.daļa Stratēģiskā daļa un rīcības plāns; Jūrmalas pilsētas attīstības programmas 2014.–2020.gadam 2.daļas „Rīcības plāns” g) nodaļa „Darbības un pasākumi”  </t>
  </si>
  <si>
    <t>JPAP_P3.1._R3.1.4._135 Uzlabota komunikācija ar pilsētas iedzīvotājiem</t>
  </si>
  <si>
    <t xml:space="preserve">JPAP_P1.9._R1.9.1._51 Jūrmalas kā kūrorta un tikšanās vietas tēla veidošana (Jūrmalas pilsētas portāla funkcionalitātes paplašināšana); </t>
  </si>
  <si>
    <t>JPAP_P3.1._R.3.1.2._131 Pašvaldības pārvaldes kapacitātes celšana (Kvalitatīva pašvaldības pārvaldes nodrošināšana)</t>
  </si>
  <si>
    <t>JPAP_P1.2._R1.2.2._11 Kultūrvēsturiskā mantojuma saglabāšana un attīstība (esošās kultūrvēsturiskās koka arhitektūras vērtību apzināšana un popularizēšana);</t>
  </si>
  <si>
    <t xml:space="preserve">JPAP_P1.7._R1.7.1._43 Kultūras tūrisma piedāvājuma attīstība (Kultūras dzīves piedāvājuma attīstība visa gada garumā) </t>
  </si>
  <si>
    <t>JPAP_P3.3._R3.3.1._199 Pilsētas kultūras iestāžu un muzeju darbības pilnveide (Jūrmalas muzeju popularizēšana)</t>
  </si>
  <si>
    <t>JPAP_P3.3._R3.3.1._202 Pilsētas kultūras iestāžu un muzeju darbības pilnveide (Pilsētas tēla "Jūrmala - Raiņa un Aspazijas pilsēta" izveide)</t>
  </si>
  <si>
    <t>Struktūrvienība</t>
  </si>
  <si>
    <t>Administratīvi juridiskās pārvaldes Juridiskā nodrošinājuma nodaļa</t>
  </si>
  <si>
    <t>Juridiskie pakalpojumi ar pašvaldības darbu saistītos jautājumos</t>
  </si>
  <si>
    <t>01.330</t>
  </si>
  <si>
    <t>Juridiskā palīdzība</t>
  </si>
  <si>
    <t xml:space="preserve">JPAP_R.3.1.2. </t>
  </si>
  <si>
    <t>Personu datu apstrādes atbilstības novērtējuma sagatavošana</t>
  </si>
  <si>
    <t xml:space="preserve">
JPAP_R.3.1.2. </t>
  </si>
  <si>
    <t>2019.gada 1.novembrī ir stājušies spēkā Jūrmalas pilsētas domes 2019.gada 31.oktobra saistošie noteikumi Nr.41 ''Grozījumi Jūrmalas pilsētas domes 2010.gada 4.februāra saistošajos noteikumos Nr.6 ''Jūrmalas pilsētas pašvaldības nolikums'''', kas paredz, ka izpilddirektoram tiešā pakļautībā ir personas datu aizsardzības speciālists un Jūrmalas pilsētas domes 2019.gada 31.oktobra nolikums Nr.30 ''Grozījumi Jūrmalas pilsētas domes 2013.gada 12.septembra nolikumā Nr.19 ''Jūrmalas domes Administratīvi juridiskās pārvaldes nolikums''.</t>
  </si>
  <si>
    <t>Jūrmalas pilsētas attīstības programma 2014.-2020.gadam (2013.gada 7.novembra lēmums Nr.625):</t>
  </si>
  <si>
    <t>Rīcības virziens: R.3.1.2. Pašvaldības pārvaldes kapacitātes celšana</t>
  </si>
  <si>
    <t>atšifrējums</t>
  </si>
  <si>
    <t xml:space="preserve">Struktūrvienība: </t>
  </si>
  <si>
    <t>Administratīvi juridiskās pārvaldes Tiesvedības nodaļa</t>
  </si>
  <si>
    <t>Ar tiesvedības procesiem saistītie izdevumi</t>
  </si>
  <si>
    <t>Juridiskā pārstāvniecība</t>
  </si>
  <si>
    <t>JPAP_ R.3.1.2._131</t>
  </si>
  <si>
    <t>Tiesas spriedumu izpilde</t>
  </si>
  <si>
    <t>Pieprasījums 2020.gadam saskaņā ar paskaidrojuma rakstu.</t>
  </si>
  <si>
    <t>Tiesāšanās izdevumi</t>
  </si>
  <si>
    <t>Tulkošanas pakalpojumi</t>
  </si>
  <si>
    <t>Aktivitāte Nr.131: Kvalitatīva pašvaldības pārvaldes kapacitātes nodrošināšana</t>
  </si>
  <si>
    <t>Inženierbūvju un ģeodēzijas nodaļa</t>
  </si>
  <si>
    <t>06.200</t>
  </si>
  <si>
    <t xml:space="preserve">Ģeodēziskā tīkla pilnveidošana </t>
  </si>
  <si>
    <t>JPAP_P2.8._R2.8.1_111</t>
  </si>
  <si>
    <t>Punktu izbūve un pilnveidošana pamatota ar Jūrmalas pilsētas domes 2016.gada 25.februāra lēmumu Nr. 50 "Par vietējā ģeodēziskā tīkla pilnveidošanu Jūrmalas pilsētā", Inženierbūvju un ģeodēzijas nodaļas funkcijām kā arī  2012.gada 24.jūlija MK noteikumi Nr.497 „Vietējā ģeodēziskā tīkla noteikumi”. Budžetā paredzētā līdzekļi tika izlietoti izbūvēto punktu pilnveidošanai un jaunu grunts punktu izbūvei (Krastciema, Bažciema, Slokas un Kauguru rajonos).</t>
  </si>
  <si>
    <t>Ģeodēziskā tīkla pilnveidošana un uzturēšana</t>
  </si>
  <si>
    <t>Punktu izbūve un pilnveidošana pamatota ar Jūrmalas pilsētas domes 2016.gada 25.februāra lēmumu Nr. 50 "Par vietējā ģeodēziskā tīkla pilnveidošanu Jūrmalas pilsētā", Inženierbūvju un ģeodēzijas nodaļas funkcijām kā arī  MK 24.07.2012. noteikumi Nr.497 „Vietējā ģeodēziskā tīkla noteikumi” . 2019.gadā izbūvētie   grunts punkti ir izgājuši vienu sasaluma ciklu un 2020.gadā  punktiem jāveic validēšana - pilnveidošana. Darba rajons Krastciems, Bažciems, Sloka un Kauguri.</t>
  </si>
  <si>
    <t>Punktu pilnveidošana pabeigta Jūrmalas pilsētas austrumu un centra daļā, kā arī Mellužu, Asaru, Vaivaru rajonos - kopā 409. Saskaņā ar MK 24.07.2012. not.Nr.497 49.punktu, vietējos ģeodēziskos punktus atkārtoti apseko ne retāk kā reizi četros gados. 2020.gadā netiks izbūvēti jauni vietējie ģeodēziskie grunts punkti, bet izpildot MK noteikumu prasības, tiks apsekoti izbūvētie, kuru izbūve pabeigta pirms 6 gadiem - kopā 409 punkti. Apsekošanu paredzēts veikt slēdzot pakalpojuma līgumu. Viena punkta apsekošanas izmaksas tiek prognozētas līdz 7.30 EUR. Budžetā finansējuma pieprasījums nav paredzēts lielāks, tas paliek 2019.gada robežās.</t>
  </si>
  <si>
    <t>Meliorācijas sistēmu tehniskā apsekošana</t>
  </si>
  <si>
    <t>JPAP_P2.5._R2.5.3._84;
JPAP_P2.5._R2.5.3._85; 
JPŪRARP_RV2.5.3._4</t>
  </si>
  <si>
    <t>Pilsētas meliorācijas būvju tehniskā apsekošana atbilstoši Jūrmalas pilsētas attīstības programmas 2014.-2020. Rīcības plānam un Inženierbūvju un ģeodēzijas nodaļas funkcijām. Aktivitātei pieprasīts lielāks finansējuma apjoms salīdzonot ar 2019.gadu, lai veiktu lielāka apjoma un sarežģītākas sistēmas apsekošanu. Nodaļas kopējais budžets netiek palielināts.</t>
  </si>
  <si>
    <t>Attīstības plānošanas dokumenta nosaukums un rīcības virzienu atšifrējums:</t>
  </si>
  <si>
    <t>Jūrmalas pilsētas Attīstības programma 2014.-2020.gadam (JPAP)</t>
  </si>
  <si>
    <t>P2.5. - prioritāte "Ūdensapgādes un notekūdeņu apsaimniekošanas sistēmu pilnveide"</t>
  </si>
  <si>
    <t>P2.8. - prioritāte "Publiskās telpas labiekārtošana"</t>
  </si>
  <si>
    <t>R2.5.3. - rīcības virziens "Plūdu riska novēršana, lietusūdens savākšanas un meliorācijas sistēmu pilnveide"; aktivitāte Nr.84: Lietus kanalizācijas un meliorācijas sistēmu pilnveide un uzturēšana</t>
  </si>
  <si>
    <t>R2.5.3. - rīcības virziens "Plūdu riska novēršana, lietusūdens savākšanas un meliorācijas sistēmu pilnveide"; aktivitāte Nr.85: Pilsētas meliorācijas sistēmu tehniskā apsekošana un reģistrēšana Meliorācijas kadastrā</t>
  </si>
  <si>
    <t>R2.8.1. - rīcības virziens "Publiskās telpas pilnveide"; aktivitāte Nr.111: Vietējā ģeodēziskā tīkla pilnveidošana un jaunu punktu izbūve</t>
  </si>
  <si>
    <t>Jūrmalas pilsētas ūdens resursu aizsardzības rīcības plāns 2016.–2020.gadam (JPŪRARP)</t>
  </si>
  <si>
    <t>RV2.5.3. - rīcības virziens "Plūdu riska novēršana, lietusūdens savākšanas un meliorācijas sistēmu pilnveide"; aktivitāte Nr.4: Pilnveidot un atbilstoši uzturēt pašvaldības meliorācijas sistēmu</t>
  </si>
  <si>
    <t>Kultūras nodaļa</t>
  </si>
  <si>
    <t>Kultūras pasākumi</t>
  </si>
  <si>
    <t>08.620</t>
  </si>
  <si>
    <t>Jūrmala Raiņa un Aspazijas pilsēta</t>
  </si>
  <si>
    <t>JPAP_R3.3.1._202     JPKAP_U2.2_P2.2.2</t>
  </si>
  <si>
    <t>Klavieres uz ielas 1500.00 EUR</t>
  </si>
  <si>
    <t xml:space="preserve"> Aspazijas dzimšanas dienas koncerts "Atgriešanās" 3000.00 EUR</t>
  </si>
  <si>
    <t>Konference "Jūrmala - Raiņa un Aspazijas pilsēta"   3000.00 EUR</t>
  </si>
  <si>
    <t>Kultūras projektu konkurss - Profesionālās mākslas pieejamība Jūrmalā</t>
  </si>
  <si>
    <t xml:space="preserve">JPAP_R1.7.1._42 JPAP_R1.7.1._43  JPAP_R3.3.1._191      JPKAP_U2.1_P2.1.1    JPKAP_U2.1_P2.1.3 </t>
  </si>
  <si>
    <t>Jāpārceļ no 2019.g. 9988.00 EUR atbalstīto projektu gala maksājumiem.                      Jauno projketu atbalstam 145 575.00 EUR no kuriem 25 575.00 EUR tiek pārcelti no 2019.gada budžeta atlikuma, sadaļas "Projektu konkurss Jūrmala - Latvijas valsts simtgadei"</t>
  </si>
  <si>
    <t>Jūrmalas pilsētas domes līdzfinansēto iniciatīvas projektu konkurss</t>
  </si>
  <si>
    <t xml:space="preserve">JPAP_R3.3.1._191  JPAP_R1.7.1._43    JPKAP_U1.3_U1.3.3      JPKAP_U4.1_P4.1.1 </t>
  </si>
  <si>
    <t xml:space="preserve">Jauno projektu atbalstam 25 000.00 EUR   Jāpārceļ  no 2019.g.277.00 EUR atbalstītā projekta gala maksājumam. </t>
  </si>
  <si>
    <t>Projektu konkurss Jūrmala - Latvijas valsts simtgadei</t>
  </si>
  <si>
    <t xml:space="preserve">JPAP_R1.7.1._42 JPAP_R1.7.1._43  JPAP_R3.3.1._191   JPKAP_U1.3_U1.3.3   JPKAP_U2.2_P2.2.1   </t>
  </si>
  <si>
    <t>Jāpārceļ 12 621.00 EUR uz 2020.gada budžetu viena projekta noslēgumam. Kopējā projekta 3.kārtas summa  23 575.00 EUR  uz 2020.gadu                                               Pārcelt atlikumu no EKK 2275 koda 25 575.00 EUR uz 2020.gada budžeta sadaļu Profesionālās mākslas pieejamība Jūrmalā.
323 € 2019.gada projekta gala maksājums par kuru saņemts e-pasta, ka atskaite tiks kavēta un iesniegta 118.12.2019.</t>
  </si>
  <si>
    <t>Izglītības semināri nozares darbiniekiem</t>
  </si>
  <si>
    <t xml:space="preserve">JPAP_R.1.4.3._17   JPAP_R1.7.1._42    JPKAP_U4.2_P4.2.1   </t>
  </si>
  <si>
    <t>Kūrorta svētki</t>
  </si>
  <si>
    <t xml:space="preserve">JPAP_R.1.4.3._17 JPAP_R1.7.1._42 JPAP_R3.3.1._191    JPAP_R3.3.1._193  JPKAP_U2.1_P2.1.2 JPKAP_U2.1._P.2.1.3 JPKAP_U2.2_P2.2.3     JPKAP_U4.1_P4.1.2 </t>
  </si>
  <si>
    <t>Kauguru svētki</t>
  </si>
  <si>
    <t xml:space="preserve">JPAP_R1.7.1._42 JPAP_R3.3.1._191   JPAP_R3.3.1._193    JPKAP_U2.2_P2.2.3     JPKAP_U4.1_P4.1.2      </t>
  </si>
  <si>
    <t>Gada balva kultūrā</t>
  </si>
  <si>
    <t xml:space="preserve">JPAP_R1.7.1._42  JPAP_R1.7.1._43 JPAP_R3.3.1._191   JPAP_R3.3.1._193        JPKAP_U4.2_P4.2.2 </t>
  </si>
  <si>
    <t>Starptautiskais Baltijas jūras koru konkurss, festivāls u.tml.</t>
  </si>
  <si>
    <t xml:space="preserve">JPAP_R1.7.1._42    JPAP_R3.3.1._193   JPKAP_U2.1_P2.1.2 JPKAP_U2.1_P2.1.3    JPKAP_U2.2_P2.2.5  </t>
  </si>
  <si>
    <t>Profesionālās mākslas nodrošināšana Mākslas stacijā "Dubulti"</t>
  </si>
  <si>
    <t xml:space="preserve">JPAP_R1.7.1._42 JPAP_R1.7.1._43  JPAP_R3.3.1._191   JPAP_R3.3.1._193    JPKAP_U2.1_P2.1.1    JPKAP_U2.1_P2.1.3 </t>
  </si>
  <si>
    <t xml:space="preserve">Radošā darba stipendijas, tai skaitā uzturēšanās izdevumu kompensācijas </t>
  </si>
  <si>
    <t>JPAP_R3.3.1._193     JPKAP_U4.2_P4.2.3</t>
  </si>
  <si>
    <t xml:space="preserve">"Projektu konkurss par mākslinieciski augstvērtīgu vides objektu izveidi Jūrmalā" </t>
  </si>
  <si>
    <t>JPTARP_U1.2._P.1.2.8.</t>
  </si>
  <si>
    <t>Jāpārceļ no 2019.g. 20 000.00 EUR uz 2020.gada budžetu, aktivitētes "Vides objektu izveide" īstenošanai.  Finansējums 10 000 € atbilstošos metu konkursa rezultātiem.</t>
  </si>
  <si>
    <t>Vides objektu izveide</t>
  </si>
  <si>
    <t xml:space="preserve">Konkursa rezultātā atbalstīto vides objektu izveidošana. </t>
  </si>
  <si>
    <t>Starptautiska festivāla organizēšana</t>
  </si>
  <si>
    <t xml:space="preserve">JPAP_R1.7.1._42 JPAP_R3.3..1._191 JPKAP_U2.1_P2.1.3  </t>
  </si>
  <si>
    <t>JPAP_R1.7.1._43     JPKAP_U2.2_P2.2.1</t>
  </si>
  <si>
    <t>Finansējums nebūs nepieciešams un ir atgriežams pašvaldības budžetā.</t>
  </si>
  <si>
    <t>Audiogida izveidošana Jūrmalas pilsētas muzejā</t>
  </si>
  <si>
    <t xml:space="preserve">JPAP_R1.7.1._42 JPAP_R3.3..1._199 JPKAP_U2.1_P2.1.1  </t>
  </si>
  <si>
    <t>Muzeja informatīvā stenda izveide</t>
  </si>
  <si>
    <t>Jūrmalnieču dalība koncertturnejā Australijā Rīgas Doma meiteņu kora TIARA sastāvā</t>
  </si>
  <si>
    <t>JPKAP_U1.3_U1.3.3</t>
  </si>
  <si>
    <t>Festivāls “”Rudaga” New star 2019 Latvijai 100”</t>
  </si>
  <si>
    <r>
      <t xml:space="preserve">
</t>
    </r>
    <r>
      <rPr>
        <b/>
        <sz val="9"/>
        <rFont val="Times New Roman"/>
        <family val="1"/>
        <charset val="186"/>
      </rPr>
      <t>3263</t>
    </r>
  </si>
  <si>
    <t>JPAP_R.1.7.1._42 JPAP_R1.7.1._43 JPAP_R3.3.1._193 JPKAP_U1.3_U1.3.3.</t>
  </si>
  <si>
    <t>Tēlniecības izstāde ''Mākslas liedags. Atspulgi''</t>
  </si>
  <si>
    <t xml:space="preserve">JPAP_R1.4.3._17 JPAP_R1.7.1._43 JPKAP_U2.1_P2.1.1  </t>
  </si>
  <si>
    <t>Interaktīvā vides objekta atklāšanas pasākums Jūrmalas brīvdabas muzejā</t>
  </si>
  <si>
    <t xml:space="preserve">JPAP_R1.4.3._17 JPAP_R1.7.1._43 JPAP_R3.3.1._199 </t>
  </si>
  <si>
    <t xml:space="preserve">Informatīvo materiālu sagatavošana un izvietošana informatīvajos stendos pašvaldības </t>
  </si>
  <si>
    <t>JPAP_R.1.4.3._17  JPAP_R3.3..1._199 JPKAP_U2.2_P2.2.1 JPKAP_U2.2_P2.2.3</t>
  </si>
  <si>
    <t>Kultūrizglītības informācijas nodrošināšanai.    Mobilo informācijas stendu satura nomaiņa 2020.gadā: 250.00 EUR informācijas apkopošana un sagatavošana, 400.00 EUR maketēšana, 436.00 EUR stendu planšetu druka (60.00 x 6 gab +PVN), 363.00 EUR divu stendu transportēšana, 182.00EUR informācijas nomaiņa, uzturēšana (apkope, labošana)</t>
  </si>
  <si>
    <t>Rīcības virziens: R1.4.3.: Citu tūrisma pakalpojumu attīstība</t>
  </si>
  <si>
    <t>Aktivitāte: Nr. 17. Tūrisma pakalpojumu piedāvājuma dažādošana</t>
  </si>
  <si>
    <t>Aktivitāte: Nr.42. Jaunu kultūras tūrisma produktu attīstība</t>
  </si>
  <si>
    <t>Aktivitāte: Nr.43. Kultūras dzīves piedāvājuma attīstība visa gada garumā</t>
  </si>
  <si>
    <t>Rīcības virziens: R.3.3.1. Pilsētas kultūras iestāžu un muzeju darbības pilnveide</t>
  </si>
  <si>
    <t>Aktivitāte: Nr.191. Daudzveidīgu kultūras pasākumu pieejamība Jūrmalas iedzīvotājiem Jūrmalas pilsētā</t>
  </si>
  <si>
    <t>Aktivitāte: Nr. 193 Jūrmalas kā kultūras un mākslas pilsētas identitātes un konkurētspējas nostiprināšana</t>
  </si>
  <si>
    <t>Aktivitāte: Nr. 199 Jūrmalas muzeju popularizēšana</t>
  </si>
  <si>
    <t>Aktivitāte: Nr.202. Pilsētas tēla "Jūrmala - Raiņa un Aspazijas pilsēta" izveide</t>
  </si>
  <si>
    <t>U.1.3.: Nodrošināt  mūžizglītības un radošuma attīstīšanas iespējas jūrmalniekiem.</t>
  </si>
  <si>
    <t xml:space="preserve">Pasākums: U1.3.3.Jūrmalas pilsētas iedzīvotāju un nevalstisko organizāciju radošo kultūras iniciatīvu atbalstīšana, </t>
  </si>
  <si>
    <t>līdzfinansējot un līdzorganizējot dažādu žanru kultūras pasākumus specifiskām iedzīvotāju auditorijām</t>
  </si>
  <si>
    <t>Pasākums: P2.1.1. Nodrošināt dažādu mērķauditorijas segmentu vajadzībām atbilstošas profesionālās mākslas pieejamību Jūrmalā.</t>
  </si>
  <si>
    <t>Pasājums: P2.1.2. Dzintaru koncertzāles konkurētspējas stiprināšana nacionālā un starptautiskā mērogā (ilgtermiņa finanšu instrumenta nodrošināšana starptaurtisko mākslinieku piesaistei)</t>
  </si>
  <si>
    <t>Pasākums: P2.1.3. Jūrmalu kā kūrortpilsētu pozicionējošu ikgadēju profesionālās mākslas festivālu un pasākumu rīkošana vai līdzfinansēšana</t>
  </si>
  <si>
    <t>Pasākums: P2.2.2. Jūrmalas kā Aspazijas un Raiņa pilsētas tēla nostiprināšana</t>
  </si>
  <si>
    <t xml:space="preserve">Pasākums: P2.2.3. Gadskārtu svētku, pilsētas svētku un dažādām sabiedrības mērķgrupām domātu pasākumu rīkošana, nostiprinot Jūrmalas zīmolu vietējā, nacionālā un starptautiskā mērogā. </t>
  </si>
  <si>
    <t>Pasākums: P2.2.5. Jūrmalas kā festivālu pilsētas tēla nostiprināšana</t>
  </si>
  <si>
    <t>U.4.1. Attīstīt sadarbību starp dažādām pašvaldības kultūras un citām iestādēm, ģeogrāfiski līdzsvarota kultūras piedāvājuma veidošanā un pieejamības veicināšanā.</t>
  </si>
  <si>
    <t>Pasākums: P4.1.1. Nevalstisko organizāciju un citu operatoru iesaiste apkaimju piederības sajūtas veidošanā un mehānisms tā nodrošināšanai –iedzīvotāju iniciatīvu projektu konkurss.</t>
  </si>
  <si>
    <t>Pasākums: P4.1.2. Mazākumtautību iesaiste apkaimju kultūras dzīvē</t>
  </si>
  <si>
    <t>U.4.2. Stiprināt kultūras nozares darbinieku kapacitāti un profesionālo izaugsmi.</t>
  </si>
  <si>
    <t xml:space="preserve">Pasākums: P4.2.1. Kultūras nozares darbinieku profesionālās izaugsmes atbalsta programma </t>
  </si>
  <si>
    <t>Pasākums: P4.2.2. Konkursa „Gada balva kultūrā"  rīkošana, novērtējot Jūrmalas pilsētas kultūras dzīves spilgtākos notikumus pašvaldības, valsts un starptautiskā mērogā.</t>
  </si>
  <si>
    <t xml:space="preserve">Pasākums: P4.2.3. Mūža stipendijas izciliem kultūras un sabiedriskiem darbiniekiem. </t>
  </si>
  <si>
    <t>Jūrmalas pilsētas tūrisma attīstības rīcības plāns 2018. - 2020.gadam (JPTARP)</t>
  </si>
  <si>
    <t xml:space="preserve">uzdevums U 1.2. "Atpūtas, rekreācijas tūrisma piedāvājuma pilnveidošana vietējiem un ārvalstu viesiem" </t>
  </si>
  <si>
    <t>pasākums P.1.2.8. "Konkurss par atraktīvu, mākslinieciski augstvērtīgu vides objektu izveidi Jūrmalā".</t>
  </si>
  <si>
    <t>Pilsētplānošanas nodaļa</t>
  </si>
  <si>
    <t>Pilsētas teritorijas labiekārtošanas pasākumi</t>
  </si>
  <si>
    <t>Jūrmalas pilsētas teritorijas plānojuma grozījumu izstrāde</t>
  </si>
  <si>
    <t>JPAP_P3.1._ R3.1.1. 119</t>
  </si>
  <si>
    <t>Līgums Nr.1.2-16.4.3/468, vienošanās Nr.1.2-16.4.3/915, ''METRUM'' Jūrmalas pilsētas teritorijas plānojuma grozījumu izstrāde. Pasākums ietverts PPN prioritāro pasākumu 2019.-2021.gada plānā.</t>
  </si>
  <si>
    <t>Jauns teritorijas plānošanas dokuments un/vai izpētes darbi</t>
  </si>
  <si>
    <t>Līgums Nr.1.2-16.4.3/1453 - SIA "Reģionālie projekti", detālplānojuma zemesgabalam Krastciems 0501 izstrāde</t>
  </si>
  <si>
    <t>Līgums Nr.1.2-16.4.3/1592 - SIA "Grupa93", detālplānojuma izstrāde zemesgabaliem Priedaine 2302, Preidaine 2001, Priedaine 1201, Priedaine 2303 un Lielais prospekts 0041</t>
  </si>
  <si>
    <t>Detālplānojuma zemesgabalam Kļavu ielā 1A izstrādei, izpilde tiks precizēta pēc iepirkuma un līguma noslēgšanas.</t>
  </si>
  <si>
    <t>Pilsētas svētku noformējums</t>
  </si>
  <si>
    <t>Pilsētas dekoratīvā svētku apgaismojuma uzturēšana un atjaunošana</t>
  </si>
  <si>
    <t>JPAP_P2.2._R.2.2.1._70</t>
  </si>
  <si>
    <t>Papildus apgaismojuma demontāža, uzglabāšana, atjaunošana, montāža. Uz 10.10.2019. atlikums 23334.21 EUR.</t>
  </si>
  <si>
    <t>Ziemassvētku egles (iegāde, uzstādīšana, demontāža)</t>
  </si>
  <si>
    <t>Egles. Uz 10.10.2019. atlikums 9049.04 EUR, iepirkuma procedūra.</t>
  </si>
  <si>
    <t>Pilsētas svētku noformējuma izveide; montāža un demontāža</t>
  </si>
  <si>
    <t>Lieldienu, Līgo noformējums. Finansējums karogu mastu remontam. Uz 10.10.2019. atlikums 1927.64 EUR.</t>
  </si>
  <si>
    <t>Karogi.  Uz 10.10.2019. atlikums 3536.98 EUR, iepirkuma procedūra.</t>
  </si>
  <si>
    <t>Lieldienas, Līgo vainagi, Ziemassvētku konstrukciju noformējums Priedainē. Uz 10.10.2019. atlikums 1700 EUR.</t>
  </si>
  <si>
    <t>Vides objekta Dubultu kultūras kvartālā mākslinieciskā risinājuma iztrāde, piegāde, uzstādīšana. Uz 10.10.2019. atlikums 14000 EUR, tiks izmantots Dubultu egles kontrukcijai.</t>
  </si>
  <si>
    <t>Ziemassvētku noformējuma konkurss (atzinības raksti, apbalvojumi, ēdināšanas pakalpojumi)</t>
  </si>
  <si>
    <t>Konkursa noslēguma pasākuma ēdināšanas pakalpojumi.</t>
  </si>
  <si>
    <t>Rāmīši, balvas, iesaiņojums. Uz 10.10.2019. atlikums 2282 EUR.</t>
  </si>
  <si>
    <t>Svētku apgaismojuma noformējuma izveide, montāža un demontāža</t>
  </si>
  <si>
    <t>Jaunu gaismas dekoru izveide Asaru prospektā, Mazā Nometņu ielā, Dubultu/Strēlnieku prospektā u.c. Paredzēts budžetu oktobra sēdē precizēt no 50000 uz 46772 EUR. Tiek saskaņota iepirkuma programma.</t>
  </si>
  <si>
    <t>Pilsētas apkaimes zīmju un robežzīmju izveide, projekta izstrādāšana</t>
  </si>
  <si>
    <t>JPAP_P2.2._R.2.2.1._70 JPAP_P2.2._R.2.2.2._71 JPTARP_U1.2._P.1.2.9. JPKVAP_U1.1._P.1.1.3.</t>
  </si>
  <si>
    <t xml:space="preserve">Robežzīmes, apkaimju zīmes projekts. Paredzēts budžetu oktobra sēdē precizēt no 5000 uz 8228 EUR, līguma saskaņošana. </t>
  </si>
  <si>
    <t>Apkaimju zīmju un robežzīmes būvniecība</t>
  </si>
  <si>
    <t>Pasākums "Ziemas pasaka Dzintaru Mežaparkā" uzturēšana un atjaunošana, jauna noformējuma izveide</t>
  </si>
  <si>
    <t>JPAP_P1.7._R.1.7.1._43 JPTARP_U1.2_P1.2.5.</t>
  </si>
  <si>
    <t>Esošā noformējuma uzturēšana, atjaunošana un papildināšana, atsevišķu daļu demontāža, uzglabāšana un montāža. Uz 10.10.2019. atlikums 12000 EUR.</t>
  </si>
  <si>
    <t xml:space="preserve">Jauna noformējuma izveide. Uz 10.10.2019. atlikums 9900.63 EUR. </t>
  </si>
  <si>
    <t>Pilsētas kultūrvēsturiskā mantojuma saglabāšana</t>
  </si>
  <si>
    <t>08.290</t>
  </si>
  <si>
    <t xml:space="preserve">Līdzfinansējuma nodrošināšana sabiedriski pieejama kultūrvēsturiskā mantojuma sgalabāšanai objektos, kuros notiek pilsētas nozīmes pasākumi </t>
  </si>
  <si>
    <t>JPAP_P1.2._R.1.2.2._10 JPKVAP_U1.2._U.1.2.4. JPKVAP_U3.3._P.3.3.4.</t>
  </si>
  <si>
    <t xml:space="preserve">Nepieciešams palielināt finansējumu attiecībā pret 2019.gada budžetu un 2020.gada budžetā paredzēt līdzfinansējumu arī publiski apskatāmu kultūras pieminekļu saglabāšanai, kas prioritāri atrodas uz gājēju ielas. </t>
  </si>
  <si>
    <t xml:space="preserve">Kultūrvēsturiski vērtīgu ēku izvērtēšana </t>
  </si>
  <si>
    <t>JPAP_P1.2._R.1.2.2._10
JPAP_P1.2._R.1.2.2._11 
JPKVAP_U1.2._U.1.2.4. 
JPKVAP_U3.3._P.3.3.4.</t>
  </si>
  <si>
    <t>Pasākums ietverts PPN prioritāro pasākumu 2019.-2021.gada plānā.</t>
  </si>
  <si>
    <t>Grāmatas "Jūrmala. Pilsēta. Daba. Arhitektūra." izdošana</t>
  </si>
  <si>
    <t>Jūrmalas pilsētas attīstības programma 2014. – 2020.gadam (JPAP)</t>
  </si>
  <si>
    <t>Rīcības virziens: R.1.2.2. Kultūrvēsturiskā mantojuma saglabāšana un attīstība</t>
  </si>
  <si>
    <t>Aktivitāte: Nr.10 Kultūrvēsturiski vērtīgās koka arhitektūras vērtību saglabāšanas pasākumi</t>
  </si>
  <si>
    <t>Aktivitāte: Nr.11 Esošās kultūrvēsturiskās koka arhitektūras vērtību apzināšana un popularizēšana</t>
  </si>
  <si>
    <t>Rīcības virziens R1.7.1. Kultūras tūrisma piedāvājuma attīstība</t>
  </si>
  <si>
    <t>Aktivitāte:Nr.43 Kultūras dzīves piedāvājuma attīstība visa gada garumā</t>
  </si>
  <si>
    <t>Rīcības virziens: R.2.2.1. Jūrmalas vizuālās identitātes standarta izstrāde un ieviešana</t>
  </si>
  <si>
    <t>Aktivitāte: Nr.70 Jūrmalas vizuālās identitātes veidošana un uzraudzīšana</t>
  </si>
  <si>
    <t>Aktivitāte Nr.71 Jūrmalas robežzīmes izveide</t>
  </si>
  <si>
    <t>Rīcības virziens: R.3.1.1. Pilsētas attīstības plānošana</t>
  </si>
  <si>
    <t>Aktivitāte: Nr.119 Pašvaldības attīstības plānošanas dokumentu izstrāde un uzraudzība</t>
  </si>
  <si>
    <t>Jūrmalas pilsētas tūrisma attīstības rīcības plāns 2018 - 2020 (JPTARP)</t>
  </si>
  <si>
    <t>Uzdevums U 1.2. Atpūtas , rekreācijas tūrisma piedāvājuma pilnveidošana vietējiem un ārvalstu viesiem</t>
  </si>
  <si>
    <t>P 1.2.5. Ziemas pasakas izveide Dzintaru Mežaparkā (interaktīvas gaismas instalācijas ziemas periodā (decembris–aprīlis))</t>
  </si>
  <si>
    <t>P.1.2.9. Pilsētas apkaimju atpazīstamības veicināšana un zīmju izvietošana, apkaimju nosaukumu un vērtību integrēšana tūrisma mārketingā</t>
  </si>
  <si>
    <t>Jūrmalas pilsētas kultūrvides attīstības plāns 2017.-2020.gadam (JPKVAP)</t>
  </si>
  <si>
    <r>
      <t xml:space="preserve">U1.1: </t>
    </r>
    <r>
      <rPr>
        <sz val="9"/>
        <color rgb="FF000000"/>
        <rFont val="Times New Roman"/>
        <family val="1"/>
        <charset val="186"/>
      </rPr>
      <t>Rosināt un atbalstīt radošu un oriģinālu kultūras piedāvājumu integrēšanu pilsētvidē; akcentēt apkaimju vizuālo un saturisko identitāti.</t>
    </r>
  </si>
  <si>
    <t>P.1.1.3.Radoši risinājumi pilsētas apkaimju vizuālai un saturiskai marķēšanai.</t>
  </si>
  <si>
    <r>
      <t xml:space="preserve">U1.2. </t>
    </r>
    <r>
      <rPr>
        <sz val="9"/>
        <color rgb="FF000000"/>
        <rFont val="Times New Roman"/>
        <family val="1"/>
        <charset val="186"/>
      </rPr>
      <t>Stiprināt bibliotēku lomu kā apkaimju izglītības, informācijas, kultūras un sabiedriskās saskarsmes centrus.</t>
    </r>
  </si>
  <si>
    <t>U.1.2.4. Jūrmalas kultūrvēstures izpēte un atraktīva popularizēšana.</t>
  </si>
  <si>
    <r>
      <t xml:space="preserve">U3.3. </t>
    </r>
    <r>
      <rPr>
        <sz val="9"/>
        <color rgb="FF000000"/>
        <rFont val="Times New Roman"/>
        <family val="1"/>
        <charset val="186"/>
      </rPr>
      <t xml:space="preserve">Izstrādāt mantojumā balstītus kultūrtūrisma produktus un pakalpojumus. </t>
    </r>
  </si>
  <si>
    <t>P.3.3.4. Koka arhitektūras kultūrvēsturiskā mantojuma popularizēšana.</t>
  </si>
  <si>
    <t xml:space="preserve"> Jūrmalas Sporta servisa centrs</t>
  </si>
  <si>
    <t xml:space="preserve">Programma:   </t>
  </si>
  <si>
    <t>Jūrmalas čempionāts basketbolā vīriešiem</t>
  </si>
  <si>
    <t>JPAP_M1_P1.6._R1.6.3._41 JPSAAAS Mērķi Nr.1;Nr.3;Nr.4.</t>
  </si>
  <si>
    <t>Jūrmalas atklātais amatieru čempionāts  hokejā</t>
  </si>
  <si>
    <t>Jūrmalas domes kauss pludmales futbolā</t>
  </si>
  <si>
    <t>Jūrmalas čempionāts pludmales volejbolā</t>
  </si>
  <si>
    <t xml:space="preserve">Jūrmalas gada balva sportā </t>
  </si>
  <si>
    <t>FIVB starptautiskās pludmales volejbola sacensības</t>
  </si>
  <si>
    <t>Jūrmalas skriešanas svētki</t>
  </si>
  <si>
    <t xml:space="preserve">4. maija Sporta svētki </t>
  </si>
  <si>
    <t>Jūrmalas velomaratons</t>
  </si>
  <si>
    <t>Jūrmalas krāsu skrējiens</t>
  </si>
  <si>
    <t>Electric Run Jūrmala</t>
  </si>
  <si>
    <t>Jūrmalas MTB velomaratons</t>
  </si>
  <si>
    <t>Latvijas čempionāts pludmales volejbolā</t>
  </si>
  <si>
    <t>Pasaules kauss ielu vingrošanā</t>
  </si>
  <si>
    <t>Ielu dejošanas pasākums "Ghetto Dance"</t>
  </si>
  <si>
    <t>Starptautiskās mākslas vingrošanas sacensības "Mazā un Lielā Grācija"</t>
  </si>
  <si>
    <t>"Jurmala Cup" sacensības ūdensmotosportā</t>
  </si>
  <si>
    <t>Jāņa Roviča kauss boksā</t>
  </si>
  <si>
    <t>Starptautiskais pludmales handbola turnīrs</t>
  </si>
  <si>
    <t>Latvijas senioru atklātais čempionāts tenisā</t>
  </si>
  <si>
    <t>Starptautiskās karatē sacensības "Jūrmalas kauss"</t>
  </si>
  <si>
    <t>LAF organizētās sacensības airēšanā</t>
  </si>
  <si>
    <t>Jūrmalas Rogainings</t>
  </si>
  <si>
    <t>Jūrmalas domes atklātais futbola kauss</t>
  </si>
  <si>
    <t>Džudo turnīrs "Young Stars Jurmala"</t>
  </si>
  <si>
    <t>Jūrmalas kauss Pludmales regbijā</t>
  </si>
  <si>
    <t>Skriešanas seriāls "Dzintaru apļi"</t>
  </si>
  <si>
    <t>Orientēšanās spēles "Ķemeri 181/41"</t>
  </si>
  <si>
    <t>Starptautiskais bērnu un jauniešu šaha turnīrs Rudaga - Kaissa vasara/ziema</t>
  </si>
  <si>
    <t>Projektu konkurss sporta pasākumiem</t>
  </si>
  <si>
    <t>Latvijas čempionāts zolīte - A fināls</t>
  </si>
  <si>
    <t>SSB Sporta spēles</t>
  </si>
  <si>
    <t>Ūdensslēpošanas O'Braien kauss ūdensslēpošanā</t>
  </si>
  <si>
    <t>Starptautiskais karatē WKF turnīrs "Grand Prix Jūrmala"</t>
  </si>
  <si>
    <t>Sporta veidu attīstība</t>
  </si>
  <si>
    <t>Līdzfinansējums biedrībai "Jūrmalai un sportam"</t>
  </si>
  <si>
    <t>JPAP_M3_P3.3_R3.3.3. 207 JPAP_M3_P3.1_R3.1.3. 133 JPAP_M1_P1.6._R1.6.3._41  JPSAAAS Mērķi Nr 1;Nr.4.</t>
  </si>
  <si>
    <t>Finansējums ieplānots Jūrmalas Sporta skolai basketbola audzēkņu profesionālās attīstības nodrošināšanai.</t>
  </si>
  <si>
    <t>Biedrība "Jūrmalas Sports" handbola komandas līdzfinansēšana</t>
  </si>
  <si>
    <t>Pludmales volejbolistes Tīnas Lauras Graudiņas atbalstam</t>
  </si>
  <si>
    <t>Aleksandra Samoilova atbalstam</t>
  </si>
  <si>
    <t>Gargabalnieces Jeļenas Čelnovas - Prokopčukas attīstībai</t>
  </si>
  <si>
    <t xml:space="preserve">Alvila Branta atbalstam Pasaules kausā parabobslejā </t>
  </si>
  <si>
    <t>Ratiņtenisistes Žanetes Vasaraudzes - Gailītes attīstībai</t>
  </si>
  <si>
    <t>Mihaila Samoilova atbalstam</t>
  </si>
  <si>
    <t>Karatistes Marijas Luīzes Muižnieces atbalstam</t>
  </si>
  <si>
    <t>Jāņa Roviča boksa klubs</t>
  </si>
  <si>
    <t>Biedrības PAPA'S sacīkšu komandas atbalstam</t>
  </si>
  <si>
    <t>Jurmala Racing Team</t>
  </si>
  <si>
    <t>Loka šāvējas Anetes Kreicbergas atbalstam</t>
  </si>
  <si>
    <t>Dambretista Gunta Valnera atbalstam</t>
  </si>
  <si>
    <t>Biedrība "Skolas sporta klubs "Neguss""</t>
  </si>
  <si>
    <t>Florbola klubs Jūrmala</t>
  </si>
  <si>
    <t>Airētāja Ģirta Sokolova atbalstam</t>
  </si>
  <si>
    <t>Airētājas Jelizavetes Simačevas atbalstam</t>
  </si>
  <si>
    <t>Airētājas Zanes Putniņas atbalstam</t>
  </si>
  <si>
    <t>Airētāja Oskara Anša Ruģeļa atbalstam</t>
  </si>
  <si>
    <t>Airētāja Markusa Imanta Saulītes atbalstam</t>
  </si>
  <si>
    <t>Airētāja Valtera Dirnēna atbalstam</t>
  </si>
  <si>
    <t>Airētāja Krišjāņa Strautiņa atbalstam</t>
  </si>
  <si>
    <t>Airētāja Krista Tomasa Krūmiņa atbalstam</t>
  </si>
  <si>
    <t>Par burāšanas sporta vienības fonda "Collatis viribus" līdzfinansēšanu</t>
  </si>
  <si>
    <t xml:space="preserve">Veterānu futbola kluba "Devro Jūrmala" atbalstam </t>
  </si>
  <si>
    <t>Senioru sporta biedrības Jūrmala galda tenisistu atbalstam</t>
  </si>
  <si>
    <t>Ulda Zeitmaņa dalība Latvijas un starptautiskos darts turnīros</t>
  </si>
  <si>
    <t>Karatistes Sofijas Ševcovas atbalstam</t>
  </si>
  <si>
    <t>Karatista Artjoma Ševcova atbalstam</t>
  </si>
  <si>
    <t>Karatistes Anastasijas Kepcovas atbalstam</t>
  </si>
  <si>
    <t>Karatista Olivera Ritenieka atbalstam</t>
  </si>
  <si>
    <t>Karatista Gustava Nila Ritenieka atbalstam</t>
  </si>
  <si>
    <t>Karatista Leonīda Vorožeikina atbalstam</t>
  </si>
  <si>
    <t>Karatistes Gajanes Arakeljanes  atbalstam</t>
  </si>
  <si>
    <t>Biedrības "Jūrmalas Delveri" atbalstam</t>
  </si>
  <si>
    <t>Mākslas vingrotājas Jeļizavetas Polstjanajas atbalstam</t>
  </si>
  <si>
    <t>Pludmales tenisista Maksimiliana Niklasa Andersona atbalstam</t>
  </si>
  <si>
    <t>Motokrosista Dāvida Baltā atbalstam</t>
  </si>
  <si>
    <t>Jūrmalas komandas dalība Latvijas Jaunatnes Olimpiādē</t>
  </si>
  <si>
    <t>Jūrmalas komandas dalība Latvijas V Olimpiādē  pieaugušajiem</t>
  </si>
  <si>
    <t>Pašvaldības atzinības izteikšana par īpašiem sasniegumiem un rezultātiem</t>
  </si>
  <si>
    <t>Gustava Smiltena atbalstam</t>
  </si>
  <si>
    <t>Kauguru publiskā slidotava</t>
  </si>
  <si>
    <t>Publiskās slidošanas pakalpojuma organizēšana</t>
  </si>
  <si>
    <t>Izdevumi par ūdeni un kanalizāciju</t>
  </si>
  <si>
    <t>Izdevumi par elektroenerģiju</t>
  </si>
  <si>
    <t>Sporta nams "Taurenītis"</t>
  </si>
  <si>
    <t>JPAP P.1.6, R. 1.6.3._41
JPAP_P3.3_R3.3.3_206
JPAP_P3.6_R3.6.2_227</t>
  </si>
  <si>
    <t xml:space="preserve">Sporta zāles apgaismojuma nomaiņa </t>
  </si>
  <si>
    <t>Sporta nama 2.stāva mazās aktu zāles  telpu grīdu atjaunošana (lakošana) 120 m2</t>
  </si>
  <si>
    <t>Majoru sporta laukuma administrācijas un 1 - 2 ģērbtuves kosmētiskais remonts</t>
  </si>
  <si>
    <t>Dabīgā zāliena automatizētas laistīšanas sistēmas izveide (projekts tiks realizēts pie nosacījumā, ja 50% no finansējuma piešķirs Latvijas Futbola federācija)</t>
  </si>
  <si>
    <t>Lokālās videonovērošanas sistēmas atjaunošana - uzstādīšana, saskaņā ar JPD IKT nodaļas saskaņojumu</t>
  </si>
  <si>
    <t>Jūrmalas pilsētas stadiona "Sloka" tāllēkšanas bedru smilšu uztvērēja izveidošana un smilšu bedru pārklāja iegāde</t>
  </si>
  <si>
    <t>Jūrmalas pilsētas stadiona "Sloka" sintetiskā laukuma seguma atjaunošanas projektēšana saskaņā ar LFF noteikumiem</t>
  </si>
  <si>
    <t>Ģērbtuvju kosmētiskais remonts (durvju aiļu maina  - grīdas linoleja atjaunošana)</t>
  </si>
  <si>
    <t>Pludmales centrs</t>
  </si>
  <si>
    <t>Pludmales konteineru un terases apstrāde/beicēšana</t>
  </si>
  <si>
    <t>Ģērbtuvju kosmētiskais remonts (durvju slēdzeņu maiņa  - grīdas linoleja atjaunošana)</t>
  </si>
  <si>
    <t>2 papildus jūras konteinieru iegāde un pielāgošana Jūrmalas pludmales centra vajadzībām</t>
  </si>
  <si>
    <t>Sporta attīstības un publicitātes pasākumi</t>
  </si>
  <si>
    <t>Grāmata''Jūrmalas sporta vēsture''</t>
  </si>
  <si>
    <t>Prioritāte 1.6. Aktīvā un dabas tūrisma attīstība</t>
  </si>
  <si>
    <t>Rīcības virziens: R.1.6.3. Sporta pasākumu un pakalpojumu attīstība</t>
  </si>
  <si>
    <t>Aktivitāte 41 Sporta infrastruktūras un pasākumu un pakalpojumu attīstība</t>
  </si>
  <si>
    <t>Prioritāte 3.1. Uz nākotni orientēta pilsētas pārvaldība, kas atbalsta pilsonisko iniciatīvu</t>
  </si>
  <si>
    <t>Rīcības virziens: R.3.1.3. Nevalstiskā sektora attīstības atbalsts</t>
  </si>
  <si>
    <t>Aktivitāte 133 Sadarbība ar nevalstiskajām organizācijām</t>
  </si>
  <si>
    <t>Prioritāte 3.3. Daudzveidīga kultūras un sporta vide</t>
  </si>
  <si>
    <t>Rīcības virziens: R.3.3.3.: Sporta sektora attīstība</t>
  </si>
  <si>
    <t>Aktivitāte 207 Valsts vadošo sporta speciālistu piesaiste</t>
  </si>
  <si>
    <t>Mērķi no JPAAAS - Jūrmalas pilsētas aktīvās atpūtas attīstības stratēģija</t>
  </si>
  <si>
    <t>Mērķis Nr. 1 Fiziskās aktivitātēs iesaistīto Jūrmalas pilsētas iedzīvotāju, īpaši bērnu un jauniešu skaita pieaugums.</t>
  </si>
  <si>
    <t>Mērķis Nr.2 Cilvēku ar invaliditāti dalības sporta un aktīvās atpūtas aktivitātēs pieaugums</t>
  </si>
  <si>
    <t>Mērķis Nr. 3 Starptautiska, nacionāla un vietēja mēroga sporta sacensību un aktīvās atpūtas norišu skaita pieaugums.</t>
  </si>
  <si>
    <t>Mērķis Nr. 4 .Jūrmalas pilsētas iedzīvotāju veselības rādītāju uzlabošanās.</t>
  </si>
  <si>
    <t>Jūrmalas pilsētas pašvaldības saistības (EUR)</t>
  </si>
  <si>
    <t>Aizņēmuma apjoms</t>
  </si>
  <si>
    <t>Aizņēmuma paņemšanas gads</t>
  </si>
  <si>
    <t xml:space="preserve">Projekts/Aizņēmuma atdošanas maksajuma gads </t>
  </si>
  <si>
    <t>2034 un turpmākie gadi</t>
  </si>
  <si>
    <t xml:space="preserve"> KOPĀ SAISTĪBU APJOMS</t>
  </si>
  <si>
    <t>Saistību apjoms % no pamatbudžeta ieņēmumiem, t.sk.,</t>
  </si>
  <si>
    <t xml:space="preserve"> saistību apjoms bez galvojumiem</t>
  </si>
  <si>
    <t xml:space="preserve">           esošo saistību apjoms</t>
  </si>
  <si>
    <t xml:space="preserve">           plānoto saistību apjoms</t>
  </si>
  <si>
    <t xml:space="preserve">Pamatbudžeta ieņēmumi bez mērķdotācijas un iemaksām PFIF </t>
  </si>
  <si>
    <t>Plānojamās saistības</t>
  </si>
  <si>
    <t>2020-2022</t>
  </si>
  <si>
    <t>Daudzfunkcionāla dabas tūrisma centra jaunbūve un  meža parka  labiekārtojums Ķemeros (ITI SAM 5.6.2.)</t>
  </si>
  <si>
    <t>Kredīta % atmaksa 2,7%</t>
  </si>
  <si>
    <t>Pilsētas atpūtas parka un jauniešu mājas izveide Kauguros 
(ITI SAM 3.3.1.)</t>
  </si>
  <si>
    <t>2020-2021</t>
  </si>
  <si>
    <t>Jūrmalas pilsētas vispārējās vidējās izglītības iestāžu infrastruktūras pilnveide
 (ITI SAM 8.1.2.)</t>
  </si>
  <si>
    <t>Kredīta % atmaksas 2.7%</t>
  </si>
  <si>
    <t>2021-2022</t>
  </si>
  <si>
    <t>Pašvaldības ēkas Raiņa ielā 62, Jūrmalā pārbūve un energoefektivitātes paaugstināšana (ITI SAM 4.2.2.)</t>
  </si>
  <si>
    <t>Infrastruktūras pilnveide sabiedrībā balstītu sociālo pakalpojumu nodrošināšanai Jūrmalā (ITI SAM 9.3.1.)</t>
  </si>
  <si>
    <t>Lielupes radīto plūdu un krasta erozijas risku apdraudējumu novēršanas pasākumi Dubultos - Majoros - Dzintaros (SAM 5.1.1.)</t>
  </si>
  <si>
    <t>Jūrmalas veselības veicināšanas un sociālo pakalpojumu centra ēku pārbūve un energoefektivitātes paaugstināšana (alternatīva ITI SAM 4.2.2.)</t>
  </si>
  <si>
    <t>Ceļu un to kompleksa investīciju projektu īstenošanai (2019)</t>
  </si>
  <si>
    <t>Daudzfunkcionāla dabas tūrisma centra pastāvīgās ekspozīcijas izveide (1.kārta), centra teritorijas un funkcionālās meža parka teritorijas  labiekārtošana</t>
  </si>
  <si>
    <t>Plānojamās kredītsaistības, t.sk. Ceļu investīciju projektiem</t>
  </si>
  <si>
    <t>Aizņēmumu atmaksa</t>
  </si>
  <si>
    <t>2012, 2013</t>
  </si>
  <si>
    <t>Ēkas rekonstrukcijai ar funkcijas maiņu par sociālās aprūpes ēku ar publiski pieejamām telpām 1.stāvā Skolas ielā 44</t>
  </si>
  <si>
    <t>Kredīta % atmaksa 1,833%</t>
  </si>
  <si>
    <t>2012, 2013, 2014</t>
  </si>
  <si>
    <t>Aspazijas mājas Nr.002 restaurācija un ēkas Nr.001 rekonstrukcija, saglabājot funkciju muzejs Z.Meirovica prospektā 18/20, Jūrmalā</t>
  </si>
  <si>
    <t>Kredīta % atmaksa (2,7%)</t>
  </si>
  <si>
    <t>2012, 2013, 2014, 2015</t>
  </si>
  <si>
    <t>Dzintaru koncertzāles slēgtās zāles rekonstrukcija/restaurācija Turaidas ielā 1, Jūrmalā</t>
  </si>
  <si>
    <t>Kredīta % atmaksa 2,7%)</t>
  </si>
  <si>
    <t>2013, 2014</t>
  </si>
  <si>
    <t xml:space="preserve">Bērnudārza jaunbūvei Tukuma ielā 9, Jūrmalā </t>
  </si>
  <si>
    <t>Kredīta % atmaksa (2,7%01.14)</t>
  </si>
  <si>
    <t>2013, 2014, 2015</t>
  </si>
  <si>
    <t>Ēkas lit.002 rekontrukcijas par Mākslas skolu Strēlnieku prospektā 30 un Jāņa Poruka prospekta izbūve posmā no Friča Brīvzemnieka ielas līdz sporta zālei "Taurenītis" Jūrmalā</t>
  </si>
  <si>
    <t>2014, 2015</t>
  </si>
  <si>
    <t>Jūrmalas Valsts ģimnāzijas un sākumskolas "Atvase" daudzfunkcionālās sporta halles projektēšana un celtniecība (atmaksa 10 gados)</t>
  </si>
  <si>
    <t>Jūrmalas ūdenssaimniecības attīstības projekta II kārta (ar sadārdzinājumu) (atmaksa 10 gados)</t>
  </si>
  <si>
    <t>Kredīta atmaksa 2,7%</t>
  </si>
  <si>
    <t>Jūrmalas pilsētas tranzītielas P128 (Talsu šoseja/Kolkas iela) izbūve (atmaksa 10 gados)</t>
  </si>
  <si>
    <t>Ielu asfalta seguma kapitālais remonts (atmaksa 10 gados)</t>
  </si>
  <si>
    <t>2016;2017;
2018</t>
  </si>
  <si>
    <t>Dubultu kultūras un izglītības centra Strēlnieku prospektā 30, Jūrmalā būvniecība  (atmaksa 10 gados)</t>
  </si>
  <si>
    <t>Ceļu un to kompleksa investīciju projektu īstenošanai (2016)</t>
  </si>
  <si>
    <t>Ceļu un to kompleksa investīciju projektu īstenošanai (2017)</t>
  </si>
  <si>
    <t>Ceļu un to kompleksa investīciju projektu īstenošanai (2018)</t>
  </si>
  <si>
    <t>Jaunu dabas un kultūras tūrisma pakalpojumu radīšana Rīgas jūras līča rietumu piekrastē - Mellužu estrādes ēkas restaurācija un bāra ēkas pārbūve, teritorijas labiekārtojums</t>
  </si>
  <si>
    <t>2018-2019</t>
  </si>
  <si>
    <t>Administratīvās ēkas pārbūve sociālo funkciju nodrošināšanai</t>
  </si>
  <si>
    <t>Jūrmalas pilsētas Jaundubultu vidusskolas ēkas energoefektivitātes paaugstināšana (ITI SAM 4.2.2.)</t>
  </si>
  <si>
    <t>2019-2021</t>
  </si>
  <si>
    <t>Jūrmalas pilsētas Kauguru vidusskolas ēkas energoefektivitātes paaugstināšana 
(ITI SAM 4.2.2.)</t>
  </si>
  <si>
    <t>Jūrmalas pilsētas vispārējās vidējās izglītības iestāžu infrastruktūras pilnveide
 (ITI SAM 8.1.2.) (Kauguru vidusskola)</t>
  </si>
  <si>
    <t>2019-2020</t>
  </si>
  <si>
    <t>Jūrmalas Sporta skolas peldbaseinu ēkas pārbūve un energoefektivitātes paaugstināšana (ITI SAM 4.2.2)</t>
  </si>
  <si>
    <t>Jūrmalas ūdenstūrisma pakalpojuma infrastruktūras attīstība atbilstoši pilsētas ekonomiskajai specializācijai (ITI SAM 3.3.1.)</t>
  </si>
  <si>
    <t>Ķemeru parka pārbūve un restaurācija
 (ITI SAM 5.6.2.)</t>
  </si>
  <si>
    <t>Jūrmalas ūdenssaimniecības attīstības projekta trešā kārta (atmaksa 20 gados)</t>
  </si>
  <si>
    <t>Galvojumi un ilgtermiņa saistības</t>
  </si>
  <si>
    <t>2008, 2009</t>
  </si>
  <si>
    <t>Galvojums projektā "Piejūra" (20 gadi)</t>
  </si>
  <si>
    <t>Studējošā kredīta galvojums Konstantīnam Ņedošivinam</t>
  </si>
  <si>
    <t>Kredīta %atmaksa, 6 mēn. euribor</t>
  </si>
  <si>
    <t>Studiju kredīta galvojums Konstantīnam Ņedošivinam</t>
  </si>
  <si>
    <t xml:space="preserve">Kredīta %atmaksa, </t>
  </si>
  <si>
    <t>2020-2039</t>
  </si>
  <si>
    <t>Galvojums SIA "Jūrmalas ūdens" aizņēmumam projekta "Jūrmalas ūdenssaimniecības attīstības projekts IV kārta" īstenošanai</t>
  </si>
  <si>
    <t>Ilgtermiņa saistības</t>
  </si>
  <si>
    <t>Saistības pavisam kopā:</t>
  </si>
  <si>
    <t>Atmaksājamā pamatsumma</t>
  </si>
  <si>
    <t>Kredītprocenti</t>
  </si>
  <si>
    <t>Jūrmalas pilsētas Labklājības pārvalde</t>
  </si>
  <si>
    <t>Sociālā darba daļa</t>
  </si>
  <si>
    <t>Atbalsts ģimenēm ar bērniem</t>
  </si>
  <si>
    <t>10.400</t>
  </si>
  <si>
    <t>Pabalsts audžu  ģimenei</t>
  </si>
  <si>
    <t>JPAS_J10 JPAP_P3.5_R3.5.1_216</t>
  </si>
  <si>
    <t>MK noteikumi Nr.1036 (19.12.2006.)'' Audžuģimeņu noteikumi''. Pabalsti paredzēti sešām audžu ģimenēm - Jūrmalā - 2 ģimene (katrā ģimenē1 bērns). Citur Latvijā 4 ģimenes (katrā ģimenē 1 bērns). JPD Saistošie noteikumi nr. 49 paredz pabalstu bērna uzturam 75% apmērā no Valstī noteiktās minimālās algas - 6 bērni, katram 322.50 euro mēnesī; kā arī atlīdzība vecākiem, dzīvojošiem Jūrmalā 114 euro par katru bērnu. Pabalsts mīkstā inventāra un apģērba iegādei 300 euro gadā katram bērnam. Pabalsta audžu ģimenei aprēķins - (6 x 322.5 x12)+(6 x 300) = 25020 euro, atlīdzības audžu ģimenes vecākiem aprēķins - 2 x 114 x 12 = 2736 euro.</t>
  </si>
  <si>
    <t>Atlīdzība audžu ģimenes vecākiem</t>
  </si>
  <si>
    <t xml:space="preserve">Pabalsts jaundzimušā aprūpei </t>
  </si>
  <si>
    <t>JPAS_J10 JPAP_P3.5_R3.5.1_223</t>
  </si>
  <si>
    <t>JPD Saistošie noteikumi Nr.51 (17.10.2013.)- 500 euro par katru jaundzimušo. 2019.gadā pabalstu saņēma vidēji 52-55 jaundzimušie mēnesī.</t>
  </si>
  <si>
    <t>Pabalsts aizbildņiem</t>
  </si>
  <si>
    <t>JPD Saistošie noteikumi Nr.47. (17.10.2013.)- 55 euro/mēnesī par bērnu par aizbildņa pienākumu veikšanu aprūpējot divus un vairāk bērnus (16 aizbildņi)</t>
  </si>
  <si>
    <t>Pabalsts kultūras pasākumu apmeklēšanai daudzbērnu ģimenēm</t>
  </si>
  <si>
    <t>JPAS_J10 JPAP_P3.5_R3.5.1_217</t>
  </si>
  <si>
    <t xml:space="preserve">JPD Saistošie noteikumi Nr.66 (17.10.2013.) ''Par Jūrmalas pilsētas pašvaldības sociālo un pašvaldības palīdzību'' - pabalsta apmērs- līdz 20euro/gadā personai. </t>
  </si>
  <si>
    <t>Ziemassvētku apsveikums aizbildnībā esošiem bērniem un bērniem no sociālā riska ģimenēm</t>
  </si>
  <si>
    <t xml:space="preserve">Ikgadējais Ziemassvētku pasākums bērniem. </t>
  </si>
  <si>
    <t>Sociālās rehabilitācijas pakalpojumu nodrošināšana bērnam invalīdam VSAC''Rīga'' filiālē ''Rīga''</t>
  </si>
  <si>
    <t>JPAS_J10 JPAP_P3.5_R3.5.1_220</t>
  </si>
  <si>
    <t>viena bērna pakalpojuma izmaksas VSAC ''Rīga'' filiāle ''Rīga'' 2019.gadā EUR 35.48 no 2020.gada 48.63 EUR</t>
  </si>
  <si>
    <t>Mājokļa atbalsts</t>
  </si>
  <si>
    <t>10.600</t>
  </si>
  <si>
    <t>īres maksa par īrētiem dzīvokļiem bāreņiem un bez vecāku gādības palikušiem bērniem pēc ārpusģimenes aprūpes beigšanās, līdz pašvaldība nodrošina ar dzīvojamo platību</t>
  </si>
  <si>
    <t>JPAS_J10 JPAP_P3.5_R3.5.1_224</t>
  </si>
  <si>
    <t>MK noteikumi Nr. 857 (15.11.2005) nosaka sociālās garantijas bārenim un bez vecāku gādības palikušam bērnam, kurš ir ārpusģimenes aprūpē, kā arī pēc ārpusģimenes aprūpes beigšanās (2019.gadā 12 personas,  īres maksas apmērs 100 euro mēnesī, saskaņā ar tirgus izpēti par īres maksām Jūrmalā un Rīgā )</t>
  </si>
  <si>
    <t>Pārējais citur nekvalificēts atbalsts sociāli atstumtām personām</t>
  </si>
  <si>
    <t>Pabalsts garā slimo rīcības nespējīgo personu aizgādnim</t>
  </si>
  <si>
    <t>JPD Saistošie noteikumi Nr.63 (17.10.2013) - 72 euro/mēnesī personai, 14 personas-aizgādņi</t>
  </si>
  <si>
    <t>Pabalsts sociālās rehabilitācijas mērķu sasniegšanai</t>
  </si>
  <si>
    <t xml:space="preserve">JPD Saistošie noteikumi Nr.66 (17.10.2013.) ''Par Jūrmalas pilsētas pašvaldības sociālo un pašvaldības palīdzību'' līdz 570 euro personai gadā. </t>
  </si>
  <si>
    <t>MK noteikumi Nr. 857 (15.11.2005) nosaka sociālās garantijas bārenim un bez vecāku gādības palikušam bērnam, kurš ir ārpusģimenes aprūpē, kā arī pēc ārpusģimenes aprūpes beigšanās. 2019.gadā pabalstu izglības apguvei saņem 27 personas (2018.gadā 29 peronas), t.sk. divas personas ar invaliditāti). Pabalsta apmērs no 01.01.2020.plānots 99 euro mēnesī(2019.gadā -  64.03 euro mēnesī, personām ar invaliditāti 106.72 euro mēnesī). (pabalsta aprēķins - (14 x 99 x10) + (2 x 106.72 x 10)= 15995 euro</t>
  </si>
  <si>
    <t xml:space="preserve">Bērnu namu audzēkņiem un aizbildnībā esošiem bērniem sasniedzot pilngadību </t>
  </si>
  <si>
    <t>JPD Saistošie noteikumi Nr.66 un MK noteikumi Nr. 857 (15.11.2005) nosaka sociālās garantijas bārenim un bez vecāku gādības palikušam bērnam, kurš ir ārpusģimenes aprūpē, kā arī pēc ārpusģimenes aprūpes beigšanās pabalstiem bērnu uzturam 150 euro un sadzīves priekšmetu iegādei 350 euro. 2020.gadā 3 personas no b/n''Sprīdītis'' un 6 personas no aizbildnībā esošiem bērniem. (pabalsta aprēķins - (9 x 500)= 4500 euro)</t>
  </si>
  <si>
    <t>Sociālās rehabilitācijas pakalpojumu sniegšana no vardarbības cietušām un vardarbību veikušām pilngadīgām personām</t>
  </si>
  <si>
    <t>Ministru kabineta noteikumi Nr.790 (23.12.14.) ,, Sociālās rehabilitācijas pakalpojumu sniegšanas kārtība no vardarbības cietušām un vardarbību veikušām pilngadīgām personām’’</t>
  </si>
  <si>
    <t>Jūrmalas pilsētas attīstības stratēģija 2010-2030 (JPAS)</t>
  </si>
  <si>
    <t>Aktivitāte: J10 sociāli drošas vides nodrošināšana</t>
  </si>
  <si>
    <t>Prioritāte P3.5. “kvalitatīvs sociālais atbalsts”</t>
  </si>
  <si>
    <t>Rīcības virziens: R3.5.1. Sociālo pakalpojumu attīstība</t>
  </si>
  <si>
    <t>Aktivitāte: Nr.216 Sociālā atbalsta infrastruktūras attīstība</t>
  </si>
  <si>
    <t>Aktivitāte: Nr.217 Daudzbērnu ģimeņu atbalsta pasākumi</t>
  </si>
  <si>
    <t>Aktivitāte: Nr.220 Sociālās aprūpes un sociālās rehabilitācijas pakalpojumu pieejamība</t>
  </si>
  <si>
    <t>Aktivitāte: Nr.223 Kvalitatīva sociālās palīdzības nodrošināšana un sociālā atbalsta sniegšana</t>
  </si>
  <si>
    <t>Aktivitāte: Nr.224 Kvalitatīva sociālā atbalsta sniegšana mazaizsargātām personām mājokļa nodrošināšanai</t>
  </si>
  <si>
    <t>Sociālās palīdzības daļa</t>
  </si>
  <si>
    <t>Sociālā aizsardzība invaliditātes gadījumā</t>
  </si>
  <si>
    <t>10.120</t>
  </si>
  <si>
    <t xml:space="preserve">Pabalsts personām ar funkcionāliem traucējumiem </t>
  </si>
  <si>
    <t>JPAS_J10; JPAP_P3.5_R3.5.1 - 223</t>
  </si>
  <si>
    <t>JPD Saistošie noteikumiNr.66 (17.10.2013.) ''Par Jūrmalas pilsētas pašvaldības sociālo un pašvaldības palīdzību'' - trūcīgām un maznodrošinātām personām pabalsta apmērs līdz 150 euro/gadā</t>
  </si>
  <si>
    <t xml:space="preserve">Speciāli pielāgota autotransporta degvielas iegādes apmaksa </t>
  </si>
  <si>
    <t>JPD Saistošie noteikumi Nr.48 (17.10.2013.) - 2019.gadā 10 pesonas saņēma pabalstu degvielas iegādei pielāgotam autotransportam 18 euro mēnesī . Pabalsta aprēķins 10 x 18 x12 = 2160 euro</t>
  </si>
  <si>
    <t>Atbalsts gados veciem cilvēkiem</t>
  </si>
  <si>
    <t>10.200</t>
  </si>
  <si>
    <t xml:space="preserve">Veselības aprūpes pabalsts </t>
  </si>
  <si>
    <t xml:space="preserve">JPD Saistošie noteikumi Nr.66 (17.10.2013.) ''Par Jūrmalas pilsētas pašvaldības sociālo un pašvaldības palīdzību'' - pabalsta apmērs līdz 120 euro vientuļiem pensionāriem/invalīdiem, līdz 86 euro gadā pārējiem šīs kategorijas pabalstu saņēmējiem. pabalstu saņem vidēji 105 personas mēnesī </t>
  </si>
  <si>
    <t>Veselības uzlabošanas pabalsts pensijas vecuma cilvēkiem</t>
  </si>
  <si>
    <t xml:space="preserve">Pabalsts garentētā minimālā ienākumu GMI līmeņa nodrošināšanai </t>
  </si>
  <si>
    <t>JPD Saistošie noteikumi Nr.66 (17.10.2013.) ''Par Jūrmalas pilsētas pašvaldības sociālo un pašvaldības palīdzību'' - pilngadīgai personai-57euro/mēnesī; bērnam-65euro/mēnesī (2020.gadā plānots 64 euro/mēnesī pilngadīgai personai) MK not.nr.454 (01.10.19)</t>
  </si>
  <si>
    <t>JPD Saistošie noteikumi Nr.66 (17.10.2013.) ''Par Jūrmalas pilsētas pašvaldības sociālo un pašvaldības palīdzību'' - līdz 86 euro personai gadā</t>
  </si>
  <si>
    <t>Pabalsts ģimenēm, kurās bērns uzsāk mācības pirmajā klasē</t>
  </si>
  <si>
    <t xml:space="preserve">JPD Saistošie noteikumi Nr.66 (17.10.2013.) ''Par Jūrmalas pilsētas pašvaldības sociālo un pašvaldības palīdzību'' Jūrmalas skolās 2019.gadā pirmo reizi uz skolu devās 446 bērni. </t>
  </si>
  <si>
    <t>Pabalsts skolas piederumu iegādei daudzbērnu ģimenēm</t>
  </si>
  <si>
    <t>JPAS_J10; JPAP_P3.5_R3.5.1 - 217</t>
  </si>
  <si>
    <t xml:space="preserve">JPD Saistošie noteikumi Nr.66 (17.10.2013.) ''Par Jūrmalas pilsētas pašvaldības sociālo un pašvaldības palīdzību'' Vidēji katrā ģimenē mācību iestādes apmeklē 2-3 bērni (pabalsta aprēķins - 139 x 2.7 x 50 = 18765 euro) </t>
  </si>
  <si>
    <t>Pabalsts izglītības ieguves atbalstam</t>
  </si>
  <si>
    <t>JPD Saistošie noteikumi Nr.66 (17.10.2013.) ''Par Jūrmalas pilsētas pašvaldības sociālo un pašvaldības palīdzību'' -trūcīgām un maznodrošinātām personām, pabalsta apmērs līdz 72 euro</t>
  </si>
  <si>
    <t>Dzīvokļa pabalsts</t>
  </si>
  <si>
    <t>JPD Saistošie noteikumi Nr.66 (17.10.2013.) ''Par Jūrmalas pilsētas pašvaldības sociālo un pašvaldības palīdzību'' trūcīgām un maznodrošinātām personām</t>
  </si>
  <si>
    <t>JPD Saistošie noteikumi Nr.66 (17.10.2013.) ''Par Jūrmalas pilsētas pašvaldības sociālo un pašvaldības palīdzību'' pakalpojumu sniedzējam</t>
  </si>
  <si>
    <t>JPD Saistošie noteikumi Nr.66 (17.10.2013.) ''Par Jūrmalas pilsētas pašvaldības sociālo un pašvaldības palīdzību''</t>
  </si>
  <si>
    <t xml:space="preserve">JPD Saistošie noteikumi Nr.66 (17.10.2013.) ''Par Jūrmalas pilsētas pašvaldības sociālo un pašvaldības palīdzību'', kas neatbilst trūcīgas vai maznodrošinātas personas statusam </t>
  </si>
  <si>
    <t xml:space="preserve">Pārējais citur nekvalificēts atbalsts sociāli atstumtām personām </t>
  </si>
  <si>
    <t>JPD Saistošie noteikumi Nr.66 (17.10.2013.) ''Par Jūrmalas pilsētas pašvaldības sociālo un pašvaldības palīdzību'' - pilngadīgai personai-57euro/mēnesī; bērnam-65euro/mēnesī; vientuļam pensionāram, invalīdam vai valsts sociālā nodrošinājuma pabalsta saņēmējam 120 euro mēnesī (2020.gadā plānots 64 euro/mēnesī pilngadīgai personai)MK not.nr.454 (01.10.19)</t>
  </si>
  <si>
    <t>JPD Saistošie noteikumi Nr.66 (17.10.2013.) ''Par Jūrmalas pilsētas pašvaldības sociālo un pašvaldības palīdzību'' - pabalsta apmērs līdz 86 euro gadā personai</t>
  </si>
  <si>
    <t>Apbedīšanas pabalsts</t>
  </si>
  <si>
    <t>JPD Saistošie noteikumi Nr.66 (17.10.2013.) ''Par Jūrmalas pilsētas pašvaldības sociālo un pašvaldības palīdzību'' līdz 350 euro par personu, kā arī starpība starp VSAA pabalstu un pašvaldības pabalstu gadā apm.37 personas</t>
  </si>
  <si>
    <t xml:space="preserve">Vienreizējie pabalsti krīzes situācijās, kā arī stihiskas nelaimes gadījumiem un ugunsgrēka gadījumiem   </t>
  </si>
  <si>
    <t>Pārējie citur neklasificētie sociālās aizsardzības pasākumi</t>
  </si>
  <si>
    <t>10.920</t>
  </si>
  <si>
    <t>Jūrmalas pašvaldības pabalsts politiski represētām personām</t>
  </si>
  <si>
    <t>JPD Saistošie noteikumi Nr.46. (17.10.2013.) - 72 euro/mēnesī personai (3354 personas)</t>
  </si>
  <si>
    <t>Pabalsts ilgdzīvotājiem</t>
  </si>
  <si>
    <t>Personas,  kas sasniegušas 100 un vairāk gadu (2020 gadā 7 personas)</t>
  </si>
  <si>
    <t>Pabalsts personām ar izcilu mūža ieguldījumu Jūrmalas pilsētas attīstībā</t>
  </si>
  <si>
    <t>Atsevišķi domes lēmumi. 2019.gadā 11 personas  (no jūlija 10 personas)- 100 euro mēnesī. 2020.gadā plānotas vēl 3 personas</t>
  </si>
  <si>
    <t>Pabalsts Černobiļas atomelektrostacijas avārijas seku likvidēšanas dalībniekiem</t>
  </si>
  <si>
    <t>JPD Saistošie noteikumi Nr.17. (26.04.2018.) - 1000 euro/gadā personai (56 personas)</t>
  </si>
  <si>
    <t>Sociālo pakalpojumu daļa</t>
  </si>
  <si>
    <t xml:space="preserve">Pabalsts mājokļa vides pieejamības nodrošināšanai    </t>
  </si>
  <si>
    <t>JPAS_J10; JPAP_P3.5_R3.5.1_ 216</t>
  </si>
  <si>
    <t xml:space="preserve">JPD Saistošie noteikumi Nr.50 (17.10.2013.) - 2846 euro par vienu gadījumu </t>
  </si>
  <si>
    <t>Ergoterapeita vides novērtējumam, ja prasītājs ir trūcīga persona</t>
  </si>
  <si>
    <t>JPD Saistošie noteikumi Nr.50 (17.10.2013.)</t>
  </si>
  <si>
    <t>Ergoterapeita novērtējuma nodrošināšana</t>
  </si>
  <si>
    <t>JPAS_J10; JPAP_P3.5_R3.5.1_ 223</t>
  </si>
  <si>
    <t>Pašvaldības ergoterapeita atzinuma nodrošināšanai, saskaņā ar LR MK noteikumiem Nr.805. Tiek veikta iepirkuma procedūra. Iepirkuma procedūras rezultātā - 25 euro par gadījumu, mēnesī 16-18 novērtējumi.</t>
  </si>
  <si>
    <t>Asistenta pakalpojuma nodrošināšana (Valsts atmaksāts)</t>
  </si>
  <si>
    <t>asistenti uz uzņēmuma līguma pamata (apm.200 personas) MK not. Nr. 942 (18.12.2012)</t>
  </si>
  <si>
    <t>asistenti kā pašnodarbinātas personas (20 personas ) MK not. Nr. 942 (18.12.2012)</t>
  </si>
  <si>
    <t>degviela MK not. Nr. 942 (18.12.2012)</t>
  </si>
  <si>
    <t>asistenti VSAOI uz uzņēmuma līguma pamata MK not. Nr. 942 (18.12.2012)</t>
  </si>
  <si>
    <t xml:space="preserve">Veselības un sociālās aprūpes centrs - Sloka -sociālās aprūpes nodaļa SAN   </t>
  </si>
  <si>
    <t>JPAS_J10; JPAP_P3.5_R3.5.1_ 220</t>
  </si>
  <si>
    <r>
      <t xml:space="preserve">25 gultas finansējums no pašvaldības budžeta _JPD saistošie noteikumi nr.2 (17.01.2009.) (2018.gadā -  </t>
    </r>
    <r>
      <rPr>
        <b/>
        <sz val="10"/>
        <rFont val="Times New Roman"/>
        <family val="1"/>
        <charset val="186"/>
      </rPr>
      <t>21.91</t>
    </r>
    <r>
      <rPr>
        <sz val="10"/>
        <rFont val="Times New Roman"/>
        <family val="1"/>
        <charset val="186"/>
      </rPr>
      <t xml:space="preserve"> euro/dienā (t.sk.pensijas)   (JPD SN Nr.39 (19.12.2017.) 32. pielikums))</t>
    </r>
  </si>
  <si>
    <t>SIA''Pansionāts Dzimtene'' līdz 1998.gada 1.janvārim ievietotajiem iemītniekiem paredzētie līdzekļi</t>
  </si>
  <si>
    <t>Viena persona 460x12=5520(dotācija no valsts)</t>
  </si>
  <si>
    <t>sociālie dzīvokļi un mājas</t>
  </si>
  <si>
    <t>JPAS_J10; JPAP_P3.5_R3.5.1_ 224</t>
  </si>
  <si>
    <t>Jūrmalas pilsētas domes saistošie noteikumi Nr.40 (20.10.2016) ''Par Jūrmalas pilsētas pašvaldības palīdzību dzīvokļa jautājumu risināšanā'' (47.punkts) Sociālās dzīvojamās telpas īrnieks maksā 25 procentus no sociālās dzīvojamās telpas īres maksas, apkures, kanalizācijas, aukstā un karstā ūdens pakalpojumu maksas. Atlikušie 75 procenti no īres maksas, apkures, kanalizācijas, aukstā un karstā ūdens pakalpojumu maksas, pamatojoties uz dzīvojamās telpas apsaimniekotāja iesniegtajiem maksājuma dokumentiem, tiek segti no pašvaldības budžeta līdzekļiem</t>
  </si>
  <si>
    <t xml:space="preserve">Pārējais citur nekvalificēts atbalsts sociāli atstumtām personām  </t>
  </si>
  <si>
    <t xml:space="preserve">Veselības un sociālās aprūpes centrs - Sloka -īslaicīga sociālās aprūpes un sociālās rehabilitācijas nodaļa SASRN    </t>
  </si>
  <si>
    <t>15 gultas finansējums no pašvaldības budžeta _JPD saistošie noteikumi nr.2 (17.01.2009.) (2018.gadā -  35.69 euro/dienā (t.sk.personas līdzmaksājums)   (JPD SN Nr.Nr.39 (19.12.2017.) 32. pielikums))</t>
  </si>
  <si>
    <t xml:space="preserve">Veselības un sociālās aprūpes centrs - Sloka - Veselības un sociālās aprūpes nodaļa   </t>
  </si>
  <si>
    <t>20 gultas finansējums no pašvaldības budžeta _JPD saistošie noteikumi nr.2 (17.01.2009.) (2018.gadā -  35.56 euro/dienā (t.sk.personas līdzmaksājums)   (JPD SN Nr.Nr.39 (19.12.2017.) 32. pielikums))</t>
  </si>
  <si>
    <t xml:space="preserve">Pabalsts aprūpes mājās nodrošināšanai </t>
  </si>
  <si>
    <t>JPD Saistošie noteikumi Nr.66 (17.10.2013.) ''Par Jūrmalas pilsētas pašvaldības sociālo un pašvaldības palīdzību'' līdz 57euro/mēnesī personai. Aprēķināts līdz 4 personām</t>
  </si>
  <si>
    <t>Higiēnas un sociālo iemaņu apgūšanas pakalpojumu nodrošinājums sociāli mazaizsargātiem pašvaldības iedzīvotājiem</t>
  </si>
  <si>
    <t>iepirkuma procedūras rezultātā - Higiēnas centrs ''Sarkanais krusts'' - līdz 1000 euro mēnesī. Personas, kuras iepriekš apmeklēja Romu dienas centru, tagad izmanto pieajamo pakalpojumu, tāpēc pieprasījums pēc Romu dienas centra ir mazinājies, iepirkuma procedūra par pakalpojumu - Romu dienas centrs netiks veikta.</t>
  </si>
  <si>
    <t>Aktivitāte: J5 droša pilsēta</t>
  </si>
  <si>
    <t>Aktivitāte: J6 labs mājoklis</t>
  </si>
  <si>
    <t>Veselības aprūpes nodaļa</t>
  </si>
  <si>
    <t>Specializēto medicīnisko pakalpojumu līdzfinansējums</t>
  </si>
  <si>
    <t>07.220</t>
  </si>
  <si>
    <t>Bērnu ortodontija un sakodiena anomāliju izdevumu segšana</t>
  </si>
  <si>
    <t>JPAS_J8 JPAP_P3.6_R3.6.1._226  VVP_2.3.4._1._1.3.</t>
  </si>
  <si>
    <t>Katru gadu notiek iepirkuma procedūra par pakalpojuma iepirkšanu - 2019.gadā noslēgts līgums ar SIA ''Modus Invest'' Pakalpojums tiek nodrošināts saskaņā ar Veselības veicināšanas plāna 2013.-2020.gadam</t>
  </si>
  <si>
    <t>Eksperta-ortodonta novērtējuma apmaksa</t>
  </si>
  <si>
    <t>Saistošo noteikumu izpildes nodrošinājuma kontroles funkcijas veikšanai pieaicināta eksperta-konsultanta apmaksa</t>
  </si>
  <si>
    <t>Atkarību profilakses programmu finansējums</t>
  </si>
  <si>
    <t>07.410</t>
  </si>
  <si>
    <t>Atkarību profilakses centra darba nodrašinājums, tajā skaitā pa klasifikācijas kodiem:</t>
  </si>
  <si>
    <t>JPAS_J8 JPAP_P3.6_R3.6.2._227 VVP_2.3.3._4._4.3., 5._5.8.</t>
  </si>
  <si>
    <t xml:space="preserve">Atkarību profilakses centra telpas Nometņu 2a apsaimniekošanas izdevumi </t>
  </si>
  <si>
    <t>Atkarību profilakses centra telpas Nometņu 2a izdevumi par atkritumiem</t>
  </si>
  <si>
    <t>ūdens un kanalizācija</t>
  </si>
  <si>
    <t xml:space="preserve">Atkarību profilakses centra telpas Nometņu 2a izdevumi par elektrību </t>
  </si>
  <si>
    <t xml:space="preserve">Atkarību profilakses centra Nometņu 2a - 113 interneta  izdevumumi </t>
  </si>
  <si>
    <t>Apkures izdevumi centrā</t>
  </si>
  <si>
    <t>Kancelejas preces Atkarību profilakses centram Nometņu 2a</t>
  </si>
  <si>
    <t>konteineri šļircēm 20 gb x 8.1 EUR</t>
  </si>
  <si>
    <t>Iepirkums  ''Par pakalpojumu sniegšanu mobilajā atkarību profilakses punktā un atkarību centrā Jūrmalas pilsētā'' - Katru gadu notiek iepirkuma procedūra par pakalpojuma iepirkšanu. 2019.gadā līgums ar biedrību ''Artemīda'' ; Izlietoto šļirču utilizācija.</t>
  </si>
  <si>
    <t>ECAD projektiem</t>
  </si>
  <si>
    <t>JPAS_J8 JPAP_P3.6_R3.6.2._227  VVP_2.3.3._2._2.1.</t>
  </si>
  <si>
    <t xml:space="preserve">ECAD projektiem </t>
  </si>
  <si>
    <t>Nometnes bērniem un pusaudžiem par dzīvi kopā ar cilvēku, kurš cieš no atkarībām</t>
  </si>
  <si>
    <t>Vasaras nometnes 20 bērniem - Vienas diennakts nometnes (5diennaktis) vidējās izmaksas (ēdināšana  aptuveni 20 bērniem, telpas, nodarbību vadītāji, pieskatītāji,  nodarbību materiāli, transporta, u.c.izmaksas) 6000 eiro</t>
  </si>
  <si>
    <t>Dalības maksa ECAD (Eiropas pilsētu kustība pret narkotikām)</t>
  </si>
  <si>
    <t>Dalības maksa ECAD</t>
  </si>
  <si>
    <t>Informatīvas aktivitātes pret atkarību izraisošu vielu lietošanu iedzīvotāju vidū personām darbspējas vecumā **</t>
  </si>
  <si>
    <t xml:space="preserve">JPAS_J8 JPAP_P3.6_R3.6.2._227 VVP_2.3.3._5._5.1. </t>
  </si>
  <si>
    <t xml:space="preserve"> Aktivitātes īstenošanai sertificēta speciālista sagatavotas atbildes 10 mēnešix150 EUR/mēnesī=1500 EUR, specializētas mājas lapas un piesaistīta e-pasta izveide un uzturēšana 400 EUR, plakātu izgatavošana aktivitāšu informēšanai, maketa izstrāde un 30 gb A3 plakātu druka = 100EUR</t>
  </si>
  <si>
    <t>Pārējo veselības aprūpes pakalpojumu līdzfinansējums</t>
  </si>
  <si>
    <t>07.620</t>
  </si>
  <si>
    <t>Protezēšanas izdevumi</t>
  </si>
  <si>
    <t>JPAS_J8 JPAP_P3.6_R3.6.1._226  VVP_2.3.4._3._3.2.</t>
  </si>
  <si>
    <t xml:space="preserve">Protezēšanas pakalpojumi saskaņā ar Saistošajiem noteikumiem Nr.67 (17.10.2013) ''Par veselības veicināšanas pakalpojumiem'' (25% atlaide pensionāriem 7-12 cilv.mēnesī). </t>
  </si>
  <si>
    <t>JPAS_J8 JPAP_P3.6_R3.6.1._226, VVPJP 2.3.4</t>
  </si>
  <si>
    <t>Saistošie noteikumi Nr.2 (17.01.2008.) ''Par sociāliem pakalpojumiem'' (bezpajumtniekiem un trūcīgām personām)</t>
  </si>
  <si>
    <t>Starptautiski projekti(dalības maksa)</t>
  </si>
  <si>
    <t>JPAS_J8 JPAP_P3.6_R3.6.1._226</t>
  </si>
  <si>
    <r>
      <rPr>
        <i/>
        <sz val="8"/>
        <rFont val="Times New Roman"/>
        <family val="1"/>
        <charset val="186"/>
      </rPr>
      <t>Healthy city</t>
    </r>
    <r>
      <rPr>
        <sz val="8"/>
        <rFont val="Times New Roman"/>
        <family val="1"/>
        <charset val="186"/>
      </rPr>
      <t xml:space="preserve"> projekta dalības maksa (6000USD) JPD lēmums Nr.84. (21.02.2019)</t>
    </r>
  </si>
  <si>
    <t xml:space="preserve">Psihologu/psihoterapeitu pakalpojumi       </t>
  </si>
  <si>
    <t>JPAS_J8 JPAP_P3.6_R3.6.1._226, VVP_2.4.4._3._3.3.</t>
  </si>
  <si>
    <t>Pamatojoties uz Jūrmalas pilsētas Veselības veicināšanas plāna 2013.-2020.gadam 2.4.4. punktu ''garīgā veselība'' un , lai veiktu normatīvos aktos (Bērnu tiesību aizsardzības likums, Bāriņtiesas likum) noteiktos uzdevumus (Iepirkuma procedūra)</t>
  </si>
  <si>
    <t>Ratiņdeju nodarbības cilvēkiem ar invaliditāti</t>
  </si>
  <si>
    <t>JPAS_J8 JPAP_P3.6_R3.6.1._227, VVP_2.3.2._4._4.1.</t>
  </si>
  <si>
    <t xml:space="preserve">1 nodarbība ilgst 1 stundu. Paredzētas 25 nodarbības. Ratiņdeju nodarbība 134 eiro (telpu noma, transporta izmaksas nokļūšanai uz nodarbībām, nodarbību vadītājs un asistents) </t>
  </si>
  <si>
    <t xml:space="preserve">Adapīvā golfa un bočia nodarbības cilvēkiem ar pārvietošanās grūtībām </t>
  </si>
  <si>
    <t>Paredzētas 10 Bočia nodarbības un 10 Adaptīvā golfa nodarbības. Kopā 20 nodarbības, nodarbības cena 54.17 EUR. Aprēķins 54.17 x 20 = 1084 EUR</t>
  </si>
  <si>
    <t>Adaptīvā peldēšanas apmācība cilvēkiem ar pārvietošanās grūtībām</t>
  </si>
  <si>
    <t>1 cilvēkam paredzētas 12 peldēšanas nodarbības, kuras ilgums 1 stunda. Kopā 20 personām - 240 nodarbības (cena 34,13 EUR)</t>
  </si>
  <si>
    <t>Trenažieru zāles nodarbības cilvēkiem ar pārvietošanās grūtībām</t>
  </si>
  <si>
    <t>1 cilvēkam paredzētas 12 nodarbības, kuras ilgums 1 stunda. Kopā 20 personām - 240 nodarbības (cena 34,13 EUR par nodarbību)</t>
  </si>
  <si>
    <t>Fiziskas aktivitātes iedzīvotājiem, kas pārvietojas ratiņkrēslā, izmantojot pilsētas piedāvātos resursus</t>
  </si>
  <si>
    <t>Asistenta pakalpojumi pieejami tikai vasaras sezonas laikā, trīs mēnešus gadā Kauguru un Jaunķemeru pludmalēs, Asistents aktivitātēm Jūrmalā pakalpojuma cena 20 EUR/stundā</t>
  </si>
  <si>
    <t>Nodarbības fizioterapeita vadībā Pastaigu maršrutos cilvēkiem ar dažādām saslimšanām un invalditāti veselības veicināšanai</t>
  </si>
  <si>
    <t xml:space="preserve"> Kvalificēts speciālists 1,5 stundas garumā vadīs trīs maršrutos fiziskās aktivitātes. Nodarbības cena 35 EUR Paredzētas 40 nodarbības
</t>
  </si>
  <si>
    <t>Veselību veicinošu pasākumu kopuma senioriem nodrošināšana</t>
  </si>
  <si>
    <t xml:space="preserve">Pamatojoties uz Jūrmalas pilsētas Veselības veicināšanas plāna 2013.-2020.gadam 2.3.2. punktu ''fizisko aktivitāšu veicināšana''  4.uzdevums - fiziskās aktivitātes kā sociālās iekļaušanās iespēja. Plānotais pakalpojuma saņēmēju skaits 300 personas gadā, kur viena pakalpojuma izmaksas 48 euro. Uz 01.10.2019 pakalpojumu izmanto 220 personas, pakalpojuma piešķiršanu gaida vēl 60 personas </t>
  </si>
  <si>
    <t>Grūtnieču un jauno māmiņu fizisko aktivitāšu uzlabošana (veicināšana)</t>
  </si>
  <si>
    <t>JPAS_J8 JPAP_P3.6_R3.6.1._227, VVP_2.3.2._3._3.1.</t>
  </si>
  <si>
    <t>Pamatojoties uz Jūrmalas pilsētas Veselības veicināšanas plāna 2013.-2020.gadam 2.3.2. punktu ''fizisko aktivitāšu veicināšana''  3.uzdevums - grūtnieču un jauno māmiņu fizisko aktivitāšu uzlabošana  Plānotais pakalpojuma saņēmēju skaits 106 personas gadā, kur viena pakalpojuma izmaksas 150 euro. Uz 01.10.2019 pakalpojumāiesaistītas 84 personas, uz pakalpojuma piešķiršanu gaida vēl 27-30 personas</t>
  </si>
  <si>
    <t>Cigun nodarbības</t>
  </si>
  <si>
    <t>JPAS_J8 JPAP_P3.6_R3.6.2._227, VVP_2.3.2._2._2.3.</t>
  </si>
  <si>
    <t>Nodrošinot divas reizes nedēļā nodarbību nepārtrauktību visa gada garumā (VI - IX nodarbības tiek nodrošinātas ESF 9.2.4.2.projekta ietvaros) Aprēķins - 34 nedēļas x 2 x 109 = 7412 EUR Vienas nodarbības izmaksas - 109 EUR (t.sk.nodokļi), nodarbības notiks pašvaldības telpās no I līdz V un no X līdz XII; kā arī nodarbības vasaras mēnešos VI - IX Aprēķins - 18 nedēļas x 2 x 78.95 EUR = 2842.2 EUR un PVN = 3439 Vienas nodarbības izmaksas - 78.95 EUR un pvn 2019.gadā nodarbību skaits tiek nodrošināts piešķirtā finansējuma apmērā.</t>
  </si>
  <si>
    <t>Jogas nodarbības</t>
  </si>
  <si>
    <t>Nodrošinot divas reizes nedēļā nodarbību nepārtrauktību visa gada garumā (VI - VIII nodarbības tiek nodrošinātas ESF 9.2.4.2.projekta ietvaros) Aprēķins - 38 nedēļas  Vienas nodarbības izmaksas - 65 EUR (t.sk.nodokļi), nodarbības notiks pašvaldības telpās no I līdz V un no IX līdz XII; kā arī nodarbības vasaras mēnešos VI - IX Aprēķins - 18 nedēļas x 2 x 78.95 EUR = 2842.2 EUR un PVN = 3439 Vienas nodarbības izmaksas - 78.95 EUR un pvn  2019.gadā nodarbību skaits tiek nodrošināts piešķirtā finansējuma apmērā.</t>
  </si>
  <si>
    <t>Nodrošinot divas reizes nedēļā nodarbību nepārtrauktību visa gada garumā (V - IX nodarbības tiek nodrošinātas ESF 9.2.4.2.projekta ietvaros) Aprēķins - 29 nedēļas Vienas nodarbības izmaksas - 75 EUR (t.sk.nodokļi), nodarbības notiks pašvaldības telpās no I līdz IV un no X līdz XII, kā arī nodarbības vasaras mēnešos V - IX  Aprēķins - 18 nedēļas Vienas nodarbības izmaksas - 45 EUR (t.sk.nodokļi)18 x 2 x 45 = 1620 EUR . 2019.gadā nodarbību skaits tiek nodrošināts piešķirtā finansējuma apmērā.</t>
  </si>
  <si>
    <t>Nūjošanas nodarbības iedzīvotājiem, t.sk.iedzīvotājiem vecumā virs 54 gadiem, trūcīgajiem un maznodrošinātajiem iedzīvotājiem, izmantojot pilsētas piedāvātos resursus</t>
  </si>
  <si>
    <t>Nūjošanas nodarbības paredzētas 2 x nedēļā visu gadu. Vienas nodarbības ilgums 1.5 stundas. Nūjošanas nodarbības 55 eiro / nod.</t>
  </si>
  <si>
    <t>Līdzfinansējums jaunu veselības aprūpes projektu īstenošanā</t>
  </si>
  <si>
    <t>JPAS_J8 JPAP_P3.6_R3.6.1._227, VVP_2.5._1._1.6.</t>
  </si>
  <si>
    <t xml:space="preserve">  Maksimālais pašvaldības līdzfinansējums projekta aktivitātēm 4000 EUR, paredzot atbastāmo projektu skaitu ar maksimālo līdzfinansējumu 3 projektiem. </t>
  </si>
  <si>
    <t>veselības nedēļa</t>
  </si>
  <si>
    <t>JPAS_J8 JPAP_P3.6_R3.6.1._227, VVP_2.5._1._1.3.</t>
  </si>
  <si>
    <t>Veselības veicināšanas plāns 2013.-2020. gadam Jūrmalas pilsētas pašvaldībā, 2.2 Veselības veicināšana dzīves ciklā. Telpu īre pasākuma norisei un Ēdināšanas izdevumi veselības nedēļas dalībniekiem. Plānotais pasākuma dalībnieku skaits līdz 30 personām.</t>
  </si>
  <si>
    <t>Starptautiska un nacionāla mēroga Veselīgo pilsētu stratēģisko virzienu pieredzes apmaiņas semināri</t>
  </si>
  <si>
    <t>Veselības veicināšanas plāns 2013.-2020. gadam Jūrmalas pilsētas pašvaldībā. 2.5. Mērķis: stiprināt un pilnveidot veselības veicināšanas sistēmu pašvaldībā uzlabot starpsektoru koordinētu darbību. Pamatojoties uz Jūrmalas pilsētas domes 2014.gada 30.janvāra lēmuma Nr. 36  ”Par Jūrmalas pilsētas dalību Pasaules Veselības organizācijas Eiropas Veselīgo pilsētu kustības tīkla 6.fāzē” 2.punktu, kas nosaka sadarboties ar citām Veselīgo pilsētu kustības tīkla pašvaldībām starptautiskā mērogā, Jūrmalas pilsētas Labklājības pārvalde plāno organizēt tikšanās, pieredzes apmaiņas vizītes gan starptautiskā, gan nacionālā līmenī, piesaistot Pasaules veselības organizācijas Eiropas Veselīgo pilsētu tīkla Starptautiskos un Nacionālos pārstāvjus.</t>
  </si>
  <si>
    <t>Zīdīšanas apmācības  **</t>
  </si>
  <si>
    <t>JPAS_J8 JPAP_P3.6_R3.6.1._227, VVP_2.3.1._3._3.1.</t>
  </si>
  <si>
    <t>80 EURx24 nodarbības gadā, 2x mēnesī, nodarbības ilgums 90 min.,iekļautas arī telpu nomas izmaksas; 2020.gadā viss finansējums paredzēts pakalpojuma sniegšanai, t.i. 35 nodarbībām.</t>
  </si>
  <si>
    <t>Aktivitāte: J8 iedzīvotāju veselība</t>
  </si>
  <si>
    <t>Prioritāte P3.6 ''Kvalitatīvi veselības aprūpes pakalpojumi''</t>
  </si>
  <si>
    <t>Rīcības virziens: R3.6.1. Veselības aprūpes pakalpojumu attīstība</t>
  </si>
  <si>
    <t>Aktivitāte: Nr.226 Veselības aprūpes pakalpojumu attīstība</t>
  </si>
  <si>
    <t>Rīcības virziens: R3.6.2. Veselīga dzīvasveida veicināšana</t>
  </si>
  <si>
    <t>Aktivitāte: Nr.227 Veselīga dzīvasveida veicināšanas pasākumu īstenošana</t>
  </si>
  <si>
    <t>Veselības veicināšanas plāns Jūrmalas pilsētai 2013.- 2020.gadam (VVP)</t>
  </si>
  <si>
    <t>2.3.1.  mērķa "Veselīga uztura veicināšana, uztura paradumu uzlabošana", 3.uzdevuma "Zīdīšana", 3.1.pasākums "Veicināt bērna zīdīšanu."</t>
  </si>
  <si>
    <t xml:space="preserve">2.3.2.mērķa "Fiziskās aktivitātes veicināšana", 2.uzdevuma "Izglītības pasākumu organizēšana un fizisko aktivitāšu iespēju paplašināšana iedzīvotājiem darbaspējīgā vecumā", 2.3.pasākums "Radīt iespējas pašvaldībā, kad speciālista vadībā ir iespējas nodarboties ar fiziskām aktivitātēm, gan brīvā dabā, gan telpās (nūjošana, vingrošana ūdenī, vingrošana u.c.). Attīstīt pakalpojumus skeleto muskulārās sistēmas stiprināšanai, muguras sāpju mazināšanai un gaitas korekcijai." </t>
  </si>
  <si>
    <t>2.3.2.mērķa "Fiziskās aktivitātes veicināšana", 3.uzdevumaGrūtnieču un jauno māmiņu fizisko aktivitāšu uzlabošana (veicināšana)", 3.1.pasākums "Organizēt vingrošanas, peldēšanas, nūjošanas grupas grūtniecēm."</t>
  </si>
  <si>
    <t>2.3.2.mērķa "Fiziskās aktivitātes veicināšana", 4.uzdevuma "Fiziskās aktivitātes kā sociālās iekļaušanās iespēja; izglītības pasākumi un infrastruktūras nodrošināšana fiziskām aktivitātēm pieaugušajiem iedzīvotājiem vecumā virs 65 gadiem", 4.1.pasākums "Radīt iespējas pašvaldībā, kad speciālista vadībā ir iespējas nodarboties ar fiziskām aktivitātēm, gan brīvā dabā, gan telpās (nūjošana, vingrošana ūdenī, vingrošana u.c.) bezmaksas, vai nelielu līdzmaksājumu noteiktām mērķgrupām"</t>
  </si>
  <si>
    <t>2.3.3. mērķa "Atkarības vielu ietekmes mazināšana", 2.uzdevuma "Vispārējās profilakses pasākumu plānošana, organizēšana un realizēšana atkarību mazināšanas un kontroles jomā", 2.1.pasākums "Aizkavēt legālo un nelegālo atkarības vielu lietošanas uzsākšanu jauniešiem paaugstinot dzīves prasmes skolās."</t>
  </si>
  <si>
    <t>2.3.3. mērķa "Atkarības vielu ietekmes mazināšana", 4.uzdevuma "Indicētā profilakse", 4.3.pasākums "HIV profilakses punktā veikt šļirču apmaiņu, sniegt individuālas konsultācijas par atkarību mazināšanas un pārtraukšanas iespējām, veikt HIV eksprestestus"</t>
  </si>
  <si>
    <t>2.3.3. mērķa "Atkarības vielu ietekmes mazināšana", 5.uzdevuma "Atkarību profilakses pasākumu veikšana dažādās iedzīvotāju mērķgrupās ", 5.1.pasākums "(darbaspējīgais vecums) Veidot interaktīvu sazināšanos ar sabiedrību, lai vērstu mītu kliedēšanu „par vieglajām un smagajām” narkotikām, ūdens pīpes pīpēšanu un īslaicīgu narkotiku lietošanu. "</t>
  </si>
  <si>
    <t xml:space="preserve">2.3.3. mērķa "Atkarības vielu ietekmes mazināšana", 5.uzdevuma "Atkarību profilakses pasākumu veikšana dažādās iedzīvotāju mērķgrupās ", 5.8.pasākums "(jaunās māmiņas un jaunās ģimenes) HIV profilakses punktā sniegt individuālas konsultācijas
grūtniecēm, kuras lieto narkotikas. </t>
  </si>
  <si>
    <t>2.3.4.mērķa "Mutes dobuma veselība", 1.uzdevuma "Pakalpojumu nodrošināšana un pieejamības veicināšana", 1.3.pasākums "Nodrošināt ortodontijas pakalpojumu sniegšanu pilsētā ar pašvaldības finansiālu atbalstu Jūrmalas pašvaldībā deklarētiem bērniem"</t>
  </si>
  <si>
    <t>2.3.4.mērķa "Mutes dobuma veselība", 3.uzdevuma "Nevienlīdzības mazināšana", 3.1.pasākums "Iekļaut ar zobārstniecību saistīto izdevumu segšanu pašvaldības sociālo pabalstu veselības aprūpei ietvaros trūcīgām un maznodrošinātām personām", 3.2.pasākums "Nodrošināt zobu protezēšanu ar 25 % -50% atlaidi Jūrmalas pilsētā deklarētiem pensionāriem"</t>
  </si>
  <si>
    <t>2.4.4.mērķa "Garīgā veselība", 3.uzdevuma "Informēšanas pasākumi; psiholoģiskās palīdzības nodrošināšana - iedzīvotājiem darbaspējīgā vecumā", 3.3.pasākums "Izveidot pašvaldībā psiholoģiskās palīdzības dienestu, lai nodrošinātu iespēju saņemt kvalificētu speciālistu atbalstu tuvu dzīves vietai, un izstrādāt pakalpojuma apmaksas sistēmu, nosakot atvieglojumus personām tuvinieka zaudējuma, darba zaudējuma gadījumā, kā arī trūcīgām un maznodrošinātām personām."</t>
  </si>
  <si>
    <t xml:space="preserve">2.5. mērķa "Veselības veicināšanas sistēmas stiprināšana, starpsektoru sadarbība", 1.uzdevuma "Nodrošināt pašvaldības dažādu
sektoru ietekmi uz veselības sociālajām determinantēm.", 1.3.pasākums "Izveidot un īstenot apmācības programmu veselības veicināšanas darbā iesaistīto institūciju un organizāciju pārstāvjiem ar mērķi veicināt izpratni par sabiedrības veselību un stiprināt  starpinstitūciju sadarbību.", 1.6.pasākums "Plašāk iesaistīt sabiedrību dažādu programmu/ projektu plānošanā, īstenošanā un izvērtēšanā." </t>
  </si>
  <si>
    <t xml:space="preserve"> ** </t>
  </si>
  <si>
    <t>Aktivitātes iekļautas saskaņā ar 2018.gada 10.oktobra Sociālo, veselības un integrācijas jautājumu komitejas lēmumu par Jūrmalas pilsētas domes Labklājības pārvaldes prioritārajiem pasākumiem 2019.-2021.gadā</t>
  </si>
  <si>
    <t>Sabiedrības integrācijas nodaļa</t>
  </si>
  <si>
    <t>Integrācijas projektu īstenošana</t>
  </si>
  <si>
    <t>8.400</t>
  </si>
  <si>
    <t>Sabiedrības integrācijas programmas realizācija, pašvaldības iedzīvotāju iniciatīvas integrācijas projekti</t>
  </si>
  <si>
    <t>JPAS_J14 JPAP_R3.1.3._133 JPAS_J15 JPAP_R3.5.1._222</t>
  </si>
  <si>
    <t xml:space="preserve">2019.gadā ir divās konkursa kārtās atbalstīti 9 sabiedrības integrācijas projekti ar kopējo JPD līdzfinansējumu 31608.13 EUR. Vairāki projekti iesākas 2019.gadā un turpinās līdz 2020.dada vidum/beigām. Viens no 2019.gadā atbalstītiem projektiem norisināsies tikai 2020.gadā. No kopējās summas 2019.gadā tiks veikti avansa un starpposma maksājumi  24506.46 EUR. 2019. gadā tika veikti pēdējie maksājumi par 2018.gada projektiem - kopējā summa: 2953.70 EUR. tā kā lielākā daļa 2019.gadā iesākto projektu norisināsies 2020.gadā, tad ir priekšlikums samazināt 2020.gada projektu konkursa summu līdz 20 000 EUR, ņemot vērā to, ka par septiņiem 2019.gada iesāktiem projektiem maksājumi 7101.67 EUR apmērā tiks veikti 2020.gadā, tātad piedāvātais kopējais projektu atbalsta budžets ir 27102.00 EUR. </t>
  </si>
  <si>
    <t>Nacionālo vērtību stiprināšana</t>
  </si>
  <si>
    <t>8.620</t>
  </si>
  <si>
    <t>Fotoklubs "Jaunais fokuss"</t>
  </si>
  <si>
    <t>JPAS_J15 JPAP_R3.5.1._222</t>
  </si>
  <si>
    <t xml:space="preserve">9 foto meistarklases, izstādes nodrošināšana. Par pieejamo finansējumu 2019.gadā papildus izstādes izeveidošanai bija iespējams nodrošināt 7 foto meistarklases.  2020.gadā ir plānots paplašināt meistarklašu programmu, palielienot nodarbību skaitu līdz 9. Papildus līdzekļus (150.00 EUR) ir piedāvāts novirzīt no aktivitātes EKK 2231 izmaksām (kafijas galds izstādes atklāšanai).   </t>
  </si>
  <si>
    <t>kalendāru izgatavošana (galda kalendāri 200 gab.)</t>
  </si>
  <si>
    <t>kafijas galds</t>
  </si>
  <si>
    <t>Latviskās identitātes stiprināšanas programma latviešu nacionālo vērtību stiprināšanai</t>
  </si>
  <si>
    <t xml:space="preserve">Radošo darbnīcu un izglītošo ekskursiju organizēšana.  </t>
  </si>
  <si>
    <t>Etniskā integrācija</t>
  </si>
  <si>
    <t>Valsts valodas apmācība mazākumtautību pārstāvjiem un nepilsoņiem</t>
  </si>
  <si>
    <t xml:space="preserve">Valodas kursi A1, A2, B1, B2 līmeņos (120 akadēmiskās stundas katrā līmenī), C1, C2 līmeņos (100 akadēmiskās stundas katrā līmenī) sešām grupām, kopā līdz 100 personām. Saskaņā ar  2019.gada iepirkuma rezultātiem un ar  Sociālo, Veselības un Integrācijas lietu komitejas un Jūrmalas domes 2018.gada oktobra lēmumu par prioritārajiem pasākumiem 2019.-2021. gadam. </t>
  </si>
  <si>
    <t>Integrācija kultūras aspektā</t>
  </si>
  <si>
    <t>Romu kopienas dienas</t>
  </si>
  <si>
    <t xml:space="preserve">Radošās nodarbības jauniešiem  - 900.00 EUR (30 nodarbības jauniešiem romu kultūras tradīciju apguvei (deju, vokālas, mākslas, prezentāciju sagatavošanas un citas nodarbības)atalgojums nodarbību vadītājiem ieskaitot nodokļus un telpu īres izmaksas par katru nodarbību. 2020.gada ir plānots ikgadējs svinīgs pasākums Starptautiskajā romu dienā, kas pulcēs māksliniekus no Jūrmalas un citām pašvaldībām (prognozējamas izmaksas: -  atlīdzība māksliniekiem 500.00 EUR, ieskaitot nodokļus,  izejot no cenu aptaujas rezultātiem, kā arī no 2019.gada un iepriekšējo gadu pasākumu organizēšanas pieredzes), plakāti, pasākumu publicitāte - 80.00 EUR. Aktivitātes veicinās romu tautības Jūrmalas iedzīvotāju integrāciju un motivēs aktivāk iesaistīties pilsētas sabiedriskajā dzīvē. </t>
  </si>
  <si>
    <t>Jaunatnes Dzejas dienas "Vienotā valodā""</t>
  </si>
  <si>
    <t xml:space="preserve">Dzejas vakara organizēšana un vadīšana, ieskaitot scenārija izstrādi, pasākuma uzdraudzību un vadīšanu, muzikālo priekšnesumu, atlīdzību pieacinātajiem autoriem, pasākuma publicitātes izdevumus.               </t>
  </si>
  <si>
    <t>Atmiņas suvenīri dalībniekiem</t>
  </si>
  <si>
    <t>Ekumeniskas Lieldienas</t>
  </si>
  <si>
    <t xml:space="preserve">Lieldienas koncerti (2019.gada izmaksas - 1905.EUR)  + plakāti - 100.00 EUR </t>
  </si>
  <si>
    <t>Ēdināšanas izmaksas</t>
  </si>
  <si>
    <t>Sociālā integrācija</t>
  </si>
  <si>
    <t>Starptautiskā veco ļaužu diena</t>
  </si>
  <si>
    <t xml:space="preserve">Ik gadu ir novērojams saldumu ražotāju produkcijas cenu pieaugums. Lai 2020.gadā būtu iespējams nodrošināt saldas dāvanas visiem senioru svētku koncertu apmeklētājiem (prognozējamais skaits - 670 cilvēki), kā arī  plašāku preču izvēli, saldumu iegādei ir nepieciešams papildus finansējums, plānojot vienai saldumu paciņai izmaksas 1.50 EUR. </t>
  </si>
  <si>
    <t xml:space="preserve">Koncerta nodrošinājums un publicitāte </t>
  </si>
  <si>
    <t>Ziemassvētku sveicieni sociāli neaizsargātām iedzīvotāju grupām</t>
  </si>
  <si>
    <t xml:space="preserve">Klinģeri, pīrādziņi, saldumi paciņas Jūrmalas mazaizsargātām iedzīvotāju grupām, personām Dienas centros, aprūpes centros, u.c. </t>
  </si>
  <si>
    <t>Invalīdu sporta attīstība</t>
  </si>
  <si>
    <t>Jogas nodarbības personām ar invaliditāti, šoudouns (galda teniss personām ar redzes traucējumiem), fiziskās aktivitātes baseinā personām ar redze, dzirdes invaliditāti.  26 jogas nodarbības x 89.00 EUR, 15 šoudouna nodarbības x 106.00 EUR, 60 nodarbības baseinā personām ar redzes invaliditāti x 65.00 EUR, 31 nodarbības baseinā personām ar dzirdes invaliditāti x 85 EUR. (Saskaņā ar 2019.gada iepirkumu rezultātiem.) 2020.gadā tiek palielināts nodarbību skaits baseinā papildus 3 m'3nešiemmēnešiem</t>
  </si>
  <si>
    <t>Sociālā integrācijas programma ilgstošiem bezdarbniekiem</t>
  </si>
  <si>
    <t>Ģimenes asistentu pakalpojuma iepirkšanai. 2020.gadā tiks piesaistīti vēl divi ģimenes asistenti</t>
  </si>
  <si>
    <t>Radošās spēles vecvecākiem un mazbērniem "Mūsu mazā zemīte"</t>
  </si>
  <si>
    <t>Ziemassvētku pasākum (koncerta) organizēšana, t.sk.plakāti</t>
  </si>
  <si>
    <t>Dienas nometnes bērniem ar īpašām vajadzībām</t>
  </si>
  <si>
    <t xml:space="preserve">  Četras nometnes skolēnu brīvlaikā, kopā - 5 nedēļu garumā. </t>
  </si>
  <si>
    <t>Atzinības izteikšana par paveikto un sasniegto NVO un sociālajā darbā</t>
  </si>
  <si>
    <t>JPAS_J14 JPAP_R3.1.3._133</t>
  </si>
  <si>
    <t>Ēdināšanas izdevumi</t>
  </si>
  <si>
    <t>Pasākuma organizēšana, t.sk. video materiālu veidošana, scenārija izstrāde, pasākuma vadīšana, uzraudzība un mākslinieciskās programmas nodrošināšana</t>
  </si>
  <si>
    <t>Balvu fonds</t>
  </si>
  <si>
    <t>Reprezentātīvie izdevumi</t>
  </si>
  <si>
    <t>Sociālo darbinieku konference</t>
  </si>
  <si>
    <t>Lektoru atalgojums</t>
  </si>
  <si>
    <t>Šūšanas darbnīca pirmspensijas un pensijas vecuma personām, bezdarbniekiem un invalīdiem</t>
  </si>
  <si>
    <t xml:space="preserve">Saskaņā ar  Sociālo, Veselības un Integrācijas lietu komitejas un Jūrmalas domes 2018.gada oktobra lēmumu par prioritārajiem pasākumiem 2019.-2021. gadam. </t>
  </si>
  <si>
    <t>Integrācijas rīcības virzieni izglītības jomā</t>
  </si>
  <si>
    <t>Naturalizācijas veicināšanas pasākumi sadarbībā ar PMLP paplašinot pakalpojumu pieejamību</t>
  </si>
  <si>
    <t>Motivējoši pasākumi saistībā ar Naturalizācijas procesu (Naturalizācijas kursi līdz 40 dalībniekiem).</t>
  </si>
  <si>
    <t>Pilsoniskās sabiedrības stiprināšana</t>
  </si>
  <si>
    <t>Starppilsētu konference Jūrmalā</t>
  </si>
  <si>
    <t xml:space="preserve">JPAS_J14 JPAP_R3.1.3._133 </t>
  </si>
  <si>
    <t>Ēdināšanas izdevumi (kafijas pauzes)</t>
  </si>
  <si>
    <t>Kancelejas preces (papīrs, pildspalvas, blociņi u.c.)</t>
  </si>
  <si>
    <t>Lektoru atlīdzība</t>
  </si>
  <si>
    <t>Jūrmalas NVO izstāde</t>
  </si>
  <si>
    <t>Izstādes ierīkošana</t>
  </si>
  <si>
    <t>Kafijas galds izstādes atklāšanā</t>
  </si>
  <si>
    <t>Izglītojoši semināri NVO pārstāvjiem (4 semināri)</t>
  </si>
  <si>
    <t>Kafijas pauzes</t>
  </si>
  <si>
    <t>Kancelejas preces (papīrs,pildspalvas, blociņi u.c.)</t>
  </si>
  <si>
    <t>Jūrmalas pilsētas attīstības stratēģijas 2010-2030 prioritātes “Jūrmalnieks”</t>
  </si>
  <si>
    <t xml:space="preserve">Aktivitāte J14 “Sabiedrības līdzdalības uzlabošana pilsētas dzīves veidošanā un efektīva pilsētas pārvaldei”,  </t>
  </si>
  <si>
    <t xml:space="preserve">Aktivitāte J15 “Jūrmalnieka piederības sajūtas veidošana”, </t>
  </si>
  <si>
    <t xml:space="preserve">Jūrmalas pilsētas attīstības programmas 2014.–2020.gadam </t>
  </si>
  <si>
    <t>Prioritāte P 3.1. Uz nākotni orientēta pilsētas pārvaldība, kas atbalsta pilsonisko iniciatīvu</t>
  </si>
  <si>
    <t>Aktivitāte Nr.133 - sadarbība ar nevalstiskajām organizācijām</t>
  </si>
  <si>
    <t xml:space="preserve">Rīcības virziens R3.5.1. “Sociālo pakalpojumu attīstība” </t>
  </si>
  <si>
    <t>Aktivitāte Nr.222 - sabiedrības integrācijas veicināšana.</t>
  </si>
  <si>
    <t>Atalgojums štata vai ārštata darbiniekam caurlaižu sezonas laikā (Pastāvīgs darbinieks tīkla un iekartu uzraudzībai)</t>
  </si>
  <si>
    <t>Atalgojums štata vai ārštata darbiniekam caurlaižu sezonas laikā (Piemaksas vizuālām korekcijām)</t>
  </si>
  <si>
    <t xml:space="preserve">Tai skaitā POS terminālu uzturēšana !!!!!, ja tiek pagarināta iebraukšanas kontroles sezona
</t>
  </si>
  <si>
    <t>Industrālā datortehnika, komutatori kopnēs, dators LPR korekcijām, datu glabātuves apjoma palielināšana EUR 38 400 (budžeta projektā ielikti 22 000 €)</t>
  </si>
  <si>
    <t>Infrastruktūras rekonstrukcijas projekti un izbūve, kopņu izbūve: 6 objektos. Priedaine jau uzsākta: EUR 88,600 (Budžeta projektā Priedainē un projektēšana Dubultos)</t>
  </si>
  <si>
    <r>
      <rPr>
        <strike/>
        <sz val="9"/>
        <rFont val="Times New Roman"/>
        <family val="1"/>
        <charset val="186"/>
      </rPr>
      <t>BJIC, “Autoskolas” (Lielupes iela) datu tīka rekonstrukcija, videonvērošana (20 000 EUR)</t>
    </r>
    <r>
      <rPr>
        <sz val="9"/>
        <rFont val="Times New Roman"/>
        <family val="1"/>
        <charset val="186"/>
      </rPr>
      <t>; Lēdurgas 27 lokālai datu tīkls, pieslēguma izbūve JPD optikai (30 000 EUR); Taurenītis 2. (pirmsskolas) korpuss datu tīkls (20 000 EUR); Ķemeru pamatskolas datorklases datu tīkls Tukuma 8 (11 000 EUR)</t>
    </r>
  </si>
  <si>
    <t>2020.gadā tiek turpināta 2019.gadā veiksmīgi uzsākto pasākumu sēriju skolēniem "ZINĀTnieks Ķemeros" ar mērķi iepazīstināt un aprobēd centrā plānotās izglītojošās un iesaistošās metodes. Aktivitāte iekļaujama budžeta projektā pēc priekššedētāja saskaņojuma (saskaņā ar 20.09.2019. JPD rīkojumu nr. 1.1-14/279) pieprasīts 10.10.2019.) un par progreu tiks ziņots Attīstīabs un vies jautājumu komitejas sēdē.</t>
  </si>
  <si>
    <t>Jūrmalas Kultūras centrs</t>
  </si>
  <si>
    <t>Pilsētas kultūras un atpūtas pasākumi</t>
  </si>
  <si>
    <t>Valsts svētki, svinamās un atceres dienas</t>
  </si>
  <si>
    <t>JPAP_R3.3.1._191 JPAP_R3.3.1._194  JPKAP_U2.2._P2.2.1.</t>
  </si>
  <si>
    <t>1991,gada janvāra barikāžu atceres diena - 412,00 EUR (KKN); komunistiskā genocīda upuru piemiņas dienas - 890,00 EUR (KKN); Neatkarības deklarācijas pieņemšanas gadadiena - 865,00 EUR (KKN);  Lāčplēša diena - 5975,00 EUR; LR proklamēšanas 102.gadadiena - 37211,00 EUR. No koda 2279 350,00 EUR pārcelti uz tāmes punktu 10.6.</t>
  </si>
  <si>
    <t>Gadskārtu svētki</t>
  </si>
  <si>
    <t>JPAP_R3.3.1._191  JPAP_R3.3.1._194 JPKAP_ U2.2._P2.2.3.</t>
  </si>
  <si>
    <t>Meteņi Kauguros - 7113,00 EUR; Lielā diena Kauguros - 5692,00 EUR; Lielā diena Horna dārzā - 8356,00 EUR; Vasaras Saulgrieži Kauguru pludmalē - 16236,00 EUR; Mārtiņi Kauguros - 500,00 EUR; Zsv.pasākums Kauguros - 8200,00 EUR; Zsv.egles iedegšana (Gaismas parks) - 10000,00 EUR;</t>
  </si>
  <si>
    <t>Lielākie Jūrmalas pilsētas pasākumi</t>
  </si>
  <si>
    <t>3.1</t>
  </si>
  <si>
    <t>Dubultu karnevāls</t>
  </si>
  <si>
    <t>JPAP_R1.7.1._43 JPAP_R3.3.1._191  JPKAP_U2.2._P2.2.3. JPKAP_U1.3._U1.3.6. JPKAP_U1.3._U1.3.7.  JPTARP_AM1_U1.5._P.1.5.2.</t>
  </si>
  <si>
    <t>2019.gada tāmē pasākums tika ieklāuts sadaļā ''Dažādi pasākumi''</t>
  </si>
  <si>
    <t>291,00 EUR NMPD pakalpojumiem pārcelti uz tāmes punktu 10.6</t>
  </si>
  <si>
    <t>3.2</t>
  </si>
  <si>
    <t>Kūrorta svētku gājiens</t>
  </si>
  <si>
    <t>Pasākuma izdevumi palielināti, lai nodrošinātu priekšnesumu apmaksu (izdiskutēts ar mārketinga nodaļas speciālistiem)</t>
  </si>
  <si>
    <t>JPAP_R3.3.1._191 JPAP_R3.3.1._193 JPAP_R3.3.1._194  JPKAP_U2.2._P2.2.3.</t>
  </si>
  <si>
    <t>3.3</t>
  </si>
  <si>
    <t>Nakts ekspedīcija ģimenei ''Nestāsti pasaciņas</t>
  </si>
  <si>
    <t>JPAP_R1.7.1._43 JPAP_R3.3.1._191 JPAP_R3.3.1._193  JPKAP_U2.2._P2.2.3. JPKAP_U1.3._U1.3.6. JPKAP_U1.3._U1.3.7.  JPTARP_AM1_U1.5._P.1.5.1.</t>
  </si>
  <si>
    <t>350,00 EUR NMPD pakalpojumirem pārcelti uz tāmes punktu 10.6</t>
  </si>
  <si>
    <t>3.4</t>
  </si>
  <si>
    <t>Jaunā gada sagaidīšana</t>
  </si>
  <si>
    <t>JPAP_R1.7.1._43 JPAP_R3.3.1._191   JPKAP_U2.2._P2.2.3.</t>
  </si>
  <si>
    <t>3.5</t>
  </si>
  <si>
    <t>Jomas ielas svētki</t>
  </si>
  <si>
    <t>JPAP_R3.3.1._191 JPAP_R3.3.1._193  JPKAP_U2.2._P2.2.3. JPTARP_AM1_U1.2._P.1.2.4.</t>
  </si>
  <si>
    <t>699,00 EUR NMPD pakalpojumiem pārcelti uz tāmes punktu 10.6</t>
  </si>
  <si>
    <t>4</t>
  </si>
  <si>
    <t>JKC piedāvājums</t>
  </si>
  <si>
    <t>4.1</t>
  </si>
  <si>
    <t>Vasaras koncerti</t>
  </si>
  <si>
    <t>JPAP_R3.3.1._191  JPKAP_U1.3._U1.3.6.</t>
  </si>
  <si>
    <t>6 koncerti Horna dārzā, apmeklējums bez maksas</t>
  </si>
  <si>
    <t>4.2</t>
  </si>
  <si>
    <t>Atpūtas pasākumi- džeza klubs, balles</t>
  </si>
  <si>
    <t>JPAP_R3.3.1_191 JPKAP_U1.3._U1.3.6.  JPKAP_U2.1._P2.1.4.</t>
  </si>
  <si>
    <t>6 pasākumi; maksimālais vietu skaits zālē 180; vidējais apmeklējums 170 personas; ieejas biļešu cenas 8,00 EUR (40%) un 5,00 EUR (60%). Plānotie ieņēmumi 6924.00EUR</t>
  </si>
  <si>
    <t>4.3</t>
  </si>
  <si>
    <t>Mākslas izstādes</t>
  </si>
  <si>
    <t xml:space="preserve">JPAP_R3.3.1._191 JPKAP_U1.3._U1.3.6.  JPKAP_U2.1._P2.1.4.  </t>
  </si>
  <si>
    <t>4.4</t>
  </si>
  <si>
    <t>Kinoseansi</t>
  </si>
  <si>
    <t>JPAP_R3.3.1._203 JPKAP_U2.1._P2.1.4.</t>
  </si>
  <si>
    <t>2 kinoseansi svētdienās (no janvāra līdz maijam un no septembra līdz novembrim - 32 reizes); max vietu skaits zālē 300; vidējais apmeklējums 18 personas/dienā, ieejas maksa 4,00 EUR(50%) un 3,00 EUR (50%), plānotie ieņēmumi 2016,00 EUR</t>
  </si>
  <si>
    <t>5</t>
  </si>
  <si>
    <t>KKN piedāvājums</t>
  </si>
  <si>
    <t>5.1</t>
  </si>
  <si>
    <t>'Jokosim tautiski''</t>
  </si>
  <si>
    <t>JPAP_R3.3.1._191 JPAP_R3.3.1._194 JPKAP_U1.3._U1.3.4.  JPKAP_U1.3._U1.3.6.</t>
  </si>
  <si>
    <t>5.2</t>
  </si>
  <si>
    <t>Neformālo pianistu festivāls</t>
  </si>
  <si>
    <t>JPAP_R3.3.1._191 JPAP_R3.3.1._194 JPKAP_U1.3._U1.3.2. JPKAP_U2.2._P2.2.5.</t>
  </si>
  <si>
    <t>5.3</t>
  </si>
  <si>
    <t>Pasākumu cikls ''Bernu vasara''</t>
  </si>
  <si>
    <t>JPAP_R3.3.1._191 JPKAP_U1.3._U1.3.6. JPKAP_U1.3._U1.3.7.</t>
  </si>
  <si>
    <t>5.4</t>
  </si>
  <si>
    <t>2 kinoseansi svētdienās (no janvārā līdz maijam  un no septembra līdz novembrim = 32 reizes); max vietu skaits zālē 150; vidējais apmeklējums 20 personas/dienā, ieejas maksa 4,00 EUR(50%) un 3,00 EUR (50%), plānotie ieņēmumi 2240,00 EUR</t>
  </si>
  <si>
    <t>5.5</t>
  </si>
  <si>
    <t>Dzejas dienas</t>
  </si>
  <si>
    <t>JPAP_R3.3.1._191  JPKAP_U1.3.U_1.3.6.</t>
  </si>
  <si>
    <t>5.6</t>
  </si>
  <si>
    <t>Mātes dienas koncerts</t>
  </si>
  <si>
    <t>JPAP_R3.3.1._191. JPAP_R3.3.1._194. JPKAP_U1.3._U1.3.6. JPKAP_U2.2._P2.2.3.</t>
  </si>
  <si>
    <t>5.7</t>
  </si>
  <si>
    <t>Atpūtas pasākumi - balles</t>
  </si>
  <si>
    <t>JPAP_R3.3.1._191. JPKAP_U1.3._U1.3.6.  JPKAP_U2.1._P2.1.4. JPKAP_U1.3._U1.3.7.</t>
  </si>
  <si>
    <t>Plānotas 6 balles; max vietu skaits 100; vidējais apmeklējums 70 personas; ieejas biļetes cena 8,00 EUR (40%) un 5,00 EUR (60%). Plānotie ieņēmumi 2604,00 EUR</t>
  </si>
  <si>
    <t xml:space="preserve">6 </t>
  </si>
  <si>
    <t>Jūrmalas teātra piedāvājums</t>
  </si>
  <si>
    <t>6.1</t>
  </si>
  <si>
    <t>Jauniestudējumi</t>
  </si>
  <si>
    <t>JPAP_R3.3.1._191 JPAP_R3.3.1._194 JPAP_R3.3.1._197 JPKAP_U1.3._U1.3.1. JPKAP_U1.3._U1.3.4.</t>
  </si>
  <si>
    <t>Jauniestudējumi: T.Viljamss ''Cienītā Fraulein'' - 1835,00 EUR(PB)/1525,00 EUR (MP); leļļu izrāde ''Naksitrallīši'' - 1225,00 EUR(PB); bērnu izrāde pēc H.Paukša - 1375,00 EUR (MP); Ziemassvētku izrāde - 2695,00 EUR(MP).</t>
  </si>
  <si>
    <t>6.2</t>
  </si>
  <si>
    <t>Jūrmalas Bērnu un jauniešu teātris.        Uzvedums-eksāmens sezonas noslēgumā</t>
  </si>
  <si>
    <t>6.3</t>
  </si>
  <si>
    <t>Teātra pirmizrādes</t>
  </si>
  <si>
    <t>JPAP_R3.3.1._191. JPAP_R3.3.1._194. JPAP_R3.3.1._197. JPKAP_U1.3._U1.3.6.</t>
  </si>
  <si>
    <t>2020,gadā plānotas 4 pirmizrādes.Izdevumi paredzēti izrāžu radošās grupas sveikšanai un izrādes prezentācijai.</t>
  </si>
  <si>
    <t>6.4</t>
  </si>
  <si>
    <t>Ziemassvētku koncerts</t>
  </si>
  <si>
    <t>6.5</t>
  </si>
  <si>
    <t>Piedalīšanās amatierteātru skatēs, festivālos valsts robežās un ārzemēs</t>
  </si>
  <si>
    <t>JPAP_R3.3.1._191. JPAP_R3.3.1._194. JPKAP_U1.3._U1.3.2.</t>
  </si>
  <si>
    <t>Transporta izdevumi uz reģionālo teātru skatēm un Gada izrādes pasākumiem</t>
  </si>
  <si>
    <t>7</t>
  </si>
  <si>
    <t>Mellužu estrādes piedāvājums</t>
  </si>
  <si>
    <t>7.1</t>
  </si>
  <si>
    <t>Mellužu estrādes pasākumi</t>
  </si>
  <si>
    <t>JPAP_R3.3.1._191. JPAP_R3.3.1._193  JPKAP_U1.3._U1.3.6. JPKAP_U1.3._U1.3.7.  JPTARP_AM1_U1.2._P.1.2.4.</t>
  </si>
  <si>
    <t>2020.gadā Mellužu estrādes sezona atklāšanas pasākums - 7650,00 EUR; Līgo balle -9150,00 EUR; Balles 3reizes -17902,00 EUR; Mellužu gadatirgus - 13354,00 EUR.                           1689,00 EUR NMPD pārcelti  uz tāmes punktu 10.6.</t>
  </si>
  <si>
    <t>7.2</t>
  </si>
  <si>
    <t>Mellužu klasika</t>
  </si>
  <si>
    <t>JPAP_R3.3.1._191.  JPKAP_U1.3._U1.3.6. JPKAP_U1.3._U1.3.7.  JPTARP_AM1_U1.2._P.1.2.4.</t>
  </si>
  <si>
    <t>7.3</t>
  </si>
  <si>
    <t>Oda jūrai un Zveinieksvētku balle</t>
  </si>
  <si>
    <t>JPAP_R3.3.1._191. JPAP_R3.3.1._193 JPKAP_U1.3._U1.3.6. JPKAP_U1.3._U1.3.7.  JPTARP_AM1_U1.2._P.1.2.4.</t>
  </si>
  <si>
    <t>7.4</t>
  </si>
  <si>
    <t>Mellužu gadatirgus</t>
  </si>
  <si>
    <t>7.5</t>
  </si>
  <si>
    <t>Atpūtas vakari - balles</t>
  </si>
  <si>
    <t>7.6</t>
  </si>
  <si>
    <t>Līgo svētki Mellužu estrādē</t>
  </si>
  <si>
    <t>JPAP_R3.3.1._191.   JPKAP_U1.3._U1.3.6. JPKAP_U1.3._U1.3.7.  JPTARP_AM1_U1.2._P.1.2.4.</t>
  </si>
  <si>
    <t>Pasākumu cikls ''Bērnu vasara''</t>
  </si>
  <si>
    <t>8</t>
  </si>
  <si>
    <t>Dažādi pasākumi</t>
  </si>
  <si>
    <t>8.1</t>
  </si>
  <si>
    <t>Pilsētas Ziemassvētku noformējuma konkursa noslēguma pasākums</t>
  </si>
  <si>
    <t>JPAP_R3.3.1._191. JPKAP_U1.3._U1.3.3.</t>
  </si>
  <si>
    <t>8.2</t>
  </si>
  <si>
    <t>2020.gada budžeta projekta tāmē pasākums iekļauts sadalā ''Lielākie Jūrmalas pilsētas pasākumi''</t>
  </si>
  <si>
    <t>8.3</t>
  </si>
  <si>
    <t>Zvaigznes dienas pasākums</t>
  </si>
  <si>
    <t xml:space="preserve">JPAP_R3.3.1_191 </t>
  </si>
  <si>
    <t>8.4</t>
  </si>
  <si>
    <t>Starptautiskais senioru deju festivāls ''Puķu balle''</t>
  </si>
  <si>
    <t>JPAP_R3.3.1._191. JPAP_R3.3.1._193 JPKAP_U2.2._P2.2.5.</t>
  </si>
  <si>
    <t>8.5</t>
  </si>
  <si>
    <t>Atklāšanas un tematiskie pasākumi</t>
  </si>
  <si>
    <t>JPAP_R3.3.1._191. JPKAP_U2.1._P2.1.4.</t>
  </si>
  <si>
    <t>Pasākums jauniešiem ''Augsim Latvijai''</t>
  </si>
  <si>
    <t>JPAP_R3.3.1._191. JPKAP_U1.3._U1.3.6. JPKAP_U1.3._U1.3.7. JPKAP_U2.2_P2.2.1.</t>
  </si>
  <si>
    <t>8.7</t>
  </si>
  <si>
    <t>Pasākums ''Soļi smiltīs''</t>
  </si>
  <si>
    <t>Periodisks pasākums - 2020.gadā netiek organizēts</t>
  </si>
  <si>
    <t>8.8</t>
  </si>
  <si>
    <t>Jūrmalas stāsti</t>
  </si>
  <si>
    <t>Jauns pasākums</t>
  </si>
  <si>
    <t>Pasākuma vadīšana, priekšnesumi</t>
  </si>
  <si>
    <t>VSAOI</t>
  </si>
  <si>
    <t>Telšu noma, skaņas, gaismas aparatūra</t>
  </si>
  <si>
    <t>Priekšnesumi, apsardze, izdevumi NMPD pakalpojumiem  tiek plānoti atsevišķi - punktā 10.6</t>
  </si>
  <si>
    <t>Dzeramais ūdens (400 dalībniekiem), noformējums</t>
  </si>
  <si>
    <t>Pasākuma dalībnieki (400 personas) ēdināšanas izdevumi (2 reizes dienā - kafijas pauze, pusdienas)</t>
  </si>
  <si>
    <t>9</t>
  </si>
  <si>
    <t>Jūrmalas radošo kolektīvu darbības finansējums</t>
  </si>
  <si>
    <t>9.1</t>
  </si>
  <si>
    <t>Pilsētas radošo kolktīvu piedalīšanās republikas mēroga pasākumos</t>
  </si>
  <si>
    <t>JPAP_R3.3.1._194. JPKAP_U1.3._U1.3.2. JPKAP_U3.1._P3.1.4. JPKAP_U3.1._P3.1.5.</t>
  </si>
  <si>
    <t>9.2</t>
  </si>
  <si>
    <t>Pilsētas radošo kolektīvu un kultūras darbinieku pilsētas mēroga konkursi un skates</t>
  </si>
  <si>
    <t>9.3</t>
  </si>
  <si>
    <t>Radošo kolektīvu jubilejas un citi kolektīvu iniciēti projekti</t>
  </si>
  <si>
    <t>9.4</t>
  </si>
  <si>
    <t>Pilsētas radošo kolektīvu piedalīšanās ārzemēs rīkotajos koncertos, festivālos, konkursos un izstādēs</t>
  </si>
  <si>
    <t>dalības maksas pasākumos</t>
  </si>
  <si>
    <t>9.5</t>
  </si>
  <si>
    <t>Tērpi</t>
  </si>
  <si>
    <t>10</t>
  </si>
  <si>
    <t>Citas kultūras pasākumu izmaksas</t>
  </si>
  <si>
    <t>10.1</t>
  </si>
  <si>
    <t>Informatīvie materiāli (biļetes, afišas un tml.)</t>
  </si>
  <si>
    <t>JPAP_R3.3.1._191. JPKAP_U4.1._P4.1.4. JPKAP_U4.3._P4.3.3. JPTARP_AM3_U3.3._P.3.3.2.</t>
  </si>
  <si>
    <t>10.2</t>
  </si>
  <si>
    <t>AKKA/LAA un LAIPA</t>
  </si>
  <si>
    <t>JPAP_R3.3.1._191</t>
  </si>
  <si>
    <t>10.3</t>
  </si>
  <si>
    <t>Publisko pasākumu rīkotāja apdrošināšana</t>
  </si>
  <si>
    <t>10.4</t>
  </si>
  <si>
    <t>Elektroenerģijas apmaksa un pieslēguma nodrošinājums kultūras pasākumos dabā</t>
  </si>
  <si>
    <t>sadales tīkla pakalpojums (pieslēdz)</t>
  </si>
  <si>
    <t>10.5</t>
  </si>
  <si>
    <t>Reklāmas izdevumi kultūras pasākumiem</t>
  </si>
  <si>
    <t xml:space="preserve">Atlīdzība par animētas reklāmas izgatavošanu </t>
  </si>
  <si>
    <t>liek banerus firma</t>
  </si>
  <si>
    <t>10.6</t>
  </si>
  <si>
    <t>NMPD pakalpjumi pasākumos</t>
  </si>
  <si>
    <t>Plānots pie aktivitātēm</t>
  </si>
  <si>
    <t>I.Stratēģiskā dokumenta nosaukums - Jūrmalas pilsētas attīstības programmas 2014.-2020.gadam (JPAP)</t>
  </si>
  <si>
    <t>Rīcības virziena aktivitātes:</t>
  </si>
  <si>
    <t>43 Kultūras dzīves piedāvājuma attīstība visa gada garumā</t>
  </si>
  <si>
    <t>Prioritāte P3.3. Daudzveidīgas kultūras un sporta vide</t>
  </si>
  <si>
    <t>Rīcības virziens R3.3.1. Pilsētas kultūras iestāžu un muzeju darbības pilnveide.</t>
  </si>
  <si>
    <t>191 Daudzveidīgu kultūras pasākumu pieejamība Jūrmalas iedzīvotājiem Jūrmalas pilsētā;</t>
  </si>
  <si>
    <t>193 Jūrmalas kā kultūras un mākslas pilsētas identitātes un konkurētspējas nostiprināšana</t>
  </si>
  <si>
    <t>194 Amatiermākslas attīstības veicināšana;</t>
  </si>
  <si>
    <t>197 Tēātra attīstība;</t>
  </si>
  <si>
    <t>203 Kino pakalpojuma attīstība.</t>
  </si>
  <si>
    <t>II. Stratēģiskā dokumenta nosaukums - Jūrmalas pilsētas kultūrvides attīstības plāns 2017.-2020. gadam (JPKAP)</t>
  </si>
  <si>
    <t>Strātēģiskā dokumenta kodu atšifrējums - 1.rīcības virziens  "Radošā Jūrmala: apkaimju unikalitātes stiprināšana un iedzīvotāju līdzdalības sekmēšana":</t>
  </si>
  <si>
    <t>Rīcības virziena uzdevums - U1.3.: Nodrošināt mūžizglītības un radošuma attīstīšanas iespējas jurmalniekiem.</t>
  </si>
  <si>
    <t>Rīcības virziena uzdevuma pasākumi:</t>
  </si>
  <si>
    <t>U1.3.1. Daudzveidīgu amatiermākslas un interešu izglītības iespēju nodrošināšana Jūrmalas iedzīvotājiem</t>
  </si>
  <si>
    <t>U1.3.2. Jūrmalas radošo kolektīvu dalība pilsētas, nacionāla unstarptautiska mēroga pasākumos (ārpus Dziesmu un deju svētku kustības)</t>
  </si>
  <si>
    <t>U1.3.3. Jūrmalas pilsētas iedzīvotāju un nevalstisko organizāciju radošo kultūras iniciatīvu atbalstīšana, līdzfinansējot un līdzorganizējot dažādu žanru kultūras pasākumus specifiskām iedzīvotāju auditorijām.</t>
  </si>
  <si>
    <t>U1.3.4. Jūrmalas radošo kolektīvu koncertuzvedumu un izrāžu veidošana (t.sk. Jūrmalas teātra iestudējumi).</t>
  </si>
  <si>
    <t>U1.3.6. Kultūrizglītojošu pasākumu veidošana ģimenēm, bērniem un jauniešiem, senioriem.</t>
  </si>
  <si>
    <t>U1.3.7. Interaktīvu līdzdalības formu attīstība kultūras pasākumos.</t>
  </si>
  <si>
    <t>Strātēģiskā dokumenta kodu atšifrējums - rīcības virziens 2  "Kultūras piedāvājuma izcilība un daudzveidība Jūrmalā: kvalitatīva un sistema'tiska kultūras piedāvājuma veidošana dažādām mērķauditorījas</t>
  </si>
  <si>
    <t>grupām vietējā, nacionālā un starptautiskā mērogā''.</t>
  </si>
  <si>
    <t>Rīcības virziena uzdevums -  U2.1.: Rīkot kavalitatīvas un daudzveidīgas kultūras norises konkrētiem auditorijas segmentiem katrā sezonā.</t>
  </si>
  <si>
    <t>P2.1.4. Kultūras centru piedāvājuma daudzveidošana, tajā skaitā ar mērķauditorijas iesaisti.</t>
  </si>
  <si>
    <t>Rīcības virziena uzdevums - U2.2.: Nostiprināt Jūrmalas kā kultūras un mākslas pilsētas identitāti un konkurentspēju.</t>
  </si>
  <si>
    <t>P2.2.3. Gadskārtu svētku, pilsētassvētku un dažādām sabiedrības mērķgrupām domātu pasākumu rīkošana, nostiprinot Jūrmalas zīmolu vietējā, nacionālā un starptautiskā mērogā.</t>
  </si>
  <si>
    <t>Strātēģiskā dokumenta kodu atšifrējums - rīcības virziens 3  "Jūrmalas kultūras mantojums: kultūras mantojuma saglabāšana, musdienīga interpretācija un popularizēšana"</t>
  </si>
  <si>
    <t>Rīcības virziena uzdevums - U3.1.: Nodrošināt Latvijas Dziesmu un deju svētku tradīcijas saglabāšanu un attīstību.</t>
  </si>
  <si>
    <t>P3.1.1. Telpu nodrošināšana Dziesmu un deju svētku mēģinājumiem, skatēm un koncertiem.</t>
  </si>
  <si>
    <t>P3.1.2. Dziesmu un deju kolektīvu materiālās bāzes nodrošināšana.</t>
  </si>
  <si>
    <t>P3.1.3. Jūrmalas kolektīvu līdzdalības nodrošināšana Latvijas Dziesmu un deju svētkos.</t>
  </si>
  <si>
    <t>P3.1.4. Jūrmalas kolektīvu līdzdalības nodrošināšana Latvijas Dziesmu un deju svētku procesā.</t>
  </si>
  <si>
    <t>P3.1.5. Dziesmu un deju svētku kustības pasākumu atbalsts.</t>
  </si>
  <si>
    <t>P3.3.1. Jaunu pakalpojumu ieviešana vietējiem iedzīvotājiem un tūristiem, īpaši skolēnu-tūristu un ģimeņu piesaistei.</t>
  </si>
  <si>
    <t>Strātēģiskā dokumenta kodu atšifrējums - rīcības virziens 4  "Sadarbība Jūrmalā: kultūrvides attīstībā iesaistīto dalībnieku sadarbības veicināšana"</t>
  </si>
  <si>
    <t>Rīcības virziena uzdevums - U4.1.: Attīstīt sadarbību starp dažādām pašvaldības kultūras un citām iestādēm, ģeogrāfiski līdzsvarotā kultūras piedāvājuma veidošanā un pieejamības veicināšanā.</t>
  </si>
  <si>
    <t>P4.1.4. Informācijas nodrošināšana par apkaimju kultūras pasākumu norises vietām un pasākumiem.</t>
  </si>
  <si>
    <t>Rīcības virziena uzdevums - U4.3.: Nodrošināt informācijas pieejamību atbilstoši kultūras auditorijas vajadzībām.</t>
  </si>
  <si>
    <t>P4.3.3. Kultūras pasākumu reklāmas un mārketinga materiālu izdošana.</t>
  </si>
  <si>
    <t>III. Stratēģiskā dokumenta nosaukums - Jūrmalas pilsētas tūrisma attīstības rīcības plāns  2018.-2020. gadam (JPTARP)</t>
  </si>
  <si>
    <t>Strātēģiskā dokumenta kodu atšifrējums - mērķis AM 1: Atpūtas, rekreācijas un viesmīlības pakalpojumu pilnveidošana un kvalitāte.</t>
  </si>
  <si>
    <t>Mērķa uzdevums - U 1.2. Atpūtas, rekreācijas tūrisma piedāvājuma pilnveidošana vietējiem un ārvalstu viesiem.</t>
  </si>
  <si>
    <t>Mērķa uzdevuma pasākums - P.1.2.4. Liela izmēra galda spēļu dažādām vecuma grupām) izvietošana Horna dārzā, Mellužu estrādes teritorijā, Ķemeru kūrparkā un citās vietās.</t>
  </si>
  <si>
    <t>Mērķa uzdevums - U 1.5. Pasākumu/aktivitāšu piedāvājuma pilnveidošana ģimenēm ar bērniem</t>
  </si>
  <si>
    <t>Mērķa uzdevuma pasākums - P 1.5.1. Pasākuma ''Nestasti pasaciņas'' pilnveidošana, divu dienu pasākuma programmas (festivāla) izveide un popularizēšana Latvijā, perspektīvā Baltijas valstīs</t>
  </si>
  <si>
    <t>Mērķa uzdevuma pasākums - P 1.5.2. Kompleksā pakalpojumu piedāvājuma ģimenēm ar bērniem izveides veicināšana</t>
  </si>
  <si>
    <t>Strātēģiskā dokumenta kodu atšifrējums - mērķis AM 2: Kultūras piedāvājuma izcilība un daudzveidība Jūrmalā: kvalitatīva un sistemātiska kultūras piedāvājuma veidošana dažādām mērķauditorijas grupām vietējā, nacionālā un starptautiskā mērogā</t>
  </si>
  <si>
    <t>Mērķa uzdevums - U2.2. - Nostiprināt Jūrmalas kā kultūras un mākslas pilsētas identitāti un konkurētspēju</t>
  </si>
  <si>
    <t>Mērķa uzdevuma pasākums - P2.2.1. Valsts svētku un atceres dienu rīkošana pilsētas iedz'votājiem un vieiem, tai skaitā Latvija - 100 atzīmēšana.</t>
  </si>
  <si>
    <t>Strātēģiskā dokumenta kodu atšifrējums - mērķis AM 3: Jūrmalas kā konferenču, kongresu, pasākumu un motivējošā tūrisma (MICE) galamērķa attīstība</t>
  </si>
  <si>
    <t>Mērķa uzdevums - U 3.3.Kultūras pasākumu kā atraktīvu tūrisma piesaišu izmantošana, koncentrejoties uz dažādu tūristu segmentu vajadzībām un pieprasījuma sezonālām svārstībām</t>
  </si>
  <si>
    <t>Mērķa uzdevuma pasākums - P.3.3.2. Informācijas par pasākumiem nodrošināšana dažādiem mērķa tirgiem (afišu valodas, informācija tūrisma portālā, TIC).</t>
  </si>
  <si>
    <t>Jūrmalas pilsētas muzejs</t>
  </si>
  <si>
    <t>Jūrmalas brīvdabas muzejs</t>
  </si>
  <si>
    <t>Lieldienu pasākums</t>
  </si>
  <si>
    <t>JPAP_P3.3._R3.3.1._191; 199; KAP_RV1_U1.3._P1.3.6.; KAP_RV3_U3.2._P3.2.3.</t>
  </si>
  <si>
    <t>2 pasākuma vadītāji, 2 radošo darbnīcu vadītāji, 2 trušu/vistu izstādes vadītāji (100 EUR x 6 personas); folkloras kopa vai 2 aktieri (200 EUR)</t>
  </si>
  <si>
    <t>VSAOI (5%)</t>
  </si>
  <si>
    <t>Skaņu aparatūras noma, uzstādīšana un pasākuma apskaņošana</t>
  </si>
  <si>
    <t>Kokmateriāli putnu būrīšu darbnīcai, finieris koka olām noformējumam, reklāma, pārtikas produkti (olas u.c.), zīmēšanas materiāli</t>
  </si>
  <si>
    <t>Saimniecības preces</t>
  </si>
  <si>
    <t>Starptautiskā muzeju nakts</t>
  </si>
  <si>
    <t>JPAP_P3.3._R3.3.1._191; 199; KAP_RV3_U3.2._P3.2.3.</t>
  </si>
  <si>
    <t>Mūzikas grupa (215 EURx6 mūziķi=1290 EUR), pasākuma vadītājs (110 EUR), ekspressizstādes autors (100 EUR), 2 radošo darbnīcu vadītāji (100 EUR x 2), zivju kūpinātājs (100 EUR)</t>
  </si>
  <si>
    <t>Skaņu aparatūras noma, uzstādīšana, mēģinājums, koncerta apskaņošana</t>
  </si>
  <si>
    <t>Reklāmas izdevumi - A3 plakāti (makets un druka), pārtikas  produkti</t>
  </si>
  <si>
    <t>Senlatviešu Līgo svētku tradīcijas</t>
  </si>
  <si>
    <t>Fokloras kopa (400 EUR) , 4 amatu meistari (100 EUR x 4), Saulstāvju rituāla vadītājs (200 EUR)</t>
  </si>
  <si>
    <t>Skaņu aparatūras noma, uzstādīšana, pasākuma apskaņošana</t>
  </si>
  <si>
    <t>Reklāmas izdevumi - A3 plakāti ( makets un druka), pārtikas  produkti</t>
  </si>
  <si>
    <t>Ceturtdiena - zivju diena</t>
  </si>
  <si>
    <t xml:space="preserve"> 9 pasākumi no 2.jūl. līdz 27.aug.</t>
  </si>
  <si>
    <t>JPAP_P3.3._R3.3.1._191; 198; 199: 200; KAP_RV3_U3.2._P3.2.3.; U.3.3._P3.3.2.</t>
  </si>
  <si>
    <t>Autoratlīdzība zivju kūpinātājam (100 EUR)+ autoratlīdzība 3 amatu meistariem (53 EUR*3)  x 9  =  2331 EUR; vēsturisko spēļu vadītājs (50,25 EUR*8 pasāk.)- 402 EUR</t>
  </si>
  <si>
    <t>Tipogrāfijas pakalpojumi ieejas biļešu izgatavošanai (0,064 EURx3000 gab.=192 EUR; pieaugusi biļešu izgatavošanas cena un palielinājies apmeklētāju skaits)</t>
  </si>
  <si>
    <t xml:space="preserve">Reklāmas izdevumi - A3 un A2 plakāti, flaijeri ( makets un druka)- 86 EUR, zīmēšanas materiāli bērnu nodarbībām-22 EUR  </t>
  </si>
  <si>
    <t>Saimniecības preces - vienreizējie trauki, salvetes, papīra dvieļi (20 EUR x 9 pasākumi=180 EUR)</t>
  </si>
  <si>
    <t>Vīna svētki zvejnieka sētā</t>
  </si>
  <si>
    <t>No 2020. gada  vairs netiek plānots šis pasākums</t>
  </si>
  <si>
    <t>JPAP_P3.3._R3.3.1._191; 199: 200; KAP_RV3_U3.2._P3.2.3.; U.3.3._P3.3.2.</t>
  </si>
  <si>
    <t>Autorhonorārs mūzikas grupai (760 EUR), pasākuma vadītājam (92 EUR), radošās darbnīcas vadītājam (84 EUR), zupas vārītājai (84 EUR)</t>
  </si>
  <si>
    <t>Autortiesību apmaksa AKKA/ALA</t>
  </si>
  <si>
    <t>Balvas, pārtikas produkti, reklāma</t>
  </si>
  <si>
    <t>Saimniecības preces - vienreizējie trauki, termobļodas, salvetes, papīra dvieļi u.c.</t>
  </si>
  <si>
    <t>Rudens ražas svētki</t>
  </si>
  <si>
    <t>2020.gadā tiek plānots jauns rudens saulgriežu pasākums.</t>
  </si>
  <si>
    <t>Autorhonorārs folkloras grupai (200 EUR), pasākuma vadītājam (100 EUR), radošās darbnīcas vadītājam (100 EUR), zupas vārītājai (100 EUR)</t>
  </si>
  <si>
    <t>Aspazijas māja</t>
  </si>
  <si>
    <t>Neliels palielinājums (+28 EUR) saistībā ar izstāžu skaita pieaugumu un Aspazijai veltītajiem pasākumiem 155. jubilejas gadā.</t>
  </si>
  <si>
    <t xml:space="preserve">1. </t>
  </si>
  <si>
    <t>JPAP_P3.3._R3.3.1._191; 199; KAP_RV2_U2.2._P2.2.2.; RV3_U3.3._P3.3.3.</t>
  </si>
  <si>
    <t>Autorhonorārs aktieriem/mūziķiem (63 EUR x 7 pers. + 93 EUR x 2 pers.)</t>
  </si>
  <si>
    <t>Inventāra un aparatūras noma</t>
  </si>
  <si>
    <t>Rekvizītu un tērpu noma</t>
  </si>
  <si>
    <t>Ārvalstu viesu ēdināšanas pakalpojumi (10 EURx10 personas)</t>
  </si>
  <si>
    <t>Ziedi, cienasts, afišas, ielūgumi, suvenīri ārvalstu viesiem (dzejniekiem, tulkotājiem)</t>
  </si>
  <si>
    <t>Izstādes (noformēšana, reklāma un atklāšana)</t>
  </si>
  <si>
    <t>2019.g. - 2 izstādes, 2020.g.- 3 izstādes.</t>
  </si>
  <si>
    <t>JPAP_P3.3._R3.3.1._191; 199; KAP_RV2_U2.2._P2.2.2.; RV3_U3.3._P3.3.3.; P3.3.4.</t>
  </si>
  <si>
    <t>Afišas, ielūgumi, ziedi, cienasts  (40 EUR x 3  izstādes)</t>
  </si>
  <si>
    <t>Aspazijas dzimšanas dienas pasākums</t>
  </si>
  <si>
    <t>JPAP_P3.3._R3.3.1._191; 199; JPAP_P3.3._R3.3.1._202 KAP_RV2_U2.2._P2.2.2.; RV3_U3.3._P3.3.3.</t>
  </si>
  <si>
    <t>Autorhonorārs aktieriem/mūziķiem (60 EUR x 3 personas)</t>
  </si>
  <si>
    <t>Saimnieciskā apkalpošana (2,50 EUR x 50 personas)</t>
  </si>
  <si>
    <t xml:space="preserve">Afišas, ielūgumi, ziedi, suvenīri </t>
  </si>
  <si>
    <t>Starptautiskā Muzeju nakts</t>
  </si>
  <si>
    <t>Autorhonorārs māksliniekiem un radošo darbnīcu vadītājiem (55 EUR x 6 personas)</t>
  </si>
  <si>
    <t>Ziedi, cienasts</t>
  </si>
  <si>
    <t>Elzas diena</t>
  </si>
  <si>
    <t>JPAP_P3.3._R3.3.1._191; 199; JPAP_P3.3._R3.3.1._202 KAP_RV2_U2.2._P2.2.2.; RV3_U3.2._P3.2.3.</t>
  </si>
  <si>
    <t>Autoratlīdzība māksliniekiem (60 EUR x 3 personas)</t>
  </si>
  <si>
    <t>Autortiesības AKKA/LAA</t>
  </si>
  <si>
    <t>Afišas, ielūgumi, ziedi, suvenīri, pārtikas preces</t>
  </si>
  <si>
    <t>Muzejpedagoģiska programma  "Jauniešu domnīca"</t>
  </si>
  <si>
    <t>JPAP_P3.3._R3.3.1._191; 199; KAP_RV1_U1.3._P1.3.6.; RV3_U3.2._P3.2.3.</t>
  </si>
  <si>
    <t>Autoratlīdzība speciālistiem (58 EUR x 7)</t>
  </si>
  <si>
    <t>Biroja preces praktiskām nodarbībām (10 euro x 7)</t>
  </si>
  <si>
    <t>Skrejlapu iespiešana 120 euro, konditoreja 175 euro, (25 eurox7) , dažādi materiāli nodarbībām, suvenīri 182 euro</t>
  </si>
  <si>
    <t>7.</t>
  </si>
  <si>
    <t>Pasākumu cikls "Jauns cilvēks pēkšņi raksta"</t>
  </si>
  <si>
    <t>Autorhonorārs pasākumu cikla vadītājam un dzejniekam  (60 EUR x 6 mēneši)</t>
  </si>
  <si>
    <t>Afišas ielūgumi, ziedi, kafija, konditoreja, suvenīri (25 EUR x 6 mēneši)</t>
  </si>
  <si>
    <t>8.</t>
  </si>
  <si>
    <t>Kultūrvēsturiska izstāde "Ceļā uz Latvijas valsti"</t>
  </si>
  <si>
    <t>Izstādes "Ceļā uz Latvijas valsti"  otra daļa atklāta 2019.gadā.</t>
  </si>
  <si>
    <t>JPAP_P3.3._R3.3.1._191; 199; KAP_RV2_U2.2._P2.2.1.; P2.2.2.</t>
  </si>
  <si>
    <t>Autorhonorārs izstādes māksliniekam</t>
  </si>
  <si>
    <t>Afišas, ielūgumi, reklāma, digitālās izdrukas, materiāli noformējumam,  ziedi, cienasts</t>
  </si>
  <si>
    <t>9.</t>
  </si>
  <si>
    <t>Izstāde "Dzejas krājumam "Saulains stūrīts" - 110"</t>
  </si>
  <si>
    <t>Latvijas simtgades aktivitāte. Izstāde veltīta Aspazijas 155 gadu jubilejai (02.06.2020.-31.10.2020.), interaktīva izstāde pieaugušajiem un bērniem.</t>
  </si>
  <si>
    <t>Autorhonorārs  māksliniekam par izstādes dizaina koncepcijas izstrādi, izstādes iekārtošanu un reklāmas materiālu maketēšanu.</t>
  </si>
  <si>
    <t>Autortiesības AKKA/LAA - 60 EUR; kopēšana - 32 EUR</t>
  </si>
  <si>
    <t>Materiālu iegāde izstādes noformēšanai</t>
  </si>
  <si>
    <t>Autorhonorārs radošo darbnīcu vadītājiem (50 EURx4 personas) un mūziķiem</t>
  </si>
  <si>
    <t xml:space="preserve">Prožektoru noma pagalma apgaismošanai graffiti radošās darbnīcas norises laikā pēc tumsas iestāšanās. </t>
  </si>
  <si>
    <t>Reklāma, digitālās izdrukas, dažādi materiāli radošajām darbnīcām, kafija, konditoreja.</t>
  </si>
  <si>
    <t>Starptautiskā jūras ainavu izstāde "Marīna"</t>
  </si>
  <si>
    <t xml:space="preserve">Starpgada izstāde starp biennālēm, sastāv no 2 patstāvīgām daļām </t>
  </si>
  <si>
    <t>JPAP_P1.7._R1.7.1._42; P3.3._R3.3.1._191; 193; 199; KAP_RV2_U2.1._P2.1.3.; U2.2._P2.2.3.; U2.3._P2.3.1.; RV3_U3.2._P3.2.2.; U3.3._P3.3.5.</t>
  </si>
  <si>
    <t>Informatīvo materiālu (anotācijas, etiķetes, plakāti, atklātnes, baneris un āra digitālā afiša) maketēšana  - 100 EUR; anotāciju un etiķesu tulkošana uz angļu valodu- 0,0605 EUR*500 vārdi x 2= 60,50.</t>
  </si>
  <si>
    <t>Informatīvo materiālu ražošanas izmaksas.</t>
  </si>
  <si>
    <t>3.</t>
  </si>
  <si>
    <t>Kultūras projekts "Bērnu gada balva mākslā "Lielā zemene""</t>
  </si>
  <si>
    <t>JPAP_P3.3._R3.3.1._191; 192; 199; KAP_RV3_U3.2._P3.2.4.;</t>
  </si>
  <si>
    <t>Autorhonorārs par nodarbību vadīšanu (14 EUR x 20 nodarbības) un noslēguma pasākuma scenārija izstrādi (60 EUR)</t>
  </si>
  <si>
    <t xml:space="preserve">Biroja preces nodarbībām </t>
  </si>
  <si>
    <t>Dažādu materiālu iegāde bērnu nodarbībām (0,20 EUR  x 20 bērni x 20 nodarbības), balvas māksliniekiem un bērniem (90 EUR)</t>
  </si>
  <si>
    <t>Materiālu iegāde muzejpedagoģiskām programmām</t>
  </si>
  <si>
    <t>JPAP_P3.3._R3.3.1._191; 192; 199; KAP_RV1_U1.3._P1.3.6.; RV3_U3.2._P3.2.4.;</t>
  </si>
  <si>
    <t>Akvareļu papīrs (A3 3,45 x 10 gab, A4 1,50x 10 gab, A 5 1,20 x10 gab.= 61,5 EUR); lielie papīra ruļļi 180 g/ 1,5x  10 m (41 EURx 3gab.= 123 EUR); eļļas krītiņi (5,80 EURx18 gab .= 104,40 EUR); temperas krītiņi, akvareļzīmuļi (45,30 EUR); dažādi materiāli "Ģimenes pēcpusdienai muzejā" (20 EUR x 5 nodarbības = 100 EUR)</t>
  </si>
  <si>
    <t>Muzeja mākslas krājuma izstādes</t>
  </si>
  <si>
    <t>2020. gada plānā ir apstiprināta viena izstāde no muzeja mākslas kolekcijas: "Ceļojuma piezīmes" (16.11.-31.12.).</t>
  </si>
  <si>
    <t>Informatīvo un izglītojošo materiālu (anotācija, etiķetes, plakāts,ielūgums, baneris un āra digitālā afiša) maketēšana  - 100 EUR; anotācijas un etiķešu tulkošana uz angļu valodu- 0,0605 EUR*1000 vārdi (2 A4 lapas) = 60,50 EUR.</t>
  </si>
  <si>
    <t>JPAP_P3.3._R3.3.1._191; 192; 199; KAP_RV2_U2.2._P2.2.3.; RV3_U3.2._P3.2.1.; P3.2.2.</t>
  </si>
  <si>
    <t>Paspartu un ierāmējuma izgatavošana 32 grafikas darbiem (310 EUR); grafikas darbu konservācija izstādes vajadzībām (21 grafika)-415 EUR; ploterēšanas un drukas darbi (110 EUR).</t>
  </si>
  <si>
    <t>Uzlīmju, tekstu un anotāciju izdrukas- 80 EUR; konditorejas izstrādājumi- 60 EUR (1,50 EUR*40 personas); ziedi, suvenīri - 20 EUR</t>
  </si>
  <si>
    <t>Pārējo mākslas izstāžu iekārtošanas, noformēšanas, atklāšanas un reklāmas pasākumi</t>
  </si>
  <si>
    <t>14 mākslas izstādes, t.sk. 3 Jūrmalas mākslinieku izstādes, kurām nepieciešams pašvaldības līdzfinansējums informatīvajiem materiāliem. Atsevišķs budžets ir 4 izstādēm (2 -"Marīna' 2020" ietvaros, 1 mākslas krājuma izstāde, 1 - muzeja kultūrvēsturiska izstāde).</t>
  </si>
  <si>
    <t>JPAP_P3.3._R3.3.1._191; 192; 193; 199; KAP_RV2_U2.1._P2.1.3.</t>
  </si>
  <si>
    <t xml:space="preserve"> </t>
  </si>
  <si>
    <t>Transporta noma baneru nomaiņai 55,41 EUR x  1 stunda x 8 baneri ("Jūrmalas gaisma" ir palielinājusi 1 st. nomas izmaksas par 42% jeb 16,30 EUR)</t>
  </si>
  <si>
    <t xml:space="preserve">Reprezentācijas izdevumi (ziedi u.c.): 20 EUR x 14 izstādes=280 </t>
  </si>
  <si>
    <t>Priekšmetu iepirkumi muzeja kolekciju papildināšanai</t>
  </si>
  <si>
    <t>JPAP_P3.3._R3.3.1._191; 192; 199; KAP_RV3_U3.2._P3.2.1.</t>
  </si>
  <si>
    <t>Vēsturisko prieksmetu iepirkumi ekspozīcijas un izstāžu papildināšanai</t>
  </si>
  <si>
    <t>Iepirkumi mākslas kolekcijas papildināšanai</t>
  </si>
  <si>
    <t>Muzeja priekšmetu restaurācija</t>
  </si>
  <si>
    <t xml:space="preserve">Mākslas darbu un vēstures krājuma priekšmetu restaurācija </t>
  </si>
  <si>
    <t xml:space="preserve">Dažādu kopiju izgatavošana izstāžu un muzeja krājuma vajadzībām </t>
  </si>
  <si>
    <t>JPAP_P3.3._R3.3.1._191; 192; 199; KAP_RV1_U1.3._P1.3.6.; RV3_U3.2._P3.2.3.</t>
  </si>
  <si>
    <t>10.</t>
  </si>
  <si>
    <t>Pasākums "Esmu Jūrmalas muzeju eksperts"</t>
  </si>
  <si>
    <t>JPAP_P3.3._R3.3.1._191; 199; KAP_ RV3_U3.2._P3.2.4.</t>
  </si>
  <si>
    <t>Autoratlīdzība ekspertam par projekta izvērtējumu mācību gada un projekta noslēguma pasākumā</t>
  </si>
  <si>
    <t>Bukletu (dienasgrāmatu) druka 20 lpp. + vāks (700 gab.) = 732,05 EUR; atstarojošās nozīmītes ar projekta logo (0,6534*400 gab.) = 261,36 EUR.</t>
  </si>
  <si>
    <t>11.</t>
  </si>
  <si>
    <t xml:space="preserve">Muzejpedagoģiskā programma "Tēja ielas garumā" </t>
  </si>
  <si>
    <t>Tā kā muzejs ir iegādājies visas līdz šim uzņemtās filmas "Ielas garumā" par Jūrmalas ielām, kas apskatītas un apspriestas aktivitātes "Tēja ielas garumā" pasākumos, 2020.gadā nav plānots turpināt šo pasākumu ciklu. Ņemot vērā lielo apmeklētāju skaitu un interesi par Jūrmalas vēstures tēmām, tiks organizēts jauns izglītojošs pasākumu cikls "Atmiņu tigus".</t>
  </si>
  <si>
    <t>JPAP_P3.3._R3.3.1._191; 192; 199; KAP_RV1_U1.3._P1.3.6.; RV2_U2.2._P2.2.1.; RV3_U3.3._P3.3.3.</t>
  </si>
  <si>
    <t>LTV videoierakstu izmantošanas tiesības (45,21 EUR x 6 raidījumi = 271,26 EUR</t>
  </si>
  <si>
    <t>12.</t>
  </si>
  <si>
    <t>Interaktīvā karte - ceļvedis ģimenēm ar bērniem</t>
  </si>
  <si>
    <t>Izstrādāta 2019.gadā, nav plānota 2020.gadā.</t>
  </si>
  <si>
    <t>JPAP_P1.7._R1.7.1._42; P3.3._R3.3.1._191; 193; 199; KAP_ RV3_U3.2._P3.2.2.; P3.2.4.; U3.3._P3.3.1.; P3.3.3.</t>
  </si>
  <si>
    <t>13.</t>
  </si>
  <si>
    <t xml:space="preserve">Muzejpedagoģiska programma "Atmiņu tirgus". </t>
  </si>
  <si>
    <r>
      <rPr>
        <b/>
        <sz val="9"/>
        <rFont val="Times New Roman"/>
        <family val="1"/>
        <charset val="186"/>
      </rPr>
      <t>Programmas "Tēja ielas garumā" turpinājums</t>
    </r>
    <r>
      <rPr>
        <sz val="9"/>
        <rFont val="Times New Roman"/>
        <family val="1"/>
        <charset val="186"/>
      </rPr>
      <t>. 2020.gadā paredzēti 7 pasākumi, veltīti dažādām aktuālām Jūrmalas kultūrvēstures tēmām. Katrā pasākumā būs viena profesionāla pētnieka sagatavota prezentācija par noteiktu tēmu un pēc tās notiks diskusija un dalīšanās ar atmiņu stāstiem (līdzīgi, kā tas notika "Tēja ielas garumā" pasākumos).</t>
    </r>
  </si>
  <si>
    <t>JPAP_P1.7._R1.7.1._42; P3.3._R3.3.1._191; 193; 199; KAP_RV1_U1.3_P1.3.6.; KAP_ RV3_U3.2._P3.2.2.; P3.2.4.; U3.3._P3.3.1.; P3.3.3.</t>
  </si>
  <si>
    <t>Autorhonorārs pētniekam par prezentācijas sagatavošanu (60 EUR*7 personas).</t>
  </si>
  <si>
    <t>Plakātu A3 druka 7 pasākumiem (1 EUR*4 plakāti*7 pasākumi)-28 EUR; tēja un konditoreja pasākumu dalībniekiem (10 EUR*7 pasākumi)- 70 EUR.</t>
  </si>
  <si>
    <t>14.</t>
  </si>
  <si>
    <t xml:space="preserve">Muzejpedagoģiska programma "Reiz vilcienā Priedaine-Ķemeri". </t>
  </si>
  <si>
    <t>JPAP P3.3._R3.3.1._191; 193;                                                    KAP RV3_U3.2._P3.2.4.; KAP RV1_U1.3_P1.3.6.</t>
  </si>
  <si>
    <r>
      <rPr>
        <b/>
        <sz val="9"/>
        <rFont val="Times New Roman"/>
        <family val="1"/>
        <charset val="186"/>
      </rPr>
      <t>Jauna aktivitāte.</t>
    </r>
    <r>
      <rPr>
        <sz val="9"/>
        <rFont val="Times New Roman"/>
        <family val="1"/>
        <charset val="186"/>
      </rPr>
      <t xml:space="preserve"> Muzejpedagoģiska programma Jūrmalas pirmsskolu iestāžu audzēkņiem (5-7 gadi) ar leļļu teātra uzveduma elementiem, lai atraktīvā un iesaistošā  veidā iepazītu Jūrmalas rajonu vēsturi. Plānotas 7 nodarbības gadā.</t>
    </r>
  </si>
  <si>
    <t>Autorhonorārs Latvijas Leļļu teātra aktrisei (57 EUR*7)- 399 EUR</t>
  </si>
  <si>
    <t>15.</t>
  </si>
  <si>
    <t>Kultūrvēsturiska izstāde "Rīgas Jūrmalas pilsētai - 100".</t>
  </si>
  <si>
    <t>Jauna aktivitāte, veltīta Latvijas simtgadei un Rīgas Jūrmalas pilsētas simtgadei. 17.02.-28.06.</t>
  </si>
  <si>
    <t>JPAP P3.3._R3.3.1._191; 193; KAP_RV2_U2.2._P2.2.1.; RV3_U3.2._P3.2.2.; U3.3._P3.3.3.</t>
  </si>
  <si>
    <t xml:space="preserve">Autorhonorārs izstādes anotācijas, etiķešu un bukleta tekstu rediģēšanaai (15 EUR*3 lapas)- 45 EUR; tekstu tulkošanai uz angļu valodu (0,0605*1500 vārdi)- 90,75 EUR; anotācijas, etiķešu, bukleta un reklāmas banera maketēšanai- 350 EUR. Autorhonorārs māksliniekam par izstādes dizaina koncepciju un iekārtošanu- 500 EUR.  </t>
  </si>
  <si>
    <t xml:space="preserve">Lielformāta Rīgas Jūrmalas pilsētas kartes (13x3,2m) drukāšana- 1057 EUR. </t>
  </si>
  <si>
    <t>Mazie baneri (27 EURx2gab.)- 54 EUR; afišas A3 (1,23 EURx20 gab.)- 24,60 EUR; planšetes ar apdruku (25,5 EURx20 gab.)- 510 EUR; izstādes buklets (A4 formāts, abpusēja druka, ofsets, locīts; 0,44 EUR*1000 gab.)- 440 EUR; stiprinājumi Command 3M planšetu stiprināšanai pie sienas(8,00 EUR*6 iepakojumi)- 48 EUR.</t>
  </si>
  <si>
    <t>Bulduru Izstāžu nams</t>
  </si>
  <si>
    <t>Mākslas dienas</t>
  </si>
  <si>
    <t>4 mākslas stundu pasākumi Mākslas dienu ietvaros (aprīlis, maijs).</t>
  </si>
  <si>
    <t>JPAP_P3.3._R3.3.1._191; 193; 199; KAP_RV1_U1.3._P1.3.6.; P1.3.7.; RV2_U2.1._P2.1.1.; RV3_U3.3._P3.3.3.</t>
  </si>
  <si>
    <t>Autoratlīdzība 4 māksliniekiem (70 EUR*4).</t>
  </si>
  <si>
    <t>Informatīvo materiālu (plakāts A3, flaijeris) maketēšanas pakalpojumi.</t>
  </si>
  <si>
    <t xml:space="preserve">Materiāli radošām darbnīcām (krāsas, otas, papīrs, kartons u.c.); tēja, kafija, konditoreja, ziedi. </t>
  </si>
  <si>
    <t>Muzeju nakts</t>
  </si>
  <si>
    <t>JPAP_P3.3._R3.3.1._191; 193; 199; KAP_RV1_U1.3._P1.3.6.; P1.3.7.; RV3_U3.2._P3.2.3.</t>
  </si>
  <si>
    <t xml:space="preserve">Autoratlīdzība 3 personām par pasākuma vietas un teritorijas noformējumu (80 EUR*3). </t>
  </si>
  <si>
    <t>Materiāli pasākuma norisei atbilstoši koncepcijai</t>
  </si>
  <si>
    <t>Mākslas projekts-konkurss-izstāde "JĀ/Neatkarība"</t>
  </si>
  <si>
    <t xml:space="preserve">Autoratlīdzības: žūrijas komisijai 172 EUR x 5 personas; 95 EUR izstādes māksliniekam; 92 EUR anotāciju, etiķešu tulkošana;  </t>
  </si>
  <si>
    <t xml:space="preserve">Materiāli izstādes iekārtošanai, noformējums, cienasts, ziedi, suvenīri </t>
  </si>
  <si>
    <t>Konkursa balvu fonds</t>
  </si>
  <si>
    <t xml:space="preserve">6 izstādes 2020.gadā. Budžeta palielinājums saistīts ar to, ka  budžeta pieprasījumā ir iekļautas reklāmas maketēšanas izmaksas, jo Jūrmalas pilsētas muzejā nav pastāvīga mākslinieka (kā tas ir Jūrmalas kultūras centrā), tāpēc maketēšana ir ārpakalpojums. Kā arī, 2020.gadā Bulduru Izstāžu namā ieplānota starptautiska izstāde, Zviedrijas mākslinieces Tīnas Eskilsones personālizstāde, kas tiek veidota speciāli Bulduru Izstāžu nama telpām. Šai izstādei nepieciešams lielāks budžets. </t>
  </si>
  <si>
    <t>JPAP_P3.3._R3.3.1._191; 193; 199; KAP_RV1_U1.3._P1.3.6.; P1.3.7.; RV2_U2.1._P2.1.1.; RV3_U3.3._P3.3.3.; KAP_RV4_U4.1._P4.1.4.; U4.3._P4.3.3.</t>
  </si>
  <si>
    <t xml:space="preserve">Autoratlīdzība tulkam par anotāciju, etiķešu un plakātu tekstu tulkojumu angļu valodā (0,0605 EUR*500 vārdi*6 izstādes)- 181,50 EUR. </t>
  </si>
  <si>
    <t>Informatīvo materiālu (plakāts A3, flaijeris) maketēšanas pakalpojumi (80 EUR*6 izstādes).</t>
  </si>
  <si>
    <r>
      <t>Noformējuma materiāli, cienasts, ziedi, tipogrāfijas izdevumi(plakāti, flaijeri). Vidējās izmaksas: 100 EUR*6</t>
    </r>
    <r>
      <rPr>
        <b/>
        <sz val="9"/>
        <rFont val="Times New Roman"/>
        <family val="1"/>
        <charset val="186"/>
      </rPr>
      <t xml:space="preserve">. </t>
    </r>
    <r>
      <rPr>
        <sz val="9"/>
        <rFont val="Times New Roman"/>
        <family val="1"/>
        <charset val="186"/>
      </rPr>
      <t>Bulduru Izstāžu nams ir muzeja filiāle kopš 2018.gada 1.maija, pirms tam tas bija Kultūras centra struktūrvienība, kurai gada budžetā apstiprinātā summa izstādēm 2018.gadā bija 1500 EUR</t>
    </r>
  </si>
  <si>
    <t>Tipogrāfijas pakalpojumi</t>
  </si>
  <si>
    <t>Tipogrāfijas izdevumi 2020.gadā (200 EUR) ir iekļauti aktivitātē "Mākslas izstādes".</t>
  </si>
  <si>
    <t>JPAP_P3.3._R3.3.1._191; 199; KAP_RV4_U4.1._P4.1.4.; U4.3._P4.3.3.</t>
  </si>
  <si>
    <t xml:space="preserve">Plakāti, ielūgumi, flajeri, anotācijas </t>
  </si>
  <si>
    <t>Valda Buša izstādes, radošās darbnīcas un mini plenēri</t>
  </si>
  <si>
    <t xml:space="preserve"> 2020g. - 2 izstādes, 10 radošās darbnīcas, 3 mini plenēri.</t>
  </si>
  <si>
    <t>JPAP_P1.7._R1.7.1._42; JPAP_P3.3._R3.3.1._191; 193; 199; KAP_RV3_U3.2._P3.2.3.</t>
  </si>
  <si>
    <t>Autoratlīdzība mūziķiem/ māksliniekiem izstāžu atklāšanas pasākumos un Lieldienu/ Ziemassvētku radošajās darbnīcās (55 EUR x 4 personas)</t>
  </si>
  <si>
    <t>Informatīvo materiālu (plakāts A3, flaijeris) maketēšanas pakalpojumi (50 EUR*15 pasākumi)</t>
  </si>
  <si>
    <t>Materiāli radošajām darbnīcām (10 gab.): 380 EUR- akrila krāsas; 90 EUR-krītiņi, flomasteri; 100 EUR-otas; 120 EUR-papīrs; 160 EUR-audekli.</t>
  </si>
  <si>
    <t>Valda Buša darbu pastkaršu komplekts</t>
  </si>
  <si>
    <t>2020.gadā nav plānots izdot Valda Buša darbu pastkaršu komplektu.</t>
  </si>
  <si>
    <t>JPAP_P3.3._R3.3.1._191; 199; KAP_RV2_U2.3._P2.3.1.; RV4_U4.1._P4.1.4.; U4.3._P4.3.3.</t>
  </si>
  <si>
    <t>Autoratlīdzības: 100 EUR- teksta autoram un redaktoram; 50 EUR- tulkam par tulkojumu angļu valodā; 200 EUR fotogrāfam; 240 EUR par maketēšanu un bilžu apstrādi.</t>
  </si>
  <si>
    <r>
      <t xml:space="preserve">Pastkaršu komplekti 1000 gab. Izmērs 10x15 cm; druka 4+4; kartons </t>
    </r>
    <r>
      <rPr>
        <i/>
        <sz val="9"/>
        <rFont val="Times New Roman"/>
        <family val="1"/>
        <charset val="186"/>
      </rPr>
      <t xml:space="preserve">MetsaBoard Prime </t>
    </r>
    <r>
      <rPr>
        <sz val="9"/>
        <rFont val="Times New Roman"/>
        <family val="1"/>
        <charset val="186"/>
      </rPr>
      <t>FBB 270 gr/m2</t>
    </r>
  </si>
  <si>
    <t>JPAP Jūrmalas pilsētas attīstības programmas 2014.-2020.gadam</t>
  </si>
  <si>
    <t>R1.7.1. Kultūras tūrisma piedāvājuma attīstība</t>
  </si>
  <si>
    <t>Aktivitātes Nr. 42.  Jaunu kultūras tūrisma produktu attīstība.</t>
  </si>
  <si>
    <t>R3.3.1. Pilsētas kultūras iestāžu un muzeju darbības pilnveide</t>
  </si>
  <si>
    <t>Aktivitātes Nr. 191  Daudzveidīgu kultūras pasākumu pieejamība Jūrmalas iedzīvotājiem Jūrmalas pilsētā</t>
  </si>
  <si>
    <t>Aktivitātes Nr. 192 Jūrmalas kultūras iestāžu ēku remonts un būvniecība, teritoriju labiekārtošana un materiāltehniskais nodrošinājums</t>
  </si>
  <si>
    <t>Aktivitātes Nr. 193 Jūrmalas kā kultūras un mākslas pilsētas identitātes un konkurentspējas nostiprināšana</t>
  </si>
  <si>
    <t>Aktivitātes Nr. 198 Zvejniecības amatu kultūras mantojuma saglabāšana</t>
  </si>
  <si>
    <t>Aktivitātes Nr. 199 Jūrmalas muzeju popularizēšana</t>
  </si>
  <si>
    <t>Aktivitātes Nr. 200 Jūrmalas brīvdabas muzeja attīstība</t>
  </si>
  <si>
    <t>Aktivitātes Nr. 202 Pilsētas tēla "Jūrmala - Raiņa un Aspazijas pilsēta" izveide</t>
  </si>
  <si>
    <t>KAP Jūrmalas pilsētas kultūrvides attīstības plāns 2017.-2020.gadam</t>
  </si>
  <si>
    <t>RV1 Radošā Jūrmala: apkaimju unikalitātes stiprināšana un iedzīvotāju līdzdalības sekmēšana.</t>
  </si>
  <si>
    <t>RV2 Kultūras piedāvājuma izcilība un daudzveidība Jūrmalā: kvalitatīva un sistemātiska kultūras piedāvājuma veidošana dažādām mērķauditorijas grupām vietējā, nacionālā un starptautiskā mērogā</t>
  </si>
  <si>
    <t>RV3 Jūrmalas kultūras mantojums: kultūras mantojuma saglabāšana, mūsdienīga interpretācija un popularizēšana.</t>
  </si>
  <si>
    <t>RV4 Sadarbība Jūrmalā: kultūrvides attīstībā iesaistīto dalībnieku sadarbības veicināšana</t>
  </si>
  <si>
    <t>Uzdevums U1.3. Nodrošināt mūžizglītības un radošuma attīstīšanas iespējas jūrmalniekiem</t>
  </si>
  <si>
    <t xml:space="preserve">Uzdevums U.2.1. Rīkot kvalitatīvas un daudzveidīgas kultūras norises konkrētiem auditorijas segmentiem (jūrmalniekiem, vietēja mēroga un starptautiskiem tūristiem) katrā sezonā): </t>
  </si>
  <si>
    <t>Uzdevums U2.2. Nostiprināt Jūrmalas kā kultūras un mākslas pilsētas identitāti un konkurētspēju</t>
  </si>
  <si>
    <t>Uzdevums U2.3. Attīstīt starptautisko sadarbību, popularizējot Jūrmalu kā Baltijas lielāko kūrortpilsētu ar kvalitatīvu kultūras piedāvājumu</t>
  </si>
  <si>
    <t>Uzdevums U3.2. Palielināt pilsētas muzeju lomu kultūrvēsturiskā mantojuma mūsdienīgā interpretācijā</t>
  </si>
  <si>
    <t>Uzdevums U3.3. Izstrādāt mantojumā balstītus kultūrtūrisma produktus un pakalpojumus</t>
  </si>
  <si>
    <t>Uzdevums U4.1. Attīstīt sadarbību starp dažādām pašvaldības kultūras un citām iestādēm, ģeogrāfiski līdzsvarota kultūras piedāvājuma veidošanā un pieejamības veicināšanā.</t>
  </si>
  <si>
    <t>Uzdevums U4.3. Nodrošināt informācijas pieejamību atbilstoši kultūras auditorijas vajadzībām.</t>
  </si>
  <si>
    <t>Pasākuma Nr. P1.3.6. Kultūrizglītojošu pasākumu veidošana ģimenēm, bērniem un jauniešiem, senioriem.</t>
  </si>
  <si>
    <t>Pasākuma Nr. P1.3.7. Interaktīvu līdzdalības formu attīstība kultūras pasākumos</t>
  </si>
  <si>
    <t>Pasākuma Nr. P2.1.1. Nodrošināt dažādu mērķauditorijas segmentu vajadzībām atbilstošas profesionālās mākslas pieejamību Jūrmalā.</t>
  </si>
  <si>
    <t>Pasākuma Nr. P2.1.3. Jūrmalu kā kūrortpilsētu pozicionējošu ikgadēju profesionālās mākslas festivālu un pasākumu rīkošana vai līdzfinansēšana.</t>
  </si>
  <si>
    <t>Pasākuma Nr. P2.2.1. Valsts svētku un atceres dienu rīkošana pilsētas iedzīvotājiem un viesiem, tai skaitā Latvijai-100 atzīmēšana.</t>
  </si>
  <si>
    <t>Pasākuma Nr. P2.2.2. Jūrmalas kā Aspazijas un Raiņa pilsētas tēla nostiprināšana.</t>
  </si>
  <si>
    <t xml:space="preserve">Pasākuma Nr. P2.2.3. Gadskārtu svētku, pilsētas svētku un dažādām sabiedrības mērķgrupām domātu pasākumu rīkošana, nostiprinot Jūrmalas zīmolu vietējā, nacionālā un starptautiskā mērogā. </t>
  </si>
  <si>
    <t>Pasākuma Nr. P2.3.1. Kultūras sadarbības attīstīšana ar Jūrmalas sadraudzības pilsētām un citiem starptautiskiem partneriem.</t>
  </si>
  <si>
    <t>Pasākuma Nr. P3.2.1. Jūrmalas pilsētas muzeju pamatdarbības nodrošināšana, krājuma papildināšana un saglabāšana, veidojot atbilstošus glabāšanas apstākļus, krājuma izpēte un popularizēšana.</t>
  </si>
  <si>
    <t>Pasākuma Nr. P3.2.2. Muzeju krājuma pieejamības veicināšana, veicot krājuma digitalizāciju, izstāžu un tematisku izdevumu veidošana.</t>
  </si>
  <si>
    <t xml:space="preserve">Pasākuma Nr. P3.2.3. Jūrmalas pašvaldības muzeju rīkotie tematiskie pasākumi, izstādes auditorijas paplašināšanai. </t>
  </si>
  <si>
    <t>Pasākuma Nr. P3.2.4. Jūrmalas pilsētas muzeju sadarbības ar izglītības iestādēm un muzejpedagoģiskā darba attīstīšana.</t>
  </si>
  <si>
    <t>Pasākuma Nr. P3.3.2. Amatu prasmju apguves darbnīca Jūrmalas brīvdabas muzejā.</t>
  </si>
  <si>
    <t>Pasākuma Nr. P3.3.3. Ar izcilām personībām – jūrmalniekiem – saistītā kultūrvēsturiskā mantojuma popularizēšana, kultūras tūrisma produktu veidošana (izstādes, pilsētvides objekti, pasākumi).</t>
  </si>
  <si>
    <t>Pasākuma Nr. P3.3.4.Koka arhitektūras kultūrvēsturiskā mantojuma popularizēšana</t>
  </si>
  <si>
    <t>Pasākuma Nr. P3.3.5. Mantojumā balstītu dizaina produktu izstrāde, intelektuālie suvenīri, ar izcilām personībām – jūrmalniekiem – saistītu suvenīru izstrāde.</t>
  </si>
  <si>
    <t>Sporta skolas pasākumi</t>
  </si>
  <si>
    <t>9.510</t>
  </si>
  <si>
    <t>Basketbols</t>
  </si>
  <si>
    <t>Basketbols, 8 treneri - 156 izglītojamie</t>
  </si>
  <si>
    <t>Dalība čempionātos</t>
  </si>
  <si>
    <t>1.1.1.</t>
  </si>
  <si>
    <t>Dalība LJBL</t>
  </si>
  <si>
    <t>40 izbraukumi</t>
  </si>
  <si>
    <t>JPAP_P3.6_R3.6.2_227 JPSAAS_3_3.3.</t>
  </si>
  <si>
    <t xml:space="preserve">2019./2020.g.s. Kalendārā ir komandas no Alūksnes, Daugavpils, Rēzeknes, Smiltenes, Rūjienas, Gulbenes, Liepājas, Ventspils spēles kalendārā tiks saliktas, lai 2 dienās varētu izspēlēt vairākas spēles ar tālajām komandām līdz ar to būs nepieciešamas naktsmītnes 8,00EUR x 15audz.x 2 naktis x  5 izbraukumi =1200 EUR, </t>
  </si>
  <si>
    <t>40 braucieni * 167 km * 1.50 EUR/km = 10020</t>
  </si>
  <si>
    <t>Dalības maksas LJBL un Latvijas čempionātos 12 komandas * 350 EUR = 4200 EUR</t>
  </si>
  <si>
    <t>1) 11.00EUR *13 izgl.* 2 dienas * 5 sacensības =1430 EUR, 2)4.50EUR * 13audz.* 20 sacencības = 1170EUR</t>
  </si>
  <si>
    <t>1.1.2.</t>
  </si>
  <si>
    <t xml:space="preserve">Atklātais turnīrs "Fēnikss kauss" </t>
  </si>
  <si>
    <t>Atklātā turnīra "Fenikss kauss"  4 izbraukuma posmi Krievijā.</t>
  </si>
  <si>
    <t>JPAP_R3.2.4._170 JPAP_P3.6_R3.6.2_227</t>
  </si>
  <si>
    <t>Komandējuma nauda  Maskava 2 reizes 4 dienas *45 EUR = 360 EUR, Komandējuma nauda Sanktpēterburga 2 reizes 4 dienas * 45 EUR = 360 EUR</t>
  </si>
  <si>
    <t>Autobusa biļete LuxExpress Rīga-Maskava-Rīga 2*90 EUR = 180 EUR, Autobusa biļete LuxExpress Rīga-Sanktpēterburga-Rīga 2* 55 EUR=110 EUR, Ceļojuma apdrošināšana 4 braucieni * 1 treneris * 7 EUR = 28 EUR</t>
  </si>
  <si>
    <t>Autobusa biļete LuxExpress Rīga-Maskava-Rīga 2 reizes 13 izglītojamās * 90 EUR = 2340 EUR, Autobusa biļete LuxExpress Rīga-Sanktpēterburga-Rīga 2 reizes 13 izglītojamās * 55 EUR = 1430 EUR, Ceļojuma apdrošināšana 4 braucieni * 13 izglītojamās * 7 EUR = 364 EUR</t>
  </si>
  <si>
    <t>Dalība LBS rīkotajā čempionātā Latvijas sieviešu basketbola līgā</t>
  </si>
  <si>
    <t>JPSAAS_3_3.3. JPAP_R3.2.4._174  JPAP_P3.6_R3.6.2_227</t>
  </si>
  <si>
    <t>2019./2020.g. sezona 2020./2021.g. sezona</t>
  </si>
  <si>
    <t xml:space="preserve">14 māju spēļu  informatora  nodrošinājums un video operators spēļu tiešraides nodrošināšanai </t>
  </si>
  <si>
    <t>Darba devēja valsts sociālās apdrošināšanas obligātās iemaksas</t>
  </si>
  <si>
    <t>Komandējuma nauda 2 treneri + 1 fizioterapeits - Daugavpils 4 dienas * 6.00 EUR * 3 pers. = 72.00 EUR, Liepāja 2 dienas * 6.00 EUR * 3 pers. = 36.00 EUR, Rīga 4 dienas * 6.00 EUR * 3 pers. = 72.00 EUR, Saldus 2 dienas * 6.00 EUR * 3 pers. = 36.00 EUR,</t>
  </si>
  <si>
    <t>Ar komandējumu saistītie izdevumi viesnīcas pakalpojumi Daugavpilī un Liepājā 2 treneri + fizioterapeits - 3 pers.* 4 naktis * 25.00 EUR = 150.00 EUR</t>
  </si>
  <si>
    <t>Komandējuma nauda 2 treneri + 1 fizioterapeits - Tallina 2 dienas * 2 reizes * 29.00 EUR * 3 pers. = 348.00 EUR, Tartu 2 dienas * 29.00 EUR * 3 pers. = 174.00 EUR</t>
  </si>
  <si>
    <t>Ar komandējumu saistītie izdevumi viesnīcas pakalpojumi 2 treneri + fizioterapeits - Tallina 3 pers.* 2 reizes * 1 nakts * 25.00 EUR = 150.00 EUR, Tartu 3 pers.* 1 nakts * 25.00 EUR = 75.00 EUR</t>
  </si>
  <si>
    <t>Ūdens mājas spēļu nodrošināšanai 14 spēles * 42 pudeles * 0.50 EUR = 294 EUR</t>
  </si>
  <si>
    <t>7 izbraukumu spēles (Tallina 2 x, Tartu, Daugavpils 2 x, Liepāja 2 x) - telpu noma naktsmītnēm 16 pers. * 20.00  EUR = 2240 EUR</t>
  </si>
  <si>
    <t>11 izbraukumu spēles (Tallina 2 x, Tartu, Daugavpils 2x, Liepāja 2x, Rīga 2x, Saldus 2x) - 5000 km * 1.09 EUR = 5450</t>
  </si>
  <si>
    <t>Dalības maksa turnīrā + tiesnešu maksa + sekretariāta maksa, spēlētāju licences</t>
  </si>
  <si>
    <t>Informatīvie materiāli - plakātu un baneru izgatavošana</t>
  </si>
  <si>
    <t>Aptieciņa pirmās palīdzības nodrošināšanai mājas spēlēm + izbraukuma spēlēm 200 EUR fizioterapeitei medicīnas somai, fizioloģiskie teipi + apakšteipi 25 gab. * 20.00 EUR = 500 EUR</t>
  </si>
  <si>
    <t>Spēļu formas ar apdruku gaiša + tumša 20 gab.* 70.00 EUR = 1400 EUR, Iesildīšanās krekli 10 gab. * 45.00 EUR = 450 EUR, Treniņformas 10 gab. * 60.00 EUR = 600 EUR, Mugursomas 10 gab. * 70.00 EUR = 700 EUR, Siltās jakas 10 gab. * 65.00 EUR = 650 EUR</t>
  </si>
  <si>
    <t>11 izbraukumu spēles (Tallina 2 x, Tartu, Daugavpils 2x, Liepāja 2x, Rīga 2x, Saldus 2x) - Ēdināšanas pakalpojumi 3 x dienā 16 pers. *  5 izbraukumi * 2 dienas * 10.00 EUR = 1600 EUR, pusdienas - 16 pers. *  6 izbraukumi * 4.50 EUR = 432 EUR, 14 mājas spēles pusdienas 16 pers.* 14 reizes * 4.50 EUR = 1008.00 EUR</t>
  </si>
  <si>
    <t>1.1.4.</t>
  </si>
  <si>
    <t>Dalība BBBL</t>
  </si>
  <si>
    <t>U-10 U-11 U-12 U-13 vecuma grupām 6 izbraukumi</t>
  </si>
  <si>
    <t>Tālākiem braucieniem nepieciešamas naktsmītnes 8.00EUR * 13audz.* 2 naktis *  3 izbraukumi = 624 EUR</t>
  </si>
  <si>
    <t>6 braucieni * 213 km * 1.09 EUR/km = 1395 EUR</t>
  </si>
  <si>
    <t>Dalības maksas BBBL 4 komandas * 150 EUR = 600 EUR</t>
  </si>
  <si>
    <t>1) 11.00EUR *13audz.* 3 dienas *  3 izbraukumi =1287 EUR</t>
  </si>
  <si>
    <t>Basketbola programmas īstenošanas nodrošināšana</t>
  </si>
  <si>
    <t>JPAP_R3.2.4._173 JPAP_P3.2_R3.2.4._170 JPAP_P3.6_R3.6.2_227</t>
  </si>
  <si>
    <t>Pirmās palīdzības aptieciņas papildināšana</t>
  </si>
  <si>
    <t>Spēļu formas ar apdruku 2 zēnu komandām (gaišais krekls, šorti + tumšais krekls, šorti + iesildīšanās krekls) 30 komplekti * 75 EUR = 2250 EUR</t>
  </si>
  <si>
    <t xml:space="preserve"> b/b 5 izm. bumbas 10 gab.* 43 EUR = 430 EUR,  b/b 6 izm. bumbas 10 gab.* 43 EUR = 430 EUR bumbu soma 1 gab. * 55 EUR = 55 EUR, b/b grozu tīkliņi 12 gab.* 5.00 EUR = 60 EUR, pildbumbas 2 gab * 30 EUR = 60.00 EUR </t>
  </si>
  <si>
    <t>Nometnes</t>
  </si>
  <si>
    <t>1.3.1.</t>
  </si>
  <si>
    <t>Dienas nometnes</t>
  </si>
  <si>
    <t>JPAP_R3.2.4._184 JPSAAS_3_3.3.</t>
  </si>
  <si>
    <t>4 nometnes</t>
  </si>
  <si>
    <t>5 grupas: 100 bēni x 10 dienas x 4.5 =4500 EUR</t>
  </si>
  <si>
    <t>1.3.2.</t>
  </si>
  <si>
    <t>Izbraukuma nometnes</t>
  </si>
  <si>
    <t>7 nometnes</t>
  </si>
  <si>
    <t>7 treneri 10 dienas x 6 EUR = 420 EUR</t>
  </si>
  <si>
    <t xml:space="preserve">7 grupas: 84 bērni x 10 dienas x 8 =6720, sporta zāles īre </t>
  </si>
  <si>
    <t>Transports izbraukuma nometnēm un braucieniem uz ekskursijām~ 2000 km*1.50 EUR= 3000 EUR</t>
  </si>
  <si>
    <t>Dalības maksa ekskursijām 84 izgl. * 4.00 EUR = 336 EUR</t>
  </si>
  <si>
    <t>Medikamenti</t>
  </si>
  <si>
    <t>7 grupas: 84 bērni x 10 dienas x 11.00 EUR = 9240</t>
  </si>
  <si>
    <t>1.3.3.</t>
  </si>
  <si>
    <t>Izbraukuma nometne Sieviešu basketbola līgas komandai</t>
  </si>
  <si>
    <t>1 nometne</t>
  </si>
  <si>
    <t>2 treneri + 1 fizioterapeite 12 dienas x 6 EUR = 216 EUR</t>
  </si>
  <si>
    <t>telpu noma naktsmītnēm + sporta zālesnoma 12 dienas x 120 EIRO =1440</t>
  </si>
  <si>
    <t>Transportas izbraukuma nometnei 170 km*1.50 EUR= 255 EUR</t>
  </si>
  <si>
    <t>16 audzēknes x 12 dienas x 11.00 EUR =2112 EUR</t>
  </si>
  <si>
    <t>Burāšana</t>
  </si>
  <si>
    <t>Burāšana, 2 treneri - 32 izglītojamie</t>
  </si>
  <si>
    <t xml:space="preserve">2.1. </t>
  </si>
  <si>
    <t>Dalība sacensībās</t>
  </si>
  <si>
    <t>5 izbraukumi</t>
  </si>
  <si>
    <t>2.1.1.</t>
  </si>
  <si>
    <t>Dalība Latvijas čempionātos</t>
  </si>
  <si>
    <t xml:space="preserve"> JPAP_P3.6_R3.6.2_227 JPSAAS_3_3.3.</t>
  </si>
  <si>
    <t>Telpu noma naktsmītnēm 10 izgl. * 5 izbr. * 3 naktis * 8 EUR = 1200 EUR</t>
  </si>
  <si>
    <t>Dalības maksas Latvijas čempionātos</t>
  </si>
  <si>
    <t xml:space="preserve"> 10 izgl. * 5 izbr. * 4 dienas * 11 EUR = 2200 EUR, </t>
  </si>
  <si>
    <t>2.1.2.</t>
  </si>
  <si>
    <t>40.Starptautiskā Spinaker  regate, Tallina</t>
  </si>
  <si>
    <t>komandējuma nauda 1 treneris * 29 EUR = 145 EUR</t>
  </si>
  <si>
    <t>viesnīca 4 naktis * 40 EUR = 160 EUR</t>
  </si>
  <si>
    <t>Telpu noma naktsmītnēm 5 izgl.* 4 naktis * 18 EUR =  360 EUR</t>
  </si>
  <si>
    <t>5 izglītojamie * 60 EUR = 300 EUR</t>
  </si>
  <si>
    <t>5 izgl. * 5 dienas * 10 EUR = 250 EUR</t>
  </si>
  <si>
    <t>Burāšanas programmas īstenošanas nodrošināšana</t>
  </si>
  <si>
    <t>JPAP_R3.2.4._173 JPAP_P3.6_R3.6.2_227</t>
  </si>
  <si>
    <t>Laser klases laivu bloku sistēma 1 kompl. 480 EUR, nolietojusies. Klases noteikumi neparedz citas opcijas.</t>
  </si>
  <si>
    <t>Optimist klases švertlaivas 2 gab. * 3800 EUR = 7600 EUR. Laser olimpiskās klases švertlaiva 1 gab. * 7000 Eur</t>
  </si>
  <si>
    <t>2.3.</t>
  </si>
  <si>
    <t>Jūrmalas Sporta skolas bilancē esošas motorlaivas  un piekabes (laivu pārvadāšanai uz sacensībām) izmantošanas izmaksas</t>
  </si>
  <si>
    <t xml:space="preserve">JPAP_R3.2.4._173 </t>
  </si>
  <si>
    <t>Motorlaivas ikgadējā tehniskā apkope 150 EUR, ik pa 100 h eļļas maiņa 3* sezonā * 45.00 EUR = 135 EUR</t>
  </si>
  <si>
    <t>Degviela 7 mēn.x280.00EUR. Patēriņš 4.25L/stundā</t>
  </si>
  <si>
    <t xml:space="preserve">Piekabes sakabes ierīce 30.00 EUR (TA atzīmēja, ka patreizējā sakabes ierīce jāmaina), piekabes atbalsta ritenis 39 EUR ( piekabes komplektā šī detaļa nav) Vinča 55 EUR (laivu pacelšanai un novietošanai uz piekabes), piekabes dubļu sargi 2 gab. * 21.50 EUR = 43 EUR (esošie salūzuši) </t>
  </si>
  <si>
    <t>Daiļslidošana</t>
  </si>
  <si>
    <t>Daiļslidošana, 2 treneri - 35 izglītojamie</t>
  </si>
  <si>
    <t>3.1.</t>
  </si>
  <si>
    <t>2 izbraukumi</t>
  </si>
  <si>
    <t>Dalības maksa Latvijas čempionātos 25 izgl. * 60 EUR = 1500 EUR, 7 izgl.*60 EUR = 420 EUR</t>
  </si>
  <si>
    <t xml:space="preserve">25 izgl. * 4.50 = 113 EUR, 7 izgl.*4.50 EUR = 31.50 </t>
  </si>
  <si>
    <t>3.2.</t>
  </si>
  <si>
    <t>Daiļslidošanas programmas īstenošanas nodrošināšana</t>
  </si>
  <si>
    <t>Siltie treniņtērpi 30 izgl. * 35 EUR = 1050 EUR</t>
  </si>
  <si>
    <t>CD diski 100 gb * 0.25 EUR = 25 EUR, Smaguma aproces 30 pāri * 2.50 EUR = 75 EUR</t>
  </si>
  <si>
    <t>3.3.</t>
  </si>
  <si>
    <t>1 dienas nometne</t>
  </si>
  <si>
    <t>Vingrošanas zāles noma 10 d. * 2h x 10,00 = 200 EUR, Ledus noma 10 h x 250,00 EUR =2500 eiro</t>
  </si>
  <si>
    <t>25 izgl. * 10 d. * 4,50EUR = 1125 EUR</t>
  </si>
  <si>
    <t>Džudo</t>
  </si>
  <si>
    <t>Džudo, 1 treneris - 32 izglītojamie</t>
  </si>
  <si>
    <t>4.1.</t>
  </si>
  <si>
    <t>3 izbraukumi</t>
  </si>
  <si>
    <t xml:space="preserve">Telpu noma naktsmītnēm 12 izgl.* 2 naktis * 8.00 EUR = 192 EUR </t>
  </si>
  <si>
    <t>Dalības maksa Latvijas džudo čempionātos 12 audz.*3 sac.*10.00 EUR = 360 EUR</t>
  </si>
  <si>
    <t>Ēdināšana 12 izgl.*2 dienas * 11.00 EUR = 264EUR, pusdienas 16 izgl.*4.50EUR = 72 EUR</t>
  </si>
  <si>
    <t>4.2.</t>
  </si>
  <si>
    <t>Džudo programmas īstenošanas nodrošināšana</t>
  </si>
  <si>
    <t>Līdzsvara celiņš - 205 EUR</t>
  </si>
  <si>
    <t>Futbols</t>
  </si>
  <si>
    <t>Futbols, 8 treneri - 173 izglītojamie</t>
  </si>
  <si>
    <t>5.1.</t>
  </si>
  <si>
    <t xml:space="preserve">  JPAP_P3.6_R3.6.2_227 JPSAAS_3_3.3.</t>
  </si>
  <si>
    <t>naktsmītnes 3 naktis*15 audzēkņi* 2 kom.*8 euro= 720 euro, sporta zāles noma ziemas sezonā 7 mēn.* 36 h * 35.00 EUR = 8820 EUR  Lapmežciema futbola laukuma noma 4.5 h * 80 EUR = 360 EUR</t>
  </si>
  <si>
    <t>Dalības maksa Latvijas futbola čempionātos</t>
  </si>
  <si>
    <t xml:space="preserve">4.50EUR*15 izgl.*21 izbr.=1417.5 EUR, 3 dienas *15 izglīt. * 2 kom.* 11 EUR = 990 EUR </t>
  </si>
  <si>
    <t>5.2.</t>
  </si>
  <si>
    <t>Futbola programmas īstenošanas nodrošināšana</t>
  </si>
  <si>
    <t>JPAP_R3.2.4._173 JPAP_P3.2_R3.2.4_177 JPAP_P3.6_R3.6.2_227</t>
  </si>
  <si>
    <t>Reklāmas materiālu un bukletu izgatavošana.</t>
  </si>
  <si>
    <t>Treneru apmācības, kursi.</t>
  </si>
  <si>
    <t>Futbola dienas un turnīru organizēšanas izdevumi.</t>
  </si>
  <si>
    <t>Sporta tērpu un formu papildināšana jaunajiem piesaistītajiem sportistiem</t>
  </si>
  <si>
    <t xml:space="preserve">Bumbas 5 izm 50 gab.*30.00 EUR=1500 EUR, Bumbas 4 izm 50 gab.*30.00EUR=1500EUR, lielo vārtu tīkli 4 gab. * 100 EUR = 400 EUR, vidējo vārtu tīkli 2 gab. * 50 EUR = 100 EUR konusi 12 gab. * 20.00 EUR = 240 EUR, konusi cepurītes kompl. 12 * 10 EUR = 120 EUR, Futbola taktiskā tāfele 6 treneri * 40 EUR = 240 </t>
  </si>
  <si>
    <t>5.3.</t>
  </si>
  <si>
    <t>5.3.1.</t>
  </si>
  <si>
    <r>
      <rPr>
        <b/>
        <sz val="9"/>
        <rFont val="Times New Roman"/>
        <family val="1"/>
        <charset val="186"/>
      </rPr>
      <t>7 nometnes:</t>
    </r>
    <r>
      <rPr>
        <sz val="9"/>
        <rFont val="Times New Roman"/>
        <family val="1"/>
        <charset val="186"/>
      </rPr>
      <t xml:space="preserve"> </t>
    </r>
    <r>
      <rPr>
        <b/>
        <sz val="9"/>
        <rFont val="Times New Roman"/>
        <family val="1"/>
        <charset val="186"/>
      </rPr>
      <t>120 izglītojamie</t>
    </r>
  </si>
  <si>
    <t>Autobusa noma 2 ekskursijām ~ 300 km</t>
  </si>
  <si>
    <t>120 izgl.*5 dienas * 4.50 EUR = 2700EUR</t>
  </si>
  <si>
    <t>5.3.2.</t>
  </si>
  <si>
    <t>2 nometnes: 50 izglītojamie</t>
  </si>
  <si>
    <t>4 treneri * 7 dienas * 6.00 EUR = 168EUR</t>
  </si>
  <si>
    <t xml:space="preserve">4 grupas: 50 x 5 d. x 8 .00 = 2000 EUR, </t>
  </si>
  <si>
    <t>Transportas izbraukuma nometnēm ~ 500 km</t>
  </si>
  <si>
    <t>Ēdināšana 50 izgl.* 5 dienas * 11,00 EUR = 2750 EUR</t>
  </si>
  <si>
    <t>Handbols</t>
  </si>
  <si>
    <t>Handbols, 1 treneris - 32 izglītojamie</t>
  </si>
  <si>
    <t>6.1.</t>
  </si>
  <si>
    <t>10 izbraukumi</t>
  </si>
  <si>
    <t xml:space="preserve">  JPSAAS_3_3.3. JPAP_P3.6_R3.6.2_227</t>
  </si>
  <si>
    <t>Telpu noma naktsmītnēm 4 izbr.*15 izgl.*8.00EUR= 480 EUR</t>
  </si>
  <si>
    <t>Transporta noma 10 izbr. * 184km *1.09EUR/km = 2005 EUR</t>
  </si>
  <si>
    <t>Dalības maksa Latvijas handbola čempionātos</t>
  </si>
  <si>
    <t>Ēdināšana 4 izbr.*15 izgl.* 11.00 EUR=660 EUR</t>
  </si>
  <si>
    <t>6.4.</t>
  </si>
  <si>
    <t>Starptautiskās sacensības Tallinā 08.06.2019.-10.06.2019.</t>
  </si>
  <si>
    <t>6.2.</t>
  </si>
  <si>
    <t>Handbola programmas īstenošanas nodrošināšana</t>
  </si>
  <si>
    <t>Spēļu formas 14 izgl. * 22.10 EUR = 310 EUR + 2 vārtsargu formas * 45.00 EUR = 90.00 EUR</t>
  </si>
  <si>
    <t>Mini handbola bumbas 10 gb*26.00 EUR = 260.00 EUR</t>
  </si>
  <si>
    <t>6.3.</t>
  </si>
  <si>
    <t>20 izgl.*5 dienas *4.50 EUR = 450 EUR</t>
  </si>
  <si>
    <t>Hokejs</t>
  </si>
  <si>
    <t>Hokejs, 3 treneri - 91 izglītojamais</t>
  </si>
  <si>
    <t>7.1.</t>
  </si>
  <si>
    <t>17 izbraukumi</t>
  </si>
  <si>
    <t>17 izbr.* 196km*1.50 EUR/km = 4998 EUR</t>
  </si>
  <si>
    <t>Dalības maksa Latvijas hokeja čempionātos</t>
  </si>
  <si>
    <t>17 izbr.*16 izgl.*4.50EUR = 1224 EUR</t>
  </si>
  <si>
    <t>7.2.</t>
  </si>
  <si>
    <t>Hokeja programmas īstenošanas nodrošināšana</t>
  </si>
  <si>
    <t>Spēļu krekli 20 gb* 25.00 EUR = 500 EUR</t>
  </si>
  <si>
    <t>Hokeja ripas 500 gb*1.50 EUR = 750 EUR</t>
  </si>
  <si>
    <t>7.3.</t>
  </si>
  <si>
    <t>7.3.1.</t>
  </si>
  <si>
    <t>1 nom.*30 izgl.*5 dienas *4.50 EUR = 675</t>
  </si>
  <si>
    <t>7.3.2.</t>
  </si>
  <si>
    <t>1 izbraukuma nometne</t>
  </si>
  <si>
    <t>2 treneri * 1 nom.*10 dienas * 6.00 EUR = 120EUR</t>
  </si>
  <si>
    <t>Telpu noma naktsmītnēm 30 izgl.*1 nom.*7 dienas * 8.00 EUR = 1680 EUR, Ledus laukuma noma 7 dienas * 2 h * 140.00 EUR = 1960 EUR</t>
  </si>
  <si>
    <t>Transportas izbraukuma nometnēm ~ 400 km*1.50 EUR = 600 EUR</t>
  </si>
  <si>
    <t>Ēdināšana 30 izgl.* 1 nom.*7 dienas * 11.00 EUR = 2310 EUR</t>
  </si>
  <si>
    <t>Mākslas vingrošana</t>
  </si>
  <si>
    <t>Mākslas vingrošana, 8 treneri - 111 izglītojamais</t>
  </si>
  <si>
    <t>8.1.</t>
  </si>
  <si>
    <t>10 izbraukumi, lai izpildītu MK not.prasības katrā grupā ir jāpiedalās ar grupu vingrojumu</t>
  </si>
  <si>
    <t>Telpu noma naktsmītnēm 30 izgl.*6 izbr.*8.00 EUR = 1440 EUR</t>
  </si>
  <si>
    <t>Transporta noma 10 izbr. * 100km *1.50 EUR = 2000 EUR</t>
  </si>
  <si>
    <t>Dalības maksa Latvijas mākslas vingrošanas čempionātos un sacensībās, pieaug JSS grupas vingrojumu komandu skaits</t>
  </si>
  <si>
    <t>Ēdināšana 30.izgl.* 6 izbr.*11.00 EUR = 1980.00 EUR</t>
  </si>
  <si>
    <t>8.2.</t>
  </si>
  <si>
    <t>Mākslas vingrošanas programmas īstenošanas nodrošināšana</t>
  </si>
  <si>
    <t>grupu vingrojumos, vienādu tērpu šūšanai elastīgs audums + sietiņš + dekoratīvie akmeņi - 6 izgl.*150 EUR = 900 EUR, čībiņas 6 izgl.*25 EUR = 150 EUR</t>
  </si>
  <si>
    <t xml:space="preserve"> grupu vingrojumos, vienāda inventāra iegādei Lentas ar kociņu 6 gab.* 55.00 EUR =330.00 EUR, Apļi 6 gab. *30.00 EUR = 180.00 EUR, Vāles 6 gab.*80.00 EUR = 480 EUR, Bumbas 6 gab. * 80 EUR = 480 EUR</t>
  </si>
  <si>
    <t>Mākslas vingrošanas sacensību treniņu paklājs Jūrmalas pilsētas čempionātu organizēšanai</t>
  </si>
  <si>
    <t>8.3.</t>
  </si>
  <si>
    <t>8.3.1.</t>
  </si>
  <si>
    <t>4 nometnes: 100 izglītojamās</t>
  </si>
  <si>
    <t>100 izgl.*10 dienas * 4.50 EUR = 4500 EUR</t>
  </si>
  <si>
    <t>8.3.2.</t>
  </si>
  <si>
    <t>2 nometnes: 50 izglītojamās</t>
  </si>
  <si>
    <t>5 treneres * 10 dienas * 6.00 EUR = 300 EUR</t>
  </si>
  <si>
    <t>Telpu noma naktsmītnēm 30 izgl. * 10 dienas * 8.00 EUR = 2400 EUR</t>
  </si>
  <si>
    <t>Transporta noma ~400 km</t>
  </si>
  <si>
    <t>Ēdināšanas 30 izgl. * 10 dienas * 7.00 EUR = 2100 EUR</t>
  </si>
  <si>
    <t>Diennakts nometnes</t>
  </si>
  <si>
    <t>Transporta noma ~400 km*1.50EUR=600</t>
  </si>
  <si>
    <t>Ēdināšanas 50 izgl. * 10 dienas * 11.00 EUR = 5500 EUR</t>
  </si>
  <si>
    <t>Peldēšana</t>
  </si>
  <si>
    <t>Peldēšana,  11 treneri - 201 izglītojamais</t>
  </si>
  <si>
    <t>9.1.</t>
  </si>
  <si>
    <t>25 izbraukumi</t>
  </si>
  <si>
    <t xml:space="preserve">Telpu noma naktsmītnēm 8,00 EUR * 25 izgl.* 6 izbraukumi =1200 EUR, </t>
  </si>
  <si>
    <t>25 izbr.* 200 km*1.50 EUR/km = 7500 EUR</t>
  </si>
  <si>
    <t>Dalības maksa Latvijas peldēšanas čempionātos un sacensībās 25 izgl.* 25 sac.*8.00 EUR=5000EUR</t>
  </si>
  <si>
    <t>Ēdināšana 25 izgl.*6 izbr.*11.00 EUR =1650 EUR, pusdienas 14 izgl.*4.50=63.00 EUR</t>
  </si>
  <si>
    <t>9.2.</t>
  </si>
  <si>
    <t>Peldēšanas programmas īstenošanas nodrošināšana</t>
  </si>
  <si>
    <t>Pirmās palīdzības aptieciņas papildināšana treneriem un peldbaseina medicīnas kabinetā</t>
  </si>
  <si>
    <t>Siltās sporta jakas ar apdruku 30 gab.* 40.00 EUR = 1200 EUR</t>
  </si>
  <si>
    <t>Aproces peldētapmācībai 30 pāri *4.00 EUR = 120 EUR, Peldēšanas dēlīši kājām 20 gb* 9.00 EUR = 180 EUR, Peldēšanas dēlīši rokām 50 gb. *10.80EUR = 540EUR</t>
  </si>
  <si>
    <t xml:space="preserve"> Peldbaseina sadalošie celiņi 5 gab. * 900.00 EUR = 4500 EUR</t>
  </si>
  <si>
    <t>9.3.</t>
  </si>
  <si>
    <t>9.3.2.</t>
  </si>
  <si>
    <t>Dienas nometne, Jūnijs</t>
  </si>
  <si>
    <t>1 nometne: 80 izglītojamie</t>
  </si>
  <si>
    <t>9.3.3.</t>
  </si>
  <si>
    <t>Dienas nometne, Augusts</t>
  </si>
  <si>
    <t xml:space="preserve">2 nometnes 80 izglītojamie </t>
  </si>
  <si>
    <t>Transporta noma ekskursijai ~ 400 km*1.50 EUR=600 EUR</t>
  </si>
  <si>
    <t>Dalības maksa ekskursijā 2* 80 izgl.* 2.00 EUR = 320 EUR</t>
  </si>
  <si>
    <t>2*80 izgl.*10 dienas *4.50 EUR = 7200 EUR</t>
  </si>
  <si>
    <t>9.3.1.</t>
  </si>
  <si>
    <t>Izbraukuma nometne, Elektiņai Lietuva</t>
  </si>
  <si>
    <t>JPAP_R3.2.4._170  JPAP_R3.2.4._184 JPSAAS_3_3.3.</t>
  </si>
  <si>
    <t xml:space="preserve">1 nometne </t>
  </si>
  <si>
    <t>9.3.4.</t>
  </si>
  <si>
    <t>Izbraukuma nometne, Baltkrievija</t>
  </si>
  <si>
    <t>Regbijs</t>
  </si>
  <si>
    <t>Regbijs, 3 treneri - 32 izglītojamie</t>
  </si>
  <si>
    <t>10.1.</t>
  </si>
  <si>
    <t>10 izbr.*165 km *1.09 EUR/km = 1799 EUR</t>
  </si>
  <si>
    <t>Dalības maksa LR čempionātā regbijā</t>
  </si>
  <si>
    <t>5 izbr.*14 izgl.*4.50EUR = 315EUR</t>
  </si>
  <si>
    <t>10.2.</t>
  </si>
  <si>
    <t>Regbija programmas īstenošanas nodrošināšana</t>
  </si>
  <si>
    <t>Spēļu formas 25 gb. * 34.00 EUR = 850 EUR</t>
  </si>
  <si>
    <t>Regbija bumbas 4 gb*25 EUR = 100 EUR</t>
  </si>
  <si>
    <t>10.3.</t>
  </si>
  <si>
    <t>1 nometne: 25 izglītojamie</t>
  </si>
  <si>
    <t>Transporta noma uz ekskursiju ~200 km*1.50EUR</t>
  </si>
  <si>
    <t xml:space="preserve">Dalības maksa ekskursijā 25 izgl.* 5.00 EUR = 125 EUR </t>
  </si>
  <si>
    <t>Ēdināšana 25 izgl.*10 dienas*4.50 EUR= 1125 EUR</t>
  </si>
  <si>
    <t>Vieglatlētika</t>
  </si>
  <si>
    <t>Vieglatlētika, 6 treneri - 62 izglītojamie</t>
  </si>
  <si>
    <t>11.1.</t>
  </si>
  <si>
    <t>JPAP_R3.2.4._174  JPAP_P3.6_R3.6.2_227 JPSAAS_3_3.3.</t>
  </si>
  <si>
    <t>2izbr.*15 izgl.*8.00 EUR = 240.00 EUR</t>
  </si>
  <si>
    <t>10 izbr.*184km*1,09 EUR = 2005 EUR</t>
  </si>
  <si>
    <t>Dalības maksas LR čempionātos un sacensībās vieglatlētikā</t>
  </si>
  <si>
    <t>2.izbr.*15 izgl. * 11.00 EUR = 330.00 EUR, 2 izbr.*10 izgl.*4.50EUR = 90.00 EUR</t>
  </si>
  <si>
    <t>11.2.</t>
  </si>
  <si>
    <t>Vieglatlētikas programmas īstenošanas nodrošināšana</t>
  </si>
  <si>
    <t xml:space="preserve">JPAP_R3.2.4._173 JPAP_P3.6_R3.6.2_227 </t>
  </si>
  <si>
    <t xml:space="preserve">Sporta formas 12 gab * 25.00 = 300 EUR, </t>
  </si>
  <si>
    <t>Alumīnija barjeras ar regulējamu augstumu 6 gb. * 30.00 EUR = 180.00 EUR, barjeras 15 cm 5 kompl. * 32 EUR = 160 EUR vingrošanas paklāji 2 gb.* 12.00 EUR =24.00 EUR</t>
  </si>
  <si>
    <t>11.3.</t>
  </si>
  <si>
    <t>11.3.1.</t>
  </si>
  <si>
    <t>1 dienas nometnes: 15 izglītojamie</t>
  </si>
  <si>
    <t>15 izgl.*10 dienas *4.50 EUR = 1050 EUR</t>
  </si>
  <si>
    <t>11.3.2.</t>
  </si>
  <si>
    <t>2 izbraukuma nometnes</t>
  </si>
  <si>
    <t>1 treneris *2nom. * 7 dienas * 6.00 EUR = 84 EUR</t>
  </si>
  <si>
    <t>4 izgl.*2 nom.*7 dienas * 8.00 = 448 EUR, stadiona noma 2 nom * 7 dienas * 5 h*10.00 EUR = 700 EUR</t>
  </si>
  <si>
    <t>Transporta noma ~ 200 km*2 nom.*1.09EUR=436.00 (ģimnāzijas busiņam ir degviela paredzēta)</t>
  </si>
  <si>
    <t>4 izgl.*2 nom.*7 dienas * 11.00 = 616 EUR</t>
  </si>
  <si>
    <t>11.3.3.</t>
  </si>
  <si>
    <t>Izbraukuma nometne, Spānija</t>
  </si>
  <si>
    <t>JPAP_R3.2.4._170 JPSAAS_3_3.3.</t>
  </si>
  <si>
    <t>Volejbols</t>
  </si>
  <si>
    <t>Volejbols, 2 treneri - 34 izglītojamie</t>
  </si>
  <si>
    <t>12.1.</t>
  </si>
  <si>
    <t>16 izbraukumi</t>
  </si>
  <si>
    <t>Telpu noma naktsmītnēm 8 izbr.*12 izgl.*8.00 EUR=768 EUR</t>
  </si>
  <si>
    <t>16 izbr.*172km * 1.09EUR/km=3000 EUR</t>
  </si>
  <si>
    <t>Dalības maksa LR čempionātos un kausos</t>
  </si>
  <si>
    <t>Ēdināšana 8 izbr.*12 izgl.*11.00 EUR=1056 EUR, 4 izbr.*12 izgl.*4.50 EUR = 216 EUR</t>
  </si>
  <si>
    <t>12.2.</t>
  </si>
  <si>
    <t>Volejbola programmas īstenošanas nodrošināšana</t>
  </si>
  <si>
    <t>Volejbola formas 12 izgl.* 35.00 EUR = 420 EUR</t>
  </si>
  <si>
    <t>Volejbola bumbas MIKASA 5 gab.*75 eur= 375 euro</t>
  </si>
  <si>
    <t>12.3.</t>
  </si>
  <si>
    <t>Izbraukuma nometne</t>
  </si>
  <si>
    <t>1 izbraukumu nometne</t>
  </si>
  <si>
    <t>12 dienas * 6 EUR = 72 EUR</t>
  </si>
  <si>
    <t>Telpu noma naktsmītnēm 22 izgl * 12 dienas * 8.00 =2112 EUR</t>
  </si>
  <si>
    <t>Transporta noma uz/no nometnes norises vietu ~ 200km*1.50 EUR = 300.00 EUR</t>
  </si>
  <si>
    <t>Ēdināšana 22 izgl.*12 dienas * 11.00 EUR = 2904 EUR</t>
  </si>
  <si>
    <t>Līdzfinansējums sportistei A.Baikovai (arī viņas trenerei)</t>
  </si>
  <si>
    <t>*</t>
  </si>
  <si>
    <t>2019 gada vienreizējie pasākumi</t>
  </si>
  <si>
    <t>JPAP_R3.2.4._170</t>
  </si>
  <si>
    <t>fēnikss 8000</t>
  </si>
  <si>
    <t>laivas 14600</t>
  </si>
  <si>
    <t>futbola akadēmija 23400</t>
  </si>
  <si>
    <t>Atbalsts Milanai Filatovai un trenerei Olgai Timofejevai</t>
  </si>
  <si>
    <t>Dalība Starptautiskajos pasākumos</t>
  </si>
  <si>
    <t>**</t>
  </si>
  <si>
    <t>2020.gada PL - neiedoti</t>
  </si>
  <si>
    <t>Atbalsts Jūrmalas Sporta skolas sportistiem A.Baikovai 7500EUR, J.Savčenko 3500 EUR, S.Barone 1500 EUR, Trojanovs 1500 EUR, Basketbols  7500 EUR, M.Filatova 3500 EUR, Bižāns 1500 EUR, Caune 1500 EUR, Riekstiņa 1500 EUR, Handbols U12 3000EUR, Blaževiča 3500 EUR, Zaharova 1500 EUR, Matvejeva 1500 EUR.</t>
  </si>
  <si>
    <t>vingr.paklājs 6000</t>
  </si>
  <si>
    <t>peldbaseina celiņi 4500</t>
  </si>
  <si>
    <t>Basketbola profesionālās ievirzes programmas audzēkņu  attīstības nodrošināšana</t>
  </si>
  <si>
    <t xml:space="preserve">JPAP - Jūrmalas pilsētas attīstības programma 2014.-2020.gadam </t>
  </si>
  <si>
    <t>prioritāte P3.2. "Kvalitatīva un sociāli pieejama izglītība"</t>
  </si>
  <si>
    <t>rīcības virziens R3.2.4. "Profesionālās ievirzes un interešu izglītības pakalpojumi"</t>
  </si>
  <si>
    <t>aktivitāte Nr.170 "Starptautiskās sadarbības attīstība"</t>
  </si>
  <si>
    <t>aktivitāte Nr.173 "Profesionālās ievirzes un interešu izglītības iestāžu mācību vides uzlabošana"</t>
  </si>
  <si>
    <t>aktivitāte Nr.174 "Jūrmalas skolu un valsts mēroga sacensību rīkošana izglītojamajiem"</t>
  </si>
  <si>
    <t>aktivitāte Nr.184 "Brīvā laika pavadīšanas iespējas pilsētā, izmantojot esošās un radot jaunas"</t>
  </si>
  <si>
    <t xml:space="preserve"> P3.6. Kvalitatīvi veselības aprūpes pakalpojumi</t>
  </si>
  <si>
    <t xml:space="preserve"> R3.6.2.: Veselīga dzīvesveida veicināšana</t>
  </si>
  <si>
    <t>aktivitāte Nr.227 Veselīga dzīvesveida veicināšana</t>
  </si>
  <si>
    <t>JPSAAS - Jūrmalas pilsētas sporta un aktīvās atpūtas attīstības stratēģija 2008.-2020.gadam</t>
  </si>
  <si>
    <t>1.mērķis "Sporta un aktīvās atpūtas infrastruktūras pilnveide un pieejamības veicināšana"</t>
  </si>
  <si>
    <t>1.1.uzdevums "Sporta bāžu attīstība esošiem un jauniem sporta veidiem, sporta infrastruktūras pilnveide izglītības iestādēs, t.sk., pielāgojot to personām ar kustību traucējumiem"</t>
  </si>
  <si>
    <t>1.3.uzdevums "Pasākumu veikšana drošības uzlabošanai sporta veidiem uz ūdens Jūrmalas pilsētas teritorijā esošajās ūdenskrātuvēs"</t>
  </si>
  <si>
    <t>3.mērķis "3. Sadarbības veicināšana starp sporta un aktīvās atpūtas nodrošināšanā iesaistītajām institūcijām"</t>
  </si>
  <si>
    <t>3.3. uzdevums "Pašvaldību, sporta klubu un uzņēmēju sadarbības sekmēšana sporta un aktīvās atpūtas infrastruktūras attīstībā un sporta sacensību finansēšanā"</t>
  </si>
  <si>
    <t>3.5.apakšuzdevums “Sportistu sasniegumu sekmēšana (stipendiju nodrošināšana).</t>
  </si>
  <si>
    <t>Aprūpējamā vienas dienas uzturēšanās izmaksas (no pašvaldības budžeta) 2020.gadā</t>
  </si>
  <si>
    <r>
      <t xml:space="preserve">  </t>
    </r>
    <r>
      <rPr>
        <b/>
        <sz val="12"/>
        <rFont val="Times New Roman"/>
        <family val="1"/>
        <charset val="186"/>
      </rPr>
      <t>Jūrmalas pilsētas pašvaldības SIA</t>
    </r>
    <r>
      <rPr>
        <b/>
        <sz val="14"/>
        <rFont val="Times New Roman"/>
        <family val="1"/>
        <charset val="186"/>
      </rPr>
      <t xml:space="preserve"> "Veselības un sociālās aprūpes centrs - Sloka" </t>
    </r>
  </si>
  <si>
    <t xml:space="preserve">                                                                                                                                                                                                                                                                                                                                                                                                                                                                                                                                                                                                                                                                                                                                                                                                                                                                                                                                                                                                                                                                                                                                                                                                                                                                                                                                                                                                                                                                                                                                                                                                                                                                                                                                                                                                                                                                                                                                                                                                                                                                                                                                                                                                                                                                                                                                                                                                                                                                                                                                                                                                                                                                                                                                                                                                                                                                                                  </t>
  </si>
  <si>
    <t>EKK kods</t>
  </si>
  <si>
    <t>Rādītāju nosaukumi</t>
  </si>
  <si>
    <t>tajā skaitā pa nodaļām:</t>
  </si>
  <si>
    <t>Sociālās aprūpes nodaļa</t>
  </si>
  <si>
    <t>Sociālās aprūpes un sociālās rehabilitācijas nodaļa</t>
  </si>
  <si>
    <t>Veselības un sociālās aprūpes nodaļa</t>
  </si>
  <si>
    <t>no pašvaldības budžeta</t>
  </si>
  <si>
    <t xml:space="preserve">kopā </t>
  </si>
  <si>
    <t xml:space="preserve">Pašvaldības budžets 2020.g. kopā </t>
  </si>
  <si>
    <t xml:space="preserve">Pašvaldības budžets 2018.g. kopā </t>
  </si>
  <si>
    <t>Cits finansējums, t.sk.:</t>
  </si>
  <si>
    <t>Klientu pensijas 90%</t>
  </si>
  <si>
    <t>Klientu līdzdalības maksājumi</t>
  </si>
  <si>
    <t>Pārējie finanšu avoti</t>
  </si>
  <si>
    <t>Pašvaldības finansēto gultas vietu skaits</t>
  </si>
  <si>
    <t>Kopējo gultas vietu skaits</t>
  </si>
  <si>
    <t>Vienas gultas vietas izmaksas dienā</t>
  </si>
  <si>
    <t>Nodaļas gultasdienu skaits gadā (gultas/dienas)</t>
  </si>
  <si>
    <t>Kopējie IZDEVUMI, t.sk.:</t>
  </si>
  <si>
    <t>Atlīdzība</t>
  </si>
  <si>
    <t>Darba samaksa</t>
  </si>
  <si>
    <t>Pārējo darbinieku darba mēnešalga (darba alga)</t>
  </si>
  <si>
    <t xml:space="preserve">Piemaksas </t>
  </si>
  <si>
    <t>Piemaksa par nakts darbu</t>
  </si>
  <si>
    <t>Samaksa par virsstundu darbu un darbu svētku dienās</t>
  </si>
  <si>
    <t>Darba devēja izdevumi veselības, dzīvības un nelaimes gadījumu apdrošināšanai</t>
  </si>
  <si>
    <t>Preces un pakalpojumi</t>
  </si>
  <si>
    <t>Pakalpojumi</t>
  </si>
  <si>
    <t>Izdevumi par sakaru pakalpojumiem</t>
  </si>
  <si>
    <t>Maksa par elektroenerģiju</t>
  </si>
  <si>
    <t>Izdevumi par atkritumu izvešanu</t>
  </si>
  <si>
    <t>Uz līguma pamata pieaicināto ekspertu izdevumi</t>
  </si>
  <si>
    <t>Semināru, kursu un konferenču apmaksa</t>
  </si>
  <si>
    <t>Pārējie iestādes administratīvie izdevumi</t>
  </si>
  <si>
    <t>Transportlīdzekļu uzturēšana un remonts</t>
  </si>
  <si>
    <t>Iekārtas, inventāra un aparatūras remonts, tehniskā apkalpošana</t>
  </si>
  <si>
    <t>Ēku, būvju un telpu uzturēšana</t>
  </si>
  <si>
    <t>Pārējie remontdarbu un iestāžu uzturēšanas pakalpojumi</t>
  </si>
  <si>
    <t>Informācijas tehnoloģiju pakalpojumi</t>
  </si>
  <si>
    <t>Krājumi, materiāli, energoresursi, preces, biroja preces un inventārs</t>
  </si>
  <si>
    <t xml:space="preserve">Biroja preces </t>
  </si>
  <si>
    <t>Inventārs</t>
  </si>
  <si>
    <t>Kurināmais</t>
  </si>
  <si>
    <t>Degviela</t>
  </si>
  <si>
    <t>Zāles, ķimikālijas, laboratorijas preces</t>
  </si>
  <si>
    <t>Remontmateriāli</t>
  </si>
  <si>
    <t>Saimniecības materiāli</t>
  </si>
  <si>
    <t>Mīkstais inventārs</t>
  </si>
  <si>
    <t>Virtuves inventārs, trauki un galda piederumi</t>
  </si>
  <si>
    <t>Pārējie valsts un pašvaldību aprūpē un apgādē esošo personu uzturēšanas izdevumi, kuri nav minēti citos koda 2360 apakškodos</t>
  </si>
  <si>
    <t>Budžeta iestāžu nodokļu maksājumi</t>
  </si>
  <si>
    <t>Budžeta iestāžu dabas resursu nodoklis</t>
  </si>
  <si>
    <r>
      <t xml:space="preserve">Pārējie nodokļi un nodevas - </t>
    </r>
    <r>
      <rPr>
        <sz val="8"/>
        <rFont val="Times New Roman"/>
        <family val="1"/>
        <charset val="186"/>
      </rPr>
      <t>UDRVN</t>
    </r>
  </si>
  <si>
    <t>Pilsētas kapsētu labiekārtošana</t>
  </si>
  <si>
    <t xml:space="preserve">JPD saistošie noteikumi Nr 7. (12.01.2017) ''Par Jūrmalas pilsētas pašvaldības pabalstu veselības aprūpes pieejamības palielināšanai pensijas vecuma personām'' Pabalsta apmērs 50 euro gadā personai. Vidēji 850 personas mēnesī. No 2020.gada plānots līdz 100 euro mēnesī
</t>
  </si>
  <si>
    <t>Pilsētas pamatbudžeta finansēts projekts - izmaksas sporta zāles piebūves (jaunas ēkas) izbūvei</t>
  </si>
  <si>
    <t>Būvtāfeles un tehniskās dokumentācijas izstrāde. 
Vēstule Nr.1.1-37/5493 (08.10.19.), 363.00EUR. SIA " TipOff ".
2019.gadā plānots veikt norēķinus par būvtāfeles uzstādīšanu.</t>
  </si>
  <si>
    <t>Būvkonstrukciju atsegšana.
Vēstule Nr.1.1-37/4823 (29.08.19.), 1 425.00EUR. SIA "T40".
2019.gadā plānots veikt norēķinus par būvtāfeles uzstādīšanu.
2019.gadā veikti norēķini par būvkonstrukciju atsegšanas darbiem - nesošo konstrukciju atsegšana apsekojuma zonās un atsegumu atjaunošana – 1 425.00EUR.</t>
  </si>
  <si>
    <t>Atmežošanas plāna izstrāde.
Vēstule Nr.1.1-37/5346 (30.09.19.), 230.00EUR. SIA "Parametrs".
2019.gadā veikti norēķini par atmežošanas plāna izstrādi – 230.00EUR.</t>
  </si>
  <si>
    <t>Pilsētas pamatbudžeta finansēts projekts - izmaksas skolas ēku abu koprusu pārbūvei</t>
  </si>
  <si>
    <t>Būvprojekta izstrāde.
Pakalpojumu līgums Nr.1.2-16.4.3/293 (11.03.19.), 261 239.00EUR.
2019.gadā tika plānots izmaksāt divus avansa maksājumus 104 495.60EUR apmērā. Izpildītājs nav iesniedzis avansa maksājuma rēķinu un nodrošinājumu, tādēļ norēķini nav veikti.
2020.gadā plānots veikt norēķinu par būvprojekta izstrādi – 261 239.00EUR.
Būvprojekta izstrādes termiņš – 10.01.20.</t>
  </si>
  <si>
    <t>Būvprojekta izstrāde - transformatoru apakšstacijas TP_142 pārvietošana.
Pakalpojumu līgums Nr.1.2-16.4.3/1231 (23.08.19.), 4 961.00EUR.
2020.gadā plānoti norēķini par būvprojekta izstrādi – 4 961.00EUR.
Būvprojekta izstrādes termiņš – 22.01.19.</t>
  </si>
  <si>
    <r>
      <rPr>
        <b/>
        <i/>
        <u/>
        <sz val="9"/>
        <rFont val="Times New Roman"/>
        <family val="1"/>
        <charset val="186"/>
      </rPr>
      <t>Pamatbudžeta līdzekļi</t>
    </r>
    <r>
      <rPr>
        <i/>
        <sz val="9"/>
        <rFont val="Times New Roman"/>
        <family val="1"/>
        <charset val="186"/>
      </rPr>
      <t xml:space="preserve"> - būvprojekta izstrādes un būvprojekta ekspertīzes izstrādes izmaksas.</t>
    </r>
  </si>
  <si>
    <t>Būvprojekta izstrāde.
Pakalpojumu līgums Nr.1.2-16.4.3/293 (11.03.19.), 261 239.00EUR.
2019.gadā tika plānots izmaksāt divus avansa maksājumus 104 495.60EUR apmērā. Izpildītājs nav iesniedzis avansa maksājuma rēķinu un nodrošinājumu, tādēļ norēķini nav veikti.
2020.gadā plānots veikt norēķinu par būvprojekta izstrādi – 261 239.00EUR.
Būvprojekta izstrādes termiņš – 10.01.20.
Kopējās izmaksas sadalītas proporcionāli starp EKK 5240 – sporta zāles piebūve (jaunas sporta zāles ēkas būvniecība), kas veido 25.574% no kopējām būvniecības izmaksām, un EKK 5250 – skolas ēku (2 korpusi) pārbūve, kas veido 74.426% no kopējām būvniecības izmaksām.</t>
  </si>
  <si>
    <t>Būvprojekta ekspertīze.
Pakalpojuma līgums Nr.1.2-16.4.3/1698 (12.11.19), 25 473.68EUR.
2020.gadā paredzēts veikt norēķinu par būvprojekta ekspertīzi – 25 473.68EUR.
Būvprojekts sākotnējai ekspertīzei iesniegts – 27.11.19. Ekspertīzes veikšanai izpildītājam paredzētas 5 nedēļas.
Kopējās izmaksas sadalītas proporcionāli starp EKK 5240 – sporta zāles piebūve (jaunas sporta zāles ēkas būvniecība), kas veido 25.574% no kopējām būvniecības izmaksām, un EKK 5250 – skolas ēku (2 korpusi) pārbūve, kas veido 74.426% no kopējām būvniecības izmaksām.</t>
  </si>
  <si>
    <t>Būvprojekta izstrāde - transformatoru apakšstacijas TP_142 pārvietošana.
Pakalpojumu līgums Nr.1.2-16.4.3/1231 (23.08.19.), 4 961.00EUR.
2020.gadā plānoti norēķini par būvprojekta izstrādi – 4 961.00EUR.
Būvprojekta izstrādes termiņš – 22.01.19.
Izmaksas pārceltas uz EKK 5250.</t>
  </si>
  <si>
    <t>Būvdarbi.
Indikatīvās būvdarbu izmaksas ar PVN ir 12 219 504.00EUR. 
2020.gadā plānota 30% būvdarbu izpilde – 3 665 851.00EUR.
2021.gadā plānots gala norēķins 70% apmērā – 8 553 653.00EUR.
Kopējās izmaksas sadalītas proporcionāli starp EKK 5240 – sporta zāles piebūve (jaunas sporta zāles ēkas būvniecība), kas veido 25.574% no kopējām būvniecības izmaksām, un EKK 5250 – skolas ēku (2 korpusi) pārbūve, kas veido 74.426% no kopējām būvniecības izmaksām.</t>
  </si>
  <si>
    <t>Būvuzraudzība.
Indikatīvās būvuzraudzības izmaksas ar PVN 244 390.00EUR (2% no indikatīvo būvdarbu izmaksu summas).
2020.gadā plānota 30% būvuzraudzības darbu izpilde – 73 317.00EUR.
2021.gadā plānots gala norēķins 70% apmērā – 171 073.00EUR.
Kopējās izmaksas sadalītas proporcionāli starp EKK 5240 – sporta zāles piebūve (jaunas sporta zāles ēkas būvniecība), kas veido 25.574% no kopējām būvniecības izmaksām, un EKK 5250 – skolas ēku (2 korpusi) pārbūve, kas veido 74.426% no kopējām būvniecības izmaksām.</t>
  </si>
  <si>
    <t>Autoruzraudzība.
Pakalpojumu līgums Nr.1.2-16.4.3/293 (11.03.19.), 46 101.00EUR.
2020.gadā plānota 40% autoruzraudzības darbu izpilde – 18 440.40EUR.
2021.gadā plānots gala norēķins 60% apmērā – 27 660.60EUR.
Kopējās izmaksas sadalītas proporcionāli starp EKK 5240 – sporta zāles piebūve (jaunas sporta zāles ēkas būvniecība), kas veido 25.574% no kopējām būvniecības izmaksām, un EKK 5250 – skolas ēku (2 korpusi) pārbūve, kas veido 74.426% no kopējām būvniecības izmaksām.</t>
  </si>
  <si>
    <t>2022-2023</t>
  </si>
  <si>
    <t>2021;…</t>
  </si>
  <si>
    <t>2020.gads budžets</t>
  </si>
  <si>
    <t>2020.gada budžets</t>
  </si>
  <si>
    <t xml:space="preserve">2020.gada budžets </t>
  </si>
  <si>
    <t xml:space="preserve"> JPAP P3.1.,R3.1.2._131  JPAP_P2.8_R2.8.1_99 JPAP_P3.3_R3.3.1_192</t>
  </si>
  <si>
    <t>JPAP_P3.7._R3.7.3._234
JPAP_P3.8._R3.8.1._236
JPAP_P3.7._R3.7.3._235 JPP_AM4_U4.2.._P4.2.2
JPAP_P.3.7._R3.7.1._228 
JPAP_P3.7._R3.7.1._229
JPAP_P1.3._R1.4.3_17
JPAP_P.1.8_R1.8.1._47  
JPTARP_U.2.1_P.2.1.3.
JPTARP_U.3.3._P.3.3.1.</t>
  </si>
  <si>
    <t>JPAP_P2.8._R2.8.1._98 JPAP_P2.8._R2.8.1._99
JPAP_P3.6._R3.6.2._227</t>
  </si>
  <si>
    <t xml:space="preserve">JPAP_R3.1.2_131 </t>
  </si>
  <si>
    <t xml:space="preserve">JPAP_P2.9_R2.9.1_115 JPAP_R2.2.1_70 </t>
  </si>
  <si>
    <t>JPAP_R2.2.1_70</t>
  </si>
  <si>
    <t xml:space="preserve">JPAP_P2.9_R2.9.1_115JPAP_R3.1.2_131 </t>
  </si>
  <si>
    <t>JPAP_R3.1.2_131
JPAP_R2.8.1_99</t>
  </si>
  <si>
    <t>JPAP_R2.8.1_99</t>
  </si>
  <si>
    <t xml:space="preserve">JPAP_R3.2.4._184; 
JPKAP_P2.4.1. </t>
  </si>
  <si>
    <t>04.730 Tūrisma informācijas centrs</t>
  </si>
  <si>
    <t>JPAP_P1.9_R1.9.1._53                   
KAP_RV2_U2.2_ P2.2.1 
KAP_RV2_U2.2_ P2.2.3  
JPTARP_U2.4._P.2.4.4. 
JPTARP_U.3.7._P.3.7.6.</t>
  </si>
  <si>
    <t>JPTARP_U.1.9_P.1.9.14.  
JPAP_P.1.1_R1.1.2._6.</t>
  </si>
  <si>
    <t xml:space="preserve">JPAP P.1.6, R. 1.6.3._41; JPSAAS M 1, U 1.1. JPAP_P3.6_R3.6.2_227;
 JPAP_P2.6_R2.6.2_89 </t>
  </si>
  <si>
    <t>Pabalsts bāreņiem un bez vecāku gādības palikušiem bērniem pēc ārpusģimenes aprūpes beigšanās ( mācību laikā)</t>
  </si>
  <si>
    <t>Zobu ekstrakcija bezpajumtniekiem</t>
  </si>
  <si>
    <t>Ielu vingrošanas nodarbības</t>
  </si>
  <si>
    <r>
      <t xml:space="preserve">JPAP_P1.3_R1.3.1._13 JPAP_P1.6_R1.6.1._21 JPAP_P1.7_R1.7.2._45
</t>
    </r>
    <r>
      <rPr>
        <sz val="9"/>
        <color theme="1"/>
        <rFont val="Times New Roman"/>
        <family val="1"/>
        <charset val="186"/>
      </rPr>
      <t>JPAP_P2.1._R.2.1.1._62  
JPAP_P2.8._R.2.8.1._98
JPAP_P2.8._R.2.8.1._99 JPAP_P2.8._R2.8.1._103 
JPAP_P3.7._R3.7.2._230  
JPIERP_P.4.4_A4.4.2 JPIERP_P.4.4_A4.4.3
JPTARP_M1_U1.6._P1.6.1</t>
    </r>
    <r>
      <rPr>
        <sz val="9"/>
        <rFont val="Times New Roman"/>
        <family val="1"/>
        <charset val="186"/>
      </rPr>
      <t xml:space="preserve">
JPKAP_RV5_U5.3_P5.3.1.
JPTARP_M1_U1.2._P1.2.10. JPTARP_M1_U1.2._P1.2.11.
TP ĶAV M2_U2_2.3.  </t>
    </r>
  </si>
  <si>
    <t>JPAP_P2.1._R2.1.1._65
JPAP_P2.8._R2.8.1._112
JPAP_P3.1._R3.1.2._123
JPAP_P3.1._R3.1.5._144
JPAP_P3.1._R3.1.5._141
JPAP_P3.1._R3.1.2._124</t>
  </si>
  <si>
    <t>JPAP_P2.8._R2.8.1._112
JPAP_P3.5._R3.5.1._218
 JPAP_P3.1._R3.1.5._140 JPAP_P3.1._R3.1.2._126 JPAP_P3.2._R3.2.3._165
JPAP_P3.1._R3.1.2._123
JPAP_P3.1._R3.1.2._124</t>
  </si>
  <si>
    <t>JPAP_P2.8._R2.8.1._112
JPAP_P3.5._R3.5.1._218
JPAP_P3.1._R3.1.5._144
JPAP_P3.1._R3.1.2._123
JPAP_P3.1._R3.1.2._124
JPAP_P3.4._R3.4.1._208
JPAP_P3.4._R3.4.1._210
JPAP_P3.1._R3.1.5._142</t>
  </si>
  <si>
    <t>JPAP_P3.4._R3.4.1._209
JPAP_P3.1._R3.1.5._139
IKRRP_R3.1.5._4
IKTRP_R3.4.1._5
IKTRP_R3.4.1._6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</si>
</sst>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quot;€&quot;\ * #,##0.00_-;_-&quot;€&quot;\ * &quot;-&quot;??_-;_-@_-"/>
    <numFmt numFmtId="43" formatCode="_-* #,##0.00_-;\-* #,##0.00_-;_-* &quot;-&quot;??_-;_-@_-"/>
    <numFmt numFmtId="164" formatCode="0.0"/>
    <numFmt numFmtId="165" formatCode="_-* #,##0_-;\-* #,##0_-;_-* &quot;-&quot;??_-;_-@_-"/>
    <numFmt numFmtId="166" formatCode="#,##0_ ;\-#,##0\ "/>
    <numFmt numFmtId="167" formatCode="#,##0_ ;[Red]\-#,##0\ "/>
    <numFmt numFmtId="168" formatCode="#."/>
    <numFmt numFmtId="169" formatCode="0.000"/>
    <numFmt numFmtId="170" formatCode="###,##0"/>
    <numFmt numFmtId="171" formatCode="#,##0;[Red]#,##0"/>
  </numFmts>
  <fonts count="68" x14ac:knownFonts="1">
    <font>
      <sz val="11"/>
      <color theme="1"/>
      <name val="Calibri"/>
      <family val="2"/>
      <charset val="186"/>
      <scheme val="minor"/>
    </font>
    <font>
      <sz val="11"/>
      <color theme="1"/>
      <name val="Calibri"/>
      <family val="2"/>
      <charset val="186"/>
      <scheme val="minor"/>
    </font>
    <font>
      <sz val="10"/>
      <name val="Arial"/>
      <family val="2"/>
      <charset val="186"/>
    </font>
    <font>
      <sz val="6"/>
      <name val="Times New Roman"/>
      <family val="1"/>
      <charset val="186"/>
    </font>
    <font>
      <sz val="12"/>
      <name val="Times New Roman"/>
      <family val="1"/>
      <charset val="186"/>
    </font>
    <font>
      <sz val="10"/>
      <name val="Times New Roman"/>
      <family val="1"/>
      <charset val="186"/>
    </font>
    <font>
      <sz val="8"/>
      <name val="Times New Roman"/>
      <family val="1"/>
      <charset val="186"/>
    </font>
    <font>
      <b/>
      <sz val="12"/>
      <name val="Times New Roman"/>
      <family val="1"/>
      <charset val="186"/>
    </font>
    <font>
      <b/>
      <sz val="14"/>
      <name val="Times New Roman"/>
      <family val="1"/>
      <charset val="186"/>
    </font>
    <font>
      <b/>
      <sz val="12"/>
      <color rgb="FFC00000"/>
      <name val="Times New Roman"/>
      <family val="1"/>
      <charset val="186"/>
    </font>
    <font>
      <b/>
      <sz val="11"/>
      <name val="Times New Roman"/>
      <family val="1"/>
      <charset val="186"/>
    </font>
    <font>
      <b/>
      <sz val="10"/>
      <name val="Times New Roman"/>
      <family val="1"/>
      <charset val="186"/>
    </font>
    <font>
      <sz val="11"/>
      <name val="Times New Roman"/>
      <family val="1"/>
      <charset val="186"/>
    </font>
    <font>
      <i/>
      <sz val="11"/>
      <name val="Times New Roman"/>
      <family val="1"/>
      <charset val="186"/>
    </font>
    <font>
      <b/>
      <sz val="9"/>
      <name val="Times New Roman"/>
      <family val="1"/>
      <charset val="186"/>
    </font>
    <font>
      <sz val="9"/>
      <name val="Times New Roman"/>
      <family val="1"/>
      <charset val="186"/>
    </font>
    <font>
      <sz val="9"/>
      <name val="Calibri"/>
      <family val="2"/>
      <charset val="186"/>
    </font>
    <font>
      <sz val="9"/>
      <color rgb="FFFF0000"/>
      <name val="Times New Roman"/>
      <family val="1"/>
      <charset val="186"/>
    </font>
    <font>
      <i/>
      <sz val="9"/>
      <name val="Times New Roman"/>
      <family val="1"/>
      <charset val="186"/>
    </font>
    <font>
      <b/>
      <i/>
      <sz val="9"/>
      <name val="Times New Roman"/>
      <family val="1"/>
      <charset val="186"/>
    </font>
    <font>
      <b/>
      <i/>
      <sz val="12"/>
      <name val="Times New Roman"/>
      <family val="1"/>
      <charset val="186"/>
    </font>
    <font>
      <i/>
      <sz val="9"/>
      <color theme="1"/>
      <name val="Times New Roman"/>
      <family val="1"/>
      <charset val="186"/>
    </font>
    <font>
      <sz val="9"/>
      <color theme="1"/>
      <name val="Times New Roman"/>
      <family val="1"/>
      <charset val="186"/>
    </font>
    <font>
      <b/>
      <sz val="9"/>
      <color theme="1"/>
      <name val="Times New Roman"/>
      <family val="1"/>
      <charset val="186"/>
    </font>
    <font>
      <i/>
      <sz val="8"/>
      <name val="Times New Roman"/>
      <family val="1"/>
      <charset val="186"/>
    </font>
    <font>
      <u/>
      <sz val="9"/>
      <name val="Times New Roman"/>
      <family val="1"/>
      <charset val="186"/>
    </font>
    <font>
      <u/>
      <sz val="8"/>
      <name val="Times New Roman"/>
      <family val="1"/>
      <charset val="186"/>
    </font>
    <font>
      <i/>
      <u/>
      <sz val="8"/>
      <name val="Times New Roman"/>
      <family val="1"/>
      <charset val="186"/>
    </font>
    <font>
      <b/>
      <i/>
      <u/>
      <sz val="12"/>
      <name val="Times New Roman"/>
      <family val="1"/>
      <charset val="186"/>
    </font>
    <font>
      <sz val="8"/>
      <color rgb="FFFF0000"/>
      <name val="Times New Roman"/>
      <family val="1"/>
      <charset val="186"/>
    </font>
    <font>
      <b/>
      <sz val="8"/>
      <name val="Times New Roman"/>
      <family val="1"/>
      <charset val="186"/>
    </font>
    <font>
      <u/>
      <sz val="9"/>
      <color theme="1"/>
      <name val="Times New Roman"/>
      <family val="1"/>
      <charset val="186"/>
    </font>
    <font>
      <sz val="9"/>
      <color rgb="FF000000"/>
      <name val="Times New Roman"/>
      <family val="1"/>
      <charset val="186"/>
    </font>
    <font>
      <u/>
      <sz val="9"/>
      <color rgb="FF000000"/>
      <name val="Times New Roman"/>
      <family val="1"/>
      <charset val="186"/>
    </font>
    <font>
      <b/>
      <sz val="9"/>
      <color rgb="FF000000"/>
      <name val="Times New Roman"/>
      <family val="1"/>
      <charset val="186"/>
    </font>
    <font>
      <sz val="9"/>
      <name val="Arial"/>
      <family val="2"/>
      <charset val="186"/>
    </font>
    <font>
      <sz val="9"/>
      <color rgb="FF00B050"/>
      <name val="Times New Roman"/>
      <family val="1"/>
      <charset val="186"/>
    </font>
    <font>
      <b/>
      <sz val="9"/>
      <color rgb="FFFF0000"/>
      <name val="Times New Roman"/>
      <family val="1"/>
      <charset val="186"/>
    </font>
    <font>
      <strike/>
      <sz val="9"/>
      <color rgb="FFFF0000"/>
      <name val="Times New Roman"/>
      <family val="1"/>
      <charset val="186"/>
    </font>
    <font>
      <strike/>
      <sz val="9"/>
      <name val="Times New Roman"/>
      <family val="1"/>
      <charset val="186"/>
    </font>
    <font>
      <i/>
      <u/>
      <sz val="9"/>
      <name val="Times New Roman"/>
      <family val="1"/>
      <charset val="186"/>
    </font>
    <font>
      <b/>
      <sz val="12"/>
      <color theme="1"/>
      <name val="Times New Roman"/>
      <family val="1"/>
      <charset val="186"/>
    </font>
    <font>
      <b/>
      <i/>
      <sz val="12"/>
      <color theme="1"/>
      <name val="Times New Roman"/>
      <family val="1"/>
      <charset val="186"/>
    </font>
    <font>
      <u/>
      <sz val="10"/>
      <color theme="10"/>
      <name val="Arial"/>
      <family val="2"/>
      <charset val="186"/>
    </font>
    <font>
      <b/>
      <i/>
      <sz val="11"/>
      <name val="Times New Roman"/>
      <family val="1"/>
      <charset val="186"/>
    </font>
    <font>
      <sz val="9"/>
      <name val="Times New Roman"/>
      <family val="1"/>
    </font>
    <font>
      <sz val="9"/>
      <color theme="1"/>
      <name val="Times New Roman"/>
      <family val="1"/>
    </font>
    <font>
      <sz val="10"/>
      <color theme="1"/>
      <name val="Times New Roman"/>
      <family val="1"/>
      <charset val="186"/>
    </font>
    <font>
      <sz val="11"/>
      <color theme="1"/>
      <name val="Calibri"/>
      <family val="2"/>
      <scheme val="minor"/>
    </font>
    <font>
      <sz val="9"/>
      <color rgb="FFFFD200"/>
      <name val="Times New Roman"/>
      <family val="1"/>
      <charset val="186"/>
    </font>
    <font>
      <b/>
      <strike/>
      <sz val="9"/>
      <name val="Times New Roman"/>
      <family val="1"/>
      <charset val="186"/>
    </font>
    <font>
      <b/>
      <sz val="18"/>
      <name val="Times New Roman"/>
      <family val="1"/>
      <charset val="186"/>
    </font>
    <font>
      <i/>
      <sz val="12"/>
      <name val="Times New Roman"/>
      <family val="1"/>
      <charset val="186"/>
    </font>
    <font>
      <sz val="12"/>
      <color rgb="FFFF0000"/>
      <name val="Times New Roman"/>
      <family val="1"/>
      <charset val="186"/>
    </font>
    <font>
      <sz val="12"/>
      <name val="Arial"/>
      <family val="2"/>
      <charset val="186"/>
    </font>
    <font>
      <sz val="11"/>
      <color indexed="8"/>
      <name val="Calibri"/>
      <family val="2"/>
      <charset val="186"/>
    </font>
    <font>
      <u/>
      <sz val="9"/>
      <color theme="0"/>
      <name val="Arial"/>
      <family val="2"/>
      <charset val="186"/>
    </font>
    <font>
      <u/>
      <sz val="10"/>
      <color theme="0"/>
      <name val="Arial"/>
      <family val="2"/>
      <charset val="186"/>
    </font>
    <font>
      <b/>
      <u/>
      <sz val="9"/>
      <name val="Times New Roman"/>
      <family val="1"/>
      <charset val="186"/>
    </font>
    <font>
      <sz val="13"/>
      <name val="Times New Roman"/>
      <family val="1"/>
      <charset val="186"/>
    </font>
    <font>
      <b/>
      <i/>
      <u/>
      <sz val="10"/>
      <name val="Times New Roman"/>
      <family val="1"/>
      <charset val="186"/>
    </font>
    <font>
      <sz val="9"/>
      <color theme="0"/>
      <name val="Times New Roman"/>
      <family val="1"/>
      <charset val="186"/>
    </font>
    <font>
      <sz val="11"/>
      <name val="Calibri"/>
      <family val="2"/>
    </font>
    <font>
      <b/>
      <sz val="10"/>
      <name val="Arial"/>
      <family val="2"/>
      <charset val="186"/>
    </font>
    <font>
      <i/>
      <sz val="10"/>
      <name val="Times New Roman"/>
      <family val="1"/>
      <charset val="186"/>
    </font>
    <font>
      <b/>
      <sz val="9"/>
      <color indexed="81"/>
      <name val="Tahoma"/>
      <family val="2"/>
      <charset val="186"/>
    </font>
    <font>
      <sz val="9"/>
      <color indexed="81"/>
      <name val="Tahoma"/>
      <family val="2"/>
      <charset val="186"/>
    </font>
    <font>
      <b/>
      <i/>
      <u/>
      <sz val="9"/>
      <name val="Times New Roman"/>
      <family val="1"/>
      <charset val="186"/>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13"/>
        <bgColor indexed="64"/>
      </patternFill>
    </fill>
  </fills>
  <borders count="10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hair">
        <color indexed="64"/>
      </bottom>
      <diagonal/>
    </border>
    <border>
      <left/>
      <right style="thin">
        <color indexed="64"/>
      </right>
      <top/>
      <bottom style="medium">
        <color auto="1"/>
      </bottom>
      <diagonal/>
    </border>
    <border>
      <left style="thin">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right/>
      <top style="medium">
        <color indexed="64"/>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top/>
      <bottom style="thin">
        <color indexed="64"/>
      </bottom>
      <diagonal/>
    </border>
  </borders>
  <cellStyleXfs count="17">
    <xf numFmtId="0" fontId="0" fillId="0" borderId="0"/>
    <xf numFmtId="0" fontId="2" fillId="0" borderId="0"/>
    <xf numFmtId="0" fontId="2" fillId="0" borderId="0"/>
    <xf numFmtId="0" fontId="1" fillId="0" borderId="0"/>
    <xf numFmtId="0" fontId="2" fillId="0" borderId="0"/>
    <xf numFmtId="0" fontId="2" fillId="0" borderId="0"/>
    <xf numFmtId="0" fontId="1" fillId="0" borderId="0"/>
    <xf numFmtId="43" fontId="2" fillId="0" borderId="0" applyFont="0" applyFill="0" applyBorder="0" applyAlignment="0" applyProtection="0"/>
    <xf numFmtId="0" fontId="43" fillId="0" borderId="0" applyNumberFormat="0" applyFill="0" applyBorder="0" applyAlignment="0" applyProtection="0"/>
    <xf numFmtId="0" fontId="1" fillId="0" borderId="0"/>
    <xf numFmtId="0" fontId="48" fillId="0" borderId="0"/>
    <xf numFmtId="0" fontId="2" fillId="0" borderId="0"/>
    <xf numFmtId="0" fontId="55" fillId="0" borderId="0"/>
    <xf numFmtId="0" fontId="2" fillId="0" borderId="0"/>
    <xf numFmtId="44" fontId="2" fillId="0" borderId="0" applyFont="0" applyFill="0" applyBorder="0" applyAlignment="0" applyProtection="0"/>
    <xf numFmtId="0" fontId="2" fillId="0" borderId="0"/>
    <xf numFmtId="0" fontId="1" fillId="0" borderId="0"/>
  </cellStyleXfs>
  <cellXfs count="2247">
    <xf numFmtId="0" fontId="0" fillId="0" borderId="0" xfId="0"/>
    <xf numFmtId="0" fontId="3" fillId="0" borderId="0" xfId="1" applyFont="1"/>
    <xf numFmtId="0" fontId="4" fillId="0" borderId="0" xfId="1" applyFont="1"/>
    <xf numFmtId="49" fontId="4" fillId="0" borderId="0" xfId="1" applyNumberFormat="1" applyFont="1"/>
    <xf numFmtId="49" fontId="4" fillId="0" borderId="0" xfId="1" applyNumberFormat="1" applyFont="1" applyFill="1"/>
    <xf numFmtId="3" fontId="5" fillId="0" borderId="0" xfId="1" applyNumberFormat="1" applyFont="1" applyFill="1"/>
    <xf numFmtId="0" fontId="4" fillId="0" borderId="0" xfId="1" applyFont="1" applyFill="1"/>
    <xf numFmtId="3" fontId="3" fillId="0" borderId="0" xfId="1" applyNumberFormat="1" applyFont="1"/>
    <xf numFmtId="3" fontId="4" fillId="0" borderId="0" xfId="1" applyNumberFormat="1" applyFont="1"/>
    <xf numFmtId="3" fontId="4" fillId="0" borderId="0" xfId="1" applyNumberFormat="1" applyFont="1" applyFill="1"/>
    <xf numFmtId="0" fontId="6" fillId="0" borderId="0" xfId="1" applyFont="1" applyFill="1" applyAlignment="1">
      <alignment horizontal="center" wrapText="1"/>
    </xf>
    <xf numFmtId="3" fontId="7" fillId="0" borderId="0" xfId="1" applyNumberFormat="1" applyFont="1" applyFill="1" applyAlignment="1">
      <alignment horizontal="left" wrapText="1"/>
    </xf>
    <xf numFmtId="0" fontId="9" fillId="0" borderId="0" xfId="1" applyFont="1" applyFill="1"/>
    <xf numFmtId="0" fontId="3" fillId="0" borderId="0" xfId="1" applyFont="1" applyFill="1"/>
    <xf numFmtId="0" fontId="10" fillId="0" borderId="0" xfId="1" applyFont="1" applyFill="1" applyAlignment="1">
      <alignment horizontal="left"/>
    </xf>
    <xf numFmtId="0" fontId="10" fillId="0" borderId="0" xfId="1" applyFont="1" applyFill="1" applyBorder="1" applyAlignment="1">
      <alignment horizontal="left"/>
    </xf>
    <xf numFmtId="49" fontId="10" fillId="0" borderId="0" xfId="1" applyNumberFormat="1" applyFont="1" applyFill="1" applyBorder="1" applyAlignment="1">
      <alignment horizontal="left"/>
    </xf>
    <xf numFmtId="3" fontId="11" fillId="0" borderId="0" xfId="1" applyNumberFormat="1" applyFont="1" applyFill="1" applyAlignment="1">
      <alignment horizontal="left"/>
    </xf>
    <xf numFmtId="49" fontId="10" fillId="0" borderId="0" xfId="1" applyNumberFormat="1" applyFont="1" applyFill="1" applyAlignment="1">
      <alignment horizontal="left"/>
    </xf>
    <xf numFmtId="0" fontId="12" fillId="0" borderId="0" xfId="1" applyFont="1" applyFill="1" applyBorder="1" applyAlignment="1"/>
    <xf numFmtId="0" fontId="13" fillId="0" borderId="0" xfId="1" applyFont="1" applyFill="1" applyBorder="1" applyAlignment="1">
      <alignment horizontal="right"/>
    </xf>
    <xf numFmtId="0" fontId="15" fillId="0" borderId="0" xfId="1" applyFont="1" applyFill="1"/>
    <xf numFmtId="3" fontId="15" fillId="0" borderId="5" xfId="1" applyNumberFormat="1" applyFont="1" applyFill="1" applyBorder="1" applyAlignment="1">
      <alignment horizontal="center" vertical="center" wrapText="1"/>
    </xf>
    <xf numFmtId="3" fontId="15" fillId="0" borderId="6" xfId="1" applyNumberFormat="1" applyFont="1" applyFill="1" applyBorder="1" applyAlignment="1">
      <alignment horizontal="center" vertical="center" wrapText="1"/>
    </xf>
    <xf numFmtId="3" fontId="15" fillId="0" borderId="7" xfId="1" applyNumberFormat="1" applyFont="1" applyFill="1" applyBorder="1" applyAlignment="1">
      <alignment horizontal="center" vertical="center" wrapText="1"/>
    </xf>
    <xf numFmtId="0" fontId="14" fillId="0" borderId="9" xfId="1" applyFont="1" applyFill="1" applyBorder="1" applyAlignment="1">
      <alignment horizontal="center" vertical="center"/>
    </xf>
    <xf numFmtId="0" fontId="14" fillId="0" borderId="10" xfId="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3" fontId="14" fillId="0" borderId="6" xfId="1" applyNumberFormat="1" applyFont="1" applyFill="1" applyBorder="1" applyAlignment="1">
      <alignment horizontal="center" vertical="center" wrapText="1"/>
    </xf>
    <xf numFmtId="3" fontId="14" fillId="0" borderId="7" xfId="1" applyNumberFormat="1" applyFont="1" applyFill="1" applyBorder="1" applyAlignment="1">
      <alignment horizontal="center" vertical="center" wrapText="1"/>
    </xf>
    <xf numFmtId="3" fontId="14" fillId="0" borderId="7" xfId="1" applyNumberFormat="1" applyFont="1" applyFill="1" applyBorder="1" applyAlignment="1">
      <alignment horizontal="right" vertical="center" wrapText="1"/>
    </xf>
    <xf numFmtId="3" fontId="15" fillId="0" borderId="8" xfId="2" applyNumberFormat="1" applyFont="1" applyBorder="1" applyAlignment="1" applyProtection="1">
      <alignment horizontal="center" vertical="center" wrapText="1"/>
      <protection locked="0"/>
    </xf>
    <xf numFmtId="3" fontId="14" fillId="2" borderId="1" xfId="1" applyNumberFormat="1" applyFont="1" applyFill="1" applyBorder="1"/>
    <xf numFmtId="3" fontId="14" fillId="2" borderId="2" xfId="1" applyNumberFormat="1" applyFont="1" applyFill="1" applyBorder="1"/>
    <xf numFmtId="3" fontId="14" fillId="0" borderId="3" xfId="1" applyNumberFormat="1" applyFont="1" applyFill="1" applyBorder="1"/>
    <xf numFmtId="3" fontId="15" fillId="0" borderId="0" xfId="1" applyNumberFormat="1" applyFont="1" applyFill="1"/>
    <xf numFmtId="0" fontId="15" fillId="0" borderId="10" xfId="1" applyFont="1" applyFill="1" applyBorder="1" applyAlignment="1">
      <alignment horizontal="center" vertical="center" wrapText="1"/>
    </xf>
    <xf numFmtId="49" fontId="15" fillId="0" borderId="11" xfId="1" applyNumberFormat="1" applyFont="1" applyFill="1" applyBorder="1" applyAlignment="1">
      <alignment horizontal="center" vertical="center" wrapText="1"/>
    </xf>
    <xf numFmtId="3" fontId="15" fillId="0" borderId="12" xfId="1" applyNumberFormat="1" applyFont="1" applyFill="1" applyBorder="1" applyAlignment="1">
      <alignment horizontal="center" vertical="center" wrapText="1"/>
    </xf>
    <xf numFmtId="3" fontId="15" fillId="0" borderId="0" xfId="1" applyNumberFormat="1" applyFont="1" applyFill="1" applyBorder="1" applyAlignment="1">
      <alignment horizontal="center" vertical="center" wrapText="1"/>
    </xf>
    <xf numFmtId="3" fontId="15" fillId="0" borderId="13" xfId="1" applyNumberFormat="1" applyFont="1" applyFill="1" applyBorder="1" applyAlignment="1">
      <alignment horizontal="center" vertical="center" wrapText="1"/>
    </xf>
    <xf numFmtId="3" fontId="15" fillId="0" borderId="13" xfId="1" applyNumberFormat="1" applyFont="1" applyFill="1" applyBorder="1" applyAlignment="1">
      <alignment horizontal="right" vertical="center" wrapText="1"/>
    </xf>
    <xf numFmtId="3" fontId="15" fillId="0" borderId="11" xfId="1" applyNumberFormat="1" applyFont="1" applyFill="1" applyBorder="1" applyAlignment="1">
      <alignment horizontal="center" vertical="center" wrapText="1"/>
    </xf>
    <xf numFmtId="0" fontId="15" fillId="0" borderId="8" xfId="1" applyFont="1" applyFill="1" applyBorder="1"/>
    <xf numFmtId="0" fontId="14" fillId="2" borderId="5" xfId="1" applyFont="1" applyFill="1" applyBorder="1" applyAlignment="1">
      <alignment horizontal="center" vertical="center"/>
    </xf>
    <xf numFmtId="0" fontId="14" fillId="2" borderId="6" xfId="1" applyFont="1" applyFill="1" applyBorder="1" applyAlignment="1">
      <alignment horizontal="center" vertical="center"/>
    </xf>
    <xf numFmtId="9" fontId="14" fillId="0" borderId="7" xfId="1" applyNumberFormat="1" applyFont="1" applyFill="1" applyBorder="1" applyAlignment="1">
      <alignment horizontal="center" vertical="center" wrapText="1"/>
    </xf>
    <xf numFmtId="0" fontId="15" fillId="0" borderId="0" xfId="1" applyFont="1" applyFill="1" applyBorder="1" applyAlignment="1">
      <alignment horizontal="center" vertical="center" wrapText="1"/>
    </xf>
    <xf numFmtId="49" fontId="14" fillId="0" borderId="13" xfId="1" applyNumberFormat="1" applyFont="1" applyFill="1" applyBorder="1" applyAlignment="1">
      <alignment horizontal="right" vertical="center" wrapText="1"/>
    </xf>
    <xf numFmtId="3" fontId="14" fillId="0" borderId="5" xfId="1" applyNumberFormat="1" applyFont="1" applyFill="1" applyBorder="1" applyAlignment="1">
      <alignment vertical="center" wrapText="1"/>
    </xf>
    <xf numFmtId="3" fontId="14" fillId="0" borderId="6" xfId="1" applyNumberFormat="1" applyFont="1" applyFill="1" applyBorder="1" applyAlignment="1">
      <alignment vertical="center" wrapText="1"/>
    </xf>
    <xf numFmtId="3" fontId="14" fillId="0" borderId="11" xfId="1" applyNumberFormat="1" applyFont="1" applyFill="1" applyBorder="1" applyAlignment="1">
      <alignment vertical="center" wrapText="1"/>
    </xf>
    <xf numFmtId="3" fontId="14" fillId="0" borderId="14" xfId="1" applyNumberFormat="1" applyFont="1" applyFill="1" applyBorder="1" applyAlignment="1">
      <alignment vertical="center" wrapText="1"/>
    </xf>
    <xf numFmtId="3" fontId="14" fillId="0" borderId="9" xfId="1" applyNumberFormat="1" applyFont="1" applyFill="1" applyBorder="1" applyAlignment="1">
      <alignment vertical="center" wrapText="1"/>
    </xf>
    <xf numFmtId="3" fontId="14" fillId="0" borderId="15" xfId="1" applyNumberFormat="1" applyFont="1" applyFill="1" applyBorder="1" applyAlignment="1">
      <alignment vertical="center" wrapText="1"/>
    </xf>
    <xf numFmtId="3" fontId="15" fillId="0" borderId="8" xfId="2" applyNumberFormat="1" applyFont="1" applyFill="1" applyBorder="1" applyAlignment="1" applyProtection="1">
      <alignment vertical="center" wrapText="1"/>
      <protection locked="0"/>
    </xf>
    <xf numFmtId="0" fontId="15" fillId="2" borderId="5" xfId="1" applyFont="1" applyFill="1" applyBorder="1"/>
    <xf numFmtId="0" fontId="15" fillId="2" borderId="6" xfId="1" applyFont="1" applyFill="1" applyBorder="1"/>
    <xf numFmtId="0" fontId="15" fillId="0" borderId="7" xfId="1" applyFont="1" applyFill="1" applyBorder="1"/>
    <xf numFmtId="0" fontId="14" fillId="0" borderId="5" xfId="1" applyFont="1" applyFill="1" applyBorder="1" applyAlignment="1">
      <alignment horizontal="center" vertical="center"/>
    </xf>
    <xf numFmtId="0" fontId="14" fillId="0" borderId="6" xfId="1" applyFont="1" applyFill="1" applyBorder="1" applyAlignment="1">
      <alignment wrapText="1"/>
    </xf>
    <xf numFmtId="3" fontId="14" fillId="0" borderId="6" xfId="1" applyNumberFormat="1" applyFont="1" applyFill="1" applyBorder="1" applyAlignment="1">
      <alignment horizontal="center"/>
    </xf>
    <xf numFmtId="49" fontId="14" fillId="0" borderId="7" xfId="1" applyNumberFormat="1" applyFont="1" applyFill="1" applyBorder="1" applyAlignment="1">
      <alignment horizontal="center"/>
    </xf>
    <xf numFmtId="3" fontId="14" fillId="0" borderId="5" xfId="1" applyNumberFormat="1" applyFont="1" applyFill="1" applyBorder="1" applyAlignment="1"/>
    <xf numFmtId="3" fontId="14" fillId="0" borderId="6" xfId="1" applyNumberFormat="1" applyFont="1" applyFill="1" applyBorder="1" applyAlignment="1"/>
    <xf numFmtId="3" fontId="14" fillId="0" borderId="7" xfId="1" applyNumberFormat="1" applyFont="1" applyFill="1" applyBorder="1" applyAlignment="1"/>
    <xf numFmtId="0" fontId="15" fillId="0" borderId="16" xfId="1" applyFont="1" applyFill="1" applyBorder="1" applyAlignment="1">
      <alignment horizontal="center" vertical="center"/>
    </xf>
    <xf numFmtId="0" fontId="15" fillId="0" borderId="17" xfId="1" applyFont="1" applyFill="1" applyBorder="1" applyAlignment="1">
      <alignment vertical="center" wrapText="1"/>
    </xf>
    <xf numFmtId="3" fontId="15" fillId="0" borderId="17" xfId="1" applyNumberFormat="1" applyFont="1" applyFill="1" applyBorder="1" applyAlignment="1">
      <alignment horizontal="center" vertical="center"/>
    </xf>
    <xf numFmtId="3" fontId="15" fillId="0" borderId="17" xfId="1" applyNumberFormat="1" applyFont="1" applyFill="1" applyBorder="1" applyAlignment="1">
      <alignment vertical="center"/>
    </xf>
    <xf numFmtId="3" fontId="15" fillId="0" borderId="5" xfId="1" applyNumberFormat="1" applyFont="1" applyFill="1" applyBorder="1" applyAlignment="1">
      <alignment vertical="center"/>
    </xf>
    <xf numFmtId="3" fontId="15" fillId="0" borderId="6" xfId="1" applyNumberFormat="1" applyFont="1" applyFill="1" applyBorder="1" applyAlignment="1"/>
    <xf numFmtId="3" fontId="15" fillId="0" borderId="7" xfId="1" applyNumberFormat="1" applyFont="1" applyFill="1" applyBorder="1" applyAlignment="1"/>
    <xf numFmtId="3" fontId="15" fillId="0" borderId="5" xfId="1" applyNumberFormat="1" applyFont="1" applyFill="1" applyBorder="1" applyAlignment="1"/>
    <xf numFmtId="3" fontId="15" fillId="0" borderId="5" xfId="1" applyNumberFormat="1" applyFont="1" applyFill="1" applyBorder="1" applyAlignment="1">
      <alignment horizontal="center"/>
    </xf>
    <xf numFmtId="3" fontId="15" fillId="0" borderId="7" xfId="1" applyNumberFormat="1" applyFont="1" applyFill="1" applyBorder="1" applyAlignment="1">
      <alignment horizontal="right"/>
    </xf>
    <xf numFmtId="3" fontId="15" fillId="2" borderId="5" xfId="1" applyNumberFormat="1" applyFont="1" applyFill="1" applyBorder="1"/>
    <xf numFmtId="3" fontId="15" fillId="2" borderId="6" xfId="1" applyNumberFormat="1" applyFont="1" applyFill="1" applyBorder="1"/>
    <xf numFmtId="3" fontId="15" fillId="0" borderId="7" xfId="1" applyNumberFormat="1" applyFont="1" applyFill="1" applyBorder="1"/>
    <xf numFmtId="0" fontId="15" fillId="0" borderId="5" xfId="1" applyFont="1" applyFill="1" applyBorder="1" applyAlignment="1">
      <alignment horizontal="center" vertical="center"/>
    </xf>
    <xf numFmtId="0" fontId="15" fillId="0" borderId="6" xfId="1" applyFont="1" applyFill="1" applyBorder="1" applyAlignment="1">
      <alignment wrapText="1"/>
    </xf>
    <xf numFmtId="3" fontId="15" fillId="0" borderId="6" xfId="1" applyNumberFormat="1" applyFont="1" applyFill="1" applyBorder="1" applyAlignment="1">
      <alignment horizontal="center" vertical="center"/>
    </xf>
    <xf numFmtId="49" fontId="14" fillId="0" borderId="7" xfId="1" applyNumberFormat="1" applyFont="1" applyFill="1" applyBorder="1" applyAlignment="1">
      <alignment horizontal="center" vertical="center"/>
    </xf>
    <xf numFmtId="3" fontId="15" fillId="0" borderId="6" xfId="1" applyNumberFormat="1" applyFont="1" applyFill="1" applyBorder="1" applyAlignment="1">
      <alignment vertical="center"/>
    </xf>
    <xf numFmtId="3" fontId="15" fillId="0" borderId="7" xfId="1" applyNumberFormat="1" applyFont="1" applyFill="1" applyBorder="1" applyAlignment="1">
      <alignment vertical="center"/>
    </xf>
    <xf numFmtId="3" fontId="15" fillId="0" borderId="5" xfId="1" applyNumberFormat="1" applyFont="1" applyFill="1" applyBorder="1" applyAlignment="1">
      <alignment horizontal="center" vertical="center"/>
    </xf>
    <xf numFmtId="3" fontId="15" fillId="0" borderId="7" xfId="1" applyNumberFormat="1" applyFont="1" applyFill="1" applyBorder="1" applyAlignment="1">
      <alignment horizontal="right" vertical="center"/>
    </xf>
    <xf numFmtId="0" fontId="15" fillId="0" borderId="8" xfId="1" applyFont="1" applyFill="1" applyBorder="1" applyAlignment="1">
      <alignment vertical="center"/>
    </xf>
    <xf numFmtId="0" fontId="15" fillId="0" borderId="6" xfId="2" applyFont="1" applyFill="1" applyBorder="1" applyAlignment="1">
      <alignment horizontal="left" vertical="center" wrapText="1"/>
    </xf>
    <xf numFmtId="164" fontId="15" fillId="0" borderId="5" xfId="1" applyNumberFormat="1" applyFont="1" applyFill="1" applyBorder="1" applyAlignment="1">
      <alignment horizontal="center" vertical="center"/>
    </xf>
    <xf numFmtId="164" fontId="15" fillId="0" borderId="18" xfId="1" applyNumberFormat="1" applyFont="1" applyFill="1" applyBorder="1" applyAlignment="1">
      <alignment horizontal="center" vertical="center"/>
    </xf>
    <xf numFmtId="0" fontId="15" fillId="0" borderId="19" xfId="3" applyFont="1" applyFill="1" applyBorder="1" applyAlignment="1">
      <alignment vertical="center" wrapText="1"/>
    </xf>
    <xf numFmtId="3" fontId="15" fillId="0" borderId="16" xfId="1" applyNumberFormat="1" applyFont="1" applyFill="1" applyBorder="1" applyAlignment="1">
      <alignment vertical="center"/>
    </xf>
    <xf numFmtId="3" fontId="15" fillId="0" borderId="20" xfId="1" applyNumberFormat="1" applyFont="1" applyFill="1" applyBorder="1" applyAlignment="1">
      <alignment vertical="center"/>
    </xf>
    <xf numFmtId="3" fontId="14" fillId="0" borderId="5" xfId="1" applyNumberFormat="1" applyFont="1" applyFill="1" applyBorder="1" applyAlignment="1">
      <alignment horizontal="right"/>
    </xf>
    <xf numFmtId="3" fontId="14" fillId="0" borderId="7" xfId="1" applyNumberFormat="1" applyFont="1" applyFill="1" applyBorder="1" applyAlignment="1">
      <alignment horizontal="right"/>
    </xf>
    <xf numFmtId="3" fontId="15" fillId="0" borderId="5" xfId="1" applyNumberFormat="1" applyFont="1" applyFill="1" applyBorder="1"/>
    <xf numFmtId="3" fontId="15" fillId="0" borderId="6" xfId="1" applyNumberFormat="1" applyFont="1" applyFill="1" applyBorder="1"/>
    <xf numFmtId="0" fontId="15" fillId="0" borderId="6" xfId="1" applyFont="1" applyFill="1" applyBorder="1" applyAlignment="1">
      <alignment horizontal="left" wrapText="1"/>
    </xf>
    <xf numFmtId="3" fontId="15" fillId="0" borderId="6" xfId="1" applyNumberFormat="1" applyFont="1" applyFill="1" applyBorder="1" applyAlignment="1">
      <alignment horizontal="center"/>
    </xf>
    <xf numFmtId="0" fontId="15" fillId="0" borderId="18" xfId="1" applyFont="1" applyFill="1" applyBorder="1" applyAlignment="1">
      <alignment vertical="center"/>
    </xf>
    <xf numFmtId="0" fontId="15" fillId="0" borderId="21" xfId="1" applyFont="1" applyFill="1" applyBorder="1" applyAlignment="1">
      <alignment wrapText="1"/>
    </xf>
    <xf numFmtId="3" fontId="15" fillId="0" borderId="5" xfId="1" applyNumberFormat="1" applyFont="1" applyFill="1" applyBorder="1" applyAlignment="1">
      <alignment horizontal="right"/>
    </xf>
    <xf numFmtId="0" fontId="15" fillId="0" borderId="6" xfId="1" applyFont="1" applyFill="1" applyBorder="1" applyAlignment="1">
      <alignment horizontal="center" vertical="center" wrapText="1" shrinkToFit="1"/>
    </xf>
    <xf numFmtId="0" fontId="15" fillId="0" borderId="5" xfId="1" applyFont="1" applyFill="1" applyBorder="1" applyAlignment="1">
      <alignment horizontal="center" vertical="center" wrapText="1" shrinkToFit="1"/>
    </xf>
    <xf numFmtId="0" fontId="15" fillId="0" borderId="6" xfId="1" applyFont="1" applyFill="1" applyBorder="1" applyAlignment="1">
      <alignment horizontal="left" vertical="center" wrapText="1"/>
    </xf>
    <xf numFmtId="3" fontId="15" fillId="0" borderId="5" xfId="1" applyNumberFormat="1" applyFont="1" applyFill="1" applyBorder="1" applyAlignment="1">
      <alignment horizontal="right" vertical="center"/>
    </xf>
    <xf numFmtId="3" fontId="15" fillId="0" borderId="6" xfId="1" applyNumberFormat="1" applyFont="1" applyFill="1" applyBorder="1" applyAlignment="1">
      <alignment horizontal="right" vertical="center"/>
    </xf>
    <xf numFmtId="0" fontId="14" fillId="0" borderId="6" xfId="1" applyFont="1" applyFill="1" applyBorder="1" applyAlignment="1">
      <alignment horizontal="center" vertical="center"/>
    </xf>
    <xf numFmtId="0" fontId="15" fillId="0" borderId="6" xfId="1" applyFont="1" applyFill="1" applyBorder="1" applyAlignment="1">
      <alignment horizontal="center" vertical="center"/>
    </xf>
    <xf numFmtId="0" fontId="17" fillId="0" borderId="0" xfId="1" applyFont="1" applyFill="1"/>
    <xf numFmtId="0" fontId="15" fillId="0" borderId="6" xfId="1" applyFont="1" applyFill="1" applyBorder="1" applyAlignment="1">
      <alignment vertical="center" wrapText="1"/>
    </xf>
    <xf numFmtId="3" fontId="15" fillId="0" borderId="22" xfId="1" applyNumberFormat="1" applyFont="1" applyFill="1" applyBorder="1"/>
    <xf numFmtId="3" fontId="15" fillId="0" borderId="23" xfId="1" applyNumberFormat="1" applyFont="1" applyFill="1" applyBorder="1"/>
    <xf numFmtId="3" fontId="15" fillId="0" borderId="24" xfId="1" applyNumberFormat="1" applyFont="1" applyFill="1" applyBorder="1" applyAlignment="1">
      <alignment vertical="center"/>
    </xf>
    <xf numFmtId="0" fontId="15" fillId="0" borderId="14" xfId="3" applyFont="1" applyFill="1" applyBorder="1" applyAlignment="1">
      <alignment vertical="center" wrapText="1"/>
    </xf>
    <xf numFmtId="0" fontId="15" fillId="0" borderId="15" xfId="3" applyFont="1" applyFill="1" applyBorder="1" applyAlignment="1">
      <alignment horizontal="center" vertical="center" wrapText="1"/>
    </xf>
    <xf numFmtId="3" fontId="15" fillId="0" borderId="0" xfId="1" applyNumberFormat="1" applyFont="1" applyFill="1" applyAlignment="1">
      <alignment vertical="center"/>
    </xf>
    <xf numFmtId="0" fontId="14" fillId="0" borderId="14" xfId="3" applyFont="1" applyFill="1" applyBorder="1" applyAlignment="1">
      <alignment vertical="center" wrapText="1"/>
    </xf>
    <xf numFmtId="3" fontId="14" fillId="0" borderId="5" xfId="1" applyNumberFormat="1" applyFont="1" applyFill="1" applyBorder="1" applyAlignment="1">
      <alignment vertical="center"/>
    </xf>
    <xf numFmtId="3" fontId="14" fillId="0" borderId="6" xfId="1" applyNumberFormat="1" applyFont="1" applyFill="1" applyBorder="1" applyAlignment="1">
      <alignment vertical="center"/>
    </xf>
    <xf numFmtId="3" fontId="14" fillId="0" borderId="7" xfId="1" applyNumberFormat="1" applyFont="1" applyFill="1" applyBorder="1" applyAlignment="1">
      <alignment vertical="center"/>
    </xf>
    <xf numFmtId="0" fontId="14" fillId="0" borderId="8" xfId="1" applyFont="1" applyFill="1" applyBorder="1" applyAlignment="1">
      <alignment vertical="center"/>
    </xf>
    <xf numFmtId="0" fontId="15" fillId="0" borderId="22" xfId="1" applyFont="1" applyFill="1" applyBorder="1" applyAlignment="1">
      <alignment horizontal="center" vertical="center"/>
    </xf>
    <xf numFmtId="49" fontId="14" fillId="0" borderId="24" xfId="1" applyNumberFormat="1" applyFont="1" applyFill="1" applyBorder="1" applyAlignment="1">
      <alignment horizontal="center" vertical="center"/>
    </xf>
    <xf numFmtId="3" fontId="15" fillId="0" borderId="22" xfId="1" applyNumberFormat="1" applyFont="1" applyFill="1" applyBorder="1" applyAlignment="1">
      <alignment vertical="center"/>
    </xf>
    <xf numFmtId="3" fontId="15" fillId="0" borderId="24" xfId="1" applyNumberFormat="1" applyFont="1" applyFill="1" applyBorder="1" applyAlignment="1">
      <alignment horizontal="right" vertical="center"/>
    </xf>
    <xf numFmtId="0" fontId="15" fillId="0" borderId="27" xfId="1" applyFont="1" applyFill="1" applyBorder="1" applyAlignment="1">
      <alignment wrapText="1"/>
    </xf>
    <xf numFmtId="0" fontId="15" fillId="0" borderId="28" xfId="1" applyFont="1" applyFill="1" applyBorder="1" applyAlignment="1">
      <alignment wrapText="1"/>
    </xf>
    <xf numFmtId="3" fontId="15" fillId="0" borderId="29" xfId="1" applyNumberFormat="1" applyFont="1" applyFill="1" applyBorder="1" applyAlignment="1">
      <alignment wrapText="1"/>
    </xf>
    <xf numFmtId="0" fontId="15" fillId="0" borderId="30" xfId="1" applyFont="1" applyFill="1" applyBorder="1" applyAlignment="1">
      <alignment wrapText="1"/>
    </xf>
    <xf numFmtId="3" fontId="15" fillId="0" borderId="31" xfId="1" applyNumberFormat="1" applyFont="1" applyFill="1" applyBorder="1" applyAlignment="1">
      <alignment wrapText="1"/>
    </xf>
    <xf numFmtId="0" fontId="15" fillId="0" borderId="29" xfId="1" applyFont="1" applyFill="1" applyBorder="1" applyAlignment="1">
      <alignment wrapText="1"/>
    </xf>
    <xf numFmtId="0" fontId="15" fillId="0" borderId="31" xfId="1" applyFont="1" applyFill="1" applyBorder="1" applyAlignment="1">
      <alignment wrapText="1"/>
    </xf>
    <xf numFmtId="0" fontId="15" fillId="0" borderId="4" xfId="1" applyFont="1" applyFill="1" applyBorder="1" applyAlignment="1">
      <alignment vertical="center"/>
    </xf>
    <xf numFmtId="0" fontId="15" fillId="0" borderId="0" xfId="4" applyFont="1" applyFill="1" applyBorder="1" applyAlignment="1">
      <alignment horizontal="left" wrapText="1"/>
    </xf>
    <xf numFmtId="0" fontId="14" fillId="0" borderId="13" xfId="4" applyFont="1" applyFill="1" applyBorder="1" applyAlignment="1">
      <alignment horizontal="right"/>
    </xf>
    <xf numFmtId="3" fontId="14" fillId="0" borderId="5" xfId="4" applyNumberFormat="1" applyFont="1" applyFill="1" applyBorder="1" applyAlignment="1">
      <alignment vertical="center"/>
    </xf>
    <xf numFmtId="3" fontId="14" fillId="0" borderId="6" xfId="4" applyNumberFormat="1" applyFont="1" applyFill="1" applyBorder="1" applyAlignment="1">
      <alignment vertical="center"/>
    </xf>
    <xf numFmtId="3" fontId="14" fillId="0" borderId="7" xfId="4" applyNumberFormat="1" applyFont="1" applyFill="1" applyBorder="1" applyAlignment="1">
      <alignment vertical="center"/>
    </xf>
    <xf numFmtId="3" fontId="14" fillId="0" borderId="5" xfId="4" applyNumberFormat="1" applyFont="1" applyFill="1" applyBorder="1" applyAlignment="1">
      <alignment horizontal="center" vertical="center"/>
    </xf>
    <xf numFmtId="3" fontId="14" fillId="0" borderId="7" xfId="4" applyNumberFormat="1" applyFont="1" applyFill="1" applyBorder="1" applyAlignment="1">
      <alignment horizontal="right" vertical="center"/>
    </xf>
    <xf numFmtId="0" fontId="15" fillId="0" borderId="23" xfId="1" applyFont="1" applyFill="1" applyBorder="1" applyAlignment="1">
      <alignment wrapText="1"/>
    </xf>
    <xf numFmtId="0" fontId="15" fillId="0" borderId="23" xfId="1" applyFont="1" applyFill="1" applyBorder="1" applyAlignment="1">
      <alignment horizontal="center" vertical="center"/>
    </xf>
    <xf numFmtId="3" fontId="15" fillId="0" borderId="23" xfId="1" applyNumberFormat="1" applyFont="1" applyFill="1" applyBorder="1" applyAlignment="1">
      <alignment vertical="center"/>
    </xf>
    <xf numFmtId="0" fontId="15" fillId="0" borderId="25" xfId="1" applyFont="1" applyFill="1" applyBorder="1" applyAlignment="1">
      <alignment vertical="center"/>
    </xf>
    <xf numFmtId="0" fontId="14" fillId="0" borderId="26" xfId="1" applyFont="1" applyFill="1" applyBorder="1" applyAlignment="1"/>
    <xf numFmtId="0" fontId="15" fillId="0" borderId="27" xfId="1" applyFont="1" applyFill="1" applyBorder="1" applyAlignment="1"/>
    <xf numFmtId="0" fontId="15" fillId="0" borderId="23" xfId="1" applyFont="1" applyFill="1" applyBorder="1" applyAlignment="1">
      <alignment vertical="center" wrapText="1"/>
    </xf>
    <xf numFmtId="3" fontId="14" fillId="0" borderId="23" xfId="1" applyNumberFormat="1" applyFont="1" applyFill="1" applyBorder="1" applyAlignment="1">
      <alignment horizontal="center" vertical="center"/>
    </xf>
    <xf numFmtId="3" fontId="15" fillId="0" borderId="22" xfId="1" applyNumberFormat="1" applyFont="1" applyFill="1" applyBorder="1" applyAlignment="1">
      <alignment horizontal="right" vertical="center"/>
    </xf>
    <xf numFmtId="0" fontId="15" fillId="0" borderId="0" xfId="1" applyFont="1"/>
    <xf numFmtId="0" fontId="15" fillId="0" borderId="0" xfId="1" applyFont="1" applyAlignment="1">
      <alignment vertical="center"/>
    </xf>
    <xf numFmtId="49" fontId="15" fillId="0" borderId="0" xfId="1" applyNumberFormat="1" applyFont="1" applyAlignment="1">
      <alignment vertical="center"/>
    </xf>
    <xf numFmtId="49" fontId="15" fillId="0" borderId="0" xfId="1" applyNumberFormat="1" applyFont="1" applyFill="1" applyAlignment="1">
      <alignment vertical="center"/>
    </xf>
    <xf numFmtId="0" fontId="15" fillId="0" borderId="0" xfId="1" applyFont="1" applyFill="1" applyAlignment="1">
      <alignment vertical="center"/>
    </xf>
    <xf numFmtId="0" fontId="15" fillId="0" borderId="0" xfId="1" applyFont="1" applyAlignment="1">
      <alignment horizontal="left" vertical="center"/>
    </xf>
    <xf numFmtId="0" fontId="15" fillId="0" borderId="0" xfId="1" applyFont="1" applyAlignment="1">
      <alignment horizontal="left" vertical="center" wrapText="1"/>
    </xf>
    <xf numFmtId="0" fontId="15" fillId="0" borderId="0" xfId="1" applyFont="1" applyAlignment="1">
      <alignment vertical="center" wrapText="1"/>
    </xf>
    <xf numFmtId="0" fontId="15" fillId="0" borderId="0" xfId="1" applyFont="1" applyFill="1" applyAlignment="1">
      <alignment horizontal="left" vertical="center"/>
    </xf>
    <xf numFmtId="0" fontId="15" fillId="0" borderId="0" xfId="2" applyFont="1" applyAlignment="1"/>
    <xf numFmtId="0" fontId="15" fillId="0" borderId="0" xfId="2" applyFont="1"/>
    <xf numFmtId="0" fontId="15" fillId="0" borderId="0" xfId="2" applyFont="1" applyAlignment="1">
      <alignment horizontal="left"/>
    </xf>
    <xf numFmtId="0" fontId="20" fillId="0" borderId="0" xfId="2" applyFont="1" applyAlignment="1"/>
    <xf numFmtId="49" fontId="14" fillId="3" borderId="0" xfId="2" applyNumberFormat="1" applyFont="1" applyFill="1" applyAlignment="1">
      <alignment horizontal="left"/>
    </xf>
    <xf numFmtId="0" fontId="15" fillId="0" borderId="6" xfId="2" applyFont="1" applyBorder="1" applyAlignment="1">
      <alignment horizontal="center" vertical="center" wrapText="1"/>
    </xf>
    <xf numFmtId="0" fontId="5" fillId="0" borderId="0" xfId="2" applyFont="1"/>
    <xf numFmtId="3" fontId="14" fillId="0" borderId="6" xfId="2" applyNumberFormat="1" applyFont="1" applyBorder="1" applyAlignment="1">
      <alignment wrapText="1"/>
    </xf>
    <xf numFmtId="0" fontId="18" fillId="0" borderId="6" xfId="2" applyFont="1" applyFill="1" applyBorder="1" applyAlignment="1" applyProtection="1">
      <alignment horizontal="left" vertical="center" wrapText="1"/>
      <protection locked="0"/>
    </xf>
    <xf numFmtId="0" fontId="15" fillId="0" borderId="0" xfId="2" applyFont="1" applyBorder="1" applyAlignment="1">
      <alignment wrapText="1"/>
    </xf>
    <xf numFmtId="0" fontId="19" fillId="0" borderId="6" xfId="2" applyFont="1" applyFill="1" applyBorder="1" applyAlignment="1" applyProtection="1">
      <alignment horizontal="left" vertical="center" wrapText="1"/>
      <protection locked="0"/>
    </xf>
    <xf numFmtId="3" fontId="18" fillId="0" borderId="6" xfId="2" applyNumberFormat="1" applyFont="1" applyFill="1" applyBorder="1" applyAlignment="1">
      <alignment horizontal="right" vertical="center"/>
    </xf>
    <xf numFmtId="3" fontId="18" fillId="0" borderId="6" xfId="2" applyNumberFormat="1" applyFont="1" applyFill="1" applyBorder="1" applyAlignment="1" applyProtection="1">
      <alignment vertical="center" wrapText="1"/>
      <protection locked="0"/>
    </xf>
    <xf numFmtId="3" fontId="15" fillId="0" borderId="0" xfId="2" applyNumberFormat="1" applyFont="1" applyBorder="1" applyAlignment="1">
      <alignment wrapText="1"/>
    </xf>
    <xf numFmtId="3" fontId="15" fillId="0" borderId="17" xfId="2" applyNumberFormat="1" applyFont="1" applyBorder="1" applyAlignment="1" applyProtection="1">
      <alignment horizontal="center" vertical="center" wrapText="1"/>
      <protection locked="0"/>
    </xf>
    <xf numFmtId="3" fontId="18" fillId="0" borderId="6" xfId="2" applyNumberFormat="1" applyFont="1" applyFill="1" applyBorder="1" applyAlignment="1" applyProtection="1">
      <alignment horizontal="right" vertical="center" wrapText="1"/>
      <protection locked="0"/>
    </xf>
    <xf numFmtId="0" fontId="15" fillId="0" borderId="0" xfId="2" applyFont="1" applyBorder="1"/>
    <xf numFmtId="3" fontId="14" fillId="3" borderId="6" xfId="2" applyNumberFormat="1" applyFont="1" applyFill="1" applyBorder="1" applyAlignment="1">
      <alignment wrapText="1"/>
    </xf>
    <xf numFmtId="0" fontId="18" fillId="0" borderId="0" xfId="2" applyFont="1" applyFill="1" applyBorder="1" applyAlignment="1" applyProtection="1">
      <alignment horizontal="left" vertical="center" wrapText="1"/>
      <protection locked="0"/>
    </xf>
    <xf numFmtId="3" fontId="15" fillId="0" borderId="0" xfId="2" applyNumberFormat="1" applyFont="1"/>
    <xf numFmtId="0" fontId="14" fillId="0" borderId="0" xfId="2" applyFont="1"/>
    <xf numFmtId="0" fontId="6" fillId="0" borderId="0" xfId="2" applyFont="1"/>
    <xf numFmtId="4" fontId="15" fillId="0" borderId="0" xfId="2" applyNumberFormat="1" applyFont="1" applyBorder="1" applyAlignment="1" applyProtection="1">
      <alignment horizontal="center" wrapText="1"/>
      <protection locked="0"/>
    </xf>
    <xf numFmtId="0" fontId="25" fillId="0" borderId="0" xfId="2" applyFont="1"/>
    <xf numFmtId="4" fontId="25" fillId="0" borderId="0" xfId="2" applyNumberFormat="1" applyFont="1" applyBorder="1" applyAlignment="1" applyProtection="1">
      <alignment horizontal="center" wrapText="1"/>
      <protection locked="0"/>
    </xf>
    <xf numFmtId="0" fontId="15" fillId="3" borderId="0" xfId="2" applyFont="1" applyFill="1"/>
    <xf numFmtId="0" fontId="15" fillId="0" borderId="0" xfId="2" applyFont="1" applyFill="1" applyBorder="1"/>
    <xf numFmtId="3" fontId="15" fillId="0" borderId="0" xfId="2" applyNumberFormat="1" applyFont="1" applyFill="1" applyBorder="1"/>
    <xf numFmtId="0" fontId="18" fillId="0" borderId="0" xfId="2" applyFont="1" applyFill="1" applyBorder="1"/>
    <xf numFmtId="0" fontId="15" fillId="0" borderId="0" xfId="2" applyFont="1" applyFill="1" applyBorder="1" applyProtection="1">
      <protection locked="0"/>
    </xf>
    <xf numFmtId="0" fontId="18" fillId="0" borderId="0" xfId="2" applyFont="1" applyFill="1" applyBorder="1" applyProtection="1">
      <protection locked="0"/>
    </xf>
    <xf numFmtId="0" fontId="25" fillId="0" borderId="0" xfId="2" applyFont="1" applyFill="1" applyBorder="1" applyProtection="1">
      <protection locked="0"/>
    </xf>
    <xf numFmtId="0" fontId="15" fillId="0" borderId="0" xfId="2" applyFont="1" applyFill="1" applyBorder="1" applyAlignment="1" applyProtection="1">
      <alignment horizontal="center"/>
      <protection locked="0"/>
    </xf>
    <xf numFmtId="3" fontId="15" fillId="0" borderId="0" xfId="2" applyNumberFormat="1" applyFont="1" applyFill="1" applyBorder="1" applyAlignment="1" applyProtection="1">
      <alignment horizontal="center"/>
      <protection locked="0"/>
    </xf>
    <xf numFmtId="3" fontId="15" fillId="0" borderId="0" xfId="2" applyNumberFormat="1" applyFont="1" applyFill="1" applyBorder="1" applyProtection="1">
      <protection locked="0"/>
    </xf>
    <xf numFmtId="4" fontId="15" fillId="0" borderId="0" xfId="2" applyNumberFormat="1" applyFont="1" applyFill="1" applyBorder="1" applyAlignment="1" applyProtection="1">
      <alignment horizontal="center" wrapText="1"/>
      <protection locked="0"/>
    </xf>
    <xf numFmtId="0" fontId="15" fillId="0" borderId="0" xfId="2" applyFont="1" applyFill="1"/>
    <xf numFmtId="0" fontId="15" fillId="0" borderId="0" xfId="2" applyFont="1" applyFill="1" applyAlignment="1"/>
    <xf numFmtId="3" fontId="15" fillId="0" borderId="0" xfId="2" applyNumberFormat="1" applyFont="1" applyFill="1" applyAlignment="1"/>
    <xf numFmtId="0" fontId="7" fillId="0" borderId="0" xfId="2" applyFont="1" applyAlignment="1">
      <alignment horizontal="center"/>
    </xf>
    <xf numFmtId="0" fontId="15" fillId="0" borderId="6" xfId="2" applyFont="1" applyBorder="1" applyAlignment="1" applyProtection="1">
      <alignment wrapText="1"/>
      <protection locked="0"/>
    </xf>
    <xf numFmtId="3" fontId="15" fillId="0" borderId="6" xfId="2" applyNumberFormat="1" applyFont="1" applyBorder="1" applyAlignment="1" applyProtection="1">
      <alignment vertical="center" wrapText="1"/>
      <protection locked="0"/>
    </xf>
    <xf numFmtId="3" fontId="14" fillId="0" borderId="6" xfId="2" applyNumberFormat="1" applyFont="1" applyBorder="1" applyAlignment="1" applyProtection="1">
      <alignment horizontal="center" vertical="center" wrapText="1"/>
      <protection locked="0"/>
    </xf>
    <xf numFmtId="0" fontId="15" fillId="0" borderId="6" xfId="2" applyFont="1" applyBorder="1" applyAlignment="1" applyProtection="1">
      <alignment horizontal="center" vertical="center" wrapText="1"/>
      <protection locked="0"/>
    </xf>
    <xf numFmtId="0" fontId="18" fillId="0" borderId="6" xfId="2" applyFont="1" applyBorder="1" applyAlignment="1" applyProtection="1">
      <alignment vertical="center" wrapText="1"/>
      <protection locked="0"/>
    </xf>
    <xf numFmtId="3" fontId="15" fillId="3" borderId="6" xfId="2" applyNumberFormat="1" applyFont="1" applyFill="1" applyBorder="1" applyAlignment="1" applyProtection="1">
      <alignment vertical="center" wrapText="1"/>
      <protection locked="0"/>
    </xf>
    <xf numFmtId="3" fontId="14" fillId="3" borderId="6" xfId="2" applyNumberFormat="1" applyFont="1" applyFill="1" applyBorder="1" applyAlignment="1" applyProtection="1">
      <alignment horizontal="center" vertical="center" wrapText="1"/>
      <protection locked="0"/>
    </xf>
    <xf numFmtId="0" fontId="15" fillId="3" borderId="6" xfId="2" applyFont="1" applyFill="1" applyBorder="1" applyAlignment="1" applyProtection="1">
      <alignment horizontal="center" vertical="center" wrapText="1"/>
      <protection locked="0"/>
    </xf>
    <xf numFmtId="0" fontId="18" fillId="3" borderId="6" xfId="2" applyFont="1" applyFill="1" applyBorder="1" applyAlignment="1" applyProtection="1">
      <alignment vertical="center" wrapText="1"/>
      <protection locked="0"/>
    </xf>
    <xf numFmtId="3" fontId="14" fillId="0" borderId="6" xfId="2" applyNumberFormat="1" applyFont="1" applyFill="1" applyBorder="1" applyAlignment="1" applyProtection="1">
      <alignment horizontal="center" vertical="center" wrapText="1"/>
      <protection locked="0"/>
    </xf>
    <xf numFmtId="0" fontId="22" fillId="0" borderId="6" xfId="2" applyFont="1" applyBorder="1" applyAlignment="1" applyProtection="1">
      <alignment horizontal="center" vertical="center" wrapText="1"/>
      <protection locked="0"/>
    </xf>
    <xf numFmtId="1" fontId="22" fillId="0" borderId="6" xfId="2" applyNumberFormat="1" applyFont="1" applyFill="1" applyBorder="1" applyAlignment="1">
      <alignment horizontal="center" vertical="center" wrapText="1"/>
    </xf>
    <xf numFmtId="1" fontId="18" fillId="0" borderId="6" xfId="2" applyNumberFormat="1" applyFont="1" applyFill="1" applyBorder="1" applyAlignment="1">
      <alignment vertical="center" wrapText="1"/>
    </xf>
    <xf numFmtId="0" fontId="15" fillId="0" borderId="6" xfId="2" applyFont="1" applyBorder="1" applyAlignment="1">
      <alignment vertical="center" wrapText="1"/>
    </xf>
    <xf numFmtId="0" fontId="22" fillId="0" borderId="6" xfId="2" applyFont="1" applyBorder="1" applyAlignment="1">
      <alignment horizontal="center" vertical="center" wrapText="1"/>
    </xf>
    <xf numFmtId="0" fontId="18" fillId="0" borderId="6" xfId="2" applyFont="1" applyBorder="1" applyAlignment="1">
      <alignment vertical="center" wrapText="1"/>
    </xf>
    <xf numFmtId="0" fontId="15" fillId="0" borderId="23" xfId="2" applyFont="1" applyBorder="1" applyAlignment="1">
      <alignment horizontal="right" vertical="center" wrapText="1"/>
    </xf>
    <xf numFmtId="0" fontId="15" fillId="0" borderId="23" xfId="2" applyFont="1" applyBorder="1" applyAlignment="1">
      <alignment horizontal="left" vertical="center" wrapText="1"/>
    </xf>
    <xf numFmtId="0" fontId="15" fillId="0" borderId="23" xfId="2" applyFont="1" applyBorder="1" applyAlignment="1">
      <alignment vertical="center" wrapText="1"/>
    </xf>
    <xf numFmtId="0" fontId="14" fillId="0" borderId="23" xfId="2" applyFont="1" applyBorder="1" applyAlignment="1">
      <alignment horizontal="center" vertical="center" wrapText="1"/>
    </xf>
    <xf numFmtId="0" fontId="22" fillId="0" borderId="23" xfId="2" applyFont="1" applyBorder="1" applyAlignment="1">
      <alignment horizontal="center" vertical="center" wrapText="1"/>
    </xf>
    <xf numFmtId="0" fontId="18" fillId="0" borderId="23" xfId="2" applyFont="1" applyBorder="1" applyAlignment="1">
      <alignment vertical="center" wrapText="1"/>
    </xf>
    <xf numFmtId="3" fontId="14" fillId="0" borderId="40" xfId="2" applyNumberFormat="1" applyFont="1" applyBorder="1"/>
    <xf numFmtId="0" fontId="17" fillId="0" borderId="40" xfId="2" applyFont="1" applyBorder="1"/>
    <xf numFmtId="0" fontId="17" fillId="0" borderId="0" xfId="2" applyFont="1"/>
    <xf numFmtId="0" fontId="14" fillId="0" borderId="0" xfId="2" applyFont="1" applyFill="1"/>
    <xf numFmtId="0" fontId="6" fillId="0" borderId="0" xfId="2" applyFont="1" applyFill="1"/>
    <xf numFmtId="0" fontId="29" fillId="0" borderId="0" xfId="2" applyFont="1" applyFill="1" applyBorder="1"/>
    <xf numFmtId="0" fontId="25" fillId="0" borderId="0" xfId="2" applyFont="1" applyFill="1"/>
    <xf numFmtId="0" fontId="15" fillId="0" borderId="0" xfId="2" applyFont="1" applyProtection="1">
      <protection locked="0"/>
    </xf>
    <xf numFmtId="0" fontId="6" fillId="0" borderId="0" xfId="2" applyFont="1" applyFill="1" applyBorder="1"/>
    <xf numFmtId="0" fontId="26" fillId="0" borderId="0" xfId="2" applyFont="1" applyFill="1"/>
    <xf numFmtId="0" fontId="26" fillId="0" borderId="0" xfId="2" applyFont="1" applyFill="1" applyBorder="1"/>
    <xf numFmtId="0" fontId="30" fillId="0" borderId="0" xfId="2" applyFont="1" applyFill="1"/>
    <xf numFmtId="0" fontId="31" fillId="0" borderId="0" xfId="2" applyFont="1" applyFill="1"/>
    <xf numFmtId="0" fontId="22" fillId="0" borderId="0" xfId="2" applyFont="1" applyFill="1"/>
    <xf numFmtId="0" fontId="32" fillId="0" borderId="0" xfId="2" applyFont="1" applyFill="1" applyAlignment="1"/>
    <xf numFmtId="0" fontId="32" fillId="0" borderId="0" xfId="2" applyFont="1" applyFill="1"/>
    <xf numFmtId="0" fontId="33" fillId="0" borderId="0" xfId="2" applyFont="1" applyFill="1"/>
    <xf numFmtId="0" fontId="34" fillId="0" borderId="0" xfId="2" applyFont="1" applyFill="1"/>
    <xf numFmtId="0" fontId="25" fillId="3" borderId="0" xfId="2" applyFont="1" applyFill="1"/>
    <xf numFmtId="0" fontId="15" fillId="0" borderId="0" xfId="2" applyFont="1" applyFill="1" applyProtection="1">
      <protection locked="0"/>
    </xf>
    <xf numFmtId="0" fontId="14" fillId="0" borderId="0" xfId="2" applyFont="1" applyFill="1" applyProtection="1">
      <protection locked="0"/>
    </xf>
    <xf numFmtId="0" fontId="15" fillId="0" borderId="0" xfId="5" applyFont="1" applyAlignment="1"/>
    <xf numFmtId="0" fontId="15" fillId="0" borderId="0" xfId="5" applyFont="1"/>
    <xf numFmtId="0" fontId="15" fillId="0" borderId="0" xfId="5" applyFont="1" applyAlignment="1">
      <alignment horizontal="left"/>
    </xf>
    <xf numFmtId="0" fontId="7" fillId="0" borderId="0" xfId="5" applyFont="1" applyAlignment="1">
      <alignment horizontal="center"/>
    </xf>
    <xf numFmtId="0" fontId="20" fillId="0" borderId="0" xfId="5" applyFont="1" applyAlignment="1"/>
    <xf numFmtId="0" fontId="15" fillId="0" borderId="0" xfId="2" applyFont="1" applyFill="1" applyBorder="1" applyAlignment="1">
      <alignment vertical="center"/>
    </xf>
    <xf numFmtId="0" fontId="14" fillId="0" borderId="0" xfId="5" applyFont="1" applyAlignment="1"/>
    <xf numFmtId="0" fontId="5" fillId="0" borderId="0" xfId="5" applyFont="1"/>
    <xf numFmtId="0" fontId="15" fillId="0" borderId="6" xfId="5" applyFont="1" applyBorder="1" applyAlignment="1">
      <alignment horizontal="center" vertical="center" wrapText="1"/>
    </xf>
    <xf numFmtId="0" fontId="15" fillId="0" borderId="14" xfId="5" applyFont="1" applyBorder="1" applyAlignment="1">
      <alignment horizontal="center" vertical="center" wrapText="1"/>
    </xf>
    <xf numFmtId="3" fontId="14" fillId="0" borderId="6" xfId="5" applyNumberFormat="1" applyFont="1" applyBorder="1" applyAlignment="1">
      <alignment wrapText="1"/>
    </xf>
    <xf numFmtId="0" fontId="15" fillId="0" borderId="6" xfId="5" applyFont="1" applyBorder="1" applyAlignment="1" applyProtection="1">
      <alignment wrapText="1"/>
      <protection locked="0"/>
    </xf>
    <xf numFmtId="3" fontId="15" fillId="0" borderId="6" xfId="5" applyNumberFormat="1" applyFont="1" applyBorder="1" applyAlignment="1" applyProtection="1">
      <alignment horizontal="center" vertical="center" wrapText="1"/>
      <protection locked="0"/>
    </xf>
    <xf numFmtId="3" fontId="14" fillId="0" borderId="6" xfId="5" applyNumberFormat="1" applyFont="1" applyBorder="1" applyAlignment="1" applyProtection="1">
      <alignment horizontal="center" vertical="center" wrapText="1"/>
      <protection locked="0"/>
    </xf>
    <xf numFmtId="0" fontId="15" fillId="0" borderId="6" xfId="5" applyFont="1" applyFill="1" applyBorder="1" applyAlignment="1" applyProtection="1">
      <alignment horizontal="justify" vertical="center" wrapText="1"/>
      <protection locked="0"/>
    </xf>
    <xf numFmtId="0" fontId="15" fillId="0" borderId="6" xfId="5" applyFont="1" applyBorder="1" applyAlignment="1" applyProtection="1">
      <alignment horizontal="center" vertical="center" wrapText="1"/>
      <protection locked="0"/>
    </xf>
    <xf numFmtId="3" fontId="14" fillId="0" borderId="6" xfId="5" applyNumberFormat="1" applyFont="1" applyFill="1" applyBorder="1" applyAlignment="1" applyProtection="1">
      <alignment horizontal="center" vertical="center" wrapText="1"/>
      <protection locked="0"/>
    </xf>
    <xf numFmtId="3" fontId="15" fillId="0" borderId="6" xfId="5" applyNumberFormat="1" applyFont="1" applyFill="1" applyBorder="1" applyAlignment="1" applyProtection="1">
      <alignment horizontal="center" vertical="center" wrapText="1"/>
      <protection locked="0"/>
    </xf>
    <xf numFmtId="0" fontId="15" fillId="0" borderId="6" xfId="5" applyFont="1" applyFill="1" applyBorder="1" applyAlignment="1" applyProtection="1">
      <alignment horizontal="justify" wrapText="1"/>
      <protection locked="0"/>
    </xf>
    <xf numFmtId="3" fontId="15" fillId="0" borderId="0" xfId="5" applyNumberFormat="1" applyFont="1" applyAlignment="1">
      <alignment horizontal="center" vertical="center"/>
    </xf>
    <xf numFmtId="0" fontId="15" fillId="0" borderId="0" xfId="5" applyFont="1" applyAlignment="1">
      <alignment horizontal="center" vertical="center"/>
    </xf>
    <xf numFmtId="3" fontId="14" fillId="0" borderId="40" xfId="5" applyNumberFormat="1" applyFont="1" applyBorder="1" applyAlignment="1">
      <alignment horizontal="center" vertical="center"/>
    </xf>
    <xf numFmtId="0" fontId="15" fillId="0" borderId="40" xfId="5" applyFont="1" applyBorder="1"/>
    <xf numFmtId="0" fontId="15" fillId="0" borderId="0" xfId="5" applyFont="1" applyAlignment="1">
      <alignment horizontal="left" vertical="center"/>
    </xf>
    <xf numFmtId="0" fontId="14" fillId="0" borderId="0" xfId="5" applyFont="1" applyAlignment="1">
      <alignment horizontal="left" vertical="center"/>
    </xf>
    <xf numFmtId="0" fontId="15" fillId="0" borderId="0" xfId="5" applyFont="1" applyProtection="1">
      <protection locked="0"/>
    </xf>
    <xf numFmtId="0" fontId="14" fillId="0" borderId="0" xfId="5" applyFont="1"/>
    <xf numFmtId="0" fontId="35" fillId="0" borderId="0" xfId="5" applyFont="1"/>
    <xf numFmtId="49" fontId="14" fillId="0" borderId="0" xfId="5" applyNumberFormat="1" applyFont="1" applyAlignment="1"/>
    <xf numFmtId="3" fontId="15" fillId="0" borderId="6" xfId="5" applyNumberFormat="1" applyFont="1" applyBorder="1" applyAlignment="1" applyProtection="1">
      <alignment vertical="center" wrapText="1"/>
      <protection locked="0"/>
    </xf>
    <xf numFmtId="0" fontId="15" fillId="0" borderId="6" xfId="5" applyFont="1" applyBorder="1" applyAlignment="1" applyProtection="1">
      <alignment horizontal="left" vertical="center" wrapText="1"/>
      <protection locked="0"/>
    </xf>
    <xf numFmtId="0" fontId="15" fillId="0" borderId="0" xfId="5" applyFont="1" applyAlignment="1">
      <alignment vertical="center"/>
    </xf>
    <xf numFmtId="3" fontId="14" fillId="0" borderId="0" xfId="5" applyNumberFormat="1" applyFont="1" applyAlignment="1">
      <alignment horizontal="center" vertical="center"/>
    </xf>
    <xf numFmtId="0" fontId="15" fillId="0" borderId="17" xfId="5" applyFont="1" applyBorder="1" applyAlignment="1" applyProtection="1">
      <alignment horizontal="center" vertical="center" wrapText="1"/>
      <protection locked="0"/>
    </xf>
    <xf numFmtId="0" fontId="15" fillId="0" borderId="17" xfId="5" applyFont="1" applyBorder="1" applyAlignment="1" applyProtection="1">
      <alignment vertical="center" wrapText="1"/>
      <protection locked="0"/>
    </xf>
    <xf numFmtId="3" fontId="15" fillId="0" borderId="6" xfId="5" applyNumberFormat="1" applyFont="1" applyFill="1" applyBorder="1" applyAlignment="1" applyProtection="1">
      <alignment vertical="center" wrapText="1"/>
      <protection locked="0"/>
    </xf>
    <xf numFmtId="0" fontId="15" fillId="0" borderId="6" xfId="5" applyFont="1" applyBorder="1" applyAlignment="1" applyProtection="1">
      <alignment vertical="center" wrapText="1"/>
      <protection locked="0"/>
    </xf>
    <xf numFmtId="3" fontId="14" fillId="0" borderId="40" xfId="5" applyNumberFormat="1" applyFont="1" applyBorder="1"/>
    <xf numFmtId="1" fontId="14" fillId="0" borderId="40" xfId="5" applyNumberFormat="1" applyFont="1" applyBorder="1"/>
    <xf numFmtId="0" fontId="19" fillId="0" borderId="0" xfId="5" applyFont="1"/>
    <xf numFmtId="0" fontId="15" fillId="0" borderId="0" xfId="5" applyFont="1" applyAlignment="1">
      <alignment horizontal="center"/>
    </xf>
    <xf numFmtId="0" fontId="14" fillId="0" borderId="0" xfId="5" applyFont="1" applyAlignment="1">
      <alignment vertical="center"/>
    </xf>
    <xf numFmtId="0" fontId="19" fillId="0" borderId="0" xfId="5" applyFont="1" applyFill="1"/>
    <xf numFmtId="0" fontId="14" fillId="0" borderId="0" xfId="5" applyFont="1" applyFill="1"/>
    <xf numFmtId="0" fontId="15" fillId="0" borderId="0" xfId="5" applyFont="1" applyFill="1"/>
    <xf numFmtId="0" fontId="15" fillId="0" borderId="0" xfId="5" applyFont="1" applyFill="1" applyBorder="1"/>
    <xf numFmtId="0" fontId="15" fillId="0" borderId="0" xfId="5" applyFont="1" applyFill="1" applyBorder="1" applyAlignment="1"/>
    <xf numFmtId="0" fontId="15" fillId="0" borderId="0" xfId="5" applyFont="1" applyFill="1" applyBorder="1" applyAlignment="1" applyProtection="1">
      <alignment horizontal="left" wrapText="1"/>
      <protection locked="0"/>
    </xf>
    <xf numFmtId="0" fontId="15" fillId="0" borderId="0" xfId="5" applyFont="1" applyFill="1" applyBorder="1" applyAlignment="1" applyProtection="1">
      <alignment horizontal="center" wrapText="1"/>
      <protection locked="0"/>
    </xf>
    <xf numFmtId="0" fontId="7" fillId="0" borderId="0" xfId="5" applyFont="1" applyFill="1" applyAlignment="1"/>
    <xf numFmtId="0" fontId="7" fillId="0" borderId="0" xfId="5" applyFont="1" applyFill="1" applyBorder="1" applyAlignment="1">
      <alignment horizontal="center"/>
    </xf>
    <xf numFmtId="0" fontId="15" fillId="0" borderId="41" xfId="5" applyFont="1" applyFill="1" applyBorder="1"/>
    <xf numFmtId="0" fontId="15" fillId="0" borderId="6" xfId="5" applyFont="1" applyFill="1" applyBorder="1" applyAlignment="1">
      <alignment horizontal="center" vertical="center" wrapText="1"/>
    </xf>
    <xf numFmtId="3" fontId="14" fillId="0" borderId="6" xfId="5" applyNumberFormat="1" applyFont="1" applyFill="1" applyBorder="1" applyAlignment="1">
      <alignment horizontal="right" vertical="center" wrapText="1"/>
    </xf>
    <xf numFmtId="0" fontId="14" fillId="0" borderId="6" xfId="5" applyFont="1" applyFill="1" applyBorder="1" applyAlignment="1">
      <alignment horizontal="right" vertical="center" wrapText="1"/>
    </xf>
    <xf numFmtId="3" fontId="14" fillId="0" borderId="6" xfId="5" applyNumberFormat="1" applyFont="1" applyFill="1" applyBorder="1" applyAlignment="1">
      <alignment vertical="center" wrapText="1"/>
    </xf>
    <xf numFmtId="0" fontId="15" fillId="0" borderId="6" xfId="5" applyFont="1" applyFill="1" applyBorder="1" applyAlignment="1" applyProtection="1">
      <alignment horizontal="center" vertical="center" wrapText="1"/>
      <protection locked="0"/>
    </xf>
    <xf numFmtId="0" fontId="15" fillId="0" borderId="6" xfId="5" applyFont="1" applyFill="1" applyBorder="1" applyAlignment="1" applyProtection="1">
      <alignment horizontal="left" vertical="center" wrapText="1"/>
      <protection locked="0"/>
    </xf>
    <xf numFmtId="3" fontId="15" fillId="0" borderId="6" xfId="5" applyNumberFormat="1" applyFont="1" applyFill="1" applyBorder="1" applyAlignment="1" applyProtection="1">
      <alignment horizontal="right" vertical="center" wrapText="1"/>
      <protection locked="0"/>
    </xf>
    <xf numFmtId="0" fontId="15" fillId="0" borderId="6" xfId="5" applyFont="1" applyFill="1" applyBorder="1" applyAlignment="1" applyProtection="1">
      <alignment horizontal="right" vertical="center" wrapText="1"/>
      <protection locked="0"/>
    </xf>
    <xf numFmtId="3" fontId="15" fillId="0" borderId="6" xfId="5" applyNumberFormat="1" applyFont="1" applyFill="1" applyBorder="1" applyAlignment="1" applyProtection="1">
      <alignment horizontal="right" vertical="center"/>
      <protection locked="0"/>
    </xf>
    <xf numFmtId="3" fontId="15" fillId="0" borderId="6" xfId="5" applyNumberFormat="1" applyFont="1" applyFill="1" applyBorder="1" applyAlignment="1" applyProtection="1">
      <alignment horizontal="left" vertical="center" wrapText="1"/>
      <protection locked="0"/>
    </xf>
    <xf numFmtId="0" fontId="15" fillId="0" borderId="6" xfId="6" applyFont="1" applyFill="1" applyBorder="1" applyAlignment="1" applyProtection="1">
      <alignment vertical="center" wrapText="1"/>
      <protection locked="0"/>
    </xf>
    <xf numFmtId="0" fontId="15" fillId="0" borderId="6" xfId="5" applyFont="1" applyFill="1" applyBorder="1" applyAlignment="1" applyProtection="1">
      <alignment vertical="center" wrapText="1"/>
      <protection locked="0"/>
    </xf>
    <xf numFmtId="0" fontId="15" fillId="0" borderId="6" xfId="6" applyFont="1" applyFill="1" applyBorder="1" applyAlignment="1" applyProtection="1">
      <alignment horizontal="left" vertical="center" wrapText="1"/>
      <protection locked="0"/>
    </xf>
    <xf numFmtId="0" fontId="15" fillId="0" borderId="0" xfId="5" applyFont="1" applyFill="1" applyBorder="1" applyAlignment="1" applyProtection="1">
      <alignment horizontal="center" vertical="center" wrapText="1"/>
      <protection locked="0"/>
    </xf>
    <xf numFmtId="0" fontId="15" fillId="0" borderId="0" xfId="5" applyFont="1" applyFill="1" applyBorder="1" applyAlignment="1" applyProtection="1">
      <alignment horizontal="left" vertical="center" wrapText="1"/>
      <protection locked="0"/>
    </xf>
    <xf numFmtId="3" fontId="15" fillId="0" borderId="0" xfId="5" applyNumberFormat="1" applyFont="1" applyFill="1" applyBorder="1" applyAlignment="1" applyProtection="1">
      <alignment horizontal="center" vertical="center" wrapText="1"/>
      <protection locked="0"/>
    </xf>
    <xf numFmtId="3" fontId="15" fillId="0" borderId="0" xfId="5" applyNumberFormat="1" applyFont="1" applyFill="1" applyBorder="1" applyAlignment="1" applyProtection="1">
      <alignment wrapText="1"/>
      <protection locked="0"/>
    </xf>
    <xf numFmtId="3" fontId="15" fillId="0" borderId="0" xfId="5" applyNumberFormat="1" applyFont="1" applyFill="1" applyBorder="1" applyAlignment="1" applyProtection="1">
      <alignment horizontal="left" vertical="center" wrapText="1"/>
      <protection locked="0"/>
    </xf>
    <xf numFmtId="3" fontId="15" fillId="0" borderId="0" xfId="5" applyNumberFormat="1" applyFont="1" applyFill="1" applyBorder="1"/>
    <xf numFmtId="3" fontId="15" fillId="0" borderId="0" xfId="5" applyNumberFormat="1" applyFont="1" applyFill="1" applyBorder="1" applyAlignment="1" applyProtection="1">
      <alignment vertical="center" wrapText="1"/>
      <protection locked="0"/>
    </xf>
    <xf numFmtId="0" fontId="15" fillId="0" borderId="41" xfId="5" applyFont="1" applyFill="1" applyBorder="1" applyAlignment="1" applyProtection="1">
      <alignment vertical="center" wrapText="1"/>
      <protection locked="0"/>
    </xf>
    <xf numFmtId="3" fontId="15" fillId="0" borderId="0" xfId="5" applyNumberFormat="1" applyFont="1" applyFill="1" applyBorder="1" applyAlignment="1" applyProtection="1">
      <alignment horizontal="right" vertical="center" wrapText="1"/>
      <protection locked="0"/>
    </xf>
    <xf numFmtId="3" fontId="14" fillId="0" borderId="0" xfId="5" applyNumberFormat="1" applyFont="1" applyFill="1" applyBorder="1" applyAlignment="1" applyProtection="1">
      <alignment horizontal="center" vertical="center" wrapText="1"/>
      <protection locked="0"/>
    </xf>
    <xf numFmtId="0" fontId="15" fillId="0" borderId="0" xfId="5" applyFont="1" applyFill="1" applyBorder="1" applyAlignment="1" applyProtection="1">
      <alignment vertical="center" wrapText="1"/>
      <protection locked="0"/>
    </xf>
    <xf numFmtId="0" fontId="15" fillId="0" borderId="0" xfId="5" applyFont="1" applyFill="1" applyAlignment="1"/>
    <xf numFmtId="0" fontId="15" fillId="0" borderId="6" xfId="5" applyFont="1" applyFill="1" applyBorder="1" applyAlignment="1">
      <alignment vertical="center" wrapText="1"/>
    </xf>
    <xf numFmtId="3" fontId="15" fillId="0" borderId="6" xfId="5" applyNumberFormat="1" applyFont="1" applyFill="1" applyBorder="1" applyAlignment="1">
      <alignment vertical="center" wrapText="1"/>
    </xf>
    <xf numFmtId="0" fontId="15" fillId="0" borderId="0" xfId="5" applyFont="1" applyFill="1" applyBorder="1" applyAlignment="1">
      <alignment vertical="center"/>
    </xf>
    <xf numFmtId="3" fontId="15" fillId="0" borderId="6" xfId="5" applyNumberFormat="1" applyFont="1" applyFill="1" applyBorder="1" applyAlignment="1">
      <alignment horizontal="right" vertical="center" wrapText="1"/>
    </xf>
    <xf numFmtId="0" fontId="15" fillId="0" borderId="0" xfId="5" applyFont="1" applyFill="1" applyBorder="1" applyAlignment="1">
      <alignment wrapText="1"/>
    </xf>
    <xf numFmtId="3" fontId="15" fillId="0" borderId="6" xfId="5" applyNumberFormat="1" applyFont="1" applyFill="1" applyBorder="1" applyAlignment="1" applyProtection="1">
      <alignment vertical="center"/>
      <protection locked="0"/>
    </xf>
    <xf numFmtId="0" fontId="15" fillId="0" borderId="6" xfId="5" applyFont="1" applyFill="1" applyBorder="1" applyAlignment="1" applyProtection="1">
      <alignment horizontal="center" vertical="center"/>
      <protection locked="0"/>
    </xf>
    <xf numFmtId="3" fontId="14" fillId="0" borderId="6" xfId="5" applyNumberFormat="1" applyFont="1" applyFill="1" applyBorder="1" applyAlignment="1" applyProtection="1">
      <alignment horizontal="center" vertical="center"/>
      <protection locked="0"/>
    </xf>
    <xf numFmtId="0" fontId="15" fillId="0" borderId="0" xfId="5" applyFont="1" applyFill="1" applyBorder="1" applyAlignment="1" applyProtection="1">
      <alignment horizontal="center" vertical="center"/>
      <protection locked="0"/>
    </xf>
    <xf numFmtId="3" fontId="15" fillId="0" borderId="0" xfId="5" applyNumberFormat="1" applyFont="1" applyFill="1" applyBorder="1" applyAlignment="1" applyProtection="1">
      <alignment vertical="center"/>
      <protection locked="0"/>
    </xf>
    <xf numFmtId="0" fontId="15" fillId="0" borderId="0" xfId="5" applyFont="1" applyFill="1" applyBorder="1" applyAlignment="1">
      <alignment vertical="center" wrapText="1"/>
    </xf>
    <xf numFmtId="3" fontId="14" fillId="0" borderId="0" xfId="5" applyNumberFormat="1" applyFont="1" applyFill="1" applyBorder="1" applyAlignment="1" applyProtection="1">
      <alignment horizontal="right" vertical="center"/>
      <protection locked="0"/>
    </xf>
    <xf numFmtId="3" fontId="15" fillId="0" borderId="0" xfId="5" applyNumberFormat="1" applyFont="1" applyFill="1" applyBorder="1" applyAlignment="1">
      <alignment horizontal="right" vertical="center" wrapText="1"/>
    </xf>
    <xf numFmtId="3" fontId="14" fillId="0" borderId="0" xfId="5" applyNumberFormat="1" applyFont="1" applyFill="1" applyBorder="1" applyAlignment="1">
      <alignment horizontal="right" vertical="center" wrapText="1"/>
    </xf>
    <xf numFmtId="0" fontId="15" fillId="0" borderId="0" xfId="5" applyFont="1" applyFill="1" applyAlignment="1">
      <alignment vertical="center"/>
    </xf>
    <xf numFmtId="0" fontId="15" fillId="0" borderId="0" xfId="5" applyFont="1" applyFill="1" applyAlignment="1">
      <alignment horizontal="center" vertical="center"/>
    </xf>
    <xf numFmtId="0" fontId="15" fillId="0" borderId="0" xfId="5" applyFont="1" applyFill="1" applyAlignment="1">
      <alignment horizontal="right" vertical="center"/>
    </xf>
    <xf numFmtId="0" fontId="15" fillId="0" borderId="0" xfId="5" applyFont="1" applyFill="1" applyBorder="1" applyAlignment="1" applyProtection="1">
      <alignment wrapText="1"/>
      <protection locked="0"/>
    </xf>
    <xf numFmtId="0" fontId="15" fillId="0" borderId="0" xfId="5" applyFont="1" applyFill="1" applyBorder="1" applyProtection="1">
      <protection locked="0"/>
    </xf>
    <xf numFmtId="0" fontId="14" fillId="0" borderId="0" xfId="5" applyFont="1" applyFill="1" applyAlignment="1">
      <alignment vertical="center"/>
    </xf>
    <xf numFmtId="0" fontId="15" fillId="0" borderId="0" xfId="5" applyFont="1" applyFill="1" applyProtection="1">
      <protection locked="0"/>
    </xf>
    <xf numFmtId="0" fontId="15" fillId="0" borderId="0" xfId="5" applyFont="1" applyFill="1" applyAlignment="1" applyProtection="1">
      <alignment horizontal="center" vertical="center"/>
      <protection locked="0"/>
    </xf>
    <xf numFmtId="0" fontId="15" fillId="0" borderId="0" xfId="5" applyFont="1" applyFill="1" applyAlignment="1" applyProtection="1">
      <alignment horizontal="right" vertical="center"/>
      <protection locked="0"/>
    </xf>
    <xf numFmtId="0" fontId="15" fillId="0" borderId="0" xfId="5" applyFont="1" applyFill="1" applyAlignment="1" applyProtection="1">
      <alignment vertical="center"/>
      <protection locked="0"/>
    </xf>
    <xf numFmtId="0" fontId="15" fillId="0" borderId="0" xfId="2" applyFont="1" applyFill="1" applyAlignment="1">
      <alignment vertical="center"/>
    </xf>
    <xf numFmtId="0" fontId="15" fillId="0" borderId="0" xfId="5" applyFont="1" applyFill="1" applyAlignment="1">
      <alignment horizontal="left" vertical="center"/>
    </xf>
    <xf numFmtId="0" fontId="14" fillId="0" borderId="0" xfId="5" applyFont="1" applyFill="1" applyAlignment="1">
      <alignment horizontal="left" vertical="center"/>
    </xf>
    <xf numFmtId="0" fontId="15" fillId="0" borderId="0" xfId="5" applyFont="1" applyFill="1" applyBorder="1" applyAlignment="1" applyProtection="1">
      <alignment horizontal="left" vertical="center"/>
      <protection locked="0"/>
    </xf>
    <xf numFmtId="0" fontId="15" fillId="0" borderId="0" xfId="5" applyFont="1" applyFill="1" applyBorder="1" applyAlignment="1">
      <alignment horizontal="left" vertical="center" wrapText="1"/>
    </xf>
    <xf numFmtId="0" fontId="14" fillId="0" borderId="0" xfId="5" applyFont="1" applyFill="1" applyBorder="1" applyAlignment="1" applyProtection="1">
      <alignment horizontal="left" vertical="center"/>
      <protection locked="0"/>
    </xf>
    <xf numFmtId="0" fontId="22" fillId="0" borderId="0" xfId="5" applyFont="1" applyFill="1" applyAlignment="1">
      <alignment horizontal="left" vertical="center" wrapText="1"/>
    </xf>
    <xf numFmtId="0" fontId="23" fillId="0" borderId="0" xfId="5" applyFont="1" applyFill="1" applyAlignment="1">
      <alignment horizontal="left" vertical="center"/>
    </xf>
    <xf numFmtId="0" fontId="22" fillId="0" borderId="0" xfId="5" applyFont="1" applyFill="1" applyAlignment="1">
      <alignment horizontal="left" vertical="center"/>
    </xf>
    <xf numFmtId="0" fontId="15" fillId="0" borderId="0" xfId="5" applyFont="1" applyFill="1" applyBorder="1" applyAlignment="1">
      <alignment horizontal="left" vertical="center"/>
    </xf>
    <xf numFmtId="3" fontId="22" fillId="0" borderId="6" xfId="5" applyNumberFormat="1" applyFont="1" applyBorder="1" applyAlignment="1" applyProtection="1">
      <alignment horizontal="center" vertical="center" wrapText="1"/>
      <protection locked="0"/>
    </xf>
    <xf numFmtId="3" fontId="22" fillId="3" borderId="6" xfId="2" applyNumberFormat="1" applyFont="1" applyFill="1" applyBorder="1" applyAlignment="1" applyProtection="1">
      <alignment horizontal="center" vertical="center" wrapText="1"/>
      <protection locked="0"/>
    </xf>
    <xf numFmtId="0" fontId="15" fillId="0" borderId="0" xfId="5" applyFont="1" applyBorder="1" applyAlignment="1">
      <alignment wrapText="1"/>
    </xf>
    <xf numFmtId="3" fontId="15" fillId="0" borderId="0" xfId="5" applyNumberFormat="1" applyFont="1" applyBorder="1" applyAlignment="1">
      <alignment wrapText="1"/>
    </xf>
    <xf numFmtId="3" fontId="15" fillId="0" borderId="0" xfId="5" applyNumberFormat="1" applyFont="1"/>
    <xf numFmtId="0" fontId="23" fillId="0" borderId="0" xfId="2" applyFont="1" applyFill="1" applyAlignment="1">
      <alignment vertical="center"/>
    </xf>
    <xf numFmtId="0" fontId="22" fillId="0" borderId="0" xfId="2" applyFont="1" applyAlignment="1">
      <alignment vertical="center"/>
    </xf>
    <xf numFmtId="0" fontId="22" fillId="0" borderId="0" xfId="2" applyFont="1" applyFill="1" applyAlignment="1">
      <alignment vertical="center"/>
    </xf>
    <xf numFmtId="0" fontId="22" fillId="0" borderId="0" xfId="5" applyFont="1" applyFill="1" applyAlignment="1">
      <alignment vertical="center"/>
    </xf>
    <xf numFmtId="0" fontId="23" fillId="0" borderId="0" xfId="2" applyFont="1" applyFill="1" applyAlignment="1">
      <alignment horizontal="left" vertical="center"/>
    </xf>
    <xf numFmtId="0" fontId="15" fillId="0" borderId="0" xfId="5" applyFont="1" applyFill="1" applyAlignment="1">
      <alignment horizontal="left"/>
    </xf>
    <xf numFmtId="0" fontId="20" fillId="0" borderId="0" xfId="5" applyFont="1" applyFill="1" applyAlignment="1"/>
    <xf numFmtId="0" fontId="15" fillId="0" borderId="34" xfId="5" applyFont="1" applyFill="1" applyBorder="1" applyAlignment="1">
      <alignment horizontal="center" vertical="center"/>
    </xf>
    <xf numFmtId="0" fontId="15" fillId="0" borderId="0" xfId="5" applyFont="1" applyBorder="1"/>
    <xf numFmtId="3" fontId="15" fillId="0" borderId="6" xfId="5" applyNumberFormat="1" applyFont="1" applyFill="1" applyBorder="1" applyAlignment="1">
      <alignment horizontal="center" wrapText="1"/>
    </xf>
    <xf numFmtId="0" fontId="15" fillId="0" borderId="6" xfId="5" applyFont="1" applyFill="1" applyBorder="1" applyAlignment="1" applyProtection="1">
      <alignment wrapText="1"/>
      <protection locked="0"/>
    </xf>
    <xf numFmtId="0" fontId="15" fillId="0" borderId="14" xfId="5" applyFont="1" applyFill="1" applyBorder="1" applyAlignment="1" applyProtection="1">
      <alignment horizontal="left" vertical="center" wrapText="1"/>
      <protection locked="0"/>
    </xf>
    <xf numFmtId="3" fontId="14" fillId="0" borderId="6" xfId="5" applyNumberFormat="1" applyFont="1" applyFill="1" applyBorder="1" applyAlignment="1" applyProtection="1">
      <alignment vertical="center" wrapText="1"/>
      <protection locked="0"/>
    </xf>
    <xf numFmtId="3" fontId="15" fillId="0" borderId="6" xfId="5" applyNumberFormat="1" applyFont="1" applyFill="1" applyBorder="1" applyAlignment="1">
      <alignment horizontal="center" vertical="center" wrapText="1"/>
    </xf>
    <xf numFmtId="0" fontId="15" fillId="0" borderId="34" xfId="5" applyFont="1" applyFill="1" applyBorder="1" applyAlignment="1">
      <alignment horizontal="center" vertical="center" wrapText="1"/>
    </xf>
    <xf numFmtId="3" fontId="15" fillId="0" borderId="0" xfId="5" applyNumberFormat="1" applyFont="1" applyFill="1" applyBorder="1" applyAlignment="1">
      <alignment horizontal="center" vertical="center"/>
    </xf>
    <xf numFmtId="0" fontId="25" fillId="0" borderId="6" xfId="5" applyFont="1" applyFill="1" applyBorder="1" applyAlignment="1" applyProtection="1">
      <alignment vertical="center" wrapText="1"/>
      <protection locked="0"/>
    </xf>
    <xf numFmtId="0" fontId="17" fillId="0" borderId="34" xfId="5" applyFont="1" applyFill="1" applyBorder="1" applyAlignment="1">
      <alignment horizontal="center" vertical="center" wrapText="1"/>
    </xf>
    <xf numFmtId="0" fontId="15" fillId="0" borderId="6" xfId="5" quotePrefix="1" applyFont="1" applyFill="1" applyBorder="1" applyAlignment="1" applyProtection="1">
      <alignment vertical="center" wrapText="1"/>
      <protection locked="0"/>
    </xf>
    <xf numFmtId="0" fontId="14" fillId="0" borderId="6" xfId="5" applyFont="1" applyFill="1" applyBorder="1" applyAlignment="1" applyProtection="1">
      <alignment vertical="center" wrapText="1"/>
      <protection locked="0"/>
    </xf>
    <xf numFmtId="3" fontId="15" fillId="0" borderId="6" xfId="5" applyNumberFormat="1" applyFont="1" applyFill="1" applyBorder="1" applyAlignment="1" applyProtection="1">
      <alignment horizontal="left" vertical="center"/>
      <protection locked="0"/>
    </xf>
    <xf numFmtId="3" fontId="14" fillId="0" borderId="6" xfId="5" applyNumberFormat="1" applyFont="1" applyFill="1" applyBorder="1" applyAlignment="1" applyProtection="1">
      <alignment horizontal="right" vertical="center"/>
      <protection locked="0"/>
    </xf>
    <xf numFmtId="3" fontId="15" fillId="0" borderId="6" xfId="5" applyNumberFormat="1" applyFont="1" applyFill="1" applyBorder="1" applyAlignment="1" applyProtection="1">
      <alignment wrapText="1"/>
      <protection locked="0"/>
    </xf>
    <xf numFmtId="3" fontId="14" fillId="0" borderId="6" xfId="5" applyNumberFormat="1" applyFont="1" applyFill="1" applyBorder="1" applyAlignment="1" applyProtection="1">
      <alignment wrapText="1"/>
      <protection locked="0"/>
    </xf>
    <xf numFmtId="0" fontId="15" fillId="0" borderId="0" xfId="5" applyFont="1" applyFill="1" applyAlignment="1">
      <alignment horizontal="center" vertical="center" wrapText="1"/>
    </xf>
    <xf numFmtId="3" fontId="15" fillId="0" borderId="0" xfId="5" applyNumberFormat="1" applyFont="1" applyFill="1" applyAlignment="1">
      <alignment horizontal="center" vertical="center"/>
    </xf>
    <xf numFmtId="3" fontId="14" fillId="0" borderId="6" xfId="5" applyNumberFormat="1" applyFont="1" applyFill="1" applyBorder="1" applyAlignment="1">
      <alignment wrapText="1"/>
    </xf>
    <xf numFmtId="0" fontId="15" fillId="0" borderId="0" xfId="5" applyFont="1" applyBorder="1" applyAlignment="1" applyProtection="1">
      <alignment horizontal="center" wrapText="1"/>
      <protection locked="0"/>
    </xf>
    <xf numFmtId="3" fontId="15" fillId="0" borderId="0" xfId="5" applyNumberFormat="1" applyFont="1" applyBorder="1" applyAlignment="1" applyProtection="1">
      <alignment wrapText="1"/>
      <protection locked="0"/>
    </xf>
    <xf numFmtId="0" fontId="15" fillId="0" borderId="0" xfId="5" applyFont="1" applyBorder="1" applyAlignment="1" applyProtection="1">
      <alignment wrapText="1"/>
      <protection locked="0"/>
    </xf>
    <xf numFmtId="0" fontId="15" fillId="0" borderId="0" xfId="2" applyFont="1" applyBorder="1" applyAlignment="1">
      <alignment vertical="center"/>
    </xf>
    <xf numFmtId="0" fontId="15" fillId="0" borderId="6" xfId="5" quotePrefix="1" applyFont="1" applyFill="1" applyBorder="1" applyAlignment="1" applyProtection="1">
      <alignment horizontal="left" vertical="center" wrapText="1"/>
      <protection locked="0"/>
    </xf>
    <xf numFmtId="0" fontId="15" fillId="0" borderId="6" xfId="5" quotePrefix="1" applyFont="1" applyBorder="1" applyAlignment="1" applyProtection="1">
      <alignment horizontal="left" vertical="center" wrapText="1"/>
      <protection locked="0"/>
    </xf>
    <xf numFmtId="0" fontId="25" fillId="0" borderId="6" xfId="5" quotePrefix="1" applyFont="1" applyBorder="1" applyAlignment="1" applyProtection="1">
      <alignment horizontal="left" vertical="center" wrapText="1"/>
      <protection locked="0"/>
    </xf>
    <xf numFmtId="3" fontId="14" fillId="0" borderId="6" xfId="5" applyNumberFormat="1" applyFont="1" applyFill="1" applyBorder="1" applyAlignment="1" applyProtection="1">
      <alignment horizontal="right" vertical="center" wrapText="1"/>
      <protection locked="0"/>
    </xf>
    <xf numFmtId="0" fontId="25" fillId="0" borderId="6" xfId="5" applyFont="1" applyBorder="1" applyAlignment="1" applyProtection="1">
      <alignment horizontal="left" vertical="center" wrapText="1"/>
      <protection locked="0"/>
    </xf>
    <xf numFmtId="0" fontId="25" fillId="0" borderId="6" xfId="5" applyFont="1" applyFill="1" applyBorder="1" applyAlignment="1" applyProtection="1">
      <alignment horizontal="left" vertical="center" wrapText="1"/>
      <protection locked="0"/>
    </xf>
    <xf numFmtId="0" fontId="15" fillId="0" borderId="0" xfId="5" applyFont="1" applyBorder="1" applyAlignment="1" applyProtection="1">
      <alignment horizontal="left" wrapText="1"/>
      <protection locked="0"/>
    </xf>
    <xf numFmtId="3" fontId="14" fillId="0" borderId="6" xfId="5" applyNumberFormat="1" applyFont="1" applyBorder="1" applyAlignment="1">
      <alignment vertical="center" wrapText="1"/>
    </xf>
    <xf numFmtId="3" fontId="15" fillId="0" borderId="6" xfId="5" applyNumberFormat="1" applyFont="1" applyBorder="1" applyAlignment="1">
      <alignment vertical="center" wrapText="1"/>
    </xf>
    <xf numFmtId="0" fontId="15" fillId="0" borderId="14" xfId="5" applyFont="1" applyFill="1" applyBorder="1" applyAlignment="1">
      <alignment horizontal="right" wrapText="1"/>
    </xf>
    <xf numFmtId="0" fontId="15" fillId="0" borderId="10" xfId="5" applyFont="1" applyFill="1" applyBorder="1" applyAlignment="1">
      <alignment horizontal="right" wrapText="1"/>
    </xf>
    <xf numFmtId="0" fontId="15" fillId="0" borderId="0" xfId="5" applyFont="1" applyFill="1" applyBorder="1" applyAlignment="1">
      <alignment horizontal="right" wrapText="1"/>
    </xf>
    <xf numFmtId="3" fontId="15" fillId="0" borderId="0" xfId="5" applyNumberFormat="1" applyFont="1" applyFill="1" applyBorder="1" applyAlignment="1">
      <alignment vertical="center" wrapText="1"/>
    </xf>
    <xf numFmtId="0" fontId="17" fillId="0" borderId="0" xfId="5" applyFont="1" applyFill="1" applyAlignment="1">
      <alignment horizontal="center" vertical="center" wrapText="1"/>
    </xf>
    <xf numFmtId="3" fontId="14" fillId="0" borderId="6" xfId="5" applyNumberFormat="1" applyFont="1" applyBorder="1" applyAlignment="1" applyProtection="1">
      <alignment vertical="center" wrapText="1"/>
      <protection locked="0"/>
    </xf>
    <xf numFmtId="0" fontId="15" fillId="0" borderId="0" xfId="5" applyFont="1" applyBorder="1" applyAlignment="1" applyProtection="1">
      <alignment horizontal="center" vertical="center" wrapText="1"/>
      <protection locked="0"/>
    </xf>
    <xf numFmtId="3" fontId="14" fillId="0" borderId="0" xfId="5" applyNumberFormat="1" applyFont="1" applyBorder="1" applyAlignment="1">
      <alignment vertical="center" wrapText="1"/>
    </xf>
    <xf numFmtId="3" fontId="14" fillId="0" borderId="0" xfId="5" applyNumberFormat="1" applyFont="1" applyFill="1" applyBorder="1" applyAlignment="1">
      <alignment vertical="center" wrapText="1"/>
    </xf>
    <xf numFmtId="0" fontId="15" fillId="0" borderId="0" xfId="5" applyFont="1" applyBorder="1" applyAlignment="1" applyProtection="1">
      <alignment horizontal="left" vertical="center" wrapText="1"/>
      <protection locked="0"/>
    </xf>
    <xf numFmtId="0" fontId="15" fillId="0" borderId="6" xfId="1" applyNumberFormat="1" applyFont="1" applyFill="1" applyBorder="1" applyAlignment="1" applyProtection="1">
      <alignment horizontal="left" vertical="center" wrapText="1"/>
    </xf>
    <xf numFmtId="0" fontId="15" fillId="0" borderId="19" xfId="5" applyFont="1" applyFill="1" applyBorder="1" applyAlignment="1" applyProtection="1">
      <alignment horizontal="left" vertical="center" wrapText="1"/>
      <protection locked="0"/>
    </xf>
    <xf numFmtId="0" fontId="14" fillId="0" borderId="19" xfId="5" applyFont="1" applyFill="1" applyBorder="1" applyAlignment="1" applyProtection="1">
      <alignment horizontal="left" vertical="center" wrapText="1"/>
      <protection locked="0"/>
    </xf>
    <xf numFmtId="0" fontId="38" fillId="0" borderId="0" xfId="5" applyFont="1" applyFill="1" applyAlignment="1">
      <alignment horizontal="center" vertical="center" wrapText="1"/>
    </xf>
    <xf numFmtId="3" fontId="39" fillId="0" borderId="0" xfId="5" applyNumberFormat="1" applyFont="1" applyAlignment="1">
      <alignment horizontal="center" vertical="center"/>
    </xf>
    <xf numFmtId="3" fontId="21" fillId="3" borderId="6" xfId="5" applyNumberFormat="1" applyFont="1" applyFill="1" applyBorder="1" applyAlignment="1" applyProtection="1">
      <alignment horizontal="right" vertical="center" wrapText="1"/>
      <protection locked="0"/>
    </xf>
    <xf numFmtId="3" fontId="18" fillId="0" borderId="6" xfId="5" applyNumberFormat="1" applyFont="1" applyBorder="1" applyAlignment="1" applyProtection="1">
      <alignment horizontal="right" vertical="center" wrapText="1"/>
      <protection locked="0"/>
    </xf>
    <xf numFmtId="3" fontId="15" fillId="0" borderId="6" xfId="5" applyNumberFormat="1" applyFont="1" applyBorder="1" applyAlignment="1" applyProtection="1">
      <alignment horizontal="right" vertical="center" wrapText="1"/>
      <protection locked="0"/>
    </xf>
    <xf numFmtId="0" fontId="15" fillId="3" borderId="6" xfId="2" applyFont="1" applyFill="1" applyBorder="1" applyAlignment="1" applyProtection="1">
      <alignment horizontal="left" vertical="center" wrapText="1"/>
      <protection locked="0"/>
    </xf>
    <xf numFmtId="0" fontId="15" fillId="0" borderId="34" xfId="5" applyFont="1" applyBorder="1" applyAlignment="1" applyProtection="1">
      <alignment horizontal="left" vertical="center" wrapText="1"/>
      <protection locked="0"/>
    </xf>
    <xf numFmtId="0" fontId="14" fillId="0" borderId="34" xfId="5" applyFont="1" applyBorder="1" applyAlignment="1" applyProtection="1">
      <alignment horizontal="left" vertical="center" wrapText="1"/>
      <protection locked="0"/>
    </xf>
    <xf numFmtId="0" fontId="19" fillId="0" borderId="6" xfId="5" applyFont="1" applyFill="1" applyBorder="1" applyAlignment="1" applyProtection="1">
      <alignment horizontal="left" vertical="center" wrapText="1"/>
      <protection locked="0"/>
    </xf>
    <xf numFmtId="0" fontId="15" fillId="0" borderId="14" xfId="5" applyFont="1" applyBorder="1" applyAlignment="1" applyProtection="1">
      <alignment horizontal="left" wrapText="1"/>
      <protection locked="0"/>
    </xf>
    <xf numFmtId="0" fontId="40" fillId="0" borderId="6" xfId="5" applyFont="1" applyBorder="1" applyAlignment="1" applyProtection="1">
      <alignment horizontal="left" vertical="center" wrapText="1"/>
      <protection locked="0"/>
    </xf>
    <xf numFmtId="0" fontId="15" fillId="0" borderId="6" xfId="5" applyFont="1" applyBorder="1" applyAlignment="1" applyProtection="1">
      <alignment horizontal="center" vertical="center"/>
      <protection locked="0"/>
    </xf>
    <xf numFmtId="3" fontId="15" fillId="0" borderId="6" xfId="5" applyNumberFormat="1" applyFont="1" applyBorder="1" applyAlignment="1" applyProtection="1">
      <alignment horizontal="left" vertical="center"/>
      <protection locked="0"/>
    </xf>
    <xf numFmtId="3" fontId="14" fillId="0" borderId="6" xfId="5" applyNumberFormat="1" applyFont="1" applyBorder="1" applyAlignment="1" applyProtection="1">
      <alignment horizontal="left" vertical="center"/>
      <protection locked="0"/>
    </xf>
    <xf numFmtId="3" fontId="15" fillId="0" borderId="0" xfId="5" applyNumberFormat="1" applyFont="1" applyAlignment="1">
      <alignment vertical="center"/>
    </xf>
    <xf numFmtId="3" fontId="15" fillId="0" borderId="0" xfId="5" applyNumberFormat="1" applyFont="1" applyFill="1" applyAlignment="1">
      <alignment vertical="center"/>
    </xf>
    <xf numFmtId="3" fontId="14" fillId="0" borderId="40" xfId="5" applyNumberFormat="1" applyFont="1" applyBorder="1" applyAlignment="1">
      <alignment vertical="center"/>
    </xf>
    <xf numFmtId="3" fontId="14" fillId="0" borderId="40" xfId="5" applyNumberFormat="1" applyFont="1" applyFill="1" applyBorder="1" applyAlignment="1">
      <alignment vertical="center"/>
    </xf>
    <xf numFmtId="1" fontId="14" fillId="0" borderId="40" xfId="5" applyNumberFormat="1" applyFont="1" applyBorder="1" applyAlignment="1">
      <alignment vertical="center"/>
    </xf>
    <xf numFmtId="0" fontId="15" fillId="0" borderId="40" xfId="5" applyFont="1" applyBorder="1" applyAlignment="1">
      <alignment vertical="center"/>
    </xf>
    <xf numFmtId="0" fontId="14" fillId="0" borderId="0" xfId="5" applyFont="1" applyBorder="1" applyAlignment="1">
      <alignment horizontal="right"/>
    </xf>
    <xf numFmtId="3" fontId="14" fillId="0" borderId="0" xfId="5" applyNumberFormat="1" applyFont="1" applyBorder="1" applyAlignment="1">
      <alignment vertical="center"/>
    </xf>
    <xf numFmtId="3" fontId="14" fillId="0" borderId="0" xfId="5" applyNumberFormat="1" applyFont="1" applyFill="1" applyBorder="1" applyAlignment="1">
      <alignment vertical="center"/>
    </xf>
    <xf numFmtId="1" fontId="14" fillId="0" borderId="0" xfId="5" applyNumberFormat="1" applyFont="1" applyBorder="1" applyAlignment="1">
      <alignment vertical="center"/>
    </xf>
    <xf numFmtId="3" fontId="14" fillId="0" borderId="0" xfId="5" applyNumberFormat="1" applyFont="1" applyBorder="1"/>
    <xf numFmtId="165" fontId="15" fillId="0" borderId="0" xfId="7" applyNumberFormat="1" applyFont="1" applyBorder="1" applyAlignment="1">
      <alignment wrapText="1"/>
    </xf>
    <xf numFmtId="165" fontId="15" fillId="0" borderId="0" xfId="7" applyNumberFormat="1" applyFont="1" applyFill="1" applyBorder="1" applyAlignment="1">
      <alignment wrapText="1"/>
    </xf>
    <xf numFmtId="1" fontId="15" fillId="0" borderId="0" xfId="5" applyNumberFormat="1" applyFont="1" applyBorder="1" applyAlignment="1">
      <alignment wrapText="1"/>
    </xf>
    <xf numFmtId="0" fontId="15" fillId="0" borderId="0" xfId="5" applyFont="1" applyFill="1" applyBorder="1" applyAlignment="1">
      <alignment horizontal="center" vertical="center" wrapText="1"/>
    </xf>
    <xf numFmtId="4" fontId="15" fillId="0" borderId="0" xfId="2" applyNumberFormat="1" applyFont="1" applyFill="1" applyBorder="1" applyAlignment="1" applyProtection="1">
      <alignment horizontal="center" vertical="center" wrapText="1"/>
      <protection locked="0"/>
    </xf>
    <xf numFmtId="0" fontId="15" fillId="0" borderId="0" xfId="2" applyFont="1" applyBorder="1" applyProtection="1">
      <protection locked="0"/>
    </xf>
    <xf numFmtId="0" fontId="7" fillId="0" borderId="0" xfId="5" applyFont="1" applyAlignment="1">
      <alignment horizontal="right"/>
    </xf>
    <xf numFmtId="0" fontId="7" fillId="0" borderId="0" xfId="5" applyFont="1" applyAlignment="1"/>
    <xf numFmtId="0" fontId="20" fillId="0" borderId="0" xfId="2" applyFont="1" applyFill="1" applyAlignment="1">
      <alignment horizontal="left" vertical="center"/>
    </xf>
    <xf numFmtId="0" fontId="20" fillId="0" borderId="0" xfId="2" applyFont="1" applyFill="1" applyAlignment="1">
      <alignment vertical="center"/>
    </xf>
    <xf numFmtId="0" fontId="6" fillId="0" borderId="0" xfId="5" applyFont="1" applyAlignment="1"/>
    <xf numFmtId="0" fontId="15" fillId="0" borderId="41" xfId="5" applyFont="1" applyBorder="1" applyAlignment="1">
      <alignment horizontal="left"/>
    </xf>
    <xf numFmtId="3" fontId="14" fillId="0" borderId="6" xfId="5" applyNumberFormat="1" applyFont="1" applyBorder="1" applyAlignment="1">
      <alignment horizontal="right" wrapText="1"/>
    </xf>
    <xf numFmtId="3" fontId="14" fillId="0" borderId="6" xfId="5" applyNumberFormat="1" applyFont="1" applyBorder="1" applyAlignment="1">
      <alignment horizontal="center" vertical="center" wrapText="1"/>
    </xf>
    <xf numFmtId="0" fontId="6" fillId="0" borderId="6" xfId="5" applyFont="1" applyBorder="1" applyAlignment="1" applyProtection="1">
      <alignment vertical="center" wrapText="1"/>
      <protection locked="0"/>
    </xf>
    <xf numFmtId="3" fontId="15" fillId="0" borderId="6" xfId="5" applyNumberFormat="1" applyFont="1" applyBorder="1" applyAlignment="1" applyProtection="1">
      <alignment horizontal="right" vertical="center"/>
      <protection locked="0"/>
    </xf>
    <xf numFmtId="3" fontId="15" fillId="0" borderId="6" xfId="5" applyNumberFormat="1" applyFont="1" applyBorder="1" applyAlignment="1" applyProtection="1">
      <alignment vertical="center"/>
      <protection locked="0"/>
    </xf>
    <xf numFmtId="3" fontId="14" fillId="0" borderId="6" xfId="5" applyNumberFormat="1" applyFont="1" applyBorder="1" applyAlignment="1" applyProtection="1">
      <alignment horizontal="center" vertical="center"/>
      <protection locked="0"/>
    </xf>
    <xf numFmtId="3" fontId="15" fillId="0" borderId="6" xfId="5" applyNumberFormat="1" applyFont="1" applyBorder="1" applyAlignment="1">
      <alignment vertical="center"/>
    </xf>
    <xf numFmtId="3" fontId="15" fillId="0" borderId="0" xfId="5" applyNumberFormat="1" applyFont="1" applyBorder="1" applyAlignment="1" applyProtection="1">
      <alignment horizontal="right" wrapText="1"/>
      <protection locked="0"/>
    </xf>
    <xf numFmtId="0" fontId="15" fillId="0" borderId="41" xfId="5" applyFont="1" applyBorder="1" applyAlignment="1">
      <alignment horizontal="left" wrapText="1"/>
    </xf>
    <xf numFmtId="3" fontId="15" fillId="0" borderId="32" xfId="5" applyNumberFormat="1" applyFont="1" applyBorder="1" applyAlignment="1" applyProtection="1">
      <alignment vertical="center" wrapText="1"/>
      <protection locked="0"/>
    </xf>
    <xf numFmtId="0" fontId="15" fillId="0" borderId="0" xfId="5" applyFont="1" applyBorder="1" applyAlignment="1">
      <alignment horizontal="center" wrapText="1"/>
    </xf>
    <xf numFmtId="0" fontId="15" fillId="0" borderId="0" xfId="5" applyFont="1" applyBorder="1" applyAlignment="1">
      <alignment horizontal="right" wrapText="1"/>
    </xf>
    <xf numFmtId="0" fontId="15" fillId="0" borderId="6" xfId="5" applyFont="1" applyBorder="1" applyAlignment="1">
      <alignment horizontal="center" wrapText="1"/>
    </xf>
    <xf numFmtId="49" fontId="14" fillId="0" borderId="41" xfId="5" applyNumberFormat="1" applyFont="1" applyBorder="1" applyAlignment="1">
      <alignment horizontal="left"/>
    </xf>
    <xf numFmtId="3" fontId="15" fillId="0" borderId="0" xfId="5" applyNumberFormat="1" applyFont="1" applyAlignment="1">
      <alignment horizontal="right"/>
    </xf>
    <xf numFmtId="3" fontId="15" fillId="0" borderId="0" xfId="5" applyNumberFormat="1" applyFont="1" applyAlignment="1"/>
    <xf numFmtId="3" fontId="14" fillId="0" borderId="40" xfId="5" applyNumberFormat="1" applyFont="1" applyBorder="1" applyAlignment="1">
      <alignment horizontal="right"/>
    </xf>
    <xf numFmtId="0" fontId="15" fillId="0" borderId="0" xfId="5" applyFont="1" applyAlignment="1">
      <alignment horizontal="right"/>
    </xf>
    <xf numFmtId="0" fontId="15" fillId="0" borderId="0" xfId="2" applyFont="1" applyAlignment="1">
      <alignment vertical="center"/>
    </xf>
    <xf numFmtId="0" fontId="6" fillId="0" borderId="0" xfId="2" applyFont="1" applyAlignment="1">
      <alignment vertical="center"/>
    </xf>
    <xf numFmtId="0" fontId="15" fillId="0" borderId="0" xfId="2" applyFont="1" applyAlignment="1">
      <alignment horizontal="center" vertical="center"/>
    </xf>
    <xf numFmtId="0" fontId="15" fillId="0" borderId="0" xfId="2" applyFont="1" applyAlignment="1">
      <alignment vertical="center" wrapText="1"/>
    </xf>
    <xf numFmtId="0" fontId="6" fillId="0" borderId="0" xfId="2" applyFont="1" applyAlignment="1">
      <alignment vertical="center" wrapText="1"/>
    </xf>
    <xf numFmtId="0" fontId="15" fillId="0" borderId="0" xfId="2" applyFont="1" applyAlignment="1">
      <alignment horizontal="left" wrapText="1"/>
    </xf>
    <xf numFmtId="0" fontId="6" fillId="0" borderId="0" xfId="5" applyFont="1" applyProtection="1">
      <protection locked="0"/>
    </xf>
    <xf numFmtId="0" fontId="15" fillId="0" borderId="0" xfId="6" applyFont="1" applyAlignment="1">
      <alignment horizontal="left" vertical="center"/>
    </xf>
    <xf numFmtId="0" fontId="15" fillId="0" borderId="0" xfId="6" applyFont="1" applyAlignment="1">
      <alignment vertical="center"/>
    </xf>
    <xf numFmtId="0" fontId="22" fillId="0" borderId="0" xfId="6" applyFont="1" applyAlignment="1">
      <alignment vertical="center"/>
    </xf>
    <xf numFmtId="0" fontId="7" fillId="0" borderId="0" xfId="6" applyFont="1" applyAlignment="1">
      <alignment horizontal="center" vertical="center"/>
    </xf>
    <xf numFmtId="0" fontId="41" fillId="0" borderId="0" xfId="6" applyFont="1" applyAlignment="1">
      <alignment horizontal="center" vertical="center"/>
    </xf>
    <xf numFmtId="0" fontId="20" fillId="0" borderId="0" xfId="6" applyFont="1" applyAlignment="1">
      <alignment horizontal="left" vertical="center"/>
    </xf>
    <xf numFmtId="0" fontId="20" fillId="0" borderId="0" xfId="6" applyFont="1" applyAlignment="1">
      <alignment vertical="center"/>
    </xf>
    <xf numFmtId="0" fontId="42" fillId="0" borderId="0" xfId="6" applyFont="1" applyAlignment="1">
      <alignment vertical="center"/>
    </xf>
    <xf numFmtId="49" fontId="14" fillId="0" borderId="0" xfId="6" applyNumberFormat="1" applyFont="1" applyAlignment="1">
      <alignment horizontal="left" vertical="center"/>
    </xf>
    <xf numFmtId="49" fontId="14" fillId="0" borderId="0" xfId="6" applyNumberFormat="1" applyFont="1" applyAlignment="1">
      <alignment vertical="center"/>
    </xf>
    <xf numFmtId="49" fontId="23" fillId="0" borderId="0" xfId="6" applyNumberFormat="1" applyFont="1" applyAlignment="1">
      <alignment vertical="center"/>
    </xf>
    <xf numFmtId="0" fontId="15" fillId="0" borderId="0" xfId="6" applyFont="1"/>
    <xf numFmtId="0" fontId="15" fillId="3" borderId="6" xfId="6" applyFont="1" applyFill="1" applyBorder="1" applyAlignment="1">
      <alignment horizontal="center" vertical="center" wrapText="1"/>
    </xf>
    <xf numFmtId="0" fontId="15" fillId="0" borderId="6" xfId="6" applyFont="1" applyBorder="1" applyAlignment="1">
      <alignment horizontal="center" vertical="center" wrapText="1"/>
    </xf>
    <xf numFmtId="3" fontId="14" fillId="3" borderId="6" xfId="6" applyNumberFormat="1" applyFont="1" applyFill="1" applyBorder="1" applyAlignment="1">
      <alignment vertical="center" wrapText="1"/>
    </xf>
    <xf numFmtId="3" fontId="14" fillId="0" borderId="6" xfId="6" applyNumberFormat="1" applyFont="1" applyBorder="1" applyAlignment="1">
      <alignment vertical="center" wrapText="1"/>
    </xf>
    <xf numFmtId="0" fontId="15" fillId="0" borderId="6" xfId="6" applyFont="1" applyBorder="1" applyAlignment="1" applyProtection="1">
      <alignment vertical="center" wrapText="1"/>
      <protection locked="0"/>
    </xf>
    <xf numFmtId="0" fontId="15" fillId="0" borderId="6" xfId="6" applyFont="1" applyBorder="1" applyAlignment="1" applyProtection="1">
      <alignment horizontal="center" vertical="center" wrapText="1"/>
      <protection locked="0"/>
    </xf>
    <xf numFmtId="3" fontId="15" fillId="3" borderId="6" xfId="6" applyNumberFormat="1" applyFont="1" applyFill="1" applyBorder="1" applyAlignment="1" applyProtection="1">
      <alignment horizontal="right" vertical="center" wrapText="1"/>
      <protection locked="0"/>
    </xf>
    <xf numFmtId="3" fontId="15" fillId="0" borderId="6" xfId="6" applyNumberFormat="1" applyFont="1" applyBorder="1" applyAlignment="1" applyProtection="1">
      <alignment horizontal="right" vertical="center" wrapText="1"/>
      <protection locked="0"/>
    </xf>
    <xf numFmtId="3" fontId="14" fillId="0" borderId="6" xfId="6" applyNumberFormat="1" applyFont="1" applyFill="1" applyBorder="1" applyAlignment="1" applyProtection="1">
      <alignment horizontal="center" vertical="center" wrapText="1"/>
      <protection locked="0"/>
    </xf>
    <xf numFmtId="0" fontId="15" fillId="3" borderId="6" xfId="6" applyFont="1" applyFill="1" applyBorder="1" applyAlignment="1" applyProtection="1">
      <alignment vertical="center" wrapText="1"/>
      <protection locked="0"/>
    </xf>
    <xf numFmtId="3" fontId="15" fillId="0" borderId="0" xfId="6" applyNumberFormat="1" applyFont="1" applyAlignment="1">
      <alignment vertical="center"/>
    </xf>
    <xf numFmtId="3" fontId="14" fillId="0" borderId="6" xfId="6" applyNumberFormat="1" applyFont="1" applyBorder="1" applyAlignment="1" applyProtection="1">
      <alignment horizontal="center" vertical="center" wrapText="1"/>
      <protection locked="0"/>
    </xf>
    <xf numFmtId="3" fontId="15" fillId="0" borderId="6" xfId="6" applyNumberFormat="1" applyFont="1" applyFill="1" applyBorder="1" applyAlignment="1" applyProtection="1">
      <alignment horizontal="right" vertical="center" wrapText="1"/>
      <protection locked="0"/>
    </xf>
    <xf numFmtId="0" fontId="43" fillId="0" borderId="17" xfId="8" applyBorder="1"/>
    <xf numFmtId="0" fontId="43" fillId="0" borderId="32" xfId="8" applyBorder="1"/>
    <xf numFmtId="0" fontId="15" fillId="0" borderId="17" xfId="6" applyFont="1" applyBorder="1" applyAlignment="1" applyProtection="1">
      <alignment horizontal="center" vertical="center" wrapText="1"/>
      <protection locked="0"/>
    </xf>
    <xf numFmtId="3" fontId="15" fillId="3" borderId="17" xfId="6" applyNumberFormat="1" applyFont="1" applyFill="1" applyBorder="1" applyAlignment="1" applyProtection="1">
      <alignment horizontal="right" vertical="center" wrapText="1"/>
      <protection locked="0"/>
    </xf>
    <xf numFmtId="3" fontId="15" fillId="0" borderId="17" xfId="6" applyNumberFormat="1" applyFont="1" applyBorder="1" applyAlignment="1" applyProtection="1">
      <alignment horizontal="right" vertical="center" wrapText="1"/>
      <protection locked="0"/>
    </xf>
    <xf numFmtId="3" fontId="14" fillId="0" borderId="17" xfId="6" applyNumberFormat="1" applyFont="1" applyBorder="1" applyAlignment="1" applyProtection="1">
      <alignment horizontal="center" vertical="center" wrapText="1"/>
      <protection locked="0"/>
    </xf>
    <xf numFmtId="3" fontId="14" fillId="3" borderId="6" xfId="6" applyNumberFormat="1" applyFont="1" applyFill="1" applyBorder="1" applyAlignment="1" applyProtection="1">
      <alignment horizontal="center" vertical="center" wrapText="1"/>
      <protection locked="0"/>
    </xf>
    <xf numFmtId="0" fontId="15" fillId="3" borderId="6" xfId="6" applyFont="1" applyFill="1" applyBorder="1" applyAlignment="1" applyProtection="1">
      <alignment horizontal="center" vertical="center" wrapText="1"/>
      <protection locked="0"/>
    </xf>
    <xf numFmtId="0" fontId="15" fillId="3" borderId="6" xfId="6" applyFont="1" applyFill="1" applyBorder="1" applyAlignment="1" applyProtection="1">
      <alignment horizontal="left" vertical="center" wrapText="1"/>
      <protection locked="0"/>
    </xf>
    <xf numFmtId="0" fontId="15" fillId="3" borderId="0" xfId="6" applyFont="1" applyFill="1" applyAlignment="1">
      <alignment vertical="center"/>
    </xf>
    <xf numFmtId="3" fontId="15" fillId="3" borderId="32" xfId="6" applyNumberFormat="1" applyFont="1" applyFill="1" applyBorder="1" applyAlignment="1" applyProtection="1">
      <alignment horizontal="right" vertical="center"/>
      <protection locked="0"/>
    </xf>
    <xf numFmtId="3" fontId="15" fillId="0" borderId="32" xfId="6" applyNumberFormat="1" applyFont="1" applyBorder="1" applyAlignment="1" applyProtection="1">
      <alignment horizontal="right" vertical="center"/>
      <protection locked="0"/>
    </xf>
    <xf numFmtId="3" fontId="14" fillId="0" borderId="32" xfId="6" applyNumberFormat="1" applyFont="1" applyFill="1" applyBorder="1" applyAlignment="1" applyProtection="1">
      <alignment horizontal="center" vertical="center" wrapText="1"/>
      <protection locked="0"/>
    </xf>
    <xf numFmtId="3" fontId="15" fillId="0" borderId="32" xfId="6" applyNumberFormat="1" applyFont="1" applyBorder="1" applyAlignment="1" applyProtection="1">
      <alignment horizontal="center" vertical="center" wrapText="1"/>
      <protection locked="0"/>
    </xf>
    <xf numFmtId="0" fontId="15" fillId="3" borderId="32" xfId="6" applyFont="1" applyFill="1" applyBorder="1" applyAlignment="1" applyProtection="1">
      <alignment horizontal="left" vertical="center" wrapText="1"/>
      <protection locked="0"/>
    </xf>
    <xf numFmtId="3" fontId="15" fillId="3" borderId="21" xfId="6" applyNumberFormat="1" applyFont="1" applyFill="1" applyBorder="1" applyAlignment="1" applyProtection="1">
      <alignment horizontal="right" vertical="center"/>
      <protection locked="0"/>
    </xf>
    <xf numFmtId="3" fontId="15" fillId="0" borderId="21" xfId="6" applyNumberFormat="1" applyFont="1" applyBorder="1" applyAlignment="1" applyProtection="1">
      <alignment horizontal="right" vertical="center"/>
      <protection locked="0"/>
    </xf>
    <xf numFmtId="3" fontId="14" fillId="0" borderId="21" xfId="6" applyNumberFormat="1" applyFont="1" applyFill="1" applyBorder="1" applyAlignment="1" applyProtection="1">
      <alignment horizontal="center" vertical="center" wrapText="1"/>
      <protection locked="0"/>
    </xf>
    <xf numFmtId="3" fontId="15" fillId="0" borderId="21" xfId="6" applyNumberFormat="1" applyFont="1" applyBorder="1" applyAlignment="1" applyProtection="1">
      <alignment horizontal="right" vertical="center" wrapText="1"/>
      <protection locked="0"/>
    </xf>
    <xf numFmtId="0" fontId="15" fillId="0" borderId="6" xfId="6" applyFont="1" applyBorder="1" applyAlignment="1" applyProtection="1">
      <alignment horizontal="center" vertical="center"/>
      <protection locked="0"/>
    </xf>
    <xf numFmtId="3" fontId="15" fillId="3" borderId="6" xfId="6" applyNumberFormat="1" applyFont="1" applyFill="1" applyBorder="1" applyAlignment="1" applyProtection="1">
      <alignment horizontal="right" vertical="center"/>
      <protection locked="0"/>
    </xf>
    <xf numFmtId="3" fontId="15" fillId="0" borderId="6" xfId="6" applyNumberFormat="1" applyFont="1" applyBorder="1" applyAlignment="1" applyProtection="1">
      <alignment horizontal="right" vertical="center"/>
      <protection locked="0"/>
    </xf>
    <xf numFmtId="3" fontId="15" fillId="3" borderId="6" xfId="6" applyNumberFormat="1" applyFont="1" applyFill="1" applyBorder="1" applyAlignment="1" applyProtection="1">
      <alignment wrapText="1"/>
      <protection locked="0"/>
    </xf>
    <xf numFmtId="3" fontId="15" fillId="0" borderId="6" xfId="6" applyNumberFormat="1" applyFont="1" applyFill="1" applyBorder="1" applyAlignment="1" applyProtection="1">
      <alignment horizontal="right" vertical="center"/>
      <protection locked="0"/>
    </xf>
    <xf numFmtId="3" fontId="14" fillId="0" borderId="6" xfId="6" applyNumberFormat="1" applyFont="1" applyFill="1" applyBorder="1" applyAlignment="1" applyProtection="1">
      <alignment horizontal="center" vertical="center"/>
      <protection locked="0"/>
    </xf>
    <xf numFmtId="0" fontId="15" fillId="0" borderId="6" xfId="6" applyFont="1" applyBorder="1" applyAlignment="1" applyProtection="1">
      <alignment horizontal="left" vertical="center" wrapText="1"/>
      <protection locked="0"/>
    </xf>
    <xf numFmtId="3" fontId="14" fillId="3" borderId="40" xfId="6" applyNumberFormat="1" applyFont="1" applyFill="1" applyBorder="1" applyAlignment="1">
      <alignment vertical="center"/>
    </xf>
    <xf numFmtId="3" fontId="14" fillId="0" borderId="40" xfId="6" applyNumberFormat="1" applyFont="1" applyBorder="1" applyAlignment="1">
      <alignment vertical="center"/>
    </xf>
    <xf numFmtId="0" fontId="15" fillId="0" borderId="40" xfId="6" applyFont="1" applyBorder="1" applyAlignment="1">
      <alignment vertical="center"/>
    </xf>
    <xf numFmtId="0" fontId="15" fillId="0" borderId="0" xfId="6" applyFont="1" applyBorder="1" applyAlignment="1" applyProtection="1">
      <alignment horizontal="center" vertical="center" wrapText="1"/>
      <protection locked="0"/>
    </xf>
    <xf numFmtId="3" fontId="15" fillId="0" borderId="0" xfId="6" applyNumberFormat="1" applyFont="1" applyBorder="1" applyAlignment="1" applyProtection="1">
      <alignment horizontal="center" vertical="center" wrapText="1"/>
      <protection locked="0"/>
    </xf>
    <xf numFmtId="3" fontId="22" fillId="0" borderId="0" xfId="6" applyNumberFormat="1" applyFont="1" applyBorder="1" applyAlignment="1" applyProtection="1">
      <alignment vertical="center" wrapText="1"/>
      <protection locked="0"/>
    </xf>
    <xf numFmtId="0" fontId="15" fillId="0" borderId="0" xfId="6" applyFont="1" applyBorder="1" applyAlignment="1" applyProtection="1">
      <alignment vertical="center" wrapText="1"/>
      <protection locked="0"/>
    </xf>
    <xf numFmtId="0" fontId="22" fillId="0" borderId="0" xfId="6" applyFont="1"/>
    <xf numFmtId="0" fontId="36" fillId="0" borderId="0" xfId="6" applyFont="1"/>
    <xf numFmtId="0" fontId="15" fillId="0" borderId="0" xfId="6" applyFont="1" applyAlignment="1" applyProtection="1">
      <alignment vertical="center"/>
      <protection locked="0"/>
    </xf>
    <xf numFmtId="49" fontId="15" fillId="0" borderId="0" xfId="2" applyNumberFormat="1" applyFont="1" applyAlignment="1">
      <alignment horizontal="left"/>
    </xf>
    <xf numFmtId="3" fontId="15" fillId="0" borderId="6" xfId="2" applyNumberFormat="1" applyFont="1" applyBorder="1" applyAlignment="1" applyProtection="1">
      <alignment horizontal="right" vertical="center" wrapText="1"/>
      <protection locked="0"/>
    </xf>
    <xf numFmtId="3" fontId="14" fillId="0" borderId="6" xfId="2" applyNumberFormat="1" applyFont="1" applyBorder="1" applyAlignment="1" applyProtection="1">
      <alignment vertical="center" wrapText="1"/>
      <protection locked="0"/>
    </xf>
    <xf numFmtId="0" fontId="15" fillId="0" borderId="6" xfId="2" applyFont="1" applyBorder="1" applyAlignment="1" applyProtection="1">
      <alignment horizontal="left" vertical="center" wrapText="1"/>
      <protection locked="0"/>
    </xf>
    <xf numFmtId="3" fontId="15" fillId="0" borderId="6" xfId="2" applyNumberFormat="1" applyFont="1" applyBorder="1" applyAlignment="1" applyProtection="1">
      <alignment wrapText="1"/>
      <protection locked="0"/>
    </xf>
    <xf numFmtId="0" fontId="15" fillId="0" borderId="40" xfId="2" applyFont="1" applyBorder="1"/>
    <xf numFmtId="3" fontId="15" fillId="0" borderId="6" xfId="5" applyNumberFormat="1" applyFont="1" applyBorder="1" applyAlignment="1" applyProtection="1">
      <alignment wrapText="1"/>
      <protection locked="0"/>
    </xf>
    <xf numFmtId="3" fontId="14" fillId="0" borderId="6" xfId="5" applyNumberFormat="1" applyFont="1" applyBorder="1" applyAlignment="1" applyProtection="1">
      <alignment horizontal="right" vertical="center"/>
      <protection locked="0"/>
    </xf>
    <xf numFmtId="0" fontId="15" fillId="0" borderId="6" xfId="5" applyFont="1" applyBorder="1" applyProtection="1">
      <protection locked="0"/>
    </xf>
    <xf numFmtId="3" fontId="15" fillId="0" borderId="6" xfId="5" applyNumberFormat="1" applyFont="1" applyBorder="1" applyAlignment="1" applyProtection="1">
      <alignment horizontal="left"/>
      <protection locked="0"/>
    </xf>
    <xf numFmtId="0" fontId="15" fillId="0" borderId="6" xfId="5" applyFont="1" applyBorder="1" applyAlignment="1" applyProtection="1">
      <alignment horizontal="left"/>
      <protection locked="0"/>
    </xf>
    <xf numFmtId="3" fontId="15" fillId="0" borderId="42" xfId="5" applyNumberFormat="1" applyFont="1" applyFill="1" applyBorder="1" applyAlignment="1" applyProtection="1">
      <alignment wrapText="1"/>
      <protection locked="0"/>
    </xf>
    <xf numFmtId="0" fontId="15" fillId="0" borderId="42" xfId="5" applyFont="1" applyFill="1" applyBorder="1" applyAlignment="1" applyProtection="1">
      <alignment wrapText="1"/>
      <protection locked="0"/>
    </xf>
    <xf numFmtId="3" fontId="14" fillId="0" borderId="0" xfId="5" applyNumberFormat="1" applyFont="1" applyFill="1" applyBorder="1" applyAlignment="1">
      <alignment wrapText="1"/>
    </xf>
    <xf numFmtId="3" fontId="15" fillId="0" borderId="0" xfId="5" applyNumberFormat="1" applyFont="1" applyFill="1" applyBorder="1" applyAlignment="1" applyProtection="1">
      <alignment horizontal="left"/>
      <protection locked="0"/>
    </xf>
    <xf numFmtId="0" fontId="15" fillId="0" borderId="0" xfId="5" applyFont="1" applyFill="1" applyBorder="1" applyAlignment="1" applyProtection="1">
      <alignment horizontal="left"/>
      <protection locked="0"/>
    </xf>
    <xf numFmtId="0" fontId="15" fillId="0" borderId="0" xfId="5" applyFont="1" applyBorder="1" applyAlignment="1"/>
    <xf numFmtId="0" fontId="15" fillId="0" borderId="0" xfId="5" applyFont="1" applyBorder="1" applyAlignment="1" applyProtection="1">
      <alignment horizontal="center"/>
      <protection locked="0"/>
    </xf>
    <xf numFmtId="0" fontId="7" fillId="0" borderId="0" xfId="5" applyFont="1" applyBorder="1" applyAlignment="1">
      <alignment horizontal="center"/>
    </xf>
    <xf numFmtId="0" fontId="44" fillId="0" borderId="0" xfId="2" applyFont="1" applyBorder="1" applyAlignment="1">
      <alignment vertical="center"/>
    </xf>
    <xf numFmtId="0" fontId="12" fillId="0" borderId="0" xfId="9" applyFont="1" applyAlignment="1">
      <alignment vertical="center"/>
    </xf>
    <xf numFmtId="0" fontId="10" fillId="0" borderId="0" xfId="5" applyFont="1" applyAlignment="1">
      <alignment horizontal="center" vertical="center"/>
    </xf>
    <xf numFmtId="0" fontId="12" fillId="0" borderId="0" xfId="5" applyFont="1" applyAlignment="1">
      <alignment vertical="center"/>
    </xf>
    <xf numFmtId="0" fontId="15" fillId="0" borderId="41" xfId="5" applyFont="1" applyBorder="1"/>
    <xf numFmtId="49" fontId="14" fillId="0" borderId="0" xfId="2" applyNumberFormat="1" applyFont="1" applyBorder="1" applyAlignment="1">
      <alignment vertical="center"/>
    </xf>
    <xf numFmtId="0" fontId="5" fillId="0" borderId="0" xfId="5" applyFont="1" applyAlignment="1">
      <alignment vertical="center"/>
    </xf>
    <xf numFmtId="165" fontId="15" fillId="0" borderId="6" xfId="7" applyNumberFormat="1" applyFont="1" applyFill="1" applyBorder="1" applyAlignment="1" applyProtection="1">
      <alignment horizontal="right" vertical="center"/>
      <protection locked="0"/>
    </xf>
    <xf numFmtId="0" fontId="15" fillId="0" borderId="6" xfId="5" applyFont="1" applyFill="1" applyBorder="1" applyAlignment="1" applyProtection="1">
      <alignment horizontal="right" vertical="center"/>
      <protection locked="0"/>
    </xf>
    <xf numFmtId="165" fontId="45" fillId="0" borderId="6" xfId="7" applyNumberFormat="1" applyFont="1" applyFill="1" applyBorder="1" applyAlignment="1" applyProtection="1">
      <alignment horizontal="right" vertical="center"/>
      <protection locked="0"/>
    </xf>
    <xf numFmtId="165" fontId="15" fillId="0" borderId="6" xfId="7" applyNumberFormat="1" applyFont="1" applyFill="1" applyBorder="1" applyAlignment="1" applyProtection="1">
      <alignment horizontal="right" vertical="center" wrapText="1"/>
      <protection locked="0"/>
    </xf>
    <xf numFmtId="165" fontId="45" fillId="0" borderId="6" xfId="7" applyNumberFormat="1" applyFont="1" applyFill="1" applyBorder="1" applyAlignment="1" applyProtection="1">
      <alignment horizontal="right" vertical="center" wrapText="1"/>
      <protection locked="0"/>
    </xf>
    <xf numFmtId="165" fontId="45" fillId="0" borderId="6" xfId="7" applyNumberFormat="1" applyFont="1" applyFill="1" applyBorder="1" applyAlignment="1">
      <alignment horizontal="right" vertical="center"/>
    </xf>
    <xf numFmtId="165" fontId="45" fillId="0" borderId="0" xfId="7" applyNumberFormat="1" applyFont="1" applyFill="1" applyAlignment="1">
      <alignment horizontal="right" vertical="center"/>
    </xf>
    <xf numFmtId="3" fontId="15" fillId="0" borderId="6" xfId="9" applyNumberFormat="1" applyFont="1" applyFill="1" applyBorder="1" applyAlignment="1">
      <alignment vertical="center" wrapText="1"/>
    </xf>
    <xf numFmtId="0" fontId="15" fillId="0" borderId="6" xfId="9" applyFont="1" applyFill="1" applyBorder="1" applyAlignment="1">
      <alignment horizontal="center" vertical="center" wrapText="1"/>
    </xf>
    <xf numFmtId="3" fontId="15" fillId="0" borderId="6" xfId="9" applyNumberFormat="1" applyFont="1" applyFill="1" applyBorder="1" applyAlignment="1">
      <alignment horizontal="left" vertical="center" wrapText="1"/>
    </xf>
    <xf numFmtId="0" fontId="2" fillId="0" borderId="0" xfId="5"/>
    <xf numFmtId="49" fontId="15" fillId="0" borderId="0" xfId="5" applyNumberFormat="1" applyFont="1" applyBorder="1" applyAlignment="1" applyProtection="1">
      <alignment horizontal="center"/>
      <protection locked="0"/>
    </xf>
    <xf numFmtId="3" fontId="14" fillId="0" borderId="21" xfId="5" applyNumberFormat="1" applyFont="1" applyBorder="1" applyAlignment="1">
      <alignment wrapText="1"/>
    </xf>
    <xf numFmtId="0" fontId="5" fillId="0" borderId="6" xfId="2" applyFont="1" applyFill="1" applyBorder="1" applyAlignment="1">
      <alignment horizontal="center" vertical="center" wrapText="1"/>
    </xf>
    <xf numFmtId="0" fontId="15" fillId="0" borderId="6" xfId="2" applyFont="1" applyFill="1" applyBorder="1" applyAlignment="1" applyProtection="1">
      <alignment horizontal="left" vertical="center" wrapText="1"/>
    </xf>
    <xf numFmtId="3" fontId="22" fillId="0" borderId="6" xfId="5" applyNumberFormat="1" applyFont="1" applyBorder="1" applyAlignment="1" applyProtection="1">
      <alignment wrapText="1"/>
      <protection locked="0"/>
    </xf>
    <xf numFmtId="0" fontId="15" fillId="0" borderId="6" xfId="2" applyFont="1" applyFill="1" applyBorder="1" applyAlignment="1" applyProtection="1">
      <alignment vertical="center" wrapText="1"/>
    </xf>
    <xf numFmtId="3" fontId="22" fillId="0" borderId="6" xfId="5" applyNumberFormat="1" applyFont="1" applyBorder="1" applyAlignment="1" applyProtection="1">
      <alignment vertical="center" wrapText="1"/>
      <protection locked="0"/>
    </xf>
    <xf numFmtId="3" fontId="15" fillId="0" borderId="6" xfId="5" applyNumberFormat="1" applyFont="1" applyBorder="1" applyAlignment="1" applyProtection="1">
      <alignment horizontal="left" vertical="center" wrapText="1"/>
      <protection locked="0"/>
    </xf>
    <xf numFmtId="0" fontId="15" fillId="0" borderId="6" xfId="5" applyFont="1" applyFill="1" applyBorder="1" applyAlignment="1" applyProtection="1">
      <alignment horizontal="left" vertical="center" wrapText="1"/>
    </xf>
    <xf numFmtId="0" fontId="5" fillId="0" borderId="6" xfId="2" applyFont="1" applyFill="1" applyBorder="1" applyAlignment="1">
      <alignment vertical="center" wrapText="1"/>
    </xf>
    <xf numFmtId="0" fontId="15" fillId="0" borderId="6" xfId="5" applyFont="1" applyFill="1" applyBorder="1" applyAlignment="1" applyProtection="1">
      <alignment horizontal="left" vertical="center"/>
    </xf>
    <xf numFmtId="0" fontId="15" fillId="0" borderId="6" xfId="5" applyFont="1" applyFill="1" applyBorder="1" applyAlignment="1" applyProtection="1">
      <alignment vertical="center" wrapText="1"/>
    </xf>
    <xf numFmtId="0" fontId="15" fillId="0" borderId="6" xfId="2" applyFont="1" applyFill="1" applyBorder="1" applyAlignment="1">
      <alignment horizontal="center" vertical="center" wrapText="1"/>
    </xf>
    <xf numFmtId="0" fontId="15" fillId="0" borderId="6" xfId="2" applyFont="1" applyFill="1" applyBorder="1" applyAlignment="1">
      <alignment vertical="center" wrapText="1"/>
    </xf>
    <xf numFmtId="0" fontId="22" fillId="0" borderId="0" xfId="5" applyFont="1"/>
    <xf numFmtId="1" fontId="22" fillId="0" borderId="0" xfId="5" applyNumberFormat="1" applyFont="1"/>
    <xf numFmtId="0" fontId="22" fillId="0" borderId="0" xfId="5" applyFont="1" applyBorder="1"/>
    <xf numFmtId="0" fontId="22" fillId="0" borderId="0" xfId="5" applyFont="1" applyFill="1" applyBorder="1" applyAlignment="1" applyProtection="1">
      <alignment horizontal="left" vertical="center" wrapText="1"/>
    </xf>
    <xf numFmtId="165" fontId="47" fillId="0" borderId="0" xfId="7" applyNumberFormat="1" applyFont="1" applyBorder="1" applyAlignment="1">
      <alignment vertical="center" wrapText="1"/>
    </xf>
    <xf numFmtId="165" fontId="47" fillId="0" borderId="0" xfId="7" applyNumberFormat="1" applyFont="1" applyFill="1" applyBorder="1" applyAlignment="1">
      <alignment vertical="center" wrapText="1"/>
    </xf>
    <xf numFmtId="165" fontId="46" fillId="0" borderId="0" xfId="7" applyNumberFormat="1" applyFont="1" applyFill="1" applyBorder="1" applyAlignment="1">
      <alignment vertical="center" wrapText="1"/>
    </xf>
    <xf numFmtId="1" fontId="22" fillId="0" borderId="0" xfId="2" applyNumberFormat="1" applyFont="1" applyFill="1" applyBorder="1" applyAlignment="1">
      <alignment vertical="center" wrapText="1"/>
    </xf>
    <xf numFmtId="0" fontId="22" fillId="0" borderId="0" xfId="5" applyFont="1" applyProtection="1">
      <protection locked="0"/>
    </xf>
    <xf numFmtId="165" fontId="22" fillId="0" borderId="0" xfId="7" applyNumberFormat="1" applyFont="1" applyProtection="1">
      <protection locked="0"/>
    </xf>
    <xf numFmtId="165" fontId="46" fillId="0" borderId="0" xfId="7" applyNumberFormat="1" applyFont="1" applyProtection="1">
      <protection locked="0"/>
    </xf>
    <xf numFmtId="0" fontId="22" fillId="0" borderId="0" xfId="2" applyFont="1" applyAlignment="1">
      <alignment wrapText="1"/>
    </xf>
    <xf numFmtId="1" fontId="22" fillId="0" borderId="0" xfId="5" applyNumberFormat="1" applyFont="1" applyProtection="1">
      <protection locked="0"/>
    </xf>
    <xf numFmtId="0" fontId="14" fillId="0" borderId="6" xfId="5" applyFont="1" applyBorder="1" applyAlignment="1">
      <alignment horizontal="left" wrapText="1"/>
    </xf>
    <xf numFmtId="3" fontId="14" fillId="0" borderId="6" xfId="5" applyNumberFormat="1" applyFont="1" applyFill="1" applyBorder="1" applyAlignment="1">
      <alignment horizontal="center" vertical="center" wrapText="1"/>
    </xf>
    <xf numFmtId="3" fontId="15" fillId="0" borderId="6" xfId="5" applyNumberFormat="1" applyFont="1" applyBorder="1" applyAlignment="1" applyProtection="1">
      <alignment horizontal="right"/>
      <protection locked="0"/>
    </xf>
    <xf numFmtId="3" fontId="2" fillId="0" borderId="0" xfId="5" applyNumberFormat="1"/>
    <xf numFmtId="0" fontId="14" fillId="0" borderId="6" xfId="5" applyFont="1" applyBorder="1" applyAlignment="1" applyProtection="1">
      <alignment horizontal="center" vertical="center" wrapText="1"/>
      <protection locked="0"/>
    </xf>
    <xf numFmtId="0" fontId="14" fillId="0" borderId="6" xfId="5" applyFont="1" applyBorder="1" applyAlignment="1" applyProtection="1">
      <alignment horizontal="left" vertical="center" wrapText="1"/>
      <protection locked="0"/>
    </xf>
    <xf numFmtId="3" fontId="2" fillId="0" borderId="0" xfId="5" applyNumberFormat="1" applyBorder="1"/>
    <xf numFmtId="3" fontId="15" fillId="0" borderId="6" xfId="5" applyNumberFormat="1" applyFont="1" applyFill="1" applyBorder="1" applyAlignment="1" applyProtection="1">
      <alignment horizontal="right"/>
      <protection locked="0"/>
    </xf>
    <xf numFmtId="0" fontId="2" fillId="0" borderId="0" xfId="5" applyBorder="1"/>
    <xf numFmtId="3" fontId="15" fillId="0" borderId="0" xfId="5" applyNumberFormat="1" applyFont="1" applyBorder="1" applyAlignment="1" applyProtection="1">
      <alignment horizontal="center" vertical="center" wrapText="1"/>
      <protection locked="0"/>
    </xf>
    <xf numFmtId="0" fontId="15" fillId="0" borderId="0" xfId="5" applyFont="1" applyBorder="1" applyAlignment="1" applyProtection="1">
      <alignment horizontal="center" vertical="center"/>
      <protection locked="0"/>
    </xf>
    <xf numFmtId="3" fontId="15" fillId="0" borderId="0" xfId="5" applyNumberFormat="1" applyFont="1" applyBorder="1" applyAlignment="1" applyProtection="1">
      <alignment vertical="center" wrapText="1"/>
      <protection locked="0"/>
    </xf>
    <xf numFmtId="3" fontId="15" fillId="0" borderId="0" xfId="5" applyNumberFormat="1" applyFont="1" applyBorder="1" applyAlignment="1" applyProtection="1">
      <alignment horizontal="left"/>
      <protection locked="0"/>
    </xf>
    <xf numFmtId="3" fontId="14" fillId="0" borderId="0" xfId="5" applyNumberFormat="1" applyFont="1" applyBorder="1" applyAlignment="1" applyProtection="1">
      <alignment horizontal="center" vertical="center" wrapText="1"/>
      <protection locked="0"/>
    </xf>
    <xf numFmtId="3" fontId="15" fillId="0" borderId="0" xfId="5" applyNumberFormat="1" applyFont="1" applyBorder="1" applyAlignment="1" applyProtection="1">
      <alignment horizontal="center" wrapText="1"/>
      <protection locked="0"/>
    </xf>
    <xf numFmtId="0" fontId="15" fillId="0" borderId="0" xfId="5" applyFont="1" applyBorder="1" applyAlignment="1" applyProtection="1">
      <alignment horizontal="left"/>
      <protection locked="0"/>
    </xf>
    <xf numFmtId="0" fontId="19" fillId="0" borderId="0" xfId="5" applyFont="1" applyAlignment="1">
      <alignment vertical="center"/>
    </xf>
    <xf numFmtId="0" fontId="15" fillId="0" borderId="6" xfId="5" applyFont="1" applyFill="1" applyBorder="1" applyAlignment="1">
      <alignment vertical="center"/>
    </xf>
    <xf numFmtId="0" fontId="15" fillId="0" borderId="6" xfId="5" applyFont="1" applyBorder="1" applyAlignment="1" applyProtection="1">
      <alignment horizontal="left" wrapText="1"/>
      <protection locked="0"/>
    </xf>
    <xf numFmtId="3" fontId="14" fillId="2" borderId="6" xfId="5" applyNumberFormat="1" applyFont="1" applyFill="1" applyBorder="1"/>
    <xf numFmtId="1" fontId="14" fillId="2" borderId="6" xfId="5" applyNumberFormat="1" applyFont="1" applyFill="1" applyBorder="1"/>
    <xf numFmtId="0" fontId="15" fillId="2" borderId="6" xfId="5" applyFont="1" applyFill="1" applyBorder="1"/>
    <xf numFmtId="0" fontId="2" fillId="2" borderId="0" xfId="5" applyFill="1"/>
    <xf numFmtId="1" fontId="14" fillId="0" borderId="0" xfId="5" applyNumberFormat="1" applyFont="1" applyBorder="1"/>
    <xf numFmtId="3" fontId="14" fillId="0" borderId="6" xfId="5" applyNumberFormat="1" applyFont="1" applyBorder="1" applyAlignment="1" applyProtection="1">
      <alignment horizontal="right" vertical="center" wrapText="1"/>
      <protection locked="0"/>
    </xf>
    <xf numFmtId="3" fontId="14" fillId="0" borderId="6" xfId="5" applyNumberFormat="1" applyFont="1" applyBorder="1" applyAlignment="1" applyProtection="1">
      <alignment wrapText="1"/>
      <protection locked="0"/>
    </xf>
    <xf numFmtId="0" fontId="14" fillId="0" borderId="6" xfId="5" applyFont="1" applyBorder="1" applyAlignment="1" applyProtection="1">
      <alignment wrapText="1"/>
      <protection locked="0"/>
    </xf>
    <xf numFmtId="0" fontId="14" fillId="0" borderId="0" xfId="5" applyFont="1" applyBorder="1" applyAlignment="1" applyProtection="1">
      <alignment horizontal="right" vertical="center" wrapText="1"/>
      <protection locked="0"/>
    </xf>
    <xf numFmtId="3" fontId="14" fillId="0" borderId="0" xfId="5" applyNumberFormat="1" applyFont="1" applyBorder="1" applyAlignment="1" applyProtection="1">
      <alignment vertical="center" wrapText="1"/>
      <protection locked="0"/>
    </xf>
    <xf numFmtId="3" fontId="14" fillId="0" borderId="0" xfId="5" applyNumberFormat="1" applyFont="1" applyBorder="1" applyAlignment="1" applyProtection="1">
      <alignment wrapText="1"/>
      <protection locked="0"/>
    </xf>
    <xf numFmtId="0" fontId="14" fillId="0" borderId="0" xfId="5" applyFont="1" applyBorder="1" applyAlignment="1" applyProtection="1">
      <alignment wrapText="1"/>
      <protection locked="0"/>
    </xf>
    <xf numFmtId="167" fontId="15" fillId="0" borderId="0" xfId="10" applyNumberFormat="1" applyFont="1" applyFill="1" applyBorder="1" applyAlignment="1">
      <alignment vertical="center" wrapText="1"/>
    </xf>
    <xf numFmtId="167" fontId="15" fillId="0" borderId="0" xfId="10" applyNumberFormat="1" applyFont="1" applyFill="1" applyBorder="1" applyAlignment="1">
      <alignment vertical="center"/>
    </xf>
    <xf numFmtId="0" fontId="15" fillId="0" borderId="0" xfId="5" applyFont="1" applyAlignment="1">
      <alignment horizontal="right" vertical="center"/>
    </xf>
    <xf numFmtId="167" fontId="15" fillId="0" borderId="0" xfId="10" applyNumberFormat="1" applyFont="1" applyFill="1" applyBorder="1" applyAlignment="1">
      <alignment horizontal="right" vertical="center" wrapText="1"/>
    </xf>
    <xf numFmtId="0" fontId="32" fillId="0" borderId="0" xfId="5" applyFont="1" applyAlignment="1">
      <alignment vertical="center"/>
    </xf>
    <xf numFmtId="0" fontId="15" fillId="0" borderId="0" xfId="5" applyFont="1" applyAlignment="1" applyProtection="1">
      <alignment vertical="center"/>
      <protection locked="0"/>
    </xf>
    <xf numFmtId="0" fontId="12" fillId="0" borderId="0" xfId="5" applyFont="1" applyAlignment="1" applyProtection="1">
      <alignment horizontal="right" vertical="center"/>
      <protection locked="0"/>
    </xf>
    <xf numFmtId="0" fontId="15" fillId="0" borderId="0" xfId="5" applyFont="1" applyAlignment="1" applyProtection="1">
      <alignment horizontal="right" vertical="center"/>
      <protection locked="0"/>
    </xf>
    <xf numFmtId="0" fontId="15" fillId="0" borderId="0" xfId="5" applyFont="1" applyAlignment="1">
      <alignment horizontal="left" wrapText="1"/>
    </xf>
    <xf numFmtId="0" fontId="7" fillId="0" borderId="0" xfId="5" applyFont="1" applyAlignment="1">
      <alignment horizontal="center" wrapText="1"/>
    </xf>
    <xf numFmtId="0" fontId="15" fillId="0" borderId="0" xfId="5" applyFont="1" applyAlignment="1">
      <alignment wrapText="1"/>
    </xf>
    <xf numFmtId="0" fontId="20" fillId="0" borderId="0" xfId="5" applyFont="1" applyAlignment="1">
      <alignment horizontal="left"/>
    </xf>
    <xf numFmtId="49" fontId="14" fillId="0" borderId="0" xfId="5" applyNumberFormat="1" applyFont="1" applyAlignment="1">
      <alignment horizontal="left"/>
    </xf>
    <xf numFmtId="3" fontId="14" fillId="0" borderId="6" xfId="5" applyNumberFormat="1" applyFont="1" applyBorder="1" applyAlignment="1">
      <alignment horizontal="right" vertical="center" wrapText="1"/>
    </xf>
    <xf numFmtId="0" fontId="15" fillId="0" borderId="0" xfId="5" applyFont="1" applyBorder="1" applyProtection="1">
      <protection locked="0"/>
    </xf>
    <xf numFmtId="0" fontId="6" fillId="0" borderId="0" xfId="5" applyFont="1" applyAlignment="1">
      <alignment horizontal="left" vertical="center"/>
    </xf>
    <xf numFmtId="0" fontId="7" fillId="0" borderId="0" xfId="5" applyFont="1" applyAlignment="1">
      <alignment horizontal="center" vertical="center"/>
    </xf>
    <xf numFmtId="0" fontId="7" fillId="0" borderId="0" xfId="5" applyFont="1" applyFill="1" applyAlignment="1">
      <alignment horizontal="center" vertical="center"/>
    </xf>
    <xf numFmtId="49" fontId="14" fillId="0" borderId="41" xfId="5" applyNumberFormat="1" applyFont="1" applyBorder="1" applyAlignment="1" applyProtection="1">
      <alignment horizontal="left"/>
      <protection locked="0"/>
    </xf>
    <xf numFmtId="49" fontId="14" fillId="0" borderId="41" xfId="5" applyNumberFormat="1" applyFont="1" applyBorder="1" applyAlignment="1" applyProtection="1">
      <protection locked="0"/>
    </xf>
    <xf numFmtId="49" fontId="11" fillId="0" borderId="41" xfId="5" applyNumberFormat="1" applyFont="1" applyBorder="1" applyAlignment="1" applyProtection="1">
      <protection locked="0"/>
    </xf>
    <xf numFmtId="0" fontId="14" fillId="0" borderId="21" xfId="5" applyFont="1" applyBorder="1" applyAlignment="1">
      <alignment wrapText="1"/>
    </xf>
    <xf numFmtId="0" fontId="14" fillId="0" borderId="36" xfId="5" applyFont="1" applyBorder="1" applyAlignment="1">
      <alignment horizontal="center" vertical="center" wrapText="1"/>
    </xf>
    <xf numFmtId="0" fontId="14" fillId="0" borderId="6" xfId="5" applyFont="1" applyBorder="1" applyAlignment="1" applyProtection="1">
      <alignment horizontal="center" vertical="center"/>
      <protection locked="0"/>
    </xf>
    <xf numFmtId="0" fontId="20" fillId="0" borderId="0" xfId="5" applyFont="1" applyAlignment="1">
      <alignment horizontal="left" vertical="center"/>
    </xf>
    <xf numFmtId="0" fontId="15" fillId="0" borderId="6" xfId="5" applyFont="1" applyBorder="1" applyAlignment="1">
      <alignment vertical="center"/>
    </xf>
    <xf numFmtId="0" fontId="15" fillId="0" borderId="14" xfId="5" applyFont="1" applyBorder="1" applyAlignment="1">
      <alignment vertical="center"/>
    </xf>
    <xf numFmtId="0" fontId="15" fillId="0" borderId="15" xfId="5" applyFont="1" applyFill="1" applyBorder="1" applyAlignment="1" applyProtection="1">
      <alignment vertical="center" wrapText="1"/>
      <protection locked="0"/>
    </xf>
    <xf numFmtId="0" fontId="15" fillId="0" borderId="0" xfId="5" applyFont="1" applyBorder="1" applyAlignment="1">
      <alignment vertical="center" wrapText="1"/>
    </xf>
    <xf numFmtId="0" fontId="14" fillId="0" borderId="6" xfId="5" applyFont="1" applyFill="1" applyBorder="1" applyAlignment="1">
      <alignment vertical="center" wrapText="1"/>
    </xf>
    <xf numFmtId="0" fontId="15" fillId="0" borderId="6" xfId="5" applyFont="1" applyBorder="1" applyAlignment="1" applyProtection="1">
      <alignment horizontal="justify" vertical="center" wrapText="1"/>
      <protection locked="0"/>
    </xf>
    <xf numFmtId="3" fontId="15" fillId="0" borderId="0" xfId="5" applyNumberFormat="1" applyFont="1" applyBorder="1" applyAlignment="1" applyProtection="1">
      <alignment horizontal="left" vertical="center" wrapText="1"/>
      <protection locked="0"/>
    </xf>
    <xf numFmtId="0" fontId="15" fillId="0" borderId="0" xfId="5" applyFont="1" applyBorder="1" applyAlignment="1" applyProtection="1">
      <alignment vertical="center" wrapText="1"/>
      <protection locked="0"/>
    </xf>
    <xf numFmtId="0" fontId="14" fillId="0" borderId="0" xfId="2" applyFont="1" applyFill="1" applyAlignment="1">
      <alignment vertical="center"/>
    </xf>
    <xf numFmtId="0" fontId="15" fillId="0" borderId="0" xfId="2" applyFont="1" applyFill="1" applyAlignment="1">
      <alignment horizontal="left" vertical="center"/>
    </xf>
    <xf numFmtId="0" fontId="17" fillId="0" borderId="0" xfId="2" applyFont="1" applyFill="1" applyAlignment="1">
      <alignment vertical="center"/>
    </xf>
    <xf numFmtId="0" fontId="15" fillId="0" borderId="0" xfId="2" applyFont="1" applyAlignment="1">
      <alignment horizontal="right" vertical="center"/>
    </xf>
    <xf numFmtId="0" fontId="32" fillId="0" borderId="0" xfId="5" applyFont="1"/>
    <xf numFmtId="0" fontId="15" fillId="0" borderId="0" xfId="5" applyFont="1" applyFill="1" applyBorder="1" applyAlignment="1" applyProtection="1">
      <alignment vertical="center"/>
      <protection locked="0"/>
    </xf>
    <xf numFmtId="0" fontId="15" fillId="0" borderId="0" xfId="5" applyFont="1" applyBorder="1" applyAlignment="1" applyProtection="1">
      <alignment vertical="center"/>
      <protection locked="0"/>
    </xf>
    <xf numFmtId="0" fontId="15" fillId="0" borderId="0" xfId="5" applyFont="1" applyBorder="1" applyAlignment="1">
      <alignment vertical="center"/>
    </xf>
    <xf numFmtId="0" fontId="15" fillId="0" borderId="0" xfId="5" applyFont="1" applyFill="1" applyBorder="1" applyAlignment="1" applyProtection="1">
      <alignment horizontal="center"/>
      <protection locked="0"/>
    </xf>
    <xf numFmtId="0" fontId="15" fillId="0" borderId="0" xfId="5" applyFont="1" applyBorder="1" applyAlignment="1">
      <alignment horizontal="left" vertical="center" wrapText="1"/>
    </xf>
    <xf numFmtId="0" fontId="15" fillId="0" borderId="0" xfId="5" applyFont="1" applyAlignment="1" applyProtection="1">
      <alignment wrapText="1"/>
      <protection locked="0"/>
    </xf>
    <xf numFmtId="0" fontId="49" fillId="0" borderId="0" xfId="5" applyFont="1" applyAlignment="1">
      <alignment horizontal="left" vertical="center" indent="1"/>
    </xf>
    <xf numFmtId="0" fontId="14" fillId="0" borderId="0" xfId="5" applyFont="1" applyBorder="1" applyAlignment="1">
      <alignment horizontal="left" wrapText="1"/>
    </xf>
    <xf numFmtId="0" fontId="14" fillId="0" borderId="0" xfId="5" applyFont="1" applyBorder="1" applyAlignment="1" applyProtection="1">
      <alignment horizontal="left" wrapText="1"/>
      <protection locked="0"/>
    </xf>
    <xf numFmtId="0" fontId="15" fillId="0" borderId="0" xfId="5" applyFont="1" applyBorder="1" applyAlignment="1">
      <alignment horizontal="left" vertical="center"/>
    </xf>
    <xf numFmtId="0" fontId="15" fillId="0" borderId="0" xfId="5" applyFont="1" applyBorder="1" applyAlignment="1" applyProtection="1">
      <protection locked="0"/>
    </xf>
    <xf numFmtId="0" fontId="15" fillId="0" borderId="0" xfId="5" applyFont="1" applyAlignment="1" applyProtection="1">
      <alignment horizontal="center"/>
      <protection locked="0"/>
    </xf>
    <xf numFmtId="0" fontId="20" fillId="0" borderId="0" xfId="5" applyFont="1" applyBorder="1" applyAlignment="1" applyProtection="1">
      <protection locked="0"/>
    </xf>
    <xf numFmtId="0" fontId="15" fillId="0" borderId="0" xfId="5" applyFont="1" applyAlignment="1">
      <alignment vertical="center" wrapText="1"/>
    </xf>
    <xf numFmtId="0" fontId="15" fillId="0" borderId="0" xfId="2" applyFont="1" applyAlignment="1">
      <alignment horizontal="right"/>
    </xf>
    <xf numFmtId="0" fontId="5" fillId="0" borderId="6" xfId="5" applyFont="1" applyBorder="1" applyAlignment="1">
      <alignment horizontal="center" vertical="center" wrapText="1"/>
    </xf>
    <xf numFmtId="49" fontId="15" fillId="0" borderId="6" xfId="5" applyNumberFormat="1" applyFont="1" applyBorder="1" applyAlignment="1" applyProtection="1">
      <alignment vertical="center" wrapText="1"/>
      <protection locked="0"/>
    </xf>
    <xf numFmtId="3" fontId="15" fillId="3" borderId="6" xfId="5" applyNumberFormat="1" applyFont="1" applyFill="1" applyBorder="1" applyAlignment="1" applyProtection="1">
      <alignment vertical="center" wrapText="1"/>
      <protection locked="0"/>
    </xf>
    <xf numFmtId="168" fontId="15" fillId="0" borderId="6" xfId="5" applyNumberFormat="1" applyFont="1" applyBorder="1" applyAlignment="1" applyProtection="1">
      <alignment horizontal="center" vertical="center" wrapText="1"/>
      <protection locked="0"/>
    </xf>
    <xf numFmtId="3" fontId="15" fillId="0" borderId="21" xfId="5" applyNumberFormat="1" applyFont="1" applyFill="1" applyBorder="1" applyAlignment="1" applyProtection="1">
      <alignment vertical="center" wrapText="1"/>
      <protection locked="0"/>
    </xf>
    <xf numFmtId="0" fontId="15" fillId="0" borderId="0" xfId="5" applyFont="1" applyAlignment="1">
      <alignment horizontal="left" indent="1"/>
    </xf>
    <xf numFmtId="0" fontId="15" fillId="0" borderId="0" xfId="5" applyFont="1" applyAlignment="1">
      <alignment horizontal="left" indent="3"/>
    </xf>
    <xf numFmtId="3" fontId="15" fillId="0" borderId="0" xfId="5" applyNumberFormat="1" applyFont="1" applyBorder="1" applyAlignment="1" applyProtection="1">
      <protection locked="0"/>
    </xf>
    <xf numFmtId="3" fontId="15" fillId="0" borderId="6" xfId="2" applyNumberFormat="1" applyFont="1" applyFill="1" applyBorder="1" applyAlignment="1" applyProtection="1">
      <alignment vertical="center" wrapText="1"/>
      <protection locked="0"/>
    </xf>
    <xf numFmtId="0" fontId="15" fillId="0" borderId="6" xfId="2" applyFont="1" applyFill="1" applyBorder="1" applyAlignment="1">
      <alignment vertical="center"/>
    </xf>
    <xf numFmtId="3" fontId="15" fillId="0" borderId="17" xfId="2" applyNumberFormat="1" applyFont="1" applyFill="1" applyBorder="1" applyAlignment="1" applyProtection="1">
      <alignment vertical="center" wrapText="1"/>
      <protection locked="0"/>
    </xf>
    <xf numFmtId="3" fontId="15" fillId="0" borderId="21" xfId="2" applyNumberFormat="1" applyFont="1" applyFill="1" applyBorder="1" applyAlignment="1" applyProtection="1">
      <alignment vertical="center" wrapText="1"/>
      <protection locked="0"/>
    </xf>
    <xf numFmtId="0" fontId="15" fillId="0" borderId="6" xfId="2" applyFont="1" applyFill="1" applyBorder="1" applyAlignment="1" applyProtection="1">
      <alignment horizontal="center" vertical="center" wrapText="1"/>
      <protection locked="0"/>
    </xf>
    <xf numFmtId="3" fontId="15" fillId="0" borderId="6" xfId="2" applyNumberFormat="1" applyFont="1" applyBorder="1" applyAlignment="1" applyProtection="1">
      <alignment horizontal="center" vertical="center" wrapText="1"/>
      <protection locked="0"/>
    </xf>
    <xf numFmtId="0" fontId="15" fillId="0" borderId="6" xfId="2" applyFont="1" applyBorder="1" applyAlignment="1">
      <alignment vertical="top" wrapText="1"/>
    </xf>
    <xf numFmtId="3" fontId="15" fillId="0" borderId="6" xfId="2" applyNumberFormat="1" applyFont="1" applyBorder="1" applyAlignment="1">
      <alignment vertical="center"/>
    </xf>
    <xf numFmtId="3" fontId="15" fillId="3" borderId="6" xfId="2" applyNumberFormat="1" applyFont="1" applyFill="1" applyBorder="1" applyAlignment="1">
      <alignment vertical="center"/>
    </xf>
    <xf numFmtId="3" fontId="15" fillId="0" borderId="6" xfId="2" applyNumberFormat="1" applyFont="1" applyBorder="1" applyAlignment="1">
      <alignment vertical="center" wrapText="1"/>
    </xf>
    <xf numFmtId="3" fontId="14" fillId="0" borderId="6" xfId="2" applyNumberFormat="1" applyFont="1" applyFill="1" applyBorder="1" applyAlignment="1" applyProtection="1">
      <alignment horizontal="center" vertical="center"/>
      <protection locked="0"/>
    </xf>
    <xf numFmtId="0" fontId="15" fillId="0" borderId="6" xfId="2" applyFont="1" applyBorder="1" applyAlignment="1" applyProtection="1">
      <alignment horizontal="center" vertical="center"/>
      <protection locked="0"/>
    </xf>
    <xf numFmtId="0" fontId="15" fillId="0" borderId="6" xfId="2" applyFont="1" applyBorder="1" applyAlignment="1">
      <alignment horizontal="left" vertical="top"/>
    </xf>
    <xf numFmtId="0" fontId="15" fillId="0" borderId="21" xfId="2" applyFont="1" applyBorder="1" applyAlignment="1" applyProtection="1">
      <alignment horizontal="center" vertical="center" wrapText="1"/>
      <protection locked="0"/>
    </xf>
    <xf numFmtId="3" fontId="15" fillId="0" borderId="21" xfId="2" applyNumberFormat="1" applyFont="1" applyFill="1" applyBorder="1" applyAlignment="1" applyProtection="1">
      <alignment horizontal="center" vertical="center" wrapText="1"/>
      <protection locked="0"/>
    </xf>
    <xf numFmtId="0" fontId="15" fillId="0" borderId="6" xfId="2" applyFont="1" applyBorder="1" applyAlignment="1">
      <alignment wrapText="1"/>
    </xf>
    <xf numFmtId="3" fontId="15" fillId="3" borderId="6" xfId="2" applyNumberFormat="1" applyFont="1" applyFill="1" applyBorder="1" applyAlignment="1" applyProtection="1">
      <alignment horizontal="right" vertical="center" wrapText="1"/>
      <protection locked="0"/>
    </xf>
    <xf numFmtId="0" fontId="15" fillId="0" borderId="6" xfId="2" applyFont="1" applyBorder="1"/>
    <xf numFmtId="0" fontId="15" fillId="0" borderId="6" xfId="2" applyFont="1" applyBorder="1" applyAlignment="1">
      <alignment horizontal="left" vertical="top" wrapText="1"/>
    </xf>
    <xf numFmtId="3" fontId="15" fillId="0" borderId="6" xfId="5" applyNumberFormat="1" applyFont="1" applyFill="1" applyBorder="1" applyAlignment="1">
      <alignment vertical="center"/>
    </xf>
    <xf numFmtId="3" fontId="14" fillId="0" borderId="6" xfId="5" applyNumberFormat="1" applyFont="1" applyFill="1" applyBorder="1" applyAlignment="1">
      <alignment horizontal="center" vertical="center"/>
    </xf>
    <xf numFmtId="3" fontId="14" fillId="0" borderId="46" xfId="5" applyNumberFormat="1" applyFont="1" applyBorder="1" applyAlignment="1">
      <alignment vertical="center"/>
    </xf>
    <xf numFmtId="0" fontId="15" fillId="0" borderId="46" xfId="5" applyFont="1" applyBorder="1" applyAlignment="1">
      <alignment vertical="center"/>
    </xf>
    <xf numFmtId="0" fontId="14" fillId="0" borderId="0" xfId="2" applyFont="1" applyAlignment="1">
      <alignment horizontal="left" indent="1"/>
    </xf>
    <xf numFmtId="3" fontId="15" fillId="0" borderId="0" xfId="2" applyNumberFormat="1" applyFont="1" applyAlignment="1">
      <alignment vertical="center"/>
    </xf>
    <xf numFmtId="3" fontId="15" fillId="0" borderId="0" xfId="2" applyNumberFormat="1" applyFont="1" applyFill="1" applyAlignment="1">
      <alignment vertical="center"/>
    </xf>
    <xf numFmtId="0" fontId="14" fillId="0" borderId="0" xfId="2" applyFont="1" applyAlignment="1">
      <alignment vertical="center"/>
    </xf>
    <xf numFmtId="3" fontId="14" fillId="0" borderId="17" xfId="5" applyNumberFormat="1" applyFont="1" applyBorder="1" applyAlignment="1" applyProtection="1">
      <alignment horizontal="center" vertical="center" wrapText="1"/>
      <protection locked="0"/>
    </xf>
    <xf numFmtId="3" fontId="17" fillId="0" borderId="6" xfId="5" applyNumberFormat="1" applyFont="1" applyBorder="1" applyAlignment="1" applyProtection="1">
      <alignment vertical="center"/>
      <protection locked="0"/>
    </xf>
    <xf numFmtId="3" fontId="15" fillId="0" borderId="17" xfId="5" applyNumberFormat="1" applyFont="1" applyFill="1" applyBorder="1" applyAlignment="1" applyProtection="1">
      <alignment vertical="center" wrapText="1"/>
      <protection locked="0"/>
    </xf>
    <xf numFmtId="0" fontId="35" fillId="0" borderId="0" xfId="2" applyFont="1" applyAlignment="1">
      <alignment vertical="center"/>
    </xf>
    <xf numFmtId="0" fontId="15" fillId="0" borderId="0" xfId="2" applyFont="1" applyBorder="1" applyAlignment="1">
      <alignment horizontal="left" vertical="center"/>
    </xf>
    <xf numFmtId="0" fontId="22" fillId="0" borderId="0" xfId="2" applyFont="1" applyAlignment="1">
      <alignment horizontal="left"/>
    </xf>
    <xf numFmtId="0" fontId="1" fillId="0" borderId="0" xfId="6"/>
    <xf numFmtId="0" fontId="15" fillId="0" borderId="0" xfId="5" applyFont="1" applyAlignment="1">
      <alignment horizontal="center" wrapText="1"/>
    </xf>
    <xf numFmtId="0" fontId="2" fillId="0" borderId="0" xfId="5" applyAlignment="1"/>
    <xf numFmtId="3" fontId="15" fillId="0" borderId="0" xfId="2" applyNumberFormat="1" applyFont="1" applyBorder="1" applyAlignment="1">
      <alignment vertical="center" wrapText="1"/>
    </xf>
    <xf numFmtId="0" fontId="34" fillId="0" borderId="0" xfId="5" applyFont="1"/>
    <xf numFmtId="3" fontId="22" fillId="0" borderId="6" xfId="5" applyNumberFormat="1" applyFont="1" applyBorder="1" applyAlignment="1" applyProtection="1">
      <alignment horizontal="right" vertical="center" wrapText="1"/>
      <protection locked="0"/>
    </xf>
    <xf numFmtId="3" fontId="23" fillId="0" borderId="6" xfId="5" applyNumberFormat="1" applyFont="1" applyBorder="1" applyAlignment="1" applyProtection="1">
      <alignment horizontal="right" vertical="center" wrapText="1"/>
      <protection locked="0"/>
    </xf>
    <xf numFmtId="0" fontId="5" fillId="0" borderId="0" xfId="5" applyFont="1" applyAlignment="1">
      <alignment horizontal="left" vertical="center"/>
    </xf>
    <xf numFmtId="0" fontId="14" fillId="0" borderId="0" xfId="4" applyFont="1" applyFill="1" applyBorder="1" applyAlignment="1">
      <alignment horizontal="left" vertical="center"/>
    </xf>
    <xf numFmtId="49" fontId="14" fillId="0" borderId="0" xfId="4" quotePrefix="1" applyNumberFormat="1" applyFont="1" applyFill="1" applyBorder="1" applyAlignment="1">
      <alignment horizontal="left" vertical="center"/>
    </xf>
    <xf numFmtId="3" fontId="24" fillId="0" borderId="6" xfId="5" applyNumberFormat="1" applyFont="1" applyFill="1" applyBorder="1" applyAlignment="1" applyProtection="1">
      <alignment horizontal="right" vertical="center" wrapText="1"/>
      <protection locked="0"/>
    </xf>
    <xf numFmtId="3" fontId="24" fillId="0" borderId="6" xfId="5" applyNumberFormat="1" applyFont="1" applyFill="1" applyBorder="1" applyAlignment="1" applyProtection="1">
      <alignment vertical="center" wrapText="1"/>
      <protection locked="0"/>
    </xf>
    <xf numFmtId="3" fontId="24" fillId="0" borderId="6" xfId="5" applyNumberFormat="1" applyFont="1" applyFill="1" applyBorder="1" applyAlignment="1">
      <alignment vertical="center" wrapText="1"/>
    </xf>
    <xf numFmtId="3" fontId="15" fillId="0" borderId="0" xfId="5" applyNumberFormat="1" applyFont="1" applyBorder="1" applyAlignment="1">
      <alignment horizontal="center" vertical="center" wrapText="1"/>
    </xf>
    <xf numFmtId="169" fontId="14" fillId="0" borderId="0" xfId="4" quotePrefix="1" applyNumberFormat="1" applyFont="1" applyFill="1" applyBorder="1" applyAlignment="1">
      <alignment horizontal="left" vertical="center"/>
    </xf>
    <xf numFmtId="0" fontId="15" fillId="0" borderId="6" xfId="5" applyFont="1" applyBorder="1" applyAlignment="1" applyProtection="1">
      <alignment horizontal="right" wrapText="1"/>
      <protection locked="0"/>
    </xf>
    <xf numFmtId="0" fontId="15" fillId="0" borderId="14" xfId="5" applyFont="1" applyBorder="1" applyAlignment="1" applyProtection="1">
      <alignment horizontal="left" vertical="top" wrapText="1"/>
      <protection locked="0"/>
    </xf>
    <xf numFmtId="3" fontId="15" fillId="0" borderId="6" xfId="5" applyNumberFormat="1" applyFont="1" applyBorder="1" applyAlignment="1" applyProtection="1">
      <alignment horizontal="right" wrapText="1"/>
      <protection locked="0"/>
    </xf>
    <xf numFmtId="0" fontId="15" fillId="0" borderId="0" xfId="4" applyFont="1"/>
    <xf numFmtId="0" fontId="6" fillId="0" borderId="47" xfId="2" applyFont="1" applyFill="1" applyBorder="1" applyAlignment="1">
      <alignment wrapText="1"/>
    </xf>
    <xf numFmtId="0" fontId="5" fillId="0" borderId="47" xfId="2" applyFont="1" applyFill="1" applyBorder="1" applyAlignment="1">
      <alignment horizontal="right" vertical="justify" wrapText="1"/>
    </xf>
    <xf numFmtId="3" fontId="5" fillId="0" borderId="47" xfId="2" applyNumberFormat="1" applyFont="1" applyBorder="1" applyAlignment="1">
      <alignment wrapText="1"/>
    </xf>
    <xf numFmtId="0" fontId="2" fillId="0" borderId="47" xfId="2" applyFont="1" applyBorder="1" applyAlignment="1">
      <alignment wrapText="1"/>
    </xf>
    <xf numFmtId="0" fontId="2" fillId="0" borderId="47" xfId="2" applyFont="1" applyFill="1" applyBorder="1" applyAlignment="1">
      <alignment wrapText="1"/>
    </xf>
    <xf numFmtId="0" fontId="7" fillId="0" borderId="48" xfId="2" applyFont="1" applyFill="1" applyBorder="1" applyAlignment="1">
      <alignment horizontal="center" vertical="center" wrapText="1"/>
    </xf>
    <xf numFmtId="0" fontId="7" fillId="0" borderId="49" xfId="2" applyFont="1" applyFill="1" applyBorder="1" applyAlignment="1">
      <alignment horizontal="center" vertical="center" wrapText="1"/>
    </xf>
    <xf numFmtId="3" fontId="7" fillId="0" borderId="49" xfId="2" applyNumberFormat="1" applyFont="1" applyFill="1" applyBorder="1" applyAlignment="1">
      <alignment horizontal="center" vertical="center" wrapText="1"/>
    </xf>
    <xf numFmtId="0" fontId="7" fillId="0" borderId="50" xfId="2" applyFont="1" applyFill="1" applyBorder="1" applyAlignment="1">
      <alignment horizontal="center" vertical="center" wrapText="1"/>
    </xf>
    <xf numFmtId="0" fontId="7" fillId="0" borderId="51" xfId="2" applyFont="1" applyFill="1" applyBorder="1" applyAlignment="1">
      <alignment horizontal="center" vertical="center" wrapText="1"/>
    </xf>
    <xf numFmtId="0" fontId="7" fillId="0" borderId="52" xfId="2" applyFont="1" applyFill="1" applyBorder="1" applyAlignment="1">
      <alignment horizontal="center" vertical="center" wrapText="1"/>
    </xf>
    <xf numFmtId="0" fontId="7" fillId="0" borderId="53" xfId="2" applyFont="1" applyFill="1" applyBorder="1" applyAlignment="1">
      <alignment horizontal="center" vertical="center" wrapText="1"/>
    </xf>
    <xf numFmtId="0" fontId="7" fillId="0" borderId="54" xfId="2" applyFont="1" applyFill="1" applyBorder="1" applyAlignment="1">
      <alignment vertical="center" wrapText="1"/>
    </xf>
    <xf numFmtId="0" fontId="7" fillId="0" borderId="46" xfId="2" applyFont="1" applyFill="1" applyBorder="1" applyAlignment="1">
      <alignment vertical="center" wrapText="1"/>
    </xf>
    <xf numFmtId="0" fontId="7" fillId="0" borderId="46" xfId="2" applyFont="1" applyFill="1" applyBorder="1" applyAlignment="1">
      <alignment horizontal="center" vertical="center" wrapText="1"/>
    </xf>
    <xf numFmtId="3" fontId="52" fillId="0" borderId="46" xfId="2" applyNumberFormat="1" applyFont="1" applyFill="1" applyBorder="1" applyAlignment="1">
      <alignment wrapText="1"/>
    </xf>
    <xf numFmtId="3" fontId="52" fillId="0" borderId="55" xfId="2" applyNumberFormat="1" applyFont="1" applyFill="1" applyBorder="1" applyAlignment="1">
      <alignment wrapText="1"/>
    </xf>
    <xf numFmtId="0" fontId="7" fillId="0" borderId="56" xfId="2" applyFont="1" applyFill="1" applyBorder="1" applyAlignment="1">
      <alignment vertical="center" wrapText="1"/>
    </xf>
    <xf numFmtId="0" fontId="7" fillId="0" borderId="40" xfId="2" applyFont="1" applyFill="1" applyBorder="1" applyAlignment="1">
      <alignment vertical="center" wrapText="1"/>
    </xf>
    <xf numFmtId="0" fontId="7" fillId="4" borderId="40" xfId="2" applyFont="1" applyFill="1" applyBorder="1" applyAlignment="1">
      <alignment horizontal="left" vertical="center" wrapText="1"/>
    </xf>
    <xf numFmtId="10" fontId="7" fillId="4" borderId="40" xfId="2" applyNumberFormat="1" applyFont="1" applyFill="1" applyBorder="1" applyAlignment="1">
      <alignment wrapText="1"/>
    </xf>
    <xf numFmtId="10" fontId="7" fillId="4" borderId="38" xfId="2" applyNumberFormat="1" applyFont="1" applyFill="1" applyBorder="1" applyAlignment="1">
      <alignment wrapText="1"/>
    </xf>
    <xf numFmtId="10" fontId="7" fillId="5" borderId="55" xfId="2" applyNumberFormat="1" applyFont="1" applyFill="1" applyBorder="1" applyAlignment="1">
      <alignment wrapText="1"/>
    </xf>
    <xf numFmtId="3" fontId="52" fillId="0" borderId="40" xfId="2" applyNumberFormat="1" applyFont="1" applyFill="1" applyBorder="1" applyAlignment="1">
      <alignment wrapText="1"/>
    </xf>
    <xf numFmtId="3" fontId="52" fillId="0" borderId="38" xfId="2" applyNumberFormat="1" applyFont="1" applyFill="1" applyBorder="1" applyAlignment="1">
      <alignment wrapText="1"/>
    </xf>
    <xf numFmtId="3" fontId="4" fillId="0" borderId="40" xfId="2" applyNumberFormat="1" applyFont="1" applyBorder="1" applyAlignment="1">
      <alignment wrapText="1"/>
    </xf>
    <xf numFmtId="3" fontId="4" fillId="0" borderId="38" xfId="2" applyNumberFormat="1" applyFont="1" applyBorder="1" applyAlignment="1">
      <alignment wrapText="1"/>
    </xf>
    <xf numFmtId="3" fontId="4" fillId="0" borderId="55" xfId="2" applyNumberFormat="1" applyFont="1" applyFill="1" applyBorder="1" applyAlignment="1">
      <alignment wrapText="1"/>
    </xf>
    <xf numFmtId="3" fontId="52" fillId="0" borderId="57" xfId="2" applyNumberFormat="1" applyFont="1" applyFill="1" applyBorder="1" applyAlignment="1">
      <alignment wrapText="1"/>
    </xf>
    <xf numFmtId="10" fontId="20" fillId="0" borderId="40" xfId="2" applyNumberFormat="1" applyFont="1" applyFill="1" applyBorder="1" applyAlignment="1">
      <alignment wrapText="1"/>
    </xf>
    <xf numFmtId="10" fontId="20" fillId="0" borderId="38" xfId="2" applyNumberFormat="1" applyFont="1" applyFill="1" applyBorder="1" applyAlignment="1">
      <alignment wrapText="1"/>
    </xf>
    <xf numFmtId="10" fontId="20" fillId="0" borderId="57" xfId="2" applyNumberFormat="1" applyFont="1" applyFill="1" applyBorder="1" applyAlignment="1">
      <alignment wrapText="1"/>
    </xf>
    <xf numFmtId="10" fontId="20" fillId="0" borderId="55" xfId="2" applyNumberFormat="1" applyFont="1" applyFill="1" applyBorder="1" applyAlignment="1">
      <alignment wrapText="1"/>
    </xf>
    <xf numFmtId="0" fontId="7" fillId="0" borderId="58" xfId="2" applyFont="1" applyFill="1" applyBorder="1" applyAlignment="1">
      <alignment vertical="center" wrapText="1"/>
    </xf>
    <xf numFmtId="0" fontId="7" fillId="0" borderId="59" xfId="2" applyFont="1" applyFill="1" applyBorder="1" applyAlignment="1">
      <alignment vertical="center" wrapText="1"/>
    </xf>
    <xf numFmtId="0" fontId="7" fillId="0" borderId="59" xfId="2" applyFont="1" applyFill="1" applyBorder="1" applyAlignment="1">
      <alignment horizontal="center" vertical="center" wrapText="1"/>
    </xf>
    <xf numFmtId="3" fontId="52" fillId="0" borderId="60" xfId="2" applyNumberFormat="1" applyFont="1" applyFill="1" applyBorder="1" applyAlignment="1">
      <alignment wrapText="1"/>
    </xf>
    <xf numFmtId="3" fontId="52" fillId="0" borderId="61" xfId="2" applyNumberFormat="1" applyFont="1" applyFill="1" applyBorder="1" applyAlignment="1">
      <alignment wrapText="1"/>
    </xf>
    <xf numFmtId="3" fontId="7" fillId="2" borderId="62" xfId="2" applyNumberFormat="1" applyFont="1" applyFill="1" applyBorder="1" applyAlignment="1">
      <alignment horizontal="center" vertical="center" wrapText="1"/>
    </xf>
    <xf numFmtId="0" fontId="7" fillId="6" borderId="63" xfId="2" applyFont="1" applyFill="1" applyBorder="1" applyAlignment="1">
      <alignment horizontal="center" vertical="center" wrapText="1"/>
    </xf>
    <xf numFmtId="3" fontId="7" fillId="6" borderId="63" xfId="2" applyNumberFormat="1" applyFont="1" applyFill="1" applyBorder="1" applyAlignment="1">
      <alignment horizontal="center" vertical="center" wrapText="1"/>
    </xf>
    <xf numFmtId="3" fontId="7" fillId="6" borderId="64" xfId="2" applyNumberFormat="1" applyFont="1" applyFill="1" applyBorder="1" applyAlignment="1">
      <alignment horizontal="center" vertical="center" wrapText="1"/>
    </xf>
    <xf numFmtId="3" fontId="7" fillId="0" borderId="65" xfId="2" applyNumberFormat="1" applyFont="1" applyFill="1" applyBorder="1" applyAlignment="1">
      <alignment horizontal="center" wrapText="1"/>
    </xf>
    <xf numFmtId="0" fontId="7" fillId="0" borderId="66" xfId="2" applyFont="1" applyFill="1" applyBorder="1" applyAlignment="1">
      <alignment horizontal="center" wrapText="1"/>
    </xf>
    <xf numFmtId="0" fontId="7" fillId="0" borderId="66" xfId="2" applyFont="1" applyFill="1" applyBorder="1" applyAlignment="1">
      <alignment horizontal="center" vertical="center" wrapText="1"/>
    </xf>
    <xf numFmtId="3" fontId="4" fillId="0" borderId="67" xfId="2" applyNumberFormat="1" applyFont="1" applyFill="1" applyBorder="1" applyAlignment="1">
      <alignment wrapText="1"/>
    </xf>
    <xf numFmtId="3" fontId="4" fillId="0" borderId="66" xfId="2" applyNumberFormat="1" applyFont="1" applyFill="1" applyBorder="1" applyAlignment="1">
      <alignment wrapText="1"/>
    </xf>
    <xf numFmtId="3" fontId="4" fillId="0" borderId="68" xfId="2" applyNumberFormat="1" applyFont="1" applyFill="1" applyBorder="1" applyAlignment="1">
      <alignment wrapText="1"/>
    </xf>
    <xf numFmtId="3" fontId="7" fillId="0" borderId="69" xfId="2" applyNumberFormat="1" applyFont="1" applyFill="1" applyBorder="1" applyAlignment="1">
      <alignment horizontal="center" wrapText="1"/>
    </xf>
    <xf numFmtId="0" fontId="7" fillId="0" borderId="70" xfId="2" applyFont="1" applyFill="1" applyBorder="1" applyAlignment="1">
      <alignment horizontal="center" wrapText="1"/>
    </xf>
    <xf numFmtId="0" fontId="4" fillId="0" borderId="70" xfId="2" applyFont="1" applyFill="1" applyBorder="1" applyAlignment="1">
      <alignment horizontal="center" vertical="center" wrapText="1"/>
    </xf>
    <xf numFmtId="3" fontId="4" fillId="0" borderId="71" xfId="2" applyNumberFormat="1" applyFont="1" applyFill="1" applyBorder="1" applyAlignment="1">
      <alignment horizontal="right" wrapText="1"/>
    </xf>
    <xf numFmtId="3" fontId="4" fillId="0" borderId="12" xfId="2" applyNumberFormat="1" applyFont="1" applyFill="1" applyBorder="1" applyAlignment="1">
      <alignment horizontal="right" wrapText="1"/>
    </xf>
    <xf numFmtId="3" fontId="4" fillId="0" borderId="70" xfId="2" applyNumberFormat="1" applyFont="1" applyFill="1" applyBorder="1" applyAlignment="1">
      <alignment horizontal="right" wrapText="1"/>
    </xf>
    <xf numFmtId="3" fontId="4" fillId="0" borderId="70" xfId="2" applyNumberFormat="1" applyFont="1" applyFill="1" applyBorder="1" applyAlignment="1">
      <alignment wrapText="1"/>
    </xf>
    <xf numFmtId="3" fontId="4" fillId="0" borderId="72" xfId="2" applyNumberFormat="1" applyFont="1" applyFill="1" applyBorder="1" applyAlignment="1">
      <alignment wrapText="1"/>
    </xf>
    <xf numFmtId="3" fontId="7" fillId="0" borderId="73" xfId="2" applyNumberFormat="1" applyFont="1" applyFill="1" applyBorder="1" applyAlignment="1">
      <alignment horizontal="center" wrapText="1"/>
    </xf>
    <xf numFmtId="0" fontId="7" fillId="0" borderId="74" xfId="2" applyFont="1" applyFill="1" applyBorder="1" applyAlignment="1">
      <alignment horizontal="center" wrapText="1"/>
    </xf>
    <xf numFmtId="0" fontId="7" fillId="0" borderId="74" xfId="2" applyFont="1" applyFill="1" applyBorder="1" applyAlignment="1">
      <alignment horizontal="center" vertical="center" wrapText="1"/>
    </xf>
    <xf numFmtId="3" fontId="4" fillId="0" borderId="75" xfId="2" applyNumberFormat="1" applyFont="1" applyFill="1" applyBorder="1" applyAlignment="1">
      <alignment wrapText="1"/>
    </xf>
    <xf numFmtId="3" fontId="4" fillId="0" borderId="74" xfId="2" applyNumberFormat="1" applyFont="1" applyFill="1" applyBorder="1" applyAlignment="1">
      <alignment wrapText="1"/>
    </xf>
    <xf numFmtId="3" fontId="4" fillId="0" borderId="76" xfId="2" applyNumberFormat="1" applyFont="1" applyFill="1" applyBorder="1" applyAlignment="1">
      <alignment wrapText="1"/>
    </xf>
    <xf numFmtId="3" fontId="7" fillId="0" borderId="77" xfId="2" applyNumberFormat="1" applyFont="1" applyFill="1" applyBorder="1" applyAlignment="1">
      <alignment horizontal="center" wrapText="1"/>
    </xf>
    <xf numFmtId="0" fontId="7" fillId="0" borderId="78" xfId="2" applyFont="1" applyFill="1" applyBorder="1" applyAlignment="1">
      <alignment horizontal="center" wrapText="1"/>
    </xf>
    <xf numFmtId="0" fontId="4" fillId="0" borderId="78" xfId="2" applyFont="1" applyFill="1" applyBorder="1" applyAlignment="1">
      <alignment horizontal="center" vertical="center" wrapText="1"/>
    </xf>
    <xf numFmtId="3" fontId="4" fillId="0" borderId="79" xfId="2" applyNumberFormat="1" applyFont="1" applyFill="1" applyBorder="1" applyAlignment="1">
      <alignment wrapText="1"/>
    </xf>
    <xf numFmtId="3" fontId="4" fillId="0" borderId="78" xfId="2" applyNumberFormat="1" applyFont="1" applyFill="1" applyBorder="1" applyAlignment="1">
      <alignment wrapText="1"/>
    </xf>
    <xf numFmtId="3" fontId="53" fillId="0" borderId="80" xfId="2" applyNumberFormat="1" applyFont="1" applyFill="1" applyBorder="1" applyAlignment="1">
      <alignment wrapText="1"/>
    </xf>
    <xf numFmtId="3" fontId="4" fillId="0" borderId="80" xfId="2" applyNumberFormat="1" applyFont="1" applyFill="1" applyBorder="1" applyAlignment="1">
      <alignment wrapText="1"/>
    </xf>
    <xf numFmtId="3" fontId="7" fillId="0" borderId="81" xfId="2" applyNumberFormat="1" applyFont="1" applyFill="1" applyBorder="1" applyAlignment="1">
      <alignment horizontal="center" wrapText="1"/>
    </xf>
    <xf numFmtId="0" fontId="7" fillId="0" borderId="82" xfId="2" applyFont="1" applyFill="1" applyBorder="1" applyAlignment="1">
      <alignment horizontal="center" wrapText="1"/>
    </xf>
    <xf numFmtId="0" fontId="4" fillId="0" borderId="82" xfId="2" applyFont="1" applyFill="1" applyBorder="1" applyAlignment="1">
      <alignment horizontal="center" vertical="center" wrapText="1"/>
    </xf>
    <xf numFmtId="3" fontId="4" fillId="0" borderId="83" xfId="2" applyNumberFormat="1" applyFont="1" applyFill="1" applyBorder="1" applyAlignment="1">
      <alignment wrapText="1"/>
    </xf>
    <xf numFmtId="3" fontId="4" fillId="0" borderId="82" xfId="2" applyNumberFormat="1" applyFont="1" applyFill="1" applyBorder="1" applyAlignment="1">
      <alignment wrapText="1"/>
    </xf>
    <xf numFmtId="3" fontId="4" fillId="0" borderId="84" xfId="2" applyNumberFormat="1" applyFont="1" applyFill="1" applyBorder="1" applyAlignment="1">
      <alignment wrapText="1"/>
    </xf>
    <xf numFmtId="0" fontId="2" fillId="0" borderId="66" xfId="5" applyBorder="1"/>
    <xf numFmtId="3" fontId="4" fillId="0" borderId="66" xfId="2" applyNumberFormat="1" applyFont="1" applyFill="1" applyBorder="1" applyAlignment="1">
      <alignment horizontal="right" wrapText="1"/>
    </xf>
    <xf numFmtId="3" fontId="4" fillId="0" borderId="67" xfId="2" applyNumberFormat="1" applyFont="1" applyFill="1" applyBorder="1" applyAlignment="1">
      <alignment horizontal="right" wrapText="1"/>
    </xf>
    <xf numFmtId="3" fontId="4" fillId="0" borderId="68" xfId="2" applyNumberFormat="1" applyFont="1" applyFill="1" applyBorder="1" applyAlignment="1">
      <alignment horizontal="right" wrapText="1"/>
    </xf>
    <xf numFmtId="0" fontId="4" fillId="0" borderId="82" xfId="2" applyFont="1" applyFill="1" applyBorder="1" applyAlignment="1">
      <alignment horizontal="center" wrapText="1"/>
    </xf>
    <xf numFmtId="3" fontId="4" fillId="0" borderId="82" xfId="2" applyNumberFormat="1" applyFont="1" applyFill="1" applyBorder="1" applyAlignment="1">
      <alignment horizontal="right" wrapText="1"/>
    </xf>
    <xf numFmtId="3" fontId="4" fillId="0" borderId="83" xfId="2" applyNumberFormat="1" applyFont="1" applyFill="1" applyBorder="1" applyAlignment="1">
      <alignment horizontal="right" wrapText="1"/>
    </xf>
    <xf numFmtId="3" fontId="4" fillId="0" borderId="84" xfId="2" applyNumberFormat="1" applyFont="1" applyFill="1" applyBorder="1" applyAlignment="1">
      <alignment horizontal="right" wrapText="1"/>
    </xf>
    <xf numFmtId="0" fontId="4" fillId="0" borderId="66" xfId="2" applyFont="1" applyFill="1" applyBorder="1" applyAlignment="1">
      <alignment wrapText="1"/>
    </xf>
    <xf numFmtId="0" fontId="2" fillId="0" borderId="0" xfId="2" applyFill="1" applyBorder="1" applyAlignment="1">
      <alignment wrapText="1"/>
    </xf>
    <xf numFmtId="0" fontId="7" fillId="0" borderId="70" xfId="2" applyFont="1" applyFill="1" applyBorder="1" applyAlignment="1">
      <alignment horizontal="center" vertical="center" wrapText="1"/>
    </xf>
    <xf numFmtId="3" fontId="4" fillId="0" borderId="72" xfId="2" applyNumberFormat="1" applyFont="1" applyFill="1" applyBorder="1" applyAlignment="1">
      <alignment horizontal="right" wrapText="1"/>
    </xf>
    <xf numFmtId="3" fontId="7" fillId="0" borderId="48" xfId="2" applyNumberFormat="1" applyFont="1" applyFill="1" applyBorder="1" applyAlignment="1">
      <alignment horizontal="center" wrapText="1"/>
    </xf>
    <xf numFmtId="0" fontId="7" fillId="0" borderId="49" xfId="2" applyFont="1" applyFill="1" applyBorder="1" applyAlignment="1">
      <alignment horizontal="center" wrapText="1"/>
    </xf>
    <xf numFmtId="3" fontId="4" fillId="0" borderId="52" xfId="2" applyNumberFormat="1" applyFont="1" applyFill="1" applyBorder="1" applyAlignment="1">
      <alignment wrapText="1"/>
    </xf>
    <xf numFmtId="3" fontId="4" fillId="0" borderId="85" xfId="2" applyNumberFormat="1" applyFont="1" applyFill="1" applyBorder="1" applyAlignment="1">
      <alignment wrapText="1"/>
    </xf>
    <xf numFmtId="3" fontId="7" fillId="0" borderId="86" xfId="2" applyNumberFormat="1" applyFont="1" applyFill="1" applyBorder="1" applyAlignment="1">
      <alignment horizontal="center" wrapText="1"/>
    </xf>
    <xf numFmtId="0" fontId="7" fillId="0" borderId="60" xfId="2" applyFont="1" applyFill="1" applyBorder="1" applyAlignment="1">
      <alignment horizontal="center" wrapText="1"/>
    </xf>
    <xf numFmtId="3" fontId="4" fillId="0" borderId="87" xfId="2" applyNumberFormat="1" applyFont="1" applyFill="1" applyBorder="1" applyAlignment="1">
      <alignment wrapText="1"/>
    </xf>
    <xf numFmtId="3" fontId="4" fillId="0" borderId="60" xfId="2" applyNumberFormat="1" applyFont="1" applyFill="1" applyBorder="1" applyAlignment="1">
      <alignment wrapText="1"/>
    </xf>
    <xf numFmtId="3" fontId="4" fillId="0" borderId="88" xfId="2" applyNumberFormat="1" applyFont="1" applyFill="1" applyBorder="1" applyAlignment="1">
      <alignment wrapText="1"/>
    </xf>
    <xf numFmtId="3" fontId="7" fillId="2" borderId="62" xfId="2" applyNumberFormat="1" applyFont="1" applyFill="1" applyBorder="1" applyAlignment="1">
      <alignment horizontal="center" wrapText="1"/>
    </xf>
    <xf numFmtId="0" fontId="7" fillId="6" borderId="82" xfId="2" applyFont="1" applyFill="1" applyBorder="1" applyAlignment="1">
      <alignment horizontal="center" vertical="center" wrapText="1"/>
    </xf>
    <xf numFmtId="3" fontId="7" fillId="6" borderId="47" xfId="2" applyNumberFormat="1" applyFont="1" applyFill="1" applyBorder="1" applyAlignment="1">
      <alignment horizontal="center" vertical="center" wrapText="1"/>
    </xf>
    <xf numFmtId="3" fontId="4" fillId="2" borderId="83" xfId="2" applyNumberFormat="1" applyFont="1" applyFill="1" applyBorder="1" applyAlignment="1">
      <alignment wrapText="1"/>
    </xf>
    <xf numFmtId="3" fontId="4" fillId="2" borderId="82" xfId="2" applyNumberFormat="1" applyFont="1" applyFill="1" applyBorder="1" applyAlignment="1">
      <alignment wrapText="1"/>
    </xf>
    <xf numFmtId="3" fontId="4" fillId="2" borderId="89" xfId="2" applyNumberFormat="1" applyFont="1" applyFill="1" applyBorder="1" applyAlignment="1">
      <alignment wrapText="1"/>
    </xf>
    <xf numFmtId="3" fontId="4" fillId="2" borderId="63" xfId="2" applyNumberFormat="1" applyFont="1" applyFill="1" applyBorder="1" applyAlignment="1">
      <alignment wrapText="1"/>
    </xf>
    <xf numFmtId="3" fontId="4" fillId="2" borderId="64" xfId="2" applyNumberFormat="1" applyFont="1" applyFill="1" applyBorder="1" applyAlignment="1">
      <alignment wrapText="1"/>
    </xf>
    <xf numFmtId="3" fontId="7" fillId="3" borderId="65" xfId="2" applyNumberFormat="1" applyFont="1" applyFill="1" applyBorder="1" applyAlignment="1">
      <alignment horizontal="center" wrapText="1"/>
    </xf>
    <xf numFmtId="0" fontId="7" fillId="3" borderId="66" xfId="2" applyFont="1" applyFill="1" applyBorder="1" applyAlignment="1">
      <alignment horizontal="center" wrapText="1"/>
    </xf>
    <xf numFmtId="3" fontId="4" fillId="3" borderId="66" xfId="2" applyNumberFormat="1" applyFont="1" applyFill="1" applyBorder="1" applyAlignment="1">
      <alignment wrapText="1"/>
    </xf>
    <xf numFmtId="3" fontId="4" fillId="3" borderId="67" xfId="2" applyNumberFormat="1" applyFont="1" applyFill="1" applyBorder="1" applyAlignment="1">
      <alignment wrapText="1"/>
    </xf>
    <xf numFmtId="3" fontId="7" fillId="3" borderId="81" xfId="2" applyNumberFormat="1" applyFont="1" applyFill="1" applyBorder="1" applyAlignment="1">
      <alignment horizontal="center" wrapText="1"/>
    </xf>
    <xf numFmtId="0" fontId="7" fillId="3" borderId="82" xfId="2" applyFont="1" applyFill="1" applyBorder="1" applyAlignment="1">
      <alignment horizontal="center" vertical="center" wrapText="1"/>
    </xf>
    <xf numFmtId="0" fontId="4" fillId="3" borderId="82" xfId="2" applyFont="1" applyFill="1" applyBorder="1" applyAlignment="1">
      <alignment horizontal="center" wrapText="1"/>
    </xf>
    <xf numFmtId="3" fontId="4" fillId="3" borderId="44" xfId="2" applyNumberFormat="1" applyFont="1" applyFill="1" applyBorder="1" applyAlignment="1">
      <alignment wrapText="1"/>
    </xf>
    <xf numFmtId="3" fontId="4" fillId="3" borderId="83" xfId="2" applyNumberFormat="1" applyFont="1" applyFill="1" applyBorder="1" applyAlignment="1">
      <alignment wrapText="1"/>
    </xf>
    <xf numFmtId="3" fontId="4" fillId="3" borderId="82" xfId="2" applyNumberFormat="1" applyFont="1" applyFill="1" applyBorder="1" applyAlignment="1">
      <alignment wrapText="1"/>
    </xf>
    <xf numFmtId="0" fontId="7" fillId="3" borderId="82" xfId="2" applyFont="1" applyFill="1" applyBorder="1" applyAlignment="1">
      <alignment horizontal="center" wrapText="1"/>
    </xf>
    <xf numFmtId="0" fontId="4" fillId="3" borderId="78" xfId="2" applyFont="1" applyFill="1" applyBorder="1" applyAlignment="1">
      <alignment horizontal="center" wrapText="1"/>
    </xf>
    <xf numFmtId="0" fontId="2" fillId="3" borderId="0" xfId="2" applyFill="1" applyBorder="1" applyAlignment="1">
      <alignment wrapText="1"/>
    </xf>
    <xf numFmtId="3" fontId="4" fillId="3" borderId="70" xfId="2" applyNumberFormat="1" applyFont="1" applyFill="1" applyBorder="1" applyAlignment="1">
      <alignment wrapText="1"/>
    </xf>
    <xf numFmtId="3" fontId="4" fillId="3" borderId="12" xfId="2" applyNumberFormat="1" applyFont="1" applyFill="1" applyBorder="1" applyAlignment="1">
      <alignment wrapText="1"/>
    </xf>
    <xf numFmtId="3" fontId="4" fillId="3" borderId="78" xfId="2" applyNumberFormat="1" applyFont="1" applyFill="1" applyBorder="1" applyAlignment="1">
      <alignment wrapText="1"/>
    </xf>
    <xf numFmtId="3" fontId="4" fillId="3" borderId="79" xfId="2" applyNumberFormat="1" applyFont="1" applyFill="1" applyBorder="1" applyAlignment="1">
      <alignment wrapText="1"/>
    </xf>
    <xf numFmtId="0" fontId="7" fillId="0" borderId="90" xfId="2" applyFont="1" applyFill="1" applyBorder="1" applyAlignment="1">
      <alignment horizontal="center" wrapText="1"/>
    </xf>
    <xf numFmtId="0" fontId="4" fillId="0" borderId="91" xfId="2" applyFont="1" applyFill="1" applyBorder="1" applyAlignment="1">
      <alignment horizontal="center" wrapText="1"/>
    </xf>
    <xf numFmtId="0" fontId="4" fillId="0" borderId="78" xfId="2" applyFont="1" applyFill="1" applyBorder="1" applyAlignment="1">
      <alignment horizontal="center" wrapText="1"/>
    </xf>
    <xf numFmtId="3" fontId="4" fillId="0" borderId="12" xfId="2" applyNumberFormat="1" applyFont="1" applyFill="1" applyBorder="1" applyAlignment="1">
      <alignment wrapText="1"/>
    </xf>
    <xf numFmtId="3" fontId="7" fillId="0" borderId="65" xfId="5" applyNumberFormat="1" applyFont="1" applyFill="1" applyBorder="1" applyAlignment="1">
      <alignment horizontal="center"/>
    </xf>
    <xf numFmtId="0" fontId="7" fillId="0" borderId="66" xfId="5" applyFont="1" applyFill="1" applyBorder="1" applyAlignment="1">
      <alignment horizontal="center"/>
    </xf>
    <xf numFmtId="3" fontId="4" fillId="0" borderId="66" xfId="5" applyNumberFormat="1" applyFont="1" applyFill="1" applyBorder="1"/>
    <xf numFmtId="3" fontId="4" fillId="0" borderId="68" xfId="5" applyNumberFormat="1" applyFont="1" applyFill="1" applyBorder="1"/>
    <xf numFmtId="3" fontId="7" fillId="0" borderId="77" xfId="2" applyNumberFormat="1" applyFont="1" applyFill="1" applyBorder="1" applyAlignment="1">
      <alignment horizontal="center" vertical="center" wrapText="1"/>
    </xf>
    <xf numFmtId="3" fontId="7" fillId="0" borderId="81" xfId="2" applyNumberFormat="1" applyFont="1" applyFill="1" applyBorder="1" applyAlignment="1">
      <alignment horizontal="center" vertical="center" wrapText="1"/>
    </xf>
    <xf numFmtId="3" fontId="7" fillId="0" borderId="69" xfId="2" applyNumberFormat="1" applyFont="1" applyFill="1" applyBorder="1" applyAlignment="1">
      <alignment horizontal="center" vertical="center" wrapText="1"/>
    </xf>
    <xf numFmtId="0" fontId="4" fillId="0" borderId="92" xfId="2" applyFont="1" applyFill="1" applyBorder="1" applyAlignment="1">
      <alignment horizontal="center" vertical="center" wrapText="1"/>
    </xf>
    <xf numFmtId="0" fontId="7" fillId="3" borderId="74" xfId="2" applyFont="1" applyFill="1" applyBorder="1" applyAlignment="1">
      <alignment horizontal="center" wrapText="1"/>
    </xf>
    <xf numFmtId="3" fontId="4" fillId="3" borderId="75" xfId="2" applyNumberFormat="1" applyFont="1" applyFill="1" applyBorder="1" applyAlignment="1">
      <alignment wrapText="1"/>
    </xf>
    <xf numFmtId="3" fontId="4" fillId="3" borderId="74" xfId="2" applyNumberFormat="1" applyFont="1" applyFill="1" applyBorder="1" applyAlignment="1">
      <alignment wrapText="1"/>
    </xf>
    <xf numFmtId="3" fontId="7" fillId="3" borderId="77" xfId="2" applyNumberFormat="1" applyFont="1" applyFill="1" applyBorder="1" applyAlignment="1">
      <alignment horizontal="center" wrapText="1"/>
    </xf>
    <xf numFmtId="0" fontId="7" fillId="3" borderId="78" xfId="2" applyFont="1" applyFill="1" applyBorder="1" applyAlignment="1">
      <alignment horizontal="center" wrapText="1"/>
    </xf>
    <xf numFmtId="3" fontId="4" fillId="0" borderId="78" xfId="2" applyNumberFormat="1" applyFont="1" applyBorder="1" applyAlignment="1">
      <alignment wrapText="1"/>
    </xf>
    <xf numFmtId="3" fontId="7" fillId="2" borderId="81" xfId="2" applyNumberFormat="1" applyFont="1" applyFill="1" applyBorder="1" applyAlignment="1">
      <alignment horizontal="center" wrapText="1"/>
    </xf>
    <xf numFmtId="0" fontId="7" fillId="6" borderId="82" xfId="2" applyFont="1" applyFill="1" applyBorder="1" applyAlignment="1">
      <alignment horizontal="center" wrapText="1"/>
    </xf>
    <xf numFmtId="3" fontId="7" fillId="2" borderId="63" xfId="2" applyNumberFormat="1" applyFont="1" applyFill="1" applyBorder="1" applyAlignment="1">
      <alignment horizontal="center" vertical="center" wrapText="1"/>
    </xf>
    <xf numFmtId="3" fontId="7" fillId="3" borderId="62" xfId="2" applyNumberFormat="1" applyFont="1" applyFill="1" applyBorder="1" applyAlignment="1">
      <alignment horizontal="center" wrapText="1"/>
    </xf>
    <xf numFmtId="0" fontId="7" fillId="3" borderId="63" xfId="2" applyFont="1" applyFill="1" applyBorder="1" applyAlignment="1">
      <alignment horizontal="center" wrapText="1"/>
    </xf>
    <xf numFmtId="3" fontId="4" fillId="3" borderId="89" xfId="2" applyNumberFormat="1" applyFont="1" applyFill="1" applyBorder="1" applyAlignment="1">
      <alignment wrapText="1"/>
    </xf>
    <xf numFmtId="3" fontId="4" fillId="3" borderId="63" xfId="2" applyNumberFormat="1" applyFont="1" applyFill="1" applyBorder="1" applyAlignment="1">
      <alignment wrapText="1"/>
    </xf>
    <xf numFmtId="3" fontId="4" fillId="0" borderId="63" xfId="2" applyNumberFormat="1" applyFont="1" applyFill="1" applyBorder="1" applyAlignment="1">
      <alignment wrapText="1"/>
    </xf>
    <xf numFmtId="3" fontId="4" fillId="0" borderId="89" xfId="2" applyNumberFormat="1" applyFont="1" applyFill="1" applyBorder="1" applyAlignment="1">
      <alignment wrapText="1"/>
    </xf>
    <xf numFmtId="3" fontId="4" fillId="0" borderId="64" xfId="2" applyNumberFormat="1" applyFont="1" applyFill="1" applyBorder="1" applyAlignment="1">
      <alignment wrapText="1"/>
    </xf>
    <xf numFmtId="3" fontId="7" fillId="0" borderId="93" xfId="2" applyNumberFormat="1" applyFont="1" applyFill="1" applyBorder="1" applyAlignment="1">
      <alignment horizontal="center" wrapText="1"/>
    </xf>
    <xf numFmtId="0" fontId="54" fillId="0" borderId="66" xfId="2" applyFont="1" applyFill="1" applyBorder="1" applyAlignment="1">
      <alignment wrapText="1"/>
    </xf>
    <xf numFmtId="0" fontId="54" fillId="0" borderId="67" xfId="2" applyFont="1" applyFill="1" applyBorder="1" applyAlignment="1">
      <alignment wrapText="1"/>
    </xf>
    <xf numFmtId="0" fontId="54" fillId="0" borderId="68" xfId="2" applyFont="1" applyFill="1" applyBorder="1" applyAlignment="1">
      <alignment wrapText="1"/>
    </xf>
    <xf numFmtId="3" fontId="7" fillId="3" borderId="86" xfId="2" applyNumberFormat="1" applyFont="1" applyFill="1" applyBorder="1" applyAlignment="1">
      <alignment horizontal="center" wrapText="1"/>
    </xf>
    <xf numFmtId="0" fontId="7" fillId="3" borderId="94" xfId="2" applyFont="1" applyFill="1" applyBorder="1" applyAlignment="1">
      <alignment horizontal="center" wrapText="1"/>
    </xf>
    <xf numFmtId="0" fontId="7" fillId="3" borderId="93" xfId="2" applyFont="1" applyFill="1" applyBorder="1" applyAlignment="1">
      <alignment horizontal="center" wrapText="1"/>
    </xf>
    <xf numFmtId="0" fontId="7" fillId="3" borderId="91" xfId="2" applyFont="1" applyFill="1" applyBorder="1" applyAlignment="1">
      <alignment horizontal="center" wrapText="1"/>
    </xf>
    <xf numFmtId="0" fontId="7" fillId="0" borderId="62" xfId="2" applyFont="1" applyFill="1" applyBorder="1" applyAlignment="1">
      <alignment vertical="center" wrapText="1"/>
    </xf>
    <xf numFmtId="0" fontId="7" fillId="0" borderId="63" xfId="2" applyFont="1" applyFill="1" applyBorder="1" applyAlignment="1">
      <alignment vertical="center" wrapText="1"/>
    </xf>
    <xf numFmtId="0" fontId="4" fillId="0" borderId="95" xfId="2" applyFont="1" applyFill="1" applyBorder="1" applyAlignment="1">
      <alignment horizontal="center" wrapText="1"/>
    </xf>
    <xf numFmtId="0" fontId="4" fillId="0" borderId="0" xfId="2" applyFont="1" applyFill="1" applyBorder="1" applyAlignment="1">
      <alignment wrapText="1"/>
    </xf>
    <xf numFmtId="3" fontId="4" fillId="0" borderId="0" xfId="2" applyNumberFormat="1" applyFont="1" applyFill="1" applyBorder="1" applyAlignment="1">
      <alignment wrapText="1"/>
    </xf>
    <xf numFmtId="3" fontId="4" fillId="0" borderId="0" xfId="2" applyNumberFormat="1" applyFont="1" applyBorder="1" applyAlignment="1">
      <alignment wrapText="1"/>
    </xf>
    <xf numFmtId="0" fontId="54" fillId="0" borderId="0" xfId="2" applyFont="1" applyBorder="1" applyAlignment="1">
      <alignment wrapText="1"/>
    </xf>
    <xf numFmtId="0" fontId="54" fillId="0" borderId="96" xfId="2" applyFont="1" applyBorder="1" applyAlignment="1">
      <alignment wrapText="1"/>
    </xf>
    <xf numFmtId="0" fontId="54" fillId="0" borderId="96" xfId="2" applyFont="1" applyFill="1" applyBorder="1" applyAlignment="1">
      <alignment wrapText="1"/>
    </xf>
    <xf numFmtId="0" fontId="2" fillId="0" borderId="0" xfId="2" applyBorder="1" applyAlignment="1">
      <alignment wrapText="1"/>
    </xf>
    <xf numFmtId="0" fontId="4" fillId="0" borderId="0" xfId="2" applyFont="1" applyBorder="1" applyAlignment="1">
      <alignment wrapText="1"/>
    </xf>
    <xf numFmtId="0" fontId="2" fillId="0" borderId="0" xfId="2" applyFont="1" applyBorder="1" applyAlignment="1">
      <alignment wrapText="1"/>
    </xf>
    <xf numFmtId="3" fontId="2" fillId="0" borderId="0" xfId="2" applyNumberFormat="1" applyFont="1" applyBorder="1" applyAlignment="1">
      <alignment wrapText="1"/>
    </xf>
    <xf numFmtId="0" fontId="2" fillId="0" borderId="0" xfId="2" applyFont="1" applyFill="1" applyBorder="1" applyAlignment="1">
      <alignment wrapText="1"/>
    </xf>
    <xf numFmtId="3" fontId="2" fillId="0" borderId="0" xfId="5" applyNumberFormat="1" applyFill="1"/>
    <xf numFmtId="0" fontId="2" fillId="0" borderId="0" xfId="5" applyFill="1"/>
    <xf numFmtId="1" fontId="2" fillId="0" borderId="0" xfId="5" applyNumberFormat="1" applyFill="1"/>
    <xf numFmtId="1" fontId="2" fillId="0" borderId="0" xfId="5" applyNumberFormat="1"/>
    <xf numFmtId="3" fontId="20" fillId="0" borderId="0" xfId="2" applyNumberFormat="1" applyFont="1" applyAlignment="1"/>
    <xf numFmtId="3" fontId="15" fillId="0" borderId="0" xfId="2" applyNumberFormat="1" applyFont="1" applyAlignment="1"/>
    <xf numFmtId="49" fontId="14" fillId="0" borderId="0" xfId="2" applyNumberFormat="1" applyFont="1" applyAlignment="1"/>
    <xf numFmtId="3" fontId="5" fillId="0" borderId="6" xfId="2" applyNumberFormat="1" applyFont="1" applyBorder="1" applyAlignment="1">
      <alignment vertical="center" wrapText="1"/>
    </xf>
    <xf numFmtId="0" fontId="11" fillId="0" borderId="6" xfId="2" applyNumberFormat="1" applyFont="1" applyFill="1" applyBorder="1" applyAlignment="1">
      <alignment horizontal="center" vertical="center" wrapText="1"/>
    </xf>
    <xf numFmtId="3" fontId="5" fillId="3" borderId="6" xfId="11" applyNumberFormat="1" applyFont="1" applyFill="1" applyBorder="1" applyAlignment="1">
      <alignment wrapText="1"/>
    </xf>
    <xf numFmtId="3" fontId="5" fillId="0" borderId="6" xfId="2" applyNumberFormat="1" applyFont="1" applyBorder="1" applyAlignment="1">
      <alignment horizontal="right" vertical="center" wrapText="1"/>
    </xf>
    <xf numFmtId="3" fontId="15" fillId="0" borderId="6" xfId="2" applyNumberFormat="1" applyFont="1" applyBorder="1" applyAlignment="1" applyProtection="1">
      <alignment horizontal="right" vertical="center"/>
      <protection locked="0"/>
    </xf>
    <xf numFmtId="0" fontId="15" fillId="3" borderId="0" xfId="2" applyFont="1" applyFill="1" applyBorder="1" applyAlignment="1">
      <alignment wrapText="1"/>
    </xf>
    <xf numFmtId="3" fontId="5" fillId="0" borderId="0" xfId="12" applyNumberFormat="1" applyFont="1" applyBorder="1" applyAlignment="1"/>
    <xf numFmtId="0" fontId="15" fillId="3" borderId="0" xfId="2" applyFont="1" applyFill="1" applyAlignment="1"/>
    <xf numFmtId="0" fontId="15" fillId="3" borderId="6" xfId="2" applyFont="1" applyFill="1" applyBorder="1" applyAlignment="1">
      <alignment horizontal="center" vertical="center" wrapText="1"/>
    </xf>
    <xf numFmtId="0" fontId="15" fillId="3" borderId="6" xfId="2" applyFont="1" applyFill="1" applyBorder="1" applyAlignment="1" applyProtection="1">
      <alignment wrapText="1"/>
      <protection locked="0"/>
    </xf>
    <xf numFmtId="3" fontId="5" fillId="0" borderId="6" xfId="2" applyNumberFormat="1" applyFont="1" applyFill="1" applyBorder="1" applyAlignment="1">
      <alignment vertical="center" wrapText="1"/>
    </xf>
    <xf numFmtId="3" fontId="5" fillId="3" borderId="6" xfId="2" applyNumberFormat="1" applyFont="1" applyFill="1" applyBorder="1" applyAlignment="1">
      <alignment vertical="center" wrapText="1"/>
    </xf>
    <xf numFmtId="3" fontId="5" fillId="3" borderId="6" xfId="11" applyNumberFormat="1" applyFont="1" applyFill="1" applyBorder="1" applyAlignment="1">
      <alignment vertical="center" wrapText="1"/>
    </xf>
    <xf numFmtId="3" fontId="5" fillId="3" borderId="6" xfId="11" applyNumberFormat="1" applyFont="1" applyFill="1" applyBorder="1" applyAlignment="1">
      <alignment horizontal="left" vertical="center" wrapText="1"/>
    </xf>
    <xf numFmtId="3" fontId="5" fillId="3" borderId="17" xfId="2" applyNumberFormat="1" applyFont="1" applyFill="1" applyBorder="1" applyAlignment="1">
      <alignment vertical="center" wrapText="1"/>
    </xf>
    <xf numFmtId="3" fontId="15" fillId="3" borderId="17" xfId="2" applyNumberFormat="1" applyFont="1" applyFill="1" applyBorder="1" applyAlignment="1" applyProtection="1">
      <alignment vertical="center" wrapText="1"/>
      <protection locked="0"/>
    </xf>
    <xf numFmtId="0" fontId="11" fillId="0" borderId="17" xfId="2" applyNumberFormat="1" applyFont="1" applyFill="1" applyBorder="1" applyAlignment="1">
      <alignment horizontal="center" vertical="center" wrapText="1"/>
    </xf>
    <xf numFmtId="3" fontId="15" fillId="0" borderId="17" xfId="2" applyNumberFormat="1" applyFont="1" applyBorder="1" applyAlignment="1" applyProtection="1">
      <alignment vertical="center" wrapText="1"/>
      <protection locked="0"/>
    </xf>
    <xf numFmtId="3" fontId="5" fillId="3" borderId="17" xfId="11" applyNumberFormat="1" applyFont="1" applyFill="1" applyBorder="1" applyAlignment="1">
      <alignment horizontal="left" vertical="center" wrapText="1"/>
    </xf>
    <xf numFmtId="1" fontId="14" fillId="0" borderId="40" xfId="2" applyNumberFormat="1" applyFont="1" applyBorder="1"/>
    <xf numFmtId="0" fontId="2" fillId="0" borderId="0" xfId="11" applyFont="1"/>
    <xf numFmtId="0" fontId="2" fillId="0" borderId="0" xfId="11" applyFont="1" applyFill="1"/>
    <xf numFmtId="3" fontId="5" fillId="0" borderId="6" xfId="2" applyNumberFormat="1" applyFont="1" applyBorder="1" applyAlignment="1">
      <alignment horizontal="center" vertical="center" wrapText="1"/>
    </xf>
    <xf numFmtId="0" fontId="11" fillId="0" borderId="6" xfId="2" applyNumberFormat="1" applyFont="1" applyFill="1" applyBorder="1" applyAlignment="1">
      <alignment horizontal="center" vertical="center"/>
    </xf>
    <xf numFmtId="3" fontId="5" fillId="0" borderId="6" xfId="2" applyNumberFormat="1" applyFont="1" applyFill="1" applyBorder="1" applyAlignment="1">
      <alignment horizontal="center" vertical="center" wrapText="1"/>
    </xf>
    <xf numFmtId="3" fontId="5" fillId="0" borderId="6" xfId="11" applyNumberFormat="1" applyFont="1" applyBorder="1" applyAlignment="1">
      <alignment wrapText="1"/>
    </xf>
    <xf numFmtId="3" fontId="5" fillId="0" borderId="0" xfId="11" applyNumberFormat="1" applyFont="1" applyBorder="1" applyAlignment="1">
      <alignment vertical="top" wrapText="1"/>
    </xf>
    <xf numFmtId="3" fontId="5" fillId="0" borderId="0" xfId="12" applyNumberFormat="1" applyFont="1" applyBorder="1" applyAlignment="1">
      <alignment vertical="center"/>
    </xf>
    <xf numFmtId="3" fontId="15" fillId="0" borderId="6" xfId="2" applyNumberFormat="1" applyFont="1" applyBorder="1" applyAlignment="1" applyProtection="1">
      <alignment horizontal="center" vertical="center"/>
      <protection locked="0"/>
    </xf>
    <xf numFmtId="3" fontId="5" fillId="3" borderId="6" xfId="12" applyNumberFormat="1" applyFont="1" applyFill="1" applyBorder="1" applyAlignment="1">
      <alignment horizontal="center" vertical="center" wrapText="1"/>
    </xf>
    <xf numFmtId="0" fontId="15" fillId="0" borderId="6" xfId="2" applyFont="1" applyBorder="1" applyAlignment="1" applyProtection="1">
      <alignment horizontal="center" wrapText="1"/>
      <protection locked="0"/>
    </xf>
    <xf numFmtId="3" fontId="5" fillId="0" borderId="6" xfId="12" applyNumberFormat="1" applyFont="1" applyBorder="1" applyAlignment="1">
      <alignment horizontal="center" vertical="center" wrapText="1"/>
    </xf>
    <xf numFmtId="3" fontId="15" fillId="0" borderId="0" xfId="12" applyNumberFormat="1" applyFont="1" applyBorder="1" applyAlignment="1"/>
    <xf numFmtId="3" fontId="15" fillId="0" borderId="14" xfId="2" applyNumberFormat="1" applyFont="1" applyBorder="1" applyAlignment="1">
      <alignment horizontal="center" vertical="center" wrapText="1"/>
    </xf>
    <xf numFmtId="3" fontId="5" fillId="0" borderId="6" xfId="2" applyNumberFormat="1" applyFont="1" applyFill="1" applyBorder="1" applyAlignment="1">
      <alignment horizontal="right" vertical="center" wrapText="1"/>
    </xf>
    <xf numFmtId="3" fontId="5" fillId="3" borderId="6" xfId="2" applyNumberFormat="1" applyFont="1" applyFill="1" applyBorder="1" applyAlignment="1">
      <alignment horizontal="right" vertical="center" wrapText="1"/>
    </xf>
    <xf numFmtId="3" fontId="5" fillId="0" borderId="6" xfId="12" applyNumberFormat="1" applyFont="1" applyFill="1" applyBorder="1" applyAlignment="1">
      <alignment vertical="center" wrapText="1"/>
    </xf>
    <xf numFmtId="3" fontId="5" fillId="0" borderId="15" xfId="2" applyNumberFormat="1" applyFont="1" applyBorder="1" applyAlignment="1">
      <alignment vertical="center" wrapText="1"/>
    </xf>
    <xf numFmtId="3" fontId="15" fillId="0" borderId="6" xfId="11" applyNumberFormat="1" applyFont="1" applyBorder="1" applyAlignment="1">
      <alignment wrapText="1"/>
    </xf>
    <xf numFmtId="3" fontId="5" fillId="0" borderId="6" xfId="12" applyNumberFormat="1" applyFont="1" applyFill="1" applyBorder="1" applyAlignment="1">
      <alignment horizontal="right" vertical="center" wrapText="1"/>
    </xf>
    <xf numFmtId="3" fontId="5" fillId="0" borderId="6" xfId="12" applyNumberFormat="1" applyFont="1" applyFill="1" applyBorder="1" applyAlignment="1">
      <alignment wrapText="1"/>
    </xf>
    <xf numFmtId="3" fontId="5" fillId="0" borderId="6" xfId="11" applyNumberFormat="1" applyFont="1" applyBorder="1" applyAlignment="1">
      <alignment horizontal="center" vertical="center" wrapText="1"/>
    </xf>
    <xf numFmtId="0" fontId="5" fillId="0" borderId="0" xfId="2" applyFont="1" applyAlignment="1"/>
    <xf numFmtId="0" fontId="6" fillId="0" borderId="0" xfId="2" applyFont="1" applyAlignment="1"/>
    <xf numFmtId="0" fontId="11" fillId="0" borderId="0" xfId="2" applyFont="1" applyAlignment="1">
      <alignment horizontal="center"/>
    </xf>
    <xf numFmtId="0" fontId="30" fillId="0" borderId="0" xfId="2" applyFont="1" applyAlignment="1">
      <alignment horizontal="center"/>
    </xf>
    <xf numFmtId="3" fontId="5" fillId="0" borderId="0" xfId="12" applyNumberFormat="1" applyFont="1" applyFill="1" applyBorder="1" applyAlignment="1"/>
    <xf numFmtId="3" fontId="5" fillId="3" borderId="0" xfId="12" applyNumberFormat="1" applyFont="1" applyFill="1" applyBorder="1" applyAlignment="1"/>
    <xf numFmtId="49" fontId="14" fillId="0" borderId="0" xfId="12" applyNumberFormat="1" applyFont="1" applyBorder="1" applyAlignment="1"/>
    <xf numFmtId="0" fontId="5" fillId="0" borderId="6" xfId="2" applyFont="1" applyBorder="1" applyAlignment="1">
      <alignment horizontal="center" vertical="center" wrapText="1"/>
    </xf>
    <xf numFmtId="3" fontId="11" fillId="0" borderId="6" xfId="2" applyNumberFormat="1" applyFont="1" applyBorder="1" applyAlignment="1">
      <alignment wrapText="1"/>
    </xf>
    <xf numFmtId="0" fontId="6" fillId="0" borderId="6" xfId="2" applyFont="1" applyBorder="1" applyAlignment="1" applyProtection="1">
      <alignment wrapText="1"/>
      <protection locked="0"/>
    </xf>
    <xf numFmtId="3" fontId="5" fillId="0" borderId="6" xfId="2" applyNumberFormat="1" applyFont="1" applyBorder="1" applyAlignment="1" applyProtection="1">
      <alignment horizontal="center" vertical="center" wrapText="1"/>
      <protection locked="0"/>
    </xf>
    <xf numFmtId="3" fontId="5" fillId="0" borderId="14" xfId="2" applyNumberFormat="1" applyFont="1" applyBorder="1" applyAlignment="1" applyProtection="1">
      <alignment vertical="center" wrapText="1"/>
      <protection locked="0"/>
    </xf>
    <xf numFmtId="3" fontId="5" fillId="0" borderId="15" xfId="2" applyNumberFormat="1" applyFont="1" applyBorder="1" applyAlignment="1" applyProtection="1">
      <alignment horizontal="center" vertical="center" wrapText="1"/>
      <protection locked="0"/>
    </xf>
    <xf numFmtId="0" fontId="11" fillId="0" borderId="6" xfId="2" applyNumberFormat="1" applyFont="1" applyBorder="1" applyAlignment="1" applyProtection="1">
      <alignment horizontal="center" vertical="center" wrapText="1"/>
      <protection locked="0"/>
    </xf>
    <xf numFmtId="3" fontId="5" fillId="0" borderId="6" xfId="2" applyNumberFormat="1" applyFont="1" applyBorder="1" applyAlignment="1" applyProtection="1">
      <alignment vertical="center" wrapText="1"/>
      <protection locked="0"/>
    </xf>
    <xf numFmtId="3" fontId="6" fillId="0" borderId="6" xfId="11" applyNumberFormat="1" applyFont="1" applyBorder="1" applyAlignment="1">
      <alignment wrapText="1"/>
    </xf>
    <xf numFmtId="0" fontId="5" fillId="0" borderId="0" xfId="2" applyFont="1" applyBorder="1" applyAlignment="1">
      <alignment wrapText="1"/>
    </xf>
    <xf numFmtId="0" fontId="6" fillId="0" borderId="0" xfId="2" applyFont="1" applyBorder="1" applyAlignment="1">
      <alignment wrapText="1"/>
    </xf>
    <xf numFmtId="3" fontId="5" fillId="0" borderId="6" xfId="2" applyNumberFormat="1" applyFont="1" applyBorder="1" applyAlignment="1" applyProtection="1">
      <alignment wrapText="1"/>
      <protection locked="0"/>
    </xf>
    <xf numFmtId="3" fontId="6" fillId="0" borderId="6" xfId="13" applyNumberFormat="1" applyFont="1" applyBorder="1" applyAlignment="1">
      <alignment wrapText="1"/>
    </xf>
    <xf numFmtId="3" fontId="6" fillId="0" borderId="6" xfId="13" applyNumberFormat="1" applyFont="1" applyBorder="1" applyAlignment="1">
      <alignment horizontal="left" wrapText="1"/>
    </xf>
    <xf numFmtId="3" fontId="6" fillId="0" borderId="0" xfId="2" applyNumberFormat="1" applyFont="1"/>
    <xf numFmtId="3" fontId="5" fillId="0" borderId="6" xfId="2" applyNumberFormat="1" applyFont="1" applyBorder="1" applyAlignment="1" applyProtection="1">
      <alignment horizontal="center" vertical="center"/>
      <protection locked="0"/>
    </xf>
    <xf numFmtId="3" fontId="6" fillId="0" borderId="6" xfId="2" applyNumberFormat="1" applyFont="1" applyBorder="1" applyAlignment="1" applyProtection="1">
      <alignment wrapText="1"/>
      <protection locked="0"/>
    </xf>
    <xf numFmtId="3" fontId="5" fillId="0" borderId="21" xfId="2" applyNumberFormat="1" applyFont="1" applyBorder="1" applyAlignment="1" applyProtection="1">
      <alignment horizontal="center" vertical="center" wrapText="1"/>
      <protection locked="0"/>
    </xf>
    <xf numFmtId="3" fontId="5" fillId="0" borderId="0" xfId="2" applyNumberFormat="1" applyFont="1" applyBorder="1" applyAlignment="1">
      <alignment wrapText="1"/>
    </xf>
    <xf numFmtId="3" fontId="6" fillId="0" borderId="6" xfId="11" applyNumberFormat="1" applyFont="1" applyBorder="1" applyAlignment="1">
      <alignment horizontal="left" wrapText="1"/>
    </xf>
    <xf numFmtId="3" fontId="6" fillId="3" borderId="6" xfId="11" applyNumberFormat="1" applyFont="1" applyFill="1" applyBorder="1" applyAlignment="1">
      <alignment vertical="center" wrapText="1"/>
    </xf>
    <xf numFmtId="3" fontId="6" fillId="0" borderId="6" xfId="11" applyNumberFormat="1" applyFont="1" applyBorder="1" applyAlignment="1">
      <alignment vertical="center" wrapText="1"/>
    </xf>
    <xf numFmtId="3" fontId="6" fillId="3" borderId="6" xfId="11" applyNumberFormat="1" applyFont="1" applyFill="1" applyBorder="1" applyAlignment="1">
      <alignment wrapText="1"/>
    </xf>
    <xf numFmtId="3" fontId="5" fillId="0" borderId="0" xfId="2" applyNumberFormat="1" applyFont="1"/>
    <xf numFmtId="3" fontId="11" fillId="0" borderId="40" xfId="2" applyNumberFormat="1" applyFont="1" applyBorder="1"/>
    <xf numFmtId="1" fontId="11" fillId="0" borderId="40" xfId="2" applyNumberFormat="1" applyFont="1" applyBorder="1"/>
    <xf numFmtId="0" fontId="6" fillId="0" borderId="40" xfId="2" applyFont="1" applyBorder="1"/>
    <xf numFmtId="0" fontId="5" fillId="0" borderId="0" xfId="1" applyFont="1"/>
    <xf numFmtId="0" fontId="6" fillId="0" borderId="0" xfId="2" applyNumberFormat="1" applyFont="1"/>
    <xf numFmtId="0" fontId="5" fillId="0" borderId="0" xfId="11" applyFont="1" applyFill="1"/>
    <xf numFmtId="0" fontId="5" fillId="0" borderId="0" xfId="11" applyFont="1"/>
    <xf numFmtId="0" fontId="5" fillId="0" borderId="0" xfId="2" applyFont="1" applyAlignment="1">
      <alignment horizontal="right" vertical="top"/>
    </xf>
    <xf numFmtId="0" fontId="5" fillId="0" borderId="0" xfId="2" applyFont="1" applyAlignment="1">
      <alignment horizontal="left"/>
    </xf>
    <xf numFmtId="0" fontId="5" fillId="0" borderId="6" xfId="2" applyFont="1" applyBorder="1" applyAlignment="1" applyProtection="1">
      <alignment wrapText="1"/>
      <protection locked="0"/>
    </xf>
    <xf numFmtId="0" fontId="5" fillId="0" borderId="6" xfId="2" applyFont="1" applyBorder="1" applyAlignment="1" applyProtection="1">
      <alignment horizontal="center" vertical="center" wrapText="1"/>
      <protection locked="0"/>
    </xf>
    <xf numFmtId="0" fontId="11" fillId="3" borderId="6" xfId="2" applyNumberFormat="1" applyFont="1" applyFill="1" applyBorder="1" applyAlignment="1" applyProtection="1">
      <alignment horizontal="center" vertical="center" wrapText="1"/>
      <protection locked="0"/>
    </xf>
    <xf numFmtId="0" fontId="5" fillId="0" borderId="6" xfId="2" applyFont="1" applyBorder="1" applyAlignment="1">
      <alignment vertical="center"/>
    </xf>
    <xf numFmtId="0" fontId="5" fillId="0" borderId="6" xfId="2" applyFont="1" applyBorder="1" applyAlignment="1" applyProtection="1">
      <alignment vertical="center" wrapText="1"/>
      <protection locked="0"/>
    </xf>
    <xf numFmtId="0" fontId="11" fillId="0" borderId="0" xfId="2" applyFont="1" applyAlignment="1"/>
    <xf numFmtId="0" fontId="5" fillId="0" borderId="0" xfId="2" applyFont="1" applyBorder="1" applyAlignment="1" applyProtection="1">
      <alignment wrapText="1"/>
      <protection locked="0"/>
    </xf>
    <xf numFmtId="0" fontId="5" fillId="0" borderId="0" xfId="2" applyFont="1" applyBorder="1" applyAlignment="1" applyProtection="1">
      <alignment horizontal="left" wrapText="1"/>
      <protection locked="0"/>
    </xf>
    <xf numFmtId="3" fontId="5" fillId="0" borderId="0" xfId="2" applyNumberFormat="1" applyFont="1" applyBorder="1" applyAlignment="1" applyProtection="1">
      <alignment wrapText="1"/>
      <protection locked="0"/>
    </xf>
    <xf numFmtId="3" fontId="5" fillId="0" borderId="19" xfId="2" applyNumberFormat="1" applyFont="1" applyBorder="1" applyAlignment="1">
      <alignment vertical="center"/>
    </xf>
    <xf numFmtId="3" fontId="5" fillId="0" borderId="42" xfId="2" applyNumberFormat="1" applyFont="1" applyBorder="1" applyAlignment="1">
      <alignment vertical="center"/>
    </xf>
    <xf numFmtId="0" fontId="5" fillId="0" borderId="17" xfId="2" applyFont="1" applyBorder="1" applyAlignment="1" applyProtection="1">
      <alignment horizontal="left" wrapText="1"/>
      <protection locked="0"/>
    </xf>
    <xf numFmtId="0" fontId="5" fillId="0" borderId="0" xfId="2" applyFont="1" applyProtection="1">
      <protection locked="0"/>
    </xf>
    <xf numFmtId="3" fontId="5" fillId="0" borderId="6" xfId="2" applyNumberFormat="1" applyFont="1" applyBorder="1" applyAlignment="1" applyProtection="1">
      <alignment horizontal="right" vertical="center" wrapText="1"/>
      <protection locked="0"/>
    </xf>
    <xf numFmtId="0" fontId="11" fillId="0" borderId="0" xfId="2" applyFont="1"/>
    <xf numFmtId="0" fontId="5" fillId="0" borderId="6" xfId="2" quotePrefix="1" applyFont="1" applyBorder="1" applyAlignment="1" applyProtection="1">
      <alignment wrapText="1"/>
      <protection locked="0"/>
    </xf>
    <xf numFmtId="0" fontId="5" fillId="0" borderId="6" xfId="2" applyFont="1" applyBorder="1"/>
    <xf numFmtId="3" fontId="5" fillId="0" borderId="6" xfId="2" applyNumberFormat="1" applyFont="1" applyBorder="1" applyAlignment="1" applyProtection="1">
      <alignment horizontal="right" vertical="center"/>
      <protection locked="0"/>
    </xf>
    <xf numFmtId="0" fontId="5" fillId="0" borderId="6" xfId="2" applyFont="1" applyBorder="1" applyAlignment="1" applyProtection="1">
      <alignment horizontal="left" vertical="center" wrapText="1"/>
      <protection locked="0"/>
    </xf>
    <xf numFmtId="3" fontId="5" fillId="0" borderId="6" xfId="2" applyNumberFormat="1" applyFont="1" applyBorder="1" applyAlignment="1" applyProtection="1">
      <alignment horizontal="right"/>
      <protection locked="0"/>
    </xf>
    <xf numFmtId="0" fontId="5" fillId="0" borderId="6" xfId="2" applyFont="1" applyBorder="1" applyAlignment="1" applyProtection="1">
      <alignment horizontal="left"/>
      <protection locked="0"/>
    </xf>
    <xf numFmtId="0" fontId="5" fillId="3" borderId="6" xfId="4" applyFont="1" applyFill="1" applyBorder="1" applyAlignment="1" applyProtection="1">
      <alignment vertical="top" wrapText="1"/>
      <protection locked="0"/>
    </xf>
    <xf numFmtId="3" fontId="5" fillId="3" borderId="6" xfId="4" applyNumberFormat="1" applyFont="1" applyFill="1" applyBorder="1" applyAlignment="1">
      <alignment vertical="top"/>
    </xf>
    <xf numFmtId="3" fontId="15" fillId="3" borderId="6" xfId="4" applyNumberFormat="1" applyFont="1" applyFill="1" applyBorder="1" applyAlignment="1">
      <alignment vertical="top" wrapText="1"/>
    </xf>
    <xf numFmtId="3" fontId="5" fillId="3" borderId="6" xfId="4" applyNumberFormat="1" applyFont="1" applyFill="1" applyBorder="1" applyAlignment="1">
      <alignment vertical="top" wrapText="1"/>
    </xf>
    <xf numFmtId="0" fontId="5" fillId="0" borderId="40" xfId="2" applyFont="1" applyBorder="1"/>
    <xf numFmtId="0" fontId="15" fillId="0" borderId="6" xfId="5" applyFont="1" applyFill="1" applyBorder="1" applyAlignment="1">
      <alignment horizontal="center" vertical="center" wrapText="1"/>
    </xf>
    <xf numFmtId="3" fontId="15" fillId="0" borderId="6" xfId="5" applyNumberFormat="1" applyFont="1" applyFill="1" applyBorder="1" applyAlignment="1" applyProtection="1">
      <alignment horizontal="left" vertical="center" wrapText="1"/>
      <protection locked="0"/>
    </xf>
    <xf numFmtId="3" fontId="15" fillId="0" borderId="6" xfId="5" applyNumberFormat="1" applyFont="1" applyFill="1" applyBorder="1" applyAlignment="1" applyProtection="1">
      <alignment vertical="center" wrapText="1"/>
      <protection locked="0"/>
    </xf>
    <xf numFmtId="0" fontId="5" fillId="0" borderId="21" xfId="2" applyFont="1" applyFill="1" applyBorder="1" applyAlignment="1">
      <alignment horizontal="center" vertical="center" wrapText="1"/>
    </xf>
    <xf numFmtId="0" fontId="15" fillId="0" borderId="21" xfId="5" applyFont="1" applyFill="1" applyBorder="1" applyAlignment="1">
      <alignment horizontal="center" vertical="center" wrapText="1"/>
    </xf>
    <xf numFmtId="3" fontId="15" fillId="0" borderId="6" xfId="2" applyNumberFormat="1" applyFont="1" applyBorder="1" applyAlignment="1" applyProtection="1">
      <alignment horizontal="center" vertical="center" wrapText="1"/>
      <protection locked="0"/>
    </xf>
    <xf numFmtId="0" fontId="15" fillId="0" borderId="0" xfId="2" applyFont="1" applyFill="1" applyAlignment="1">
      <alignment horizontal="left"/>
    </xf>
    <xf numFmtId="0" fontId="15" fillId="0" borderId="0" xfId="5" applyFont="1" applyAlignment="1">
      <alignment horizontal="left"/>
    </xf>
    <xf numFmtId="0" fontId="7" fillId="0" borderId="0" xfId="5" applyFont="1" applyAlignment="1">
      <alignment horizontal="center"/>
    </xf>
    <xf numFmtId="0" fontId="15" fillId="0" borderId="0" xfId="5" applyFont="1" applyFill="1" applyBorder="1" applyAlignment="1" applyProtection="1">
      <alignment horizontal="left" vertical="center" wrapText="1"/>
      <protection locked="0"/>
    </xf>
    <xf numFmtId="0" fontId="15" fillId="0" borderId="6" xfId="5" applyFont="1" applyFill="1" applyBorder="1" applyAlignment="1" applyProtection="1">
      <alignment horizontal="left" vertical="center" wrapText="1"/>
      <protection locked="0"/>
    </xf>
    <xf numFmtId="3" fontId="15" fillId="0" borderId="6" xfId="5" applyNumberFormat="1" applyFont="1" applyFill="1" applyBorder="1" applyAlignment="1" applyProtection="1">
      <alignment vertical="center" wrapText="1"/>
      <protection locked="0"/>
    </xf>
    <xf numFmtId="0" fontId="15" fillId="0" borderId="0" xfId="2" applyFont="1" applyBorder="1" applyAlignment="1" applyProtection="1">
      <alignment horizontal="center"/>
      <protection locked="0"/>
    </xf>
    <xf numFmtId="0" fontId="15" fillId="0" borderId="0" xfId="5" applyFont="1" applyAlignment="1" applyProtection="1">
      <alignment wrapText="1"/>
      <protection locked="0"/>
    </xf>
    <xf numFmtId="0" fontId="15" fillId="0" borderId="0" xfId="5" applyFont="1" applyBorder="1" applyAlignment="1" applyProtection="1">
      <alignment horizontal="left" wrapText="1"/>
      <protection locked="0"/>
    </xf>
    <xf numFmtId="0" fontId="7" fillId="0" borderId="0" xfId="5" applyFont="1" applyBorder="1" applyAlignment="1">
      <alignment horizontal="center"/>
    </xf>
    <xf numFmtId="0" fontId="15" fillId="0" borderId="0" xfId="5" applyFont="1" applyBorder="1" applyAlignment="1">
      <alignment horizontal="left"/>
    </xf>
    <xf numFmtId="0" fontId="14" fillId="0" borderId="6" xfId="5" applyFont="1" applyBorder="1" applyAlignment="1">
      <alignment horizontal="right" wrapText="1"/>
    </xf>
    <xf numFmtId="0" fontId="15" fillId="0" borderId="6" xfId="5" applyFont="1" applyBorder="1" applyAlignment="1" applyProtection="1">
      <alignment horizontal="left" vertical="center" wrapText="1"/>
      <protection locked="0"/>
    </xf>
    <xf numFmtId="0" fontId="15" fillId="0" borderId="0" xfId="5" applyFont="1" applyBorder="1" applyAlignment="1" applyProtection="1">
      <alignment horizontal="center"/>
      <protection locked="0"/>
    </xf>
    <xf numFmtId="0" fontId="15" fillId="0" borderId="0" xfId="5" applyFont="1" applyBorder="1" applyAlignment="1">
      <alignment horizontal="left" wrapText="1"/>
    </xf>
    <xf numFmtId="0" fontId="15" fillId="0" borderId="6" xfId="5" applyFont="1" applyBorder="1" applyAlignment="1">
      <alignment horizontal="center" vertical="center" wrapText="1"/>
    </xf>
    <xf numFmtId="3" fontId="15" fillId="0" borderId="6" xfId="5" applyNumberFormat="1" applyFont="1" applyBorder="1" applyAlignment="1" applyProtection="1">
      <alignment horizontal="left" vertical="center" wrapText="1"/>
      <protection locked="0"/>
    </xf>
    <xf numFmtId="0" fontId="14" fillId="0" borderId="6" xfId="5" applyFont="1" applyBorder="1" applyAlignment="1">
      <alignment horizontal="right" vertical="center" wrapText="1"/>
    </xf>
    <xf numFmtId="0" fontId="15" fillId="0" borderId="0" xfId="5" applyFont="1" applyAlignment="1"/>
    <xf numFmtId="3" fontId="14" fillId="0" borderId="6" xfId="2" applyNumberFormat="1" applyFont="1" applyFill="1" applyBorder="1" applyAlignment="1" applyProtection="1">
      <alignment vertical="center" wrapText="1"/>
      <protection locked="0"/>
    </xf>
    <xf numFmtId="3" fontId="14" fillId="0" borderId="6" xfId="2" applyNumberFormat="1" applyFont="1" applyFill="1" applyBorder="1" applyAlignment="1">
      <alignment wrapText="1"/>
    </xf>
    <xf numFmtId="3" fontId="15" fillId="0" borderId="6" xfId="2" applyNumberFormat="1" applyFont="1" applyFill="1" applyBorder="1" applyAlignment="1" applyProtection="1">
      <alignment horizontal="center" vertical="center" wrapText="1"/>
      <protection locked="0"/>
    </xf>
    <xf numFmtId="0" fontId="24" fillId="0" borderId="0" xfId="2" applyFont="1" applyFill="1" applyBorder="1"/>
    <xf numFmtId="0" fontId="27" fillId="0" borderId="0" xfId="2" applyFont="1" applyFill="1" applyBorder="1"/>
    <xf numFmtId="49" fontId="14" fillId="0" borderId="0" xfId="2" applyNumberFormat="1" applyFont="1" applyFill="1" applyBorder="1" applyAlignment="1">
      <alignment vertical="center"/>
    </xf>
    <xf numFmtId="0" fontId="56" fillId="0" borderId="6" xfId="8" applyFont="1" applyBorder="1" applyAlignment="1">
      <alignment horizontal="left" vertical="center" wrapText="1"/>
    </xf>
    <xf numFmtId="0" fontId="57" fillId="0" borderId="17" xfId="8" applyFont="1" applyBorder="1" applyAlignment="1" applyProtection="1">
      <alignment horizontal="left" vertical="center" wrapText="1"/>
      <protection locked="0"/>
    </xf>
    <xf numFmtId="166" fontId="14" fillId="0" borderId="21" xfId="5" applyNumberFormat="1" applyFont="1" applyFill="1" applyBorder="1" applyAlignment="1">
      <alignment vertical="center" wrapText="1"/>
    </xf>
    <xf numFmtId="3" fontId="14" fillId="0" borderId="21" xfId="5" applyNumberFormat="1" applyFont="1" applyFill="1" applyBorder="1" applyAlignment="1">
      <alignment horizontal="center" vertical="center" wrapText="1"/>
    </xf>
    <xf numFmtId="166" fontId="15" fillId="0" borderId="21" xfId="5" applyNumberFormat="1" applyFont="1" applyFill="1" applyBorder="1" applyAlignment="1">
      <alignment horizontal="right" vertical="center" wrapText="1"/>
    </xf>
    <xf numFmtId="3" fontId="15" fillId="0" borderId="21" xfId="5" applyNumberFormat="1" applyFont="1" applyFill="1" applyBorder="1" applyAlignment="1">
      <alignment horizontal="right" vertical="center" wrapText="1"/>
    </xf>
    <xf numFmtId="49" fontId="15" fillId="0" borderId="0" xfId="5" applyNumberFormat="1" applyFont="1" applyFill="1" applyBorder="1" applyAlignment="1" applyProtection="1">
      <alignment horizontal="center"/>
      <protection locked="0"/>
    </xf>
    <xf numFmtId="166" fontId="14" fillId="0" borderId="21" xfId="5" applyNumberFormat="1" applyFont="1" applyFill="1" applyBorder="1" applyAlignment="1">
      <alignment wrapText="1"/>
    </xf>
    <xf numFmtId="165" fontId="15" fillId="0" borderId="6" xfId="7" applyNumberFormat="1" applyFont="1" applyFill="1" applyBorder="1" applyAlignment="1">
      <alignment horizontal="right" vertical="center" wrapText="1"/>
    </xf>
    <xf numFmtId="165" fontId="15" fillId="0" borderId="6" xfId="7" applyNumberFormat="1" applyFont="1" applyFill="1" applyBorder="1" applyAlignment="1">
      <alignment vertical="center" wrapText="1"/>
    </xf>
    <xf numFmtId="0" fontId="15" fillId="0" borderId="6" xfId="5" applyFont="1" applyFill="1" applyBorder="1" applyAlignment="1" applyProtection="1">
      <alignment vertical="center"/>
      <protection locked="0"/>
    </xf>
    <xf numFmtId="165" fontId="45" fillId="0" borderId="6" xfId="7" applyNumberFormat="1" applyFont="1" applyFill="1" applyBorder="1" applyAlignment="1" applyProtection="1">
      <alignment vertical="center" wrapText="1"/>
      <protection locked="0"/>
    </xf>
    <xf numFmtId="165" fontId="18" fillId="0" borderId="6" xfId="7" applyNumberFormat="1" applyFont="1" applyFill="1" applyBorder="1" applyAlignment="1" applyProtection="1">
      <alignment vertical="center" wrapText="1"/>
      <protection locked="0"/>
    </xf>
    <xf numFmtId="165" fontId="14" fillId="0" borderId="6" xfId="7" applyNumberFormat="1" applyFont="1" applyFill="1" applyBorder="1" applyAlignment="1">
      <alignment vertical="center" wrapText="1"/>
    </xf>
    <xf numFmtId="165" fontId="15" fillId="0" borderId="6" xfId="7" applyNumberFormat="1" applyFont="1" applyFill="1" applyBorder="1" applyAlignment="1" applyProtection="1">
      <alignment vertical="center" wrapText="1"/>
      <protection locked="0"/>
    </xf>
    <xf numFmtId="165" fontId="15" fillId="0" borderId="6" xfId="7" applyNumberFormat="1" applyFont="1" applyFill="1" applyBorder="1" applyAlignment="1" applyProtection="1">
      <alignment vertical="center"/>
      <protection locked="0"/>
    </xf>
    <xf numFmtId="165" fontId="15" fillId="0" borderId="6" xfId="7" applyNumberFormat="1" applyFont="1" applyFill="1" applyBorder="1" applyAlignment="1" applyProtection="1">
      <alignment wrapText="1"/>
      <protection locked="0"/>
    </xf>
    <xf numFmtId="0" fontId="15" fillId="0" borderId="6" xfId="5" applyFont="1" applyFill="1" applyBorder="1" applyAlignment="1" applyProtection="1">
      <protection locked="0"/>
    </xf>
    <xf numFmtId="165" fontId="45" fillId="0" borderId="6" xfId="7" applyNumberFormat="1" applyFont="1" applyFill="1" applyBorder="1" applyAlignment="1" applyProtection="1">
      <alignment wrapText="1"/>
      <protection locked="0"/>
    </xf>
    <xf numFmtId="3" fontId="14" fillId="0" borderId="6" xfId="5" applyNumberFormat="1" applyFont="1" applyFill="1" applyBorder="1" applyAlignment="1" applyProtection="1">
      <alignment horizontal="center" wrapText="1"/>
      <protection locked="0"/>
    </xf>
    <xf numFmtId="165" fontId="15" fillId="0" borderId="0" xfId="7" applyNumberFormat="1" applyFont="1" applyFill="1" applyBorder="1" applyAlignment="1" applyProtection="1">
      <alignment vertical="center" wrapText="1"/>
      <protection locked="0"/>
    </xf>
    <xf numFmtId="165" fontId="15" fillId="0" borderId="0" xfId="7" applyNumberFormat="1" applyFont="1" applyFill="1" applyBorder="1" applyAlignment="1">
      <alignment vertical="center" wrapText="1"/>
    </xf>
    <xf numFmtId="165" fontId="45" fillId="0" borderId="6" xfId="7" applyNumberFormat="1" applyFont="1" applyFill="1" applyBorder="1" applyAlignment="1">
      <alignment vertical="center" wrapText="1"/>
    </xf>
    <xf numFmtId="166" fontId="14" fillId="0" borderId="40" xfId="7" applyNumberFormat="1" applyFont="1" applyFill="1" applyBorder="1"/>
    <xf numFmtId="0" fontId="15" fillId="0" borderId="40" xfId="5" applyFont="1" applyFill="1" applyBorder="1"/>
    <xf numFmtId="0" fontId="2" fillId="0" borderId="0" xfId="5" applyFont="1" applyFill="1"/>
    <xf numFmtId="165" fontId="15" fillId="0" borderId="0" xfId="7" applyNumberFormat="1" applyFont="1" applyFill="1"/>
    <xf numFmtId="165" fontId="45" fillId="0" borderId="0" xfId="7" applyNumberFormat="1" applyFont="1" applyFill="1"/>
    <xf numFmtId="1" fontId="15" fillId="0" borderId="0" xfId="5" applyNumberFormat="1" applyFont="1" applyFill="1"/>
    <xf numFmtId="165" fontId="45" fillId="0" borderId="0" xfId="7" applyNumberFormat="1" applyFont="1" applyFill="1" applyBorder="1" applyAlignment="1">
      <alignment wrapText="1"/>
    </xf>
    <xf numFmtId="1" fontId="15" fillId="0" borderId="0" xfId="5" applyNumberFormat="1" applyFont="1" applyFill="1" applyBorder="1" applyAlignment="1">
      <alignment wrapText="1"/>
    </xf>
    <xf numFmtId="0" fontId="15" fillId="0" borderId="0" xfId="5" applyFont="1" applyFill="1" applyBorder="1" applyAlignment="1" applyProtection="1">
      <alignment horizontal="left" vertical="center" wrapText="1"/>
    </xf>
    <xf numFmtId="165" fontId="5" fillId="0" borderId="0" xfId="7" applyNumberFormat="1" applyFont="1" applyFill="1" applyBorder="1" applyAlignment="1">
      <alignment vertical="center" wrapText="1"/>
    </xf>
    <xf numFmtId="165" fontId="45" fillId="0" borderId="0" xfId="7" applyNumberFormat="1" applyFont="1" applyFill="1" applyBorder="1" applyAlignment="1">
      <alignment vertical="center" wrapText="1"/>
    </xf>
    <xf numFmtId="1" fontId="15" fillId="0" borderId="0" xfId="2" applyNumberFormat="1" applyFont="1" applyFill="1" applyBorder="1" applyAlignment="1">
      <alignment vertical="center" wrapText="1"/>
    </xf>
    <xf numFmtId="165" fontId="15" fillId="0" borderId="0" xfId="5" applyNumberFormat="1" applyFont="1" applyFill="1" applyProtection="1">
      <protection locked="0"/>
    </xf>
    <xf numFmtId="0" fontId="15" fillId="0" borderId="0" xfId="2" applyFont="1" applyAlignment="1">
      <alignment horizontal="left"/>
    </xf>
    <xf numFmtId="0" fontId="7" fillId="0" borderId="0" xfId="2" applyFont="1" applyAlignment="1">
      <alignment horizontal="center"/>
    </xf>
    <xf numFmtId="0" fontId="15" fillId="0" borderId="0" xfId="5" applyFont="1" applyAlignment="1">
      <alignment horizontal="left"/>
    </xf>
    <xf numFmtId="0" fontId="7" fillId="0" borderId="0" xfId="5" applyFont="1" applyAlignment="1">
      <alignment horizontal="center"/>
    </xf>
    <xf numFmtId="3" fontId="15" fillId="0" borderId="21" xfId="2" applyNumberFormat="1" applyFont="1" applyBorder="1" applyAlignment="1" applyProtection="1">
      <alignment horizontal="center" vertical="center" wrapText="1"/>
      <protection locked="0"/>
    </xf>
    <xf numFmtId="0" fontId="15" fillId="0" borderId="0" xfId="5" applyFont="1" applyBorder="1" applyAlignment="1" applyProtection="1">
      <alignment horizontal="left" wrapText="1"/>
      <protection locked="0"/>
    </xf>
    <xf numFmtId="0" fontId="15" fillId="0" borderId="6" xfId="5" applyFont="1" applyBorder="1" applyAlignment="1" applyProtection="1">
      <alignment horizontal="center" vertical="center"/>
      <protection locked="0"/>
    </xf>
    <xf numFmtId="0" fontId="15" fillId="0" borderId="6" xfId="5" applyFont="1" applyBorder="1" applyAlignment="1" applyProtection="1">
      <alignment horizontal="left" vertical="center" wrapText="1"/>
      <protection locked="0"/>
    </xf>
    <xf numFmtId="0" fontId="15" fillId="0" borderId="6" xfId="5" applyFont="1" applyBorder="1" applyAlignment="1" applyProtection="1">
      <alignment horizontal="left" vertical="center"/>
      <protection locked="0"/>
    </xf>
    <xf numFmtId="0" fontId="15" fillId="0" borderId="6" xfId="5" applyFont="1" applyBorder="1" applyAlignment="1" applyProtection="1">
      <alignment horizontal="center" vertical="center" wrapText="1"/>
      <protection locked="0"/>
    </xf>
    <xf numFmtId="3" fontId="15" fillId="0" borderId="6" xfId="5" applyNumberFormat="1" applyFont="1" applyBorder="1" applyAlignment="1" applyProtection="1">
      <alignment horizontal="center" vertical="center" wrapText="1"/>
      <protection locked="0"/>
    </xf>
    <xf numFmtId="0" fontId="7" fillId="0" borderId="0" xfId="5" applyFont="1" applyAlignment="1">
      <alignment horizontal="center" vertical="center"/>
    </xf>
    <xf numFmtId="0" fontId="15" fillId="0" borderId="6" xfId="5" applyFont="1" applyBorder="1" applyAlignment="1">
      <alignment horizontal="center" vertical="center" wrapText="1"/>
    </xf>
    <xf numFmtId="0" fontId="15" fillId="0" borderId="0" xfId="5" applyFont="1" applyBorder="1" applyAlignment="1" applyProtection="1">
      <alignment horizontal="left" vertical="center" wrapText="1"/>
      <protection locked="0"/>
    </xf>
    <xf numFmtId="0" fontId="15" fillId="0" borderId="14" xfId="5" applyFont="1" applyBorder="1" applyAlignment="1" applyProtection="1">
      <alignment horizontal="left" vertical="center" wrapText="1"/>
      <protection locked="0"/>
    </xf>
    <xf numFmtId="3" fontId="15" fillId="0" borderId="6" xfId="2" applyNumberFormat="1" applyFont="1" applyBorder="1" applyAlignment="1" applyProtection="1">
      <alignment horizontal="center" vertical="center" wrapText="1"/>
      <protection locked="0"/>
    </xf>
    <xf numFmtId="0" fontId="15" fillId="0" borderId="0" xfId="5" applyFont="1" applyAlignment="1"/>
    <xf numFmtId="0" fontId="15" fillId="0" borderId="0" xfId="2" applyFont="1" applyBorder="1" applyAlignment="1">
      <alignment horizontal="left"/>
    </xf>
    <xf numFmtId="0" fontId="14" fillId="0" borderId="0" xfId="2" applyFont="1" applyBorder="1" applyAlignment="1">
      <alignment horizontal="right"/>
    </xf>
    <xf numFmtId="0" fontId="14" fillId="0" borderId="0" xfId="2" applyFont="1" applyBorder="1" applyAlignment="1" applyProtection="1">
      <alignment horizontal="right"/>
      <protection locked="0"/>
    </xf>
    <xf numFmtId="0" fontId="15" fillId="0" borderId="0" xfId="2" applyFont="1" applyBorder="1" applyAlignment="1"/>
    <xf numFmtId="0" fontId="15" fillId="0" borderId="0" xfId="2" applyFont="1" applyBorder="1" applyAlignment="1" applyProtection="1">
      <alignment horizontal="center" wrapText="1"/>
      <protection locked="0"/>
    </xf>
    <xf numFmtId="0" fontId="7" fillId="0" borderId="0" xfId="2" applyFont="1" applyBorder="1" applyAlignment="1">
      <alignment horizontal="center"/>
    </xf>
    <xf numFmtId="0" fontId="15" fillId="0" borderId="41" xfId="2" applyFont="1" applyBorder="1"/>
    <xf numFmtId="49" fontId="15" fillId="0" borderId="0" xfId="2" applyNumberFormat="1" applyFont="1" applyBorder="1" applyAlignment="1" applyProtection="1">
      <alignment horizontal="center"/>
      <protection locked="0"/>
    </xf>
    <xf numFmtId="0" fontId="15" fillId="0" borderId="6" xfId="2" applyFont="1" applyBorder="1" applyAlignment="1">
      <alignment horizontal="center" vertical="center" wrapText="1"/>
    </xf>
    <xf numFmtId="3" fontId="15" fillId="0" borderId="6" xfId="2" applyNumberFormat="1" applyFont="1" applyBorder="1" applyProtection="1">
      <protection locked="0"/>
    </xf>
    <xf numFmtId="3" fontId="14" fillId="0" borderId="6" xfId="2" applyNumberFormat="1" applyFont="1" applyBorder="1" applyAlignment="1" applyProtection="1">
      <alignment wrapText="1"/>
      <protection locked="0"/>
    </xf>
    <xf numFmtId="0" fontId="14" fillId="0" borderId="6" xfId="2" applyFont="1" applyBorder="1" applyAlignment="1" applyProtection="1">
      <alignment horizontal="center" vertical="center" wrapText="1"/>
      <protection locked="0"/>
    </xf>
    <xf numFmtId="3" fontId="15" fillId="0" borderId="6" xfId="2" applyNumberFormat="1" applyFont="1" applyBorder="1" applyAlignment="1" applyProtection="1">
      <alignment horizontal="left"/>
      <protection locked="0"/>
    </xf>
    <xf numFmtId="3" fontId="15" fillId="0" borderId="6" xfId="2" applyNumberFormat="1" applyFont="1" applyBorder="1" applyAlignment="1" applyProtection="1">
      <alignment horizontal="left" wrapText="1"/>
      <protection locked="0"/>
    </xf>
    <xf numFmtId="49" fontId="14" fillId="0" borderId="6" xfId="2" applyNumberFormat="1" applyFont="1" applyBorder="1" applyAlignment="1" applyProtection="1">
      <alignment wrapText="1"/>
      <protection locked="0"/>
    </xf>
    <xf numFmtId="49" fontId="14" fillId="0" borderId="6" xfId="2" applyNumberFormat="1" applyFont="1" applyBorder="1" applyAlignment="1" applyProtection="1">
      <alignment horizontal="center" vertical="center" wrapText="1"/>
      <protection locked="0"/>
    </xf>
    <xf numFmtId="3" fontId="15" fillId="0" borderId="6" xfId="1" applyNumberFormat="1" applyFont="1" applyBorder="1" applyAlignment="1">
      <alignment horizontal="left" vertical="center" wrapText="1"/>
    </xf>
    <xf numFmtId="3" fontId="14" fillId="0" borderId="6" xfId="2" applyNumberFormat="1" applyFont="1" applyBorder="1" applyAlignment="1" applyProtection="1">
      <protection locked="0"/>
    </xf>
    <xf numFmtId="3" fontId="15" fillId="0" borderId="6" xfId="2" applyNumberFormat="1" applyFont="1" applyBorder="1" applyAlignment="1" applyProtection="1">
      <protection locked="0"/>
    </xf>
    <xf numFmtId="3" fontId="15" fillId="0" borderId="6" xfId="2" applyNumberFormat="1" applyFont="1" applyBorder="1" applyAlignment="1" applyProtection="1">
      <alignment horizontal="right" wrapText="1"/>
      <protection locked="0"/>
    </xf>
    <xf numFmtId="49" fontId="14" fillId="0" borderId="6" xfId="2" applyNumberFormat="1" applyFont="1" applyBorder="1" applyAlignment="1" applyProtection="1">
      <alignment horizontal="center" wrapText="1"/>
      <protection locked="0"/>
    </xf>
    <xf numFmtId="3" fontId="15" fillId="0" borderId="6" xfId="1" applyNumberFormat="1" applyFont="1" applyBorder="1" applyAlignment="1">
      <alignment vertical="center" wrapText="1"/>
    </xf>
    <xf numFmtId="3" fontId="14" fillId="0" borderId="6" xfId="2" applyNumberFormat="1" applyFont="1" applyBorder="1" applyAlignment="1" applyProtection="1">
      <alignment horizontal="left"/>
      <protection locked="0"/>
    </xf>
    <xf numFmtId="49" fontId="15" fillId="0" borderId="6" xfId="2" applyNumberFormat="1" applyFont="1" applyBorder="1" applyAlignment="1" applyProtection="1">
      <alignment wrapText="1"/>
      <protection locked="0"/>
    </xf>
    <xf numFmtId="0" fontId="15" fillId="0" borderId="6" xfId="2" applyFont="1" applyFill="1" applyBorder="1" applyAlignment="1" applyProtection="1">
      <alignment wrapText="1"/>
      <protection locked="0"/>
    </xf>
    <xf numFmtId="3" fontId="15" fillId="0" borderId="6" xfId="1" applyNumberFormat="1" applyFont="1" applyBorder="1" applyAlignment="1" applyProtection="1">
      <alignment horizontal="center" vertical="center" wrapText="1"/>
      <protection locked="0"/>
    </xf>
    <xf numFmtId="0" fontId="14" fillId="0" borderId="6" xfId="2" applyFont="1" applyFill="1" applyBorder="1" applyAlignment="1" applyProtection="1">
      <alignment horizontal="center" vertical="center" wrapText="1"/>
      <protection locked="0"/>
    </xf>
    <xf numFmtId="49" fontId="15" fillId="0" borderId="0" xfId="2" applyNumberFormat="1" applyFont="1" applyFill="1" applyBorder="1"/>
    <xf numFmtId="0" fontId="14" fillId="0" borderId="0" xfId="2" applyFont="1" applyFill="1" applyAlignment="1">
      <alignment horizontal="left"/>
    </xf>
    <xf numFmtId="0" fontId="15" fillId="0" borderId="0" xfId="5" applyFont="1" applyFill="1" applyBorder="1" applyAlignment="1" applyProtection="1">
      <alignment horizontal="left" vertical="top"/>
      <protection locked="0"/>
    </xf>
    <xf numFmtId="0" fontId="14" fillId="0" borderId="6" xfId="5" applyFont="1" applyBorder="1" applyAlignment="1">
      <alignment wrapText="1"/>
    </xf>
    <xf numFmtId="3" fontId="15" fillId="0" borderId="6" xfId="5" applyNumberFormat="1" applyFont="1" applyBorder="1" applyProtection="1">
      <protection locked="0"/>
    </xf>
    <xf numFmtId="3" fontId="14" fillId="0" borderId="6" xfId="5" applyNumberFormat="1" applyFont="1" applyBorder="1" applyAlignment="1" applyProtection="1">
      <alignment horizontal="left" wrapText="1"/>
      <protection locked="0"/>
    </xf>
    <xf numFmtId="3" fontId="15" fillId="0" borderId="6" xfId="5" applyNumberFormat="1" applyFont="1" applyBorder="1" applyAlignment="1">
      <alignment wrapText="1"/>
    </xf>
    <xf numFmtId="3" fontId="14" fillId="0" borderId="6" xfId="5" applyNumberFormat="1" applyFont="1" applyBorder="1" applyAlignment="1" applyProtection="1">
      <alignment horizontal="left"/>
      <protection locked="0"/>
    </xf>
    <xf numFmtId="3" fontId="14" fillId="0" borderId="6" xfId="5" applyNumberFormat="1" applyFont="1" applyBorder="1" applyProtection="1">
      <protection locked="0"/>
    </xf>
    <xf numFmtId="49" fontId="15" fillId="0" borderId="6" xfId="5" applyNumberFormat="1" applyFont="1" applyBorder="1" applyProtection="1">
      <protection locked="0"/>
    </xf>
    <xf numFmtId="3" fontId="15" fillId="3" borderId="6" xfId="5" applyNumberFormat="1" applyFont="1" applyFill="1" applyBorder="1" applyAlignment="1" applyProtection="1">
      <alignment wrapText="1"/>
      <protection locked="0"/>
    </xf>
    <xf numFmtId="0" fontId="14" fillId="0" borderId="6" xfId="5" applyFont="1" applyBorder="1" applyAlignment="1" applyProtection="1">
      <alignment horizontal="left" wrapText="1"/>
      <protection locked="0"/>
    </xf>
    <xf numFmtId="3" fontId="14" fillId="0" borderId="6" xfId="5" applyNumberFormat="1" applyFont="1" applyBorder="1" applyAlignment="1" applyProtection="1">
      <alignment horizontal="right"/>
      <protection locked="0"/>
    </xf>
    <xf numFmtId="3" fontId="15" fillId="0" borderId="6" xfId="5" applyNumberFormat="1" applyFont="1" applyBorder="1" applyAlignment="1" applyProtection="1">
      <alignment horizontal="center" wrapText="1"/>
      <protection locked="0"/>
    </xf>
    <xf numFmtId="49" fontId="15" fillId="0" borderId="0" xfId="5" applyNumberFormat="1" applyFont="1" applyAlignment="1" applyProtection="1">
      <alignment horizontal="center"/>
      <protection locked="0"/>
    </xf>
    <xf numFmtId="0" fontId="15" fillId="0" borderId="6" xfId="5" applyFont="1" applyBorder="1" applyAlignment="1">
      <alignment horizontal="left" wrapText="1"/>
    </xf>
    <xf numFmtId="0" fontId="15" fillId="0" borderId="6" xfId="5" applyFont="1" applyBorder="1" applyAlignment="1">
      <alignment wrapText="1"/>
    </xf>
    <xf numFmtId="3" fontId="14" fillId="0" borderId="6" xfId="5" applyNumberFormat="1" applyFont="1" applyBorder="1" applyAlignment="1">
      <alignment horizontal="left" wrapText="1"/>
    </xf>
    <xf numFmtId="0" fontId="15" fillId="0" borderId="6" xfId="5" applyFont="1" applyBorder="1" applyAlignment="1">
      <alignment horizontal="right" wrapText="1"/>
    </xf>
    <xf numFmtId="0" fontId="15" fillId="3" borderId="6" xfId="5" applyFont="1" applyFill="1" applyBorder="1" applyAlignment="1" applyProtection="1">
      <alignment wrapText="1"/>
      <protection locked="0"/>
    </xf>
    <xf numFmtId="0" fontId="32" fillId="0" borderId="6" xfId="5" applyFont="1" applyBorder="1" applyAlignment="1">
      <alignment wrapText="1"/>
    </xf>
    <xf numFmtId="3" fontId="15" fillId="0" borderId="6" xfId="5" applyNumberFormat="1" applyFont="1" applyBorder="1" applyAlignment="1">
      <alignment horizontal="left" wrapText="1"/>
    </xf>
    <xf numFmtId="3" fontId="15" fillId="0" borderId="6" xfId="5" applyNumberFormat="1" applyFont="1" applyBorder="1" applyAlignment="1" applyProtection="1">
      <alignment horizontal="left" wrapText="1"/>
      <protection locked="0"/>
    </xf>
    <xf numFmtId="0" fontId="32" fillId="0" borderId="6" xfId="5" applyFont="1" applyBorder="1" applyAlignment="1" applyProtection="1">
      <alignment wrapText="1"/>
      <protection locked="0"/>
    </xf>
    <xf numFmtId="0" fontId="15" fillId="0" borderId="42" xfId="5" applyFont="1" applyBorder="1" applyAlignment="1">
      <alignment horizontal="right" wrapText="1"/>
    </xf>
    <xf numFmtId="3" fontId="15" fillId="0" borderId="42" xfId="5" applyNumberFormat="1" applyFont="1" applyBorder="1" applyAlignment="1">
      <alignment wrapText="1"/>
    </xf>
    <xf numFmtId="0" fontId="14" fillId="0" borderId="42" xfId="5" applyFont="1" applyBorder="1" applyAlignment="1" applyProtection="1">
      <alignment wrapText="1"/>
      <protection locked="0"/>
    </xf>
    <xf numFmtId="3" fontId="15" fillId="0" borderId="42" xfId="5" applyNumberFormat="1" applyFont="1" applyBorder="1" applyAlignment="1" applyProtection="1">
      <alignment wrapText="1"/>
      <protection locked="0"/>
    </xf>
    <xf numFmtId="0" fontId="15" fillId="0" borderId="6" xfId="5" applyFont="1" applyBorder="1" applyAlignment="1">
      <alignment vertical="top" wrapText="1"/>
    </xf>
    <xf numFmtId="3" fontId="15" fillId="0" borderId="6" xfId="5" applyNumberFormat="1" applyFont="1" applyFill="1" applyBorder="1" applyAlignment="1">
      <alignment wrapText="1"/>
    </xf>
    <xf numFmtId="3" fontId="15" fillId="0" borderId="6" xfId="5" applyNumberFormat="1" applyFont="1" applyBorder="1" applyAlignment="1">
      <alignment horizontal="right" wrapText="1"/>
    </xf>
    <xf numFmtId="1" fontId="14" fillId="0" borderId="6" xfId="5" applyNumberFormat="1" applyFont="1" applyBorder="1" applyAlignment="1">
      <alignment wrapText="1"/>
    </xf>
    <xf numFmtId="0" fontId="15" fillId="0" borderId="6" xfId="5" applyFont="1" applyBorder="1"/>
    <xf numFmtId="0" fontId="14" fillId="0" borderId="0" xfId="5" applyFont="1" applyAlignment="1">
      <alignment horizontal="right"/>
    </xf>
    <xf numFmtId="0" fontId="58" fillId="0" borderId="0" xfId="5" applyFont="1"/>
    <xf numFmtId="0" fontId="14" fillId="0" borderId="6" xfId="5" applyFont="1" applyBorder="1" applyAlignment="1">
      <alignment horizontal="center" wrapText="1"/>
    </xf>
    <xf numFmtId="0" fontId="15" fillId="0" borderId="6" xfId="5" applyFont="1" applyBorder="1" applyAlignment="1"/>
    <xf numFmtId="4" fontId="15" fillId="3" borderId="6" xfId="5" applyNumberFormat="1" applyFont="1" applyFill="1" applyBorder="1" applyAlignment="1" applyProtection="1">
      <alignment horizontal="left" wrapText="1"/>
      <protection locked="0"/>
    </xf>
    <xf numFmtId="4" fontId="14" fillId="3" borderId="6" xfId="5" applyNumberFormat="1" applyFont="1" applyFill="1" applyBorder="1" applyAlignment="1" applyProtection="1">
      <alignment horizontal="left" wrapText="1"/>
      <protection locked="0"/>
    </xf>
    <xf numFmtId="0" fontId="15" fillId="0" borderId="6" xfId="5" applyFont="1" applyFill="1" applyBorder="1" applyAlignment="1"/>
    <xf numFmtId="0" fontId="15" fillId="0" borderId="6" xfId="5" applyFont="1" applyFill="1" applyBorder="1" applyAlignment="1" applyProtection="1">
      <alignment horizontal="left" wrapText="1"/>
      <protection locked="0"/>
    </xf>
    <xf numFmtId="0" fontId="59" fillId="0" borderId="6" xfId="5" applyFont="1" applyBorder="1"/>
    <xf numFmtId="0" fontId="22" fillId="0" borderId="6" xfId="5" applyFont="1" applyBorder="1" applyAlignment="1" applyProtection="1">
      <alignment wrapText="1"/>
      <protection locked="0"/>
    </xf>
    <xf numFmtId="3" fontId="15" fillId="3" borderId="6" xfId="5" applyNumberFormat="1" applyFont="1" applyFill="1" applyBorder="1" applyAlignment="1" applyProtection="1">
      <alignment horizontal="right" wrapText="1"/>
      <protection locked="0"/>
    </xf>
    <xf numFmtId="0" fontId="22" fillId="0" borderId="6" xfId="5" applyFont="1" applyBorder="1" applyAlignment="1" applyProtection="1">
      <alignment horizontal="left" wrapText="1"/>
      <protection locked="0"/>
    </xf>
    <xf numFmtId="0" fontId="22" fillId="0" borderId="6" xfId="5" applyFont="1" applyBorder="1" applyAlignment="1" applyProtection="1">
      <alignment horizontal="left" vertical="center" wrapText="1"/>
      <protection locked="0"/>
    </xf>
    <xf numFmtId="3" fontId="22" fillId="3" borderId="6" xfId="5" applyNumberFormat="1" applyFont="1" applyFill="1" applyBorder="1" applyAlignment="1" applyProtection="1">
      <alignment wrapText="1"/>
      <protection locked="0"/>
    </xf>
    <xf numFmtId="0" fontId="22" fillId="3" borderId="6" xfId="5" applyFont="1" applyFill="1" applyBorder="1" applyAlignment="1" applyProtection="1">
      <alignment horizontal="left" wrapText="1"/>
      <protection locked="0"/>
    </xf>
    <xf numFmtId="3" fontId="22" fillId="0" borderId="6" xfId="5" applyNumberFormat="1" applyFont="1" applyFill="1" applyBorder="1" applyAlignment="1" applyProtection="1">
      <alignment wrapText="1"/>
      <protection locked="0"/>
    </xf>
    <xf numFmtId="0" fontId="22" fillId="0" borderId="6" xfId="5" applyFont="1" applyFill="1" applyBorder="1" applyAlignment="1" applyProtection="1">
      <alignment horizontal="left" vertical="center" wrapText="1"/>
      <protection locked="0"/>
    </xf>
    <xf numFmtId="0" fontId="14" fillId="0" borderId="6" xfId="5" applyFont="1" applyBorder="1" applyAlignment="1"/>
    <xf numFmtId="0" fontId="22" fillId="3" borderId="6" xfId="5" applyFont="1" applyFill="1" applyBorder="1" applyAlignment="1" applyProtection="1">
      <alignment horizontal="left" vertical="center" wrapText="1"/>
      <protection locked="0"/>
    </xf>
    <xf numFmtId="4" fontId="14" fillId="3" borderId="6" xfId="5" applyNumberFormat="1" applyFont="1" applyFill="1" applyBorder="1" applyAlignment="1">
      <alignment wrapText="1"/>
    </xf>
    <xf numFmtId="4" fontId="15" fillId="3" borderId="6" xfId="5" applyNumberFormat="1" applyFont="1" applyFill="1" applyBorder="1" applyAlignment="1">
      <alignment horizontal="left" wrapText="1"/>
    </xf>
    <xf numFmtId="0" fontId="60" fillId="0" borderId="0" xfId="5" applyFont="1"/>
    <xf numFmtId="0" fontId="61" fillId="0" borderId="0" xfId="5" applyFont="1"/>
    <xf numFmtId="0" fontId="37" fillId="0" borderId="6" xfId="5" applyFont="1" applyBorder="1" applyAlignment="1" applyProtection="1">
      <alignment wrapText="1"/>
      <protection locked="0"/>
    </xf>
    <xf numFmtId="0" fontId="17" fillId="0" borderId="6" xfId="5" applyFont="1" applyBorder="1" applyAlignment="1" applyProtection="1">
      <alignment wrapText="1"/>
      <protection locked="0"/>
    </xf>
    <xf numFmtId="0" fontId="61" fillId="0" borderId="0" xfId="5" applyFont="1" applyProtection="1">
      <protection locked="0"/>
    </xf>
    <xf numFmtId="0" fontId="14" fillId="0" borderId="6" xfId="5" applyFont="1" applyBorder="1" applyAlignment="1">
      <alignment horizontal="center" vertical="center" wrapText="1"/>
    </xf>
    <xf numFmtId="3" fontId="15" fillId="0" borderId="6" xfId="5" applyNumberFormat="1" applyFont="1" applyBorder="1" applyAlignment="1" applyProtection="1">
      <alignment horizontal="center" vertical="center"/>
      <protection locked="0"/>
    </xf>
    <xf numFmtId="3" fontId="14" fillId="0" borderId="6" xfId="5" applyNumberFormat="1" applyFont="1" applyBorder="1"/>
    <xf numFmtId="0" fontId="23" fillId="0" borderId="0" xfId="5" applyFont="1" applyBorder="1" applyAlignment="1">
      <alignment vertical="center"/>
    </xf>
    <xf numFmtId="0" fontId="22" fillId="0" borderId="0" xfId="5" applyFont="1" applyBorder="1" applyAlignment="1"/>
    <xf numFmtId="3" fontId="15" fillId="0" borderId="6" xfId="2" applyNumberFormat="1" applyFont="1" applyFill="1" applyBorder="1" applyAlignment="1" applyProtection="1">
      <alignment wrapText="1"/>
      <protection locked="0"/>
    </xf>
    <xf numFmtId="3" fontId="14" fillId="0" borderId="6" xfId="2" applyNumberFormat="1" applyFont="1" applyFill="1" applyBorder="1" applyAlignment="1" applyProtection="1">
      <alignment wrapText="1"/>
      <protection locked="0"/>
    </xf>
    <xf numFmtId="3" fontId="14" fillId="0" borderId="6" xfId="2" applyNumberFormat="1" applyFont="1" applyFill="1" applyBorder="1" applyAlignment="1" applyProtection="1">
      <protection locked="0"/>
    </xf>
    <xf numFmtId="3" fontId="15" fillId="0" borderId="6" xfId="2" applyNumberFormat="1" applyFont="1" applyFill="1" applyBorder="1" applyAlignment="1" applyProtection="1">
      <protection locked="0"/>
    </xf>
    <xf numFmtId="3" fontId="15" fillId="0" borderId="6" xfId="2" applyNumberFormat="1" applyFont="1" applyFill="1" applyBorder="1" applyAlignment="1" applyProtection="1">
      <alignment horizontal="right" wrapText="1"/>
      <protection locked="0"/>
    </xf>
    <xf numFmtId="0" fontId="62" fillId="0" borderId="0" xfId="15" applyFont="1" applyFill="1" applyAlignment="1">
      <alignment horizontal="right"/>
    </xf>
    <xf numFmtId="0" fontId="2" fillId="0" borderId="0" xfId="15" applyFont="1"/>
    <xf numFmtId="0" fontId="62" fillId="0" borderId="0" xfId="15" applyFont="1" applyFill="1"/>
    <xf numFmtId="49" fontId="62" fillId="0" borderId="0" xfId="15" applyNumberFormat="1" applyFont="1" applyFill="1" applyAlignment="1">
      <alignment horizontal="right"/>
    </xf>
    <xf numFmtId="0" fontId="5" fillId="0" borderId="0" xfId="15" applyFont="1" applyFill="1"/>
    <xf numFmtId="0" fontId="63" fillId="0" borderId="0" xfId="15" applyFont="1" applyFill="1" applyAlignment="1">
      <alignment horizontal="center"/>
    </xf>
    <xf numFmtId="0" fontId="63" fillId="0" borderId="0" xfId="15" applyFont="1" applyFill="1" applyAlignment="1">
      <alignment horizontal="right"/>
    </xf>
    <xf numFmtId="0" fontId="4" fillId="0" borderId="0" xfId="15" applyFont="1" applyFill="1"/>
    <xf numFmtId="0" fontId="5" fillId="0" borderId="103" xfId="15" applyFont="1" applyFill="1" applyBorder="1" applyAlignment="1">
      <alignment horizontal="center" vertical="center" wrapText="1"/>
    </xf>
    <xf numFmtId="0" fontId="5" fillId="0" borderId="102" xfId="15" applyFont="1" applyFill="1" applyBorder="1" applyAlignment="1">
      <alignment horizontal="center" vertical="center" wrapText="1"/>
    </xf>
    <xf numFmtId="0" fontId="6" fillId="0" borderId="5" xfId="15" applyFont="1" applyFill="1" applyBorder="1" applyAlignment="1">
      <alignment horizontal="center" vertical="center"/>
    </xf>
    <xf numFmtId="0" fontId="6" fillId="0" borderId="6" xfId="15" applyFont="1" applyFill="1" applyBorder="1" applyAlignment="1">
      <alignment horizontal="center" vertical="center"/>
    </xf>
    <xf numFmtId="0" fontId="6" fillId="0" borderId="14" xfId="15" applyFont="1" applyFill="1" applyBorder="1" applyAlignment="1">
      <alignment horizontal="center" vertical="center"/>
    </xf>
    <xf numFmtId="0" fontId="6" fillId="0" borderId="10" xfId="15" applyFont="1" applyFill="1" applyBorder="1" applyAlignment="1">
      <alignment horizontal="center" vertical="center"/>
    </xf>
    <xf numFmtId="0" fontId="6" fillId="0" borderId="7" xfId="15" applyFont="1" applyFill="1" applyBorder="1" applyAlignment="1">
      <alignment horizontal="center" vertical="center"/>
    </xf>
    <xf numFmtId="0" fontId="5" fillId="0" borderId="6" xfId="15" applyFont="1" applyFill="1" applyBorder="1" applyAlignment="1">
      <alignment horizontal="left" vertical="center"/>
    </xf>
    <xf numFmtId="0" fontId="6" fillId="3" borderId="5" xfId="15" applyFont="1" applyFill="1" applyBorder="1" applyAlignment="1">
      <alignment horizontal="center" vertical="center"/>
    </xf>
    <xf numFmtId="0" fontId="11" fillId="3" borderId="6" xfId="15" applyFont="1" applyFill="1" applyBorder="1" applyAlignment="1">
      <alignment horizontal="left" vertical="center"/>
    </xf>
    <xf numFmtId="3" fontId="11" fillId="3" borderId="14" xfId="15" applyNumberFormat="1" applyFont="1" applyFill="1" applyBorder="1" applyAlignment="1">
      <alignment horizontal="right" vertical="center"/>
    </xf>
    <xf numFmtId="3" fontId="11" fillId="0" borderId="5" xfId="15" applyNumberFormat="1" applyFont="1" applyFill="1" applyBorder="1" applyAlignment="1">
      <alignment horizontal="right" vertical="center"/>
    </xf>
    <xf numFmtId="3" fontId="11" fillId="0" borderId="7" xfId="15" applyNumberFormat="1" applyFont="1" applyFill="1" applyBorder="1" applyAlignment="1">
      <alignment horizontal="right" vertical="center"/>
    </xf>
    <xf numFmtId="0" fontId="5" fillId="3" borderId="6" xfId="15" applyFont="1" applyFill="1" applyBorder="1" applyAlignment="1">
      <alignment horizontal="left" vertical="center" wrapText="1"/>
    </xf>
    <xf numFmtId="0" fontId="5" fillId="3" borderId="14" xfId="15" applyFont="1" applyFill="1" applyBorder="1" applyAlignment="1">
      <alignment horizontal="right" vertical="center"/>
    </xf>
    <xf numFmtId="0" fontId="5" fillId="0" borderId="5" xfId="15" applyFont="1" applyFill="1" applyBorder="1" applyAlignment="1">
      <alignment horizontal="right" vertical="center"/>
    </xf>
    <xf numFmtId="0" fontId="5" fillId="0" borderId="7" xfId="15" applyFont="1" applyFill="1" applyBorder="1" applyAlignment="1">
      <alignment horizontal="right" vertical="center"/>
    </xf>
    <xf numFmtId="1" fontId="5" fillId="0" borderId="5" xfId="15" applyNumberFormat="1" applyFont="1" applyFill="1" applyBorder="1" applyAlignment="1">
      <alignment horizontal="right" vertical="center"/>
    </xf>
    <xf numFmtId="1" fontId="5" fillId="0" borderId="7" xfId="15" applyNumberFormat="1" applyFont="1" applyFill="1" applyBorder="1" applyAlignment="1">
      <alignment horizontal="right" vertical="center"/>
    </xf>
    <xf numFmtId="0" fontId="5" fillId="3" borderId="14" xfId="15" applyFont="1" applyFill="1" applyBorder="1" applyAlignment="1">
      <alignment horizontal="center" vertical="center"/>
    </xf>
    <xf numFmtId="0" fontId="5" fillId="0" borderId="5" xfId="15" applyFont="1" applyFill="1" applyBorder="1" applyAlignment="1">
      <alignment horizontal="center" vertical="center"/>
    </xf>
    <xf numFmtId="0" fontId="5" fillId="0" borderId="7" xfId="15" applyFont="1" applyFill="1" applyBorder="1" applyAlignment="1">
      <alignment horizontal="center" vertical="center"/>
    </xf>
    <xf numFmtId="0" fontId="5" fillId="3" borderId="6" xfId="0" applyFont="1" applyFill="1" applyBorder="1" applyAlignment="1" applyProtection="1">
      <alignment horizontal="left" vertical="center"/>
      <protection locked="0"/>
    </xf>
    <xf numFmtId="0" fontId="5" fillId="3" borderId="6" xfId="15" applyFont="1" applyFill="1" applyBorder="1" applyAlignment="1">
      <alignment horizontal="left" vertical="center"/>
    </xf>
    <xf numFmtId="0" fontId="11" fillId="3" borderId="14" xfId="15" applyFont="1" applyFill="1" applyBorder="1" applyAlignment="1">
      <alignment horizontal="center" vertical="center"/>
    </xf>
    <xf numFmtId="2" fontId="11" fillId="0" borderId="5" xfId="15" applyNumberFormat="1" applyFont="1" applyFill="1" applyBorder="1" applyAlignment="1">
      <alignment horizontal="right" vertical="center"/>
    </xf>
    <xf numFmtId="2" fontId="11" fillId="0" borderId="7" xfId="15" applyNumberFormat="1" applyFont="1" applyFill="1" applyBorder="1" applyAlignment="1">
      <alignment horizontal="right" vertical="center"/>
    </xf>
    <xf numFmtId="0" fontId="5" fillId="3" borderId="5" xfId="15" applyFont="1" applyFill="1" applyBorder="1" applyAlignment="1">
      <alignment vertical="center"/>
    </xf>
    <xf numFmtId="0" fontId="5" fillId="3" borderId="6" xfId="15" applyFont="1" applyFill="1" applyBorder="1" applyAlignment="1">
      <alignment vertical="center" wrapText="1"/>
    </xf>
    <xf numFmtId="3" fontId="5" fillId="0" borderId="14" xfId="15" applyNumberFormat="1" applyFont="1" applyFill="1" applyBorder="1" applyAlignment="1">
      <alignment horizontal="right" vertical="center"/>
    </xf>
    <xf numFmtId="3" fontId="5" fillId="0" borderId="5" xfId="15" applyNumberFormat="1" applyFont="1" applyFill="1" applyBorder="1" applyAlignment="1">
      <alignment horizontal="right" vertical="center"/>
    </xf>
    <xf numFmtId="3" fontId="5" fillId="0" borderId="7" xfId="15" applyNumberFormat="1" applyFont="1" applyFill="1" applyBorder="1" applyAlignment="1">
      <alignment horizontal="right" vertical="center"/>
    </xf>
    <xf numFmtId="3" fontId="5" fillId="3" borderId="14" xfId="15" applyNumberFormat="1" applyFont="1" applyFill="1" applyBorder="1" applyAlignment="1">
      <alignment horizontal="right" vertical="center"/>
    </xf>
    <xf numFmtId="0" fontId="64" fillId="3" borderId="5" xfId="15" applyFont="1" applyFill="1" applyBorder="1" applyAlignment="1">
      <alignment vertical="center"/>
    </xf>
    <xf numFmtId="0" fontId="11" fillId="3" borderId="6" xfId="15" applyFont="1" applyFill="1" applyBorder="1" applyAlignment="1">
      <alignment vertical="center"/>
    </xf>
    <xf numFmtId="3" fontId="11" fillId="3" borderId="14" xfId="15" applyNumberFormat="1" applyFont="1" applyFill="1" applyBorder="1" applyAlignment="1">
      <alignment vertical="center"/>
    </xf>
    <xf numFmtId="3" fontId="11" fillId="0" borderId="5" xfId="15" applyNumberFormat="1" applyFont="1" applyFill="1" applyBorder="1" applyAlignment="1">
      <alignment vertical="center"/>
    </xf>
    <xf numFmtId="3" fontId="11" fillId="0" borderId="7" xfId="15" applyNumberFormat="1" applyFont="1" applyFill="1" applyBorder="1" applyAlignment="1">
      <alignment vertical="center"/>
    </xf>
    <xf numFmtId="3" fontId="2" fillId="0" borderId="0" xfId="15" applyNumberFormat="1" applyFont="1"/>
    <xf numFmtId="0" fontId="11" fillId="3" borderId="5" xfId="15" applyFont="1" applyFill="1" applyBorder="1" applyAlignment="1">
      <alignment vertical="center"/>
    </xf>
    <xf numFmtId="0" fontId="11" fillId="3" borderId="5" xfId="15" applyFont="1" applyFill="1" applyBorder="1" applyAlignment="1">
      <alignment horizontal="left" vertical="center"/>
    </xf>
    <xf numFmtId="0" fontId="11" fillId="3" borderId="5" xfId="15" applyFont="1" applyFill="1" applyBorder="1" applyAlignment="1">
      <alignment horizontal="right" vertical="center"/>
    </xf>
    <xf numFmtId="0" fontId="5" fillId="0" borderId="0" xfId="15" applyFont="1"/>
    <xf numFmtId="0" fontId="5" fillId="3" borderId="5" xfId="15" applyFont="1" applyFill="1" applyBorder="1" applyAlignment="1">
      <alignment horizontal="right" vertical="center"/>
    </xf>
    <xf numFmtId="0" fontId="5" fillId="3" borderId="6" xfId="15" applyFont="1" applyFill="1" applyBorder="1" applyAlignment="1">
      <alignment vertical="center"/>
    </xf>
    <xf numFmtId="0" fontId="5" fillId="3" borderId="6" xfId="16" applyFont="1" applyFill="1" applyBorder="1" applyAlignment="1">
      <alignment vertical="center" wrapText="1"/>
    </xf>
    <xf numFmtId="0" fontId="11" fillId="3" borderId="6" xfId="15" applyFont="1" applyFill="1" applyBorder="1" applyAlignment="1">
      <alignment vertical="center" wrapText="1"/>
    </xf>
    <xf numFmtId="2" fontId="5" fillId="3" borderId="6" xfId="15" applyNumberFormat="1" applyFont="1" applyFill="1" applyBorder="1" applyAlignment="1">
      <alignment vertical="center" wrapText="1"/>
    </xf>
    <xf numFmtId="3" fontId="5" fillId="0" borderId="5" xfId="15" applyNumberFormat="1" applyFont="1" applyFill="1" applyBorder="1" applyAlignment="1">
      <alignment vertical="center"/>
    </xf>
    <xf numFmtId="3" fontId="5" fillId="0" borderId="7" xfId="15" applyNumberFormat="1" applyFont="1" applyFill="1" applyBorder="1" applyAlignment="1">
      <alignment vertical="center"/>
    </xf>
    <xf numFmtId="3" fontId="5" fillId="0" borderId="0" xfId="15" applyNumberFormat="1" applyFont="1"/>
    <xf numFmtId="0" fontId="5" fillId="3" borderId="6" xfId="15" applyFont="1" applyFill="1" applyBorder="1" applyAlignment="1" applyProtection="1">
      <alignment horizontal="left" vertical="center" wrapText="1"/>
    </xf>
    <xf numFmtId="170" fontId="11" fillId="0" borderId="5" xfId="15" applyNumberFormat="1" applyFont="1" applyFill="1" applyBorder="1" applyAlignment="1">
      <alignment vertical="center"/>
    </xf>
    <xf numFmtId="171" fontId="11" fillId="0" borderId="7" xfId="15" applyNumberFormat="1" applyFont="1" applyFill="1" applyBorder="1" applyAlignment="1">
      <alignment vertical="center"/>
    </xf>
    <xf numFmtId="0" fontId="5" fillId="3" borderId="22" xfId="15" applyFont="1" applyFill="1" applyBorder="1" applyAlignment="1">
      <alignment vertical="center"/>
    </xf>
    <xf numFmtId="0" fontId="5" fillId="3" borderId="23" xfId="15" applyFont="1" applyFill="1" applyBorder="1" applyAlignment="1">
      <alignment vertical="center"/>
    </xf>
    <xf numFmtId="3" fontId="5" fillId="3" borderId="104" xfId="15" applyNumberFormat="1" applyFont="1" applyFill="1" applyBorder="1" applyAlignment="1">
      <alignment horizontal="right" vertical="center"/>
    </xf>
    <xf numFmtId="3" fontId="5" fillId="0" borderId="22" xfId="15" applyNumberFormat="1" applyFont="1" applyFill="1" applyBorder="1" applyAlignment="1">
      <alignment vertical="center"/>
    </xf>
    <xf numFmtId="3" fontId="5" fillId="0" borderId="24" xfId="15" applyNumberFormat="1" applyFont="1" applyFill="1" applyBorder="1" applyAlignment="1">
      <alignment vertical="center"/>
    </xf>
    <xf numFmtId="0" fontId="5" fillId="0" borderId="0" xfId="15" applyFont="1" applyAlignment="1">
      <alignment horizontal="left"/>
    </xf>
    <xf numFmtId="0" fontId="15" fillId="0" borderId="0" xfId="15" applyFont="1" applyAlignment="1">
      <alignment horizontal="left"/>
    </xf>
    <xf numFmtId="0" fontId="15" fillId="0" borderId="0" xfId="15" applyFont="1"/>
    <xf numFmtId="0" fontId="15" fillId="0" borderId="0" xfId="2" applyFont="1" applyFill="1" applyBorder="1" applyAlignment="1" applyProtection="1">
      <alignment horizontal="center"/>
      <protection locked="0"/>
    </xf>
    <xf numFmtId="0" fontId="15" fillId="0" borderId="17" xfId="5" applyFont="1" applyBorder="1" applyAlignment="1" applyProtection="1">
      <alignment horizontal="center" vertical="center" wrapText="1"/>
      <protection locked="0"/>
    </xf>
    <xf numFmtId="0" fontId="15" fillId="0" borderId="21" xfId="5" applyFont="1" applyBorder="1" applyAlignment="1" applyProtection="1">
      <alignment horizontal="center" vertical="center" wrapText="1"/>
      <protection locked="0"/>
    </xf>
    <xf numFmtId="0" fontId="15" fillId="0" borderId="21" xfId="5" applyFont="1" applyBorder="1" applyAlignment="1" applyProtection="1">
      <alignment horizontal="left" vertical="center" wrapText="1"/>
      <protection locked="0"/>
    </xf>
    <xf numFmtId="0" fontId="15" fillId="0" borderId="0" xfId="5" applyFont="1" applyFill="1" applyBorder="1" applyAlignment="1" applyProtection="1">
      <alignment horizontal="left" vertical="center" wrapText="1"/>
      <protection locked="0"/>
    </xf>
    <xf numFmtId="0" fontId="15" fillId="0" borderId="6" xfId="5" applyFont="1" applyFill="1" applyBorder="1" applyAlignment="1">
      <alignment horizontal="center" vertical="center" wrapText="1"/>
    </xf>
    <xf numFmtId="0" fontId="15" fillId="0" borderId="6" xfId="5" applyFont="1" applyFill="1" applyBorder="1" applyAlignment="1" applyProtection="1">
      <alignment horizontal="center" vertical="center" wrapText="1"/>
      <protection locked="0"/>
    </xf>
    <xf numFmtId="0" fontId="15" fillId="0" borderId="6" xfId="5" applyFont="1" applyFill="1" applyBorder="1" applyAlignment="1" applyProtection="1">
      <alignment horizontal="left" vertical="center" wrapText="1"/>
      <protection locked="0"/>
    </xf>
    <xf numFmtId="3" fontId="15" fillId="0" borderId="6" xfId="5" applyNumberFormat="1" applyFont="1" applyFill="1" applyBorder="1" applyAlignment="1" applyProtection="1">
      <alignment vertical="center" wrapText="1"/>
      <protection locked="0"/>
    </xf>
    <xf numFmtId="0" fontId="15" fillId="0" borderId="21" xfId="5" applyFont="1" applyFill="1" applyBorder="1" applyAlignment="1" applyProtection="1">
      <alignment horizontal="left" vertical="center" wrapText="1"/>
      <protection locked="0"/>
    </xf>
    <xf numFmtId="0" fontId="15" fillId="0" borderId="0" xfId="5" applyFont="1" applyFill="1" applyAlignment="1">
      <alignment horizontal="left"/>
    </xf>
    <xf numFmtId="3" fontId="15" fillId="0" borderId="6" xfId="5" applyNumberFormat="1" applyFont="1" applyFill="1" applyBorder="1" applyAlignment="1" applyProtection="1">
      <alignment horizontal="center" vertical="center" wrapText="1"/>
      <protection locked="0"/>
    </xf>
    <xf numFmtId="0" fontId="15" fillId="0" borderId="0" xfId="5" applyFont="1" applyFill="1" applyBorder="1" applyAlignment="1" applyProtection="1">
      <alignment horizontal="left" wrapText="1"/>
      <protection locked="0"/>
    </xf>
    <xf numFmtId="0" fontId="15" fillId="0" borderId="32" xfId="5" applyFont="1" applyBorder="1" applyAlignment="1" applyProtection="1">
      <alignment horizontal="center" vertical="center" wrapText="1"/>
      <protection locked="0"/>
    </xf>
    <xf numFmtId="0" fontId="15" fillId="0" borderId="0" xfId="2" applyFont="1" applyBorder="1" applyAlignment="1" applyProtection="1">
      <alignment horizontal="center"/>
      <protection locked="0"/>
    </xf>
    <xf numFmtId="0" fontId="7" fillId="0" borderId="0" xfId="5" applyFont="1" applyFill="1" applyAlignment="1">
      <alignment horizontal="center"/>
    </xf>
    <xf numFmtId="0" fontId="15" fillId="0" borderId="14" xfId="5" applyFont="1" applyFill="1" applyBorder="1" applyAlignment="1">
      <alignment horizontal="center" vertical="center" wrapText="1"/>
    </xf>
    <xf numFmtId="0" fontId="15" fillId="0" borderId="0" xfId="5" applyFont="1" applyBorder="1" applyAlignment="1" applyProtection="1">
      <alignment horizontal="left" wrapText="1"/>
      <protection locked="0"/>
    </xf>
    <xf numFmtId="0" fontId="15" fillId="0" borderId="6" xfId="5" applyFont="1" applyBorder="1" applyAlignment="1" applyProtection="1">
      <alignment horizontal="center" vertical="center" wrapText="1"/>
      <protection locked="0"/>
    </xf>
    <xf numFmtId="0" fontId="15" fillId="0" borderId="6" xfId="5" applyFont="1" applyBorder="1" applyAlignment="1" applyProtection="1">
      <alignment horizontal="left" vertical="center" wrapText="1"/>
      <protection locked="0"/>
    </xf>
    <xf numFmtId="0" fontId="15" fillId="0" borderId="6" xfId="5" applyFont="1" applyBorder="1" applyAlignment="1" applyProtection="1">
      <alignment horizontal="center" vertical="center"/>
      <protection locked="0"/>
    </xf>
    <xf numFmtId="3" fontId="15" fillId="0" borderId="6" xfId="5" applyNumberFormat="1" applyFont="1" applyBorder="1" applyAlignment="1" applyProtection="1">
      <alignment horizontal="center" vertical="center" wrapText="1"/>
      <protection locked="0"/>
    </xf>
    <xf numFmtId="0" fontId="15" fillId="0" borderId="6" xfId="5" applyFont="1" applyBorder="1" applyAlignment="1" applyProtection="1">
      <alignment horizontal="left" vertical="center"/>
      <protection locked="0"/>
    </xf>
    <xf numFmtId="0" fontId="15" fillId="0" borderId="0" xfId="5" applyFont="1" applyBorder="1" applyAlignment="1" applyProtection="1">
      <alignment horizontal="left" vertical="center" wrapText="1"/>
      <protection locked="0"/>
    </xf>
    <xf numFmtId="0" fontId="15" fillId="0" borderId="6" xfId="5" applyFont="1" applyBorder="1" applyAlignment="1">
      <alignment horizontal="center" vertical="center" wrapText="1"/>
    </xf>
    <xf numFmtId="0" fontId="15" fillId="0" borderId="14" xfId="5" applyFont="1" applyBorder="1" applyAlignment="1">
      <alignment horizontal="center" vertical="center" wrapText="1"/>
    </xf>
    <xf numFmtId="0" fontId="15" fillId="0" borderId="14" xfId="5" applyFont="1" applyBorder="1" applyAlignment="1" applyProtection="1">
      <alignment horizontal="left" vertical="center" wrapText="1"/>
      <protection locked="0"/>
    </xf>
    <xf numFmtId="0" fontId="15" fillId="0" borderId="0" xfId="5" applyFont="1" applyAlignment="1"/>
    <xf numFmtId="3" fontId="15" fillId="0" borderId="6" xfId="5" applyNumberFormat="1" applyFont="1" applyBorder="1" applyAlignment="1">
      <alignment horizontal="center" vertical="center" wrapText="1"/>
    </xf>
    <xf numFmtId="0" fontId="18" fillId="0" borderId="6" xfId="5" applyFont="1" applyFill="1" applyBorder="1" applyAlignment="1" applyProtection="1">
      <alignment horizontal="left" vertical="center" wrapText="1"/>
      <protection locked="0"/>
    </xf>
    <xf numFmtId="3" fontId="18" fillId="0" borderId="6" xfId="5" applyNumberFormat="1" applyFont="1" applyFill="1" applyBorder="1" applyAlignment="1">
      <alignment horizontal="right" vertical="center"/>
    </xf>
    <xf numFmtId="0" fontId="18" fillId="0" borderId="6" xfId="5" applyFont="1" applyFill="1" applyBorder="1" applyAlignment="1">
      <alignment horizontal="left" vertical="center" wrapText="1"/>
    </xf>
    <xf numFmtId="3" fontId="18" fillId="0" borderId="6" xfId="5" applyNumberFormat="1" applyFont="1" applyFill="1" applyBorder="1" applyAlignment="1">
      <alignment vertical="center"/>
    </xf>
    <xf numFmtId="3" fontId="18" fillId="0" borderId="6" xfId="5" applyNumberFormat="1" applyFont="1" applyFill="1" applyBorder="1" applyAlignment="1" applyProtection="1">
      <alignment vertical="center" wrapText="1"/>
      <protection locked="0"/>
    </xf>
    <xf numFmtId="0" fontId="18" fillId="0" borderId="0" xfId="5" applyFont="1" applyFill="1" applyBorder="1" applyAlignment="1" applyProtection="1">
      <alignment horizontal="left" vertical="center" wrapText="1"/>
      <protection locked="0"/>
    </xf>
    <xf numFmtId="3" fontId="18" fillId="0" borderId="21" xfId="5" applyNumberFormat="1" applyFont="1" applyFill="1" applyBorder="1" applyAlignment="1" applyProtection="1">
      <alignment vertical="center" wrapText="1"/>
      <protection locked="0"/>
    </xf>
    <xf numFmtId="4" fontId="15" fillId="0" borderId="0" xfId="5" applyNumberFormat="1" applyFont="1"/>
    <xf numFmtId="3" fontId="18" fillId="0" borderId="32" xfId="5" applyNumberFormat="1" applyFont="1" applyFill="1" applyBorder="1" applyAlignment="1" applyProtection="1">
      <alignment vertical="center" wrapText="1"/>
      <protection locked="0"/>
    </xf>
    <xf numFmtId="0" fontId="18" fillId="0" borderId="0" xfId="5" applyFont="1"/>
    <xf numFmtId="0" fontId="18" fillId="0" borderId="0" xfId="5" applyFont="1" applyBorder="1"/>
    <xf numFmtId="0" fontId="18" fillId="0" borderId="0" xfId="5" applyFont="1" applyFill="1" applyAlignment="1"/>
    <xf numFmtId="0" fontId="14" fillId="0" borderId="0" xfId="5" applyFont="1" applyFill="1" applyAlignment="1">
      <alignment horizontal="center"/>
    </xf>
    <xf numFmtId="0" fontId="19" fillId="0" borderId="0" xfId="5" applyFont="1" applyFill="1" applyAlignment="1">
      <alignment horizontal="center"/>
    </xf>
    <xf numFmtId="0" fontId="18" fillId="0" borderId="6" xfId="5" applyFont="1" applyFill="1" applyBorder="1" applyAlignment="1" applyProtection="1">
      <alignment wrapText="1"/>
      <protection locked="0"/>
    </xf>
    <xf numFmtId="0" fontId="19" fillId="0" borderId="6" xfId="5" applyFont="1" applyFill="1" applyBorder="1" applyAlignment="1" applyProtection="1">
      <alignment wrapText="1"/>
      <protection locked="0"/>
    </xf>
    <xf numFmtId="0" fontId="15" fillId="0" borderId="6" xfId="5" applyFont="1" applyFill="1" applyBorder="1" applyAlignment="1" applyProtection="1">
      <alignment horizontal="right" wrapText="1"/>
      <protection locked="0"/>
    </xf>
    <xf numFmtId="0" fontId="19" fillId="0" borderId="6" xfId="5" applyFont="1" applyFill="1" applyBorder="1" applyAlignment="1" applyProtection="1">
      <alignment vertical="center" wrapText="1"/>
      <protection locked="0"/>
    </xf>
    <xf numFmtId="3" fontId="14" fillId="0" borderId="6" xfId="2" applyNumberFormat="1" applyFont="1" applyFill="1" applyBorder="1" applyAlignment="1" applyProtection="1">
      <alignment horizontal="right" vertical="center" wrapText="1"/>
      <protection locked="0"/>
    </xf>
    <xf numFmtId="0" fontId="18" fillId="0" borderId="0" xfId="5" applyFont="1" applyFill="1" applyBorder="1" applyAlignment="1">
      <alignment wrapText="1"/>
    </xf>
    <xf numFmtId="0" fontId="18" fillId="0" borderId="6" xfId="5" applyFont="1" applyFill="1" applyBorder="1" applyAlignment="1">
      <alignment horizontal="center" vertical="center" wrapText="1"/>
    </xf>
    <xf numFmtId="3" fontId="15" fillId="0" borderId="0" xfId="5" applyNumberFormat="1" applyFont="1" applyFill="1" applyBorder="1" applyAlignment="1">
      <alignment wrapText="1"/>
    </xf>
    <xf numFmtId="0" fontId="18" fillId="0" borderId="6" xfId="5" applyFont="1" applyFill="1" applyBorder="1" applyAlignment="1">
      <alignment wrapText="1"/>
    </xf>
    <xf numFmtId="3" fontId="15" fillId="0" borderId="0" xfId="5" applyNumberFormat="1" applyFont="1" applyFill="1" applyBorder="1" applyAlignment="1">
      <alignment horizontal="right"/>
    </xf>
    <xf numFmtId="3" fontId="18" fillId="0" borderId="6" xfId="5" applyNumberFormat="1" applyFont="1" applyFill="1" applyBorder="1" applyAlignment="1" applyProtection="1">
      <alignment horizontal="right" vertical="center" wrapText="1"/>
      <protection locked="0"/>
    </xf>
    <xf numFmtId="0" fontId="18" fillId="0" borderId="0" xfId="5" applyFont="1" applyFill="1" applyBorder="1" applyAlignment="1" applyProtection="1">
      <alignment wrapText="1"/>
      <protection locked="0"/>
    </xf>
    <xf numFmtId="3" fontId="15" fillId="0" borderId="0" xfId="5" applyNumberFormat="1" applyFont="1" applyFill="1" applyBorder="1" applyAlignment="1" applyProtection="1">
      <alignment horizontal="right" wrapText="1"/>
      <protection locked="0"/>
    </xf>
    <xf numFmtId="3" fontId="14" fillId="0" borderId="6" xfId="5" applyNumberFormat="1" applyFont="1" applyFill="1" applyBorder="1"/>
    <xf numFmtId="0" fontId="18" fillId="0" borderId="6" xfId="5" applyFont="1" applyFill="1" applyBorder="1"/>
    <xf numFmtId="3" fontId="15" fillId="0" borderId="0" xfId="5" applyNumberFormat="1" applyFont="1" applyFill="1"/>
    <xf numFmtId="0" fontId="18" fillId="0" borderId="0" xfId="5" applyFont="1" applyFill="1"/>
    <xf numFmtId="0" fontId="25" fillId="0" borderId="0" xfId="5" applyFont="1" applyFill="1"/>
    <xf numFmtId="0" fontId="15" fillId="0" borderId="0" xfId="5" applyFont="1" applyAlignment="1">
      <alignment horizontal="left"/>
    </xf>
    <xf numFmtId="0" fontId="7" fillId="0" borderId="0" xfId="5" applyFont="1" applyAlignment="1">
      <alignment horizontal="center"/>
    </xf>
    <xf numFmtId="3" fontId="15" fillId="0" borderId="6" xfId="5" applyNumberFormat="1" applyFont="1" applyFill="1" applyBorder="1" applyAlignment="1" applyProtection="1">
      <alignment vertical="center" wrapText="1"/>
      <protection locked="0"/>
    </xf>
    <xf numFmtId="0" fontId="15" fillId="0" borderId="0" xfId="5" applyFont="1" applyBorder="1" applyAlignment="1" applyProtection="1">
      <alignment horizontal="left" wrapText="1"/>
      <protection locked="0"/>
    </xf>
    <xf numFmtId="167" fontId="15" fillId="0" borderId="0" xfId="10" applyNumberFormat="1" applyFont="1" applyFill="1" applyBorder="1" applyAlignment="1">
      <alignment horizontal="left" vertical="center" wrapText="1"/>
    </xf>
    <xf numFmtId="0" fontId="14" fillId="0" borderId="6" xfId="5" applyFont="1" applyBorder="1" applyAlignment="1">
      <alignment horizontal="right" wrapText="1"/>
    </xf>
    <xf numFmtId="0" fontId="15" fillId="0" borderId="6" xfId="5" applyFont="1" applyBorder="1" applyAlignment="1" applyProtection="1">
      <alignment horizontal="center" vertical="center" wrapText="1"/>
      <protection locked="0"/>
    </xf>
    <xf numFmtId="0" fontId="15" fillId="0" borderId="6" xfId="5" applyFont="1" applyBorder="1" applyAlignment="1">
      <alignment horizontal="center" vertical="center" wrapText="1"/>
    </xf>
    <xf numFmtId="0" fontId="15" fillId="0" borderId="0" xfId="5" applyFont="1" applyAlignment="1">
      <alignment horizontal="left" vertical="center"/>
    </xf>
    <xf numFmtId="0" fontId="15" fillId="0" borderId="0" xfId="5" applyFont="1" applyBorder="1" applyAlignment="1" applyProtection="1">
      <alignment horizontal="left"/>
      <protection locked="0"/>
    </xf>
    <xf numFmtId="0" fontId="15" fillId="0" borderId="0" xfId="5" applyFont="1" applyAlignment="1"/>
    <xf numFmtId="0" fontId="14" fillId="0" borderId="6" xfId="5" applyFont="1" applyBorder="1" applyAlignment="1" applyProtection="1">
      <alignment horizontal="center" vertical="center" wrapText="1"/>
      <protection locked="0"/>
    </xf>
    <xf numFmtId="0" fontId="5" fillId="0" borderId="34" xfId="5" applyFont="1" applyBorder="1"/>
    <xf numFmtId="0" fontId="15" fillId="0" borderId="0" xfId="2" applyFont="1" applyFill="1" applyBorder="1" applyAlignment="1" applyProtection="1">
      <alignment horizontal="center"/>
      <protection locked="0"/>
    </xf>
    <xf numFmtId="3" fontId="15" fillId="0" borderId="17" xfId="5" applyNumberFormat="1" applyFont="1" applyFill="1" applyBorder="1" applyAlignment="1" applyProtection="1">
      <alignment horizontal="center" vertical="center" wrapText="1"/>
      <protection locked="0"/>
    </xf>
    <xf numFmtId="3" fontId="15" fillId="0" borderId="32" xfId="5" applyNumberFormat="1" applyFont="1" applyFill="1" applyBorder="1" applyAlignment="1" applyProtection="1">
      <alignment horizontal="center" vertical="center" wrapText="1"/>
      <protection locked="0"/>
    </xf>
    <xf numFmtId="0" fontId="15" fillId="0" borderId="6" xfId="5" applyFont="1" applyFill="1" applyBorder="1" applyAlignment="1">
      <alignment horizontal="center" vertical="center" wrapText="1"/>
    </xf>
    <xf numFmtId="0" fontId="15" fillId="0" borderId="0" xfId="5" applyFont="1" applyFill="1" applyBorder="1" applyAlignment="1" applyProtection="1">
      <alignment horizontal="left" wrapText="1"/>
      <protection locked="0"/>
    </xf>
    <xf numFmtId="0" fontId="15" fillId="0" borderId="14" xfId="5" applyFont="1" applyFill="1" applyBorder="1" applyAlignment="1">
      <alignment horizontal="center" vertical="center" wrapText="1"/>
    </xf>
    <xf numFmtId="0" fontId="18" fillId="0" borderId="6" xfId="5" applyFont="1" applyFill="1" applyBorder="1" applyAlignment="1" applyProtection="1">
      <alignment horizontal="justify" vertical="center" wrapText="1"/>
      <protection locked="0"/>
    </xf>
    <xf numFmtId="3" fontId="19" fillId="0" borderId="6" xfId="5" applyNumberFormat="1" applyFont="1" applyFill="1" applyBorder="1" applyAlignment="1" applyProtection="1">
      <alignment vertical="center" wrapText="1"/>
      <protection locked="0"/>
    </xf>
    <xf numFmtId="3" fontId="15" fillId="0" borderId="0" xfId="2" applyNumberFormat="1" applyFont="1" applyFill="1" applyBorder="1" applyAlignment="1" applyProtection="1">
      <alignment wrapText="1"/>
      <protection locked="0"/>
    </xf>
    <xf numFmtId="3" fontId="24" fillId="0" borderId="6" xfId="2" applyNumberFormat="1" applyFont="1" applyFill="1" applyBorder="1" applyAlignment="1" applyProtection="1">
      <alignment horizontal="right" vertical="center" wrapText="1"/>
      <protection locked="0"/>
    </xf>
    <xf numFmtId="3" fontId="15" fillId="0" borderId="0" xfId="2" applyNumberFormat="1" applyFont="1" applyFill="1" applyBorder="1" applyAlignment="1" applyProtection="1">
      <alignment horizontal="right" wrapText="1"/>
      <protection locked="0"/>
    </xf>
    <xf numFmtId="0" fontId="19" fillId="0" borderId="6" xfId="2" applyFont="1" applyFill="1" applyBorder="1" applyAlignment="1" applyProtection="1">
      <alignment horizontal="justify" vertical="center" wrapText="1"/>
      <protection locked="0"/>
    </xf>
    <xf numFmtId="3" fontId="18" fillId="0" borderId="21" xfId="2" applyNumberFormat="1" applyFont="1" applyFill="1" applyBorder="1" applyAlignment="1" applyProtection="1">
      <alignment vertical="center" wrapText="1"/>
      <protection locked="0"/>
    </xf>
    <xf numFmtId="3" fontId="18" fillId="0" borderId="32" xfId="2" applyNumberFormat="1" applyFont="1" applyFill="1" applyBorder="1" applyAlignment="1" applyProtection="1">
      <alignment vertical="center" wrapText="1"/>
      <protection locked="0"/>
    </xf>
    <xf numFmtId="0" fontId="19" fillId="0" borderId="6" xfId="5" applyFont="1" applyFill="1" applyBorder="1" applyAlignment="1" applyProtection="1">
      <alignment horizontal="justify" vertical="center" wrapText="1"/>
      <protection locked="0"/>
    </xf>
    <xf numFmtId="3" fontId="15" fillId="0" borderId="0" xfId="2" applyNumberFormat="1" applyFont="1" applyFill="1" applyBorder="1" applyAlignment="1">
      <alignment horizontal="right"/>
    </xf>
    <xf numFmtId="3" fontId="18" fillId="0" borderId="6" xfId="5" applyNumberFormat="1" applyFont="1" applyFill="1" applyBorder="1" applyAlignment="1">
      <alignment horizontal="right" vertical="center" wrapText="1"/>
    </xf>
    <xf numFmtId="3" fontId="15" fillId="0" borderId="6" xfId="2" applyNumberFormat="1" applyFont="1" applyFill="1" applyBorder="1" applyAlignment="1" applyProtection="1">
      <alignment horizontal="right" vertical="center" wrapText="1"/>
      <protection locked="0"/>
    </xf>
    <xf numFmtId="0" fontId="67" fillId="0" borderId="6" xfId="5" applyFont="1" applyFill="1" applyBorder="1" applyAlignment="1" applyProtection="1">
      <alignment horizontal="left" vertical="center" wrapText="1"/>
      <protection locked="0"/>
    </xf>
    <xf numFmtId="3" fontId="18" fillId="0" borderId="6" xfId="5" applyNumberFormat="1" applyFont="1" applyFill="1" applyBorder="1" applyAlignment="1">
      <alignment vertical="center" wrapText="1"/>
    </xf>
    <xf numFmtId="3" fontId="15" fillId="0" borderId="6" xfId="2" applyNumberFormat="1" applyFont="1" applyFill="1" applyBorder="1" applyAlignment="1">
      <alignment horizontal="right" vertical="center"/>
    </xf>
    <xf numFmtId="3" fontId="14" fillId="0" borderId="6" xfId="2" applyNumberFormat="1" applyFont="1" applyFill="1" applyBorder="1" applyAlignment="1">
      <alignment horizontal="right" vertical="center"/>
    </xf>
    <xf numFmtId="0" fontId="14" fillId="0" borderId="6" xfId="5" applyFont="1" applyFill="1" applyBorder="1" applyAlignment="1">
      <alignment horizontal="right"/>
    </xf>
    <xf numFmtId="0" fontId="14" fillId="0" borderId="17" xfId="5" applyFont="1" applyFill="1" applyBorder="1" applyAlignment="1" applyProtection="1">
      <alignment horizontal="center" vertical="center" wrapText="1"/>
      <protection locked="0"/>
    </xf>
    <xf numFmtId="0" fontId="14" fillId="0" borderId="32" xfId="5" applyFont="1" applyFill="1" applyBorder="1" applyAlignment="1" applyProtection="1">
      <alignment horizontal="center" vertical="center" wrapText="1"/>
      <protection locked="0"/>
    </xf>
    <xf numFmtId="0" fontId="14" fillId="0" borderId="21" xfId="5" applyFont="1" applyFill="1" applyBorder="1" applyAlignment="1" applyProtection="1">
      <alignment horizontal="center" vertical="center" wrapText="1"/>
      <protection locked="0"/>
    </xf>
    <xf numFmtId="0" fontId="14" fillId="0" borderId="33" xfId="5" applyFont="1" applyFill="1" applyBorder="1" applyAlignment="1">
      <alignment horizontal="center" vertical="center" wrapText="1"/>
    </xf>
    <xf numFmtId="0" fontId="14" fillId="0" borderId="35" xfId="5" applyFont="1" applyFill="1" applyBorder="1" applyAlignment="1">
      <alignment horizontal="center" vertical="center" wrapText="1"/>
    </xf>
    <xf numFmtId="0" fontId="14" fillId="0" borderId="37" xfId="5" applyFont="1" applyFill="1" applyBorder="1" applyAlignment="1">
      <alignment horizontal="center" vertical="center" wrapText="1"/>
    </xf>
    <xf numFmtId="0" fontId="14" fillId="0" borderId="10" xfId="5" applyFont="1" applyFill="1" applyBorder="1" applyAlignment="1">
      <alignment horizontal="right" wrapText="1"/>
    </xf>
    <xf numFmtId="3" fontId="15" fillId="0" borderId="6" xfId="5" applyNumberFormat="1" applyFont="1" applyFill="1" applyBorder="1" applyAlignment="1" applyProtection="1">
      <alignment horizontal="center" vertical="center" wrapText="1"/>
      <protection locked="0"/>
    </xf>
    <xf numFmtId="0" fontId="14" fillId="0" borderId="32" xfId="5" applyFont="1" applyFill="1" applyBorder="1" applyAlignment="1" applyProtection="1">
      <alignment vertical="center" wrapText="1"/>
      <protection locked="0"/>
    </xf>
    <xf numFmtId="0" fontId="14" fillId="0" borderId="21" xfId="5" applyFont="1" applyFill="1" applyBorder="1" applyAlignment="1" applyProtection="1">
      <alignment vertical="center" wrapText="1"/>
      <protection locked="0"/>
    </xf>
    <xf numFmtId="0" fontId="15" fillId="0" borderId="0" xfId="5" applyFont="1" applyFill="1" applyAlignment="1">
      <alignment horizontal="left"/>
    </xf>
    <xf numFmtId="0" fontId="7" fillId="0" borderId="0" xfId="5" applyFont="1" applyFill="1" applyAlignment="1">
      <alignment horizontal="center"/>
    </xf>
    <xf numFmtId="0" fontId="15" fillId="0" borderId="0" xfId="2" applyFont="1" applyFill="1" applyAlignment="1">
      <alignment horizontal="left"/>
    </xf>
    <xf numFmtId="0" fontId="7" fillId="0" borderId="0" xfId="2" applyFont="1" applyAlignment="1">
      <alignment horizontal="center"/>
    </xf>
    <xf numFmtId="0" fontId="14" fillId="0" borderId="39" xfId="2" applyFont="1" applyBorder="1" applyAlignment="1">
      <alignment horizontal="right"/>
    </xf>
    <xf numFmtId="0" fontId="14" fillId="0" borderId="39" xfId="5" applyFont="1" applyBorder="1" applyAlignment="1">
      <alignment horizontal="right"/>
    </xf>
    <xf numFmtId="0" fontId="14" fillId="0" borderId="0" xfId="5" applyFont="1" applyAlignment="1">
      <alignment horizontal="left" vertical="center"/>
    </xf>
    <xf numFmtId="0" fontId="15" fillId="0" borderId="0" xfId="5" applyFont="1" applyAlignment="1">
      <alignment horizontal="left"/>
    </xf>
    <xf numFmtId="0" fontId="7" fillId="0" borderId="0" xfId="5" applyFont="1" applyAlignment="1">
      <alignment horizontal="center"/>
    </xf>
    <xf numFmtId="0" fontId="14" fillId="0" borderId="10" xfId="5" applyFont="1" applyBorder="1" applyAlignment="1">
      <alignment horizontal="right" wrapText="1"/>
    </xf>
    <xf numFmtId="0" fontId="15" fillId="0" borderId="17" xfId="5" applyFont="1" applyBorder="1" applyAlignment="1" applyProtection="1">
      <alignment horizontal="center" vertical="center" wrapText="1"/>
      <protection locked="0"/>
    </xf>
    <xf numFmtId="0" fontId="15" fillId="0" borderId="21" xfId="5" applyFont="1" applyBorder="1" applyAlignment="1" applyProtection="1">
      <alignment horizontal="center" vertical="center" wrapText="1"/>
      <protection locked="0"/>
    </xf>
    <xf numFmtId="0" fontId="15" fillId="0" borderId="17" xfId="5" applyFont="1" applyBorder="1" applyAlignment="1" applyProtection="1">
      <alignment horizontal="left" vertical="center" wrapText="1"/>
      <protection locked="0"/>
    </xf>
    <xf numFmtId="0" fontId="15" fillId="0" borderId="32" xfId="5" applyFont="1" applyBorder="1" applyAlignment="1" applyProtection="1">
      <alignment horizontal="left" vertical="center" wrapText="1"/>
      <protection locked="0"/>
    </xf>
    <xf numFmtId="0" fontId="15" fillId="0" borderId="21" xfId="5" applyFont="1" applyBorder="1" applyAlignment="1" applyProtection="1">
      <alignment horizontal="left" vertical="center" wrapText="1"/>
      <protection locked="0"/>
    </xf>
    <xf numFmtId="3" fontId="15" fillId="0" borderId="17" xfId="5" applyNumberFormat="1" applyFont="1" applyBorder="1" applyAlignment="1" applyProtection="1">
      <alignment horizontal="center" vertical="center" wrapText="1"/>
      <protection locked="0"/>
    </xf>
    <xf numFmtId="0" fontId="15" fillId="0" borderId="0" xfId="5" applyFont="1" applyFill="1" applyBorder="1" applyAlignment="1" applyProtection="1">
      <alignment horizontal="left" vertical="center" wrapText="1"/>
      <protection locked="0"/>
    </xf>
    <xf numFmtId="0" fontId="14" fillId="0" borderId="0" xfId="5" applyFont="1" applyFill="1" applyAlignment="1">
      <alignment horizontal="left" vertical="center"/>
    </xf>
    <xf numFmtId="0" fontId="15" fillId="0" borderId="0" xfId="5" applyFont="1" applyFill="1" applyAlignment="1">
      <alignment horizontal="left" vertical="center"/>
    </xf>
    <xf numFmtId="0" fontId="15" fillId="0" borderId="6" xfId="5" applyFont="1" applyFill="1" applyBorder="1" applyAlignment="1" applyProtection="1">
      <alignment horizontal="center" vertical="center" wrapText="1"/>
      <protection locked="0"/>
    </xf>
    <xf numFmtId="0" fontId="15" fillId="0" borderId="6" xfId="5" applyFont="1" applyFill="1" applyBorder="1" applyAlignment="1" applyProtection="1">
      <alignment horizontal="left" vertical="center" wrapText="1"/>
      <protection locked="0"/>
    </xf>
    <xf numFmtId="3" fontId="15" fillId="0" borderId="6" xfId="5" applyNumberFormat="1" applyFont="1" applyFill="1" applyBorder="1" applyAlignment="1" applyProtection="1">
      <alignment vertical="center" wrapText="1"/>
      <protection locked="0"/>
    </xf>
    <xf numFmtId="0" fontId="15" fillId="0" borderId="17" xfId="5" applyFont="1" applyFill="1" applyBorder="1" applyAlignment="1" applyProtection="1">
      <alignment horizontal="center" vertical="center" wrapText="1"/>
      <protection locked="0"/>
    </xf>
    <xf numFmtId="0" fontId="15" fillId="0" borderId="21" xfId="5" applyFont="1" applyFill="1" applyBorder="1" applyAlignment="1" applyProtection="1">
      <alignment horizontal="center" vertical="center" wrapText="1"/>
      <protection locked="0"/>
    </xf>
    <xf numFmtId="0" fontId="15" fillId="0" borderId="17" xfId="5" applyFont="1" applyFill="1" applyBorder="1" applyAlignment="1" applyProtection="1">
      <alignment horizontal="left" vertical="center" wrapText="1"/>
      <protection locked="0"/>
    </xf>
    <xf numFmtId="0" fontId="15" fillId="0" borderId="21" xfId="5" applyFont="1" applyFill="1" applyBorder="1" applyAlignment="1" applyProtection="1">
      <alignment horizontal="left" vertical="center" wrapText="1"/>
      <protection locked="0"/>
    </xf>
    <xf numFmtId="0" fontId="15" fillId="0" borderId="32" xfId="5" applyFont="1" applyFill="1" applyBorder="1" applyAlignment="1" applyProtection="1">
      <alignment horizontal="center" vertical="center" wrapText="1"/>
      <protection locked="0"/>
    </xf>
    <xf numFmtId="0" fontId="15" fillId="0" borderId="32" xfId="5" applyFont="1" applyFill="1" applyBorder="1" applyAlignment="1" applyProtection="1">
      <alignment horizontal="left" vertical="center" wrapText="1"/>
      <protection locked="0"/>
    </xf>
    <xf numFmtId="0" fontId="15" fillId="0" borderId="0" xfId="5" applyFont="1" applyFill="1" applyBorder="1" applyAlignment="1" applyProtection="1">
      <alignment horizontal="left"/>
      <protection locked="0"/>
    </xf>
    <xf numFmtId="0" fontId="15" fillId="0" borderId="0" xfId="5" applyFont="1" applyFill="1" applyBorder="1" applyAlignment="1" applyProtection="1">
      <alignment horizontal="left" wrapText="1"/>
      <protection locked="0"/>
    </xf>
    <xf numFmtId="0" fontId="7" fillId="0" borderId="0" xfId="5" applyFont="1" applyFill="1" applyBorder="1" applyAlignment="1">
      <alignment horizontal="center"/>
    </xf>
    <xf numFmtId="0" fontId="15" fillId="0" borderId="32" xfId="5" applyFont="1" applyBorder="1" applyAlignment="1" applyProtection="1">
      <alignment horizontal="center" vertical="center" wrapText="1"/>
      <protection locked="0"/>
    </xf>
    <xf numFmtId="0" fontId="14" fillId="0" borderId="39" xfId="5" applyFont="1" applyBorder="1" applyAlignment="1">
      <alignment horizontal="right" vertical="center"/>
    </xf>
    <xf numFmtId="0" fontId="15" fillId="0" borderId="33" xfId="5" applyFont="1" applyBorder="1" applyAlignment="1">
      <alignment horizontal="left" vertical="center" wrapText="1"/>
    </xf>
    <xf numFmtId="0" fontId="15" fillId="0" borderId="37" xfId="5" applyFont="1" applyBorder="1" applyAlignment="1">
      <alignment horizontal="left" vertical="center" wrapText="1"/>
    </xf>
    <xf numFmtId="0" fontId="15" fillId="0" borderId="35" xfId="5" applyFont="1" applyBorder="1" applyAlignment="1">
      <alignment horizontal="left" vertical="center" wrapText="1"/>
    </xf>
    <xf numFmtId="0" fontId="15" fillId="0" borderId="33" xfId="5" applyFont="1" applyFill="1" applyBorder="1" applyAlignment="1">
      <alignment horizontal="left" vertical="center" wrapText="1"/>
    </xf>
    <xf numFmtId="0" fontId="15" fillId="0" borderId="37" xfId="5" applyFont="1" applyFill="1" applyBorder="1" applyAlignment="1">
      <alignment horizontal="left" vertical="center" wrapText="1"/>
    </xf>
    <xf numFmtId="0" fontId="15" fillId="0" borderId="35" xfId="5" applyFont="1" applyFill="1" applyBorder="1" applyAlignment="1">
      <alignment horizontal="left" vertical="center" wrapText="1"/>
    </xf>
    <xf numFmtId="0" fontId="15" fillId="0" borderId="17" xfId="5" applyFont="1" applyFill="1" applyBorder="1" applyAlignment="1" applyProtection="1">
      <alignment horizontal="left" wrapText="1"/>
      <protection locked="0"/>
    </xf>
    <xf numFmtId="0" fontId="15" fillId="0" borderId="21" xfId="5" applyFont="1" applyFill="1" applyBorder="1" applyAlignment="1" applyProtection="1">
      <alignment horizontal="left" wrapText="1"/>
      <protection locked="0"/>
    </xf>
    <xf numFmtId="0" fontId="15" fillId="0" borderId="0" xfId="5" applyFont="1" applyAlignment="1" applyProtection="1">
      <alignment wrapText="1"/>
      <protection locked="0"/>
    </xf>
    <xf numFmtId="0" fontId="7" fillId="0" borderId="0" xfId="6" applyFont="1" applyAlignment="1">
      <alignment horizontal="center" vertical="center"/>
    </xf>
    <xf numFmtId="0" fontId="15" fillId="0" borderId="14" xfId="5" applyFont="1" applyFill="1" applyBorder="1" applyAlignment="1">
      <alignment horizontal="center" vertical="center" wrapText="1"/>
    </xf>
    <xf numFmtId="0" fontId="15" fillId="0" borderId="0" xfId="5" applyFont="1" applyBorder="1" applyAlignment="1" applyProtection="1">
      <alignment horizontal="left" wrapText="1"/>
      <protection locked="0"/>
    </xf>
    <xf numFmtId="0" fontId="15" fillId="0" borderId="0" xfId="5" applyFont="1" applyBorder="1" applyAlignment="1">
      <alignment horizontal="left"/>
    </xf>
    <xf numFmtId="0" fontId="15" fillId="0" borderId="6" xfId="5" applyFont="1" applyBorder="1" applyAlignment="1" applyProtection="1">
      <alignment horizontal="center" vertical="center" wrapText="1"/>
      <protection locked="0"/>
    </xf>
    <xf numFmtId="3" fontId="15" fillId="0" borderId="6" xfId="5" applyNumberFormat="1" applyFont="1" applyBorder="1" applyAlignment="1" applyProtection="1">
      <alignment horizontal="center" vertical="center" wrapText="1"/>
      <protection locked="0"/>
    </xf>
    <xf numFmtId="0" fontId="15" fillId="0" borderId="0" xfId="5" applyFont="1" applyBorder="1" applyAlignment="1" applyProtection="1">
      <alignment horizontal="left" vertical="center" wrapText="1"/>
      <protection locked="0"/>
    </xf>
    <xf numFmtId="0" fontId="15" fillId="0" borderId="6" xfId="5" applyFont="1" applyBorder="1" applyAlignment="1">
      <alignment horizontal="center" vertical="center" wrapText="1"/>
    </xf>
    <xf numFmtId="0" fontId="15" fillId="0" borderId="0" xfId="2" applyFont="1" applyFill="1" applyAlignment="1">
      <alignment vertical="center"/>
    </xf>
    <xf numFmtId="0" fontId="15" fillId="0" borderId="14" xfId="5" applyFont="1" applyBorder="1" applyAlignment="1">
      <alignment horizontal="center" vertical="center" wrapText="1"/>
    </xf>
    <xf numFmtId="0" fontId="7" fillId="0" borderId="0" xfId="5" applyFont="1" applyAlignment="1">
      <alignment horizontal="center" vertical="center"/>
    </xf>
    <xf numFmtId="0" fontId="15" fillId="0" borderId="14" xfId="5" applyFont="1" applyBorder="1" applyAlignment="1" applyProtection="1">
      <alignment horizontal="left" vertical="center" wrapText="1"/>
      <protection locked="0"/>
    </xf>
    <xf numFmtId="0" fontId="15" fillId="0" borderId="0" xfId="5" applyFont="1" applyAlignment="1"/>
    <xf numFmtId="0" fontId="15" fillId="0" borderId="6" xfId="2" applyFont="1" applyBorder="1" applyAlignment="1">
      <alignment horizontal="center" vertical="center" wrapText="1"/>
    </xf>
    <xf numFmtId="0" fontId="4" fillId="0" borderId="66" xfId="5" applyFont="1" applyBorder="1"/>
    <xf numFmtId="0" fontId="2" fillId="0" borderId="78" xfId="5" applyBorder="1"/>
    <xf numFmtId="3" fontId="4" fillId="0" borderId="105" xfId="2" applyNumberFormat="1" applyFont="1" applyFill="1" applyBorder="1" applyAlignment="1">
      <alignment wrapText="1"/>
    </xf>
    <xf numFmtId="0" fontId="7" fillId="0" borderId="82" xfId="2" applyFont="1" applyFill="1" applyBorder="1" applyAlignment="1">
      <alignment horizontal="center" vertical="center" wrapText="1"/>
    </xf>
    <xf numFmtId="3" fontId="4" fillId="0" borderId="78" xfId="5" applyNumberFormat="1" applyFont="1" applyBorder="1"/>
    <xf numFmtId="0" fontId="2" fillId="0" borderId="49" xfId="2" applyFill="1" applyBorder="1" applyAlignment="1">
      <alignment wrapText="1"/>
    </xf>
    <xf numFmtId="0" fontId="2" fillId="0" borderId="60" xfId="2" applyFill="1" applyBorder="1" applyAlignment="1">
      <alignment wrapText="1"/>
    </xf>
    <xf numFmtId="3" fontId="15" fillId="0" borderId="6" xfId="5" applyNumberFormat="1" applyFont="1" applyFill="1" applyBorder="1" applyAlignment="1" applyProtection="1">
      <alignment horizontal="center" vertical="center" wrapText="1"/>
      <protection locked="0"/>
    </xf>
    <xf numFmtId="0" fontId="15" fillId="0" borderId="6" xfId="5" applyFont="1" applyFill="1" applyBorder="1" applyAlignment="1">
      <alignment horizontal="center" vertical="center" wrapText="1"/>
    </xf>
    <xf numFmtId="0" fontId="15" fillId="0" borderId="6" xfId="5" applyFont="1" applyFill="1" applyBorder="1" applyAlignment="1" applyProtection="1">
      <alignment horizontal="center" vertical="center" wrapText="1"/>
      <protection locked="0"/>
    </xf>
    <xf numFmtId="0" fontId="15" fillId="0" borderId="6" xfId="5" applyFont="1" applyFill="1" applyBorder="1" applyAlignment="1" applyProtection="1">
      <alignment horizontal="left" vertical="center" wrapText="1"/>
      <protection locked="0"/>
    </xf>
    <xf numFmtId="3" fontId="15" fillId="0" borderId="6" xfId="5" applyNumberFormat="1" applyFont="1" applyFill="1" applyBorder="1" applyAlignment="1" applyProtection="1">
      <alignment vertical="center" wrapText="1"/>
      <protection locked="0"/>
    </xf>
    <xf numFmtId="0" fontId="15" fillId="0" borderId="6" xfId="5" applyFont="1" applyBorder="1" applyAlignment="1" applyProtection="1">
      <alignment horizontal="left" vertical="center" wrapText="1"/>
      <protection locked="0"/>
    </xf>
    <xf numFmtId="0" fontId="15" fillId="0" borderId="6" xfId="5" applyFont="1" applyBorder="1" applyAlignment="1" applyProtection="1">
      <alignment horizontal="center" vertical="center" wrapText="1"/>
      <protection locked="0"/>
    </xf>
    <xf numFmtId="3" fontId="15" fillId="0" borderId="6" xfId="5" applyNumberFormat="1" applyFont="1" applyBorder="1" applyAlignment="1" applyProtection="1">
      <alignment horizontal="center" vertical="center" wrapText="1"/>
      <protection locked="0"/>
    </xf>
    <xf numFmtId="0" fontId="15" fillId="0" borderId="6" xfId="5" applyFont="1" applyBorder="1" applyAlignment="1">
      <alignment horizontal="center" vertical="center" wrapText="1"/>
    </xf>
    <xf numFmtId="0" fontId="15" fillId="0" borderId="14" xfId="5" applyFont="1" applyFill="1" applyBorder="1" applyAlignment="1" applyProtection="1">
      <alignment horizontal="left" wrapText="1"/>
      <protection locked="0"/>
    </xf>
    <xf numFmtId="0" fontId="20" fillId="0" borderId="0" xfId="5" applyFont="1" applyFill="1" applyAlignment="1">
      <alignment horizontal="left"/>
    </xf>
    <xf numFmtId="49" fontId="14" fillId="0" borderId="41" xfId="2" applyNumberFormat="1" applyFont="1" applyFill="1" applyBorder="1" applyAlignment="1"/>
    <xf numFmtId="3" fontId="15" fillId="0" borderId="32" xfId="2" applyNumberFormat="1" applyFont="1" applyFill="1" applyBorder="1" applyAlignment="1" applyProtection="1">
      <alignment vertical="center" wrapText="1"/>
      <protection locked="0"/>
    </xf>
    <xf numFmtId="3" fontId="15" fillId="0" borderId="32" xfId="5" applyNumberFormat="1" applyFont="1" applyFill="1" applyBorder="1" applyAlignment="1" applyProtection="1">
      <alignment vertical="center" wrapText="1"/>
      <protection locked="0"/>
    </xf>
    <xf numFmtId="3" fontId="18" fillId="0" borderId="21" xfId="2" applyNumberFormat="1" applyFont="1" applyFill="1" applyBorder="1" applyAlignment="1" applyProtection="1">
      <alignment horizontal="right" vertical="center" wrapText="1"/>
      <protection locked="0"/>
    </xf>
    <xf numFmtId="3" fontId="14" fillId="0" borderId="21" xfId="5" applyNumberFormat="1" applyFont="1" applyFill="1" applyBorder="1" applyAlignment="1" applyProtection="1">
      <alignment vertical="center" wrapText="1"/>
      <protection locked="0"/>
    </xf>
    <xf numFmtId="3" fontId="14" fillId="0" borderId="0" xfId="2" applyNumberFormat="1" applyFont="1" applyBorder="1"/>
    <xf numFmtId="0" fontId="17" fillId="0" borderId="0" xfId="2" applyFont="1" applyBorder="1"/>
    <xf numFmtId="0" fontId="15" fillId="0" borderId="0" xfId="2" applyFont="1" applyFill="1" applyBorder="1" applyAlignment="1" applyProtection="1">
      <protection locked="0"/>
    </xf>
    <xf numFmtId="3" fontId="14" fillId="0" borderId="6" xfId="5" applyNumberFormat="1" applyFont="1" applyBorder="1" applyAlignment="1">
      <alignment horizontal="center" wrapText="1"/>
    </xf>
    <xf numFmtId="3" fontId="14" fillId="0" borderId="40" xfId="5" applyNumberFormat="1" applyFont="1" applyBorder="1" applyAlignment="1">
      <alignment horizontal="center"/>
    </xf>
    <xf numFmtId="3" fontId="14" fillId="0" borderId="0" xfId="5" applyNumberFormat="1" applyFont="1" applyBorder="1" applyAlignment="1">
      <alignment horizontal="center"/>
    </xf>
    <xf numFmtId="0" fontId="14" fillId="0" borderId="106" xfId="5" applyFont="1" applyBorder="1" applyAlignment="1">
      <alignment horizontal="right"/>
    </xf>
    <xf numFmtId="0" fontId="15" fillId="0" borderId="0" xfId="5" applyFont="1" applyFill="1" applyBorder="1" applyAlignment="1" applyProtection="1">
      <protection locked="0"/>
    </xf>
    <xf numFmtId="0" fontId="20" fillId="0" borderId="0" xfId="5" applyFont="1" applyFill="1" applyBorder="1" applyAlignment="1" applyProtection="1">
      <protection locked="0"/>
    </xf>
    <xf numFmtId="49" fontId="14" fillId="0" borderId="41" xfId="5" applyNumberFormat="1" applyFont="1" applyFill="1" applyBorder="1" applyAlignment="1" applyProtection="1">
      <protection locked="0"/>
    </xf>
    <xf numFmtId="49" fontId="11" fillId="0" borderId="41" xfId="5" applyNumberFormat="1" applyFont="1" applyFill="1" applyBorder="1" applyAlignment="1" applyProtection="1">
      <protection locked="0"/>
    </xf>
    <xf numFmtId="49" fontId="14" fillId="0" borderId="41" xfId="5" applyNumberFormat="1" applyFont="1" applyFill="1" applyBorder="1" applyAlignment="1">
      <alignment vertical="center"/>
    </xf>
    <xf numFmtId="49" fontId="14" fillId="0" borderId="41" xfId="5" applyNumberFormat="1" applyFont="1" applyFill="1" applyBorder="1" applyAlignment="1"/>
    <xf numFmtId="49" fontId="14" fillId="0" borderId="41" xfId="5" applyNumberFormat="1" applyFont="1" applyFill="1" applyBorder="1" applyAlignment="1">
      <alignment horizontal="center" vertical="center"/>
    </xf>
    <xf numFmtId="3" fontId="15" fillId="0" borderId="36" xfId="5" applyNumberFormat="1" applyFont="1" applyFill="1" applyBorder="1" applyAlignment="1" applyProtection="1">
      <alignment horizontal="center" vertical="center" wrapText="1"/>
      <protection locked="0"/>
    </xf>
    <xf numFmtId="3" fontId="15" fillId="0" borderId="6" xfId="2" applyNumberFormat="1" applyFont="1" applyFill="1" applyBorder="1" applyAlignment="1">
      <alignment horizontal="center" vertical="center" wrapText="1"/>
    </xf>
    <xf numFmtId="3" fontId="15" fillId="0" borderId="6" xfId="6" applyNumberFormat="1" applyFont="1" applyFill="1" applyBorder="1" applyAlignment="1" applyProtection="1">
      <alignment horizontal="center" vertical="center" wrapText="1"/>
      <protection locked="0"/>
    </xf>
    <xf numFmtId="0" fontId="7" fillId="0" borderId="0" xfId="5" applyFont="1" applyFill="1" applyBorder="1" applyAlignment="1">
      <alignment horizontal="center" vertical="center"/>
    </xf>
    <xf numFmtId="0" fontId="20" fillId="0" borderId="0" xfId="5" applyFont="1" applyFill="1" applyBorder="1" applyAlignment="1" applyProtection="1">
      <alignment horizontal="center" vertical="center"/>
      <protection locked="0"/>
    </xf>
    <xf numFmtId="49" fontId="14" fillId="0" borderId="41" xfId="5" applyNumberFormat="1" applyFont="1" applyFill="1" applyBorder="1" applyAlignment="1" applyProtection="1">
      <alignment horizontal="center" vertical="center"/>
      <protection locked="0"/>
    </xf>
    <xf numFmtId="0" fontId="15" fillId="0" borderId="0" xfId="5" applyFont="1" applyFill="1" applyBorder="1" applyAlignment="1">
      <alignment horizontal="center" vertical="center"/>
    </xf>
    <xf numFmtId="0" fontId="15" fillId="0" borderId="42" xfId="5" applyFont="1" applyFill="1" applyBorder="1" applyAlignment="1" applyProtection="1">
      <alignment horizontal="center" vertical="center" wrapText="1"/>
      <protection locked="0"/>
    </xf>
    <xf numFmtId="0" fontId="15" fillId="0" borderId="42" xfId="5" applyFont="1" applyFill="1" applyBorder="1" applyAlignment="1" applyProtection="1">
      <alignment horizontal="left" vertical="center" wrapText="1"/>
      <protection locked="0"/>
    </xf>
    <xf numFmtId="3" fontId="15" fillId="0" borderId="42" xfId="5" applyNumberFormat="1" applyFont="1" applyFill="1" applyBorder="1" applyAlignment="1" applyProtection="1">
      <alignment horizontal="center" vertical="center" wrapText="1"/>
      <protection locked="0"/>
    </xf>
    <xf numFmtId="3" fontId="15" fillId="0" borderId="42" xfId="5" applyNumberFormat="1" applyFont="1" applyFill="1" applyBorder="1" applyProtection="1">
      <protection locked="0"/>
    </xf>
    <xf numFmtId="3" fontId="15" fillId="0" borderId="42" xfId="5" applyNumberFormat="1" applyFont="1" applyFill="1" applyBorder="1" applyAlignment="1" applyProtection="1">
      <alignment horizontal="center" vertical="center"/>
      <protection locked="0"/>
    </xf>
    <xf numFmtId="49" fontId="14" fillId="0" borderId="0" xfId="5" applyNumberFormat="1" applyFont="1" applyFill="1" applyBorder="1" applyAlignment="1" applyProtection="1">
      <protection locked="0"/>
    </xf>
    <xf numFmtId="0" fontId="20" fillId="0" borderId="0" xfId="5" applyFont="1" applyAlignment="1">
      <alignment horizontal="center" vertical="center"/>
    </xf>
    <xf numFmtId="0" fontId="15" fillId="0" borderId="0" xfId="5" applyFont="1" applyBorder="1" applyAlignment="1">
      <alignment horizontal="center" vertical="center" wrapText="1"/>
    </xf>
    <xf numFmtId="0" fontId="15" fillId="0" borderId="0" xfId="5" applyFont="1" applyAlignment="1" applyProtection="1">
      <alignment horizontal="center" vertical="center"/>
      <protection locked="0"/>
    </xf>
    <xf numFmtId="0" fontId="22" fillId="0" borderId="0" xfId="2" applyFont="1" applyFill="1" applyAlignment="1">
      <alignment horizontal="left" vertical="center"/>
    </xf>
    <xf numFmtId="49" fontId="11" fillId="0" borderId="0" xfId="5" applyNumberFormat="1" applyFont="1" applyFill="1" applyBorder="1" applyAlignment="1" applyProtection="1">
      <protection locked="0"/>
    </xf>
    <xf numFmtId="3" fontId="15" fillId="0" borderId="21" xfId="5" applyNumberFormat="1" applyFont="1" applyFill="1" applyBorder="1" applyAlignment="1" applyProtection="1">
      <alignment horizontal="center" vertical="center" wrapText="1"/>
      <protection locked="0"/>
    </xf>
    <xf numFmtId="0" fontId="15" fillId="0" borderId="0" xfId="2" applyFont="1" applyAlignment="1">
      <alignment horizontal="left"/>
    </xf>
    <xf numFmtId="0" fontId="7" fillId="0" borderId="0" xfId="2" applyFont="1" applyAlignment="1">
      <alignment horizontal="center"/>
    </xf>
    <xf numFmtId="0" fontId="14" fillId="0" borderId="39" xfId="2" applyFont="1" applyBorder="1" applyAlignment="1">
      <alignment horizontal="right"/>
    </xf>
    <xf numFmtId="0" fontId="14" fillId="0" borderId="10" xfId="5" applyFont="1" applyBorder="1" applyAlignment="1">
      <alignment horizontal="right" wrapText="1"/>
    </xf>
    <xf numFmtId="0" fontId="14" fillId="0" borderId="39" xfId="5" applyFont="1" applyBorder="1" applyAlignment="1">
      <alignment horizontal="right"/>
    </xf>
    <xf numFmtId="0" fontId="15" fillId="0" borderId="0" xfId="5" applyFont="1" applyAlignment="1">
      <alignment horizontal="left"/>
    </xf>
    <xf numFmtId="0" fontId="7" fillId="0" borderId="0" xfId="5" applyFont="1" applyAlignment="1">
      <alignment horizontal="center"/>
    </xf>
    <xf numFmtId="0" fontId="15" fillId="0" borderId="14" xfId="5" applyFont="1" applyBorder="1" applyAlignment="1">
      <alignment horizontal="center" vertical="center" wrapText="1"/>
    </xf>
    <xf numFmtId="0" fontId="15" fillId="0" borderId="6" xfId="5" applyFont="1" applyFill="1" applyBorder="1" applyAlignment="1">
      <alignment horizontal="center" vertical="center" wrapText="1"/>
    </xf>
    <xf numFmtId="3" fontId="15" fillId="0" borderId="6" xfId="5" applyNumberFormat="1" applyFont="1" applyFill="1" applyBorder="1" applyAlignment="1" applyProtection="1">
      <alignment vertical="center" wrapText="1"/>
      <protection locked="0"/>
    </xf>
    <xf numFmtId="3" fontId="15" fillId="0" borderId="6" xfId="5" applyNumberFormat="1" applyFont="1" applyFill="1" applyBorder="1" applyAlignment="1" applyProtection="1">
      <alignment horizontal="center" vertical="center" wrapText="1"/>
      <protection locked="0"/>
    </xf>
    <xf numFmtId="0" fontId="15" fillId="0" borderId="0" xfId="5" applyFont="1" applyAlignment="1">
      <alignment horizontal="left" wrapText="1"/>
    </xf>
    <xf numFmtId="0" fontId="15" fillId="0" borderId="0" xfId="5" applyFont="1" applyAlignment="1" applyProtection="1">
      <alignment wrapText="1"/>
      <protection locked="0"/>
    </xf>
    <xf numFmtId="0" fontId="15" fillId="0" borderId="0" xfId="6" applyFont="1" applyAlignment="1">
      <alignment horizontal="left" vertical="center"/>
    </xf>
    <xf numFmtId="0" fontId="15" fillId="0" borderId="17" xfId="2" applyFont="1" applyBorder="1" applyAlignment="1" applyProtection="1">
      <alignment horizontal="left" vertical="center" wrapText="1"/>
      <protection locked="0"/>
    </xf>
    <xf numFmtId="0" fontId="15" fillId="0" borderId="21" xfId="2" applyFont="1" applyBorder="1" applyAlignment="1" applyProtection="1">
      <alignment horizontal="left" vertical="center" wrapText="1"/>
      <protection locked="0"/>
    </xf>
    <xf numFmtId="0" fontId="20" fillId="0" borderId="0" xfId="5" applyFont="1" applyAlignment="1">
      <alignment horizontal="left"/>
    </xf>
    <xf numFmtId="49" fontId="14" fillId="0" borderId="0" xfId="5" applyNumberFormat="1" applyFont="1" applyAlignment="1">
      <alignment horizontal="left"/>
    </xf>
    <xf numFmtId="0" fontId="14" fillId="0" borderId="39" xfId="5" applyFont="1" applyFill="1" applyBorder="1" applyAlignment="1">
      <alignment horizontal="right"/>
    </xf>
    <xf numFmtId="0" fontId="15" fillId="0" borderId="17" xfId="5" applyFont="1" applyFill="1" applyBorder="1" applyAlignment="1">
      <alignment horizontal="center" vertical="center" wrapText="1"/>
    </xf>
    <xf numFmtId="0" fontId="15" fillId="0" borderId="21" xfId="5" applyFont="1" applyFill="1" applyBorder="1" applyAlignment="1">
      <alignment horizontal="center" vertical="center" wrapText="1"/>
    </xf>
    <xf numFmtId="0" fontId="15" fillId="0" borderId="32" xfId="5" applyFont="1" applyFill="1" applyBorder="1" applyAlignment="1">
      <alignment horizontal="center" vertical="center" wrapText="1"/>
    </xf>
    <xf numFmtId="0" fontId="15" fillId="0" borderId="0" xfId="5" applyFont="1" applyBorder="1" applyAlignment="1" applyProtection="1">
      <alignment horizontal="left" wrapText="1"/>
      <protection locked="0"/>
    </xf>
    <xf numFmtId="0" fontId="7" fillId="0" borderId="0" xfId="5" applyFont="1" applyBorder="1" applyAlignment="1">
      <alignment horizontal="center"/>
    </xf>
    <xf numFmtId="167" fontId="15" fillId="0" borderId="0" xfId="10" applyNumberFormat="1" applyFont="1" applyFill="1" applyBorder="1" applyAlignment="1">
      <alignment horizontal="left" vertical="center" wrapText="1"/>
    </xf>
    <xf numFmtId="0" fontId="14" fillId="0" borderId="6" xfId="5" applyFont="1" applyBorder="1" applyAlignment="1" applyProtection="1">
      <alignment horizontal="right" vertical="center" wrapText="1"/>
      <protection locked="0"/>
    </xf>
    <xf numFmtId="0" fontId="14" fillId="2" borderId="6" xfId="5" applyFont="1" applyFill="1" applyBorder="1" applyAlignment="1">
      <alignment horizontal="right"/>
    </xf>
    <xf numFmtId="0" fontId="14" fillId="0" borderId="6" xfId="5" applyFont="1" applyBorder="1" applyAlignment="1">
      <alignment horizontal="right" wrapText="1"/>
    </xf>
    <xf numFmtId="3" fontId="15" fillId="0" borderId="6" xfId="5" applyNumberFormat="1" applyFont="1" applyBorder="1" applyAlignment="1" applyProtection="1">
      <alignment horizontal="center" vertical="center" wrapText="1"/>
      <protection locked="0"/>
    </xf>
    <xf numFmtId="0" fontId="15" fillId="0" borderId="0" xfId="5" applyFont="1" applyBorder="1" applyAlignment="1" applyProtection="1">
      <alignment horizontal="center"/>
      <protection locked="0"/>
    </xf>
    <xf numFmtId="0" fontId="15" fillId="0" borderId="0" xfId="5" applyFont="1" applyBorder="1" applyAlignment="1">
      <alignment horizontal="left" vertical="center" wrapText="1"/>
    </xf>
    <xf numFmtId="0" fontId="14" fillId="0" borderId="0" xfId="5" applyFont="1" applyBorder="1" applyAlignment="1" applyProtection="1">
      <alignment horizontal="left" wrapText="1"/>
      <protection locked="0"/>
    </xf>
    <xf numFmtId="0" fontId="15" fillId="0" borderId="0" xfId="5" applyFont="1" applyBorder="1" applyAlignment="1">
      <alignment horizontal="left" wrapText="1"/>
    </xf>
    <xf numFmtId="0" fontId="15" fillId="0" borderId="0" xfId="5" applyFont="1" applyBorder="1" applyAlignment="1" applyProtection="1">
      <alignment horizontal="left" vertical="center" wrapText="1"/>
      <protection locked="0"/>
    </xf>
    <xf numFmtId="0" fontId="14" fillId="0" borderId="0" xfId="5" applyFont="1" applyBorder="1" applyAlignment="1">
      <alignment horizontal="left" wrapText="1"/>
    </xf>
    <xf numFmtId="0" fontId="15" fillId="0" borderId="6" xfId="5" applyFont="1" applyBorder="1" applyAlignment="1">
      <alignment horizontal="center" vertical="center" wrapText="1"/>
    </xf>
    <xf numFmtId="0" fontId="14" fillId="0" borderId="39" xfId="5" applyFont="1" applyFill="1" applyBorder="1" applyAlignment="1">
      <alignment horizontal="right" vertical="center"/>
    </xf>
    <xf numFmtId="0" fontId="15" fillId="0" borderId="0" xfId="2" applyFont="1" applyFill="1" applyAlignment="1">
      <alignment horizontal="left" vertical="center"/>
    </xf>
    <xf numFmtId="0" fontId="15" fillId="0" borderId="0" xfId="2" applyFont="1" applyFill="1" applyAlignment="1">
      <alignment vertical="center"/>
    </xf>
    <xf numFmtId="0" fontId="15" fillId="0" borderId="0" xfId="5" applyFont="1" applyAlignment="1">
      <alignment horizontal="left" vertical="center"/>
    </xf>
    <xf numFmtId="0" fontId="15" fillId="0" borderId="0" xfId="5" applyFont="1" applyBorder="1" applyAlignment="1" applyProtection="1">
      <alignment horizontal="left"/>
      <protection locked="0"/>
    </xf>
    <xf numFmtId="0" fontId="7" fillId="0" borderId="0" xfId="5" applyFont="1" applyAlignment="1">
      <alignment horizontal="center" vertical="center"/>
    </xf>
    <xf numFmtId="49" fontId="14" fillId="0" borderId="41" xfId="5" applyNumberFormat="1" applyFont="1" applyBorder="1" applyAlignment="1" applyProtection="1">
      <alignment horizontal="left"/>
      <protection locked="0"/>
    </xf>
    <xf numFmtId="0" fontId="14" fillId="0" borderId="45" xfId="5" applyFont="1" applyBorder="1" applyAlignment="1">
      <alignment horizontal="right" vertical="center"/>
    </xf>
    <xf numFmtId="0" fontId="15" fillId="0" borderId="32" xfId="2" applyFont="1" applyBorder="1" applyAlignment="1" applyProtection="1">
      <alignment horizontal="left" vertical="center" wrapText="1"/>
      <protection locked="0"/>
    </xf>
    <xf numFmtId="0" fontId="15" fillId="0" borderId="6" xfId="2" applyFont="1" applyBorder="1" applyAlignment="1" applyProtection="1">
      <alignment horizontal="center" vertical="center" wrapText="1"/>
      <protection locked="0"/>
    </xf>
    <xf numFmtId="0" fontId="15" fillId="0" borderId="6" xfId="2" applyFont="1" applyBorder="1" applyAlignment="1" applyProtection="1">
      <alignment horizontal="left" vertical="center" wrapText="1"/>
      <protection locked="0"/>
    </xf>
    <xf numFmtId="3" fontId="15" fillId="0" borderId="6" xfId="2" applyNumberFormat="1" applyFont="1" applyBorder="1" applyAlignment="1" applyProtection="1">
      <alignment horizontal="center" vertical="center" wrapText="1"/>
      <protection locked="0"/>
    </xf>
    <xf numFmtId="0" fontId="22" fillId="0" borderId="0" xfId="2" applyFont="1" applyAlignment="1">
      <alignment horizontal="left"/>
    </xf>
    <xf numFmtId="0" fontId="15" fillId="0" borderId="0" xfId="5" applyFont="1" applyAlignment="1"/>
    <xf numFmtId="0" fontId="14" fillId="0" borderId="6" xfId="2" applyFont="1" applyBorder="1" applyAlignment="1" applyProtection="1">
      <alignment horizontal="center" vertical="center" wrapText="1"/>
      <protection locked="0"/>
    </xf>
    <xf numFmtId="0" fontId="15" fillId="0" borderId="6" xfId="2" applyFont="1" applyBorder="1" applyAlignment="1">
      <alignment horizontal="center" vertical="center" wrapText="1"/>
    </xf>
    <xf numFmtId="0" fontId="7" fillId="0" borderId="0" xfId="2" applyFont="1" applyBorder="1" applyAlignment="1">
      <alignment horizontal="center"/>
    </xf>
    <xf numFmtId="3" fontId="15" fillId="0" borderId="6" xfId="5" applyNumberFormat="1" applyFont="1" applyBorder="1" applyAlignment="1">
      <alignment horizontal="center" vertical="center" wrapText="1"/>
    </xf>
    <xf numFmtId="0" fontId="20" fillId="0" borderId="0" xfId="5" applyFont="1" applyBorder="1" applyAlignment="1" applyProtection="1">
      <alignment horizontal="left"/>
      <protection locked="0"/>
    </xf>
    <xf numFmtId="0" fontId="14" fillId="0" borderId="6" xfId="5" applyFont="1" applyBorder="1" applyAlignment="1">
      <alignment horizontal="right"/>
    </xf>
    <xf numFmtId="3" fontId="15" fillId="0" borderId="6" xfId="5" applyNumberFormat="1" applyFont="1" applyBorder="1" applyAlignment="1" applyProtection="1">
      <alignment horizontal="center" vertical="center"/>
      <protection locked="0"/>
    </xf>
    <xf numFmtId="3" fontId="15" fillId="0" borderId="6" xfId="5" applyNumberFormat="1" applyFont="1" applyBorder="1" applyAlignment="1" applyProtection="1">
      <alignment horizontal="center" wrapText="1"/>
      <protection locked="0"/>
    </xf>
    <xf numFmtId="0" fontId="5" fillId="0" borderId="0" xfId="2" applyFont="1" applyAlignment="1">
      <alignment horizontal="left"/>
    </xf>
    <xf numFmtId="0" fontId="11" fillId="0" borderId="39" xfId="2" applyFont="1" applyBorder="1" applyAlignment="1">
      <alignment horizontal="right"/>
    </xf>
    <xf numFmtId="0" fontId="5" fillId="0" borderId="6" xfId="2" applyFont="1" applyBorder="1" applyAlignment="1">
      <alignment vertical="center" wrapText="1"/>
    </xf>
    <xf numFmtId="0" fontId="5" fillId="0" borderId="6" xfId="2" applyFont="1" applyBorder="1" applyAlignment="1">
      <alignment vertical="center"/>
    </xf>
    <xf numFmtId="3" fontId="5" fillId="0" borderId="6" xfId="2" applyNumberFormat="1" applyFont="1" applyBorder="1" applyAlignment="1">
      <alignment wrapText="1"/>
    </xf>
    <xf numFmtId="3" fontId="15" fillId="0" borderId="42" xfId="5" applyNumberFormat="1" applyFont="1" applyFill="1" applyBorder="1" applyAlignment="1" applyProtection="1">
      <alignment vertical="center" wrapText="1"/>
      <protection locked="0"/>
    </xf>
    <xf numFmtId="0" fontId="15" fillId="0" borderId="34" xfId="5" applyFont="1" applyBorder="1"/>
    <xf numFmtId="3" fontId="15" fillId="0" borderId="17" xfId="5" applyNumberFormat="1" applyFont="1" applyFill="1" applyBorder="1" applyAlignment="1" applyProtection="1">
      <alignment horizontal="center" vertical="center" wrapText="1"/>
      <protection locked="0"/>
    </xf>
    <xf numFmtId="3" fontId="15" fillId="0" borderId="6" xfId="5" applyNumberFormat="1" applyFont="1" applyFill="1" applyBorder="1" applyAlignment="1" applyProtection="1">
      <alignment horizontal="center" vertical="center" wrapText="1"/>
      <protection locked="0"/>
    </xf>
    <xf numFmtId="0" fontId="15" fillId="0" borderId="42" xfId="5" applyFont="1" applyBorder="1" applyAlignment="1" applyProtection="1">
      <alignment wrapText="1"/>
      <protection locked="0"/>
    </xf>
    <xf numFmtId="0" fontId="15" fillId="0" borderId="42" xfId="5" applyFont="1" applyBorder="1" applyAlignment="1" applyProtection="1">
      <alignment horizontal="left" wrapText="1"/>
      <protection locked="0"/>
    </xf>
    <xf numFmtId="0" fontId="14" fillId="0" borderId="41" xfId="5" applyFont="1" applyFill="1" applyBorder="1" applyAlignment="1"/>
    <xf numFmtId="0" fontId="14" fillId="0" borderId="41" xfId="5" applyFont="1" applyFill="1" applyBorder="1" applyAlignment="1">
      <alignment vertical="center"/>
    </xf>
    <xf numFmtId="3" fontId="22" fillId="0" borderId="6" xfId="6" applyNumberFormat="1" applyFont="1" applyBorder="1" applyAlignment="1" applyProtection="1">
      <alignment horizontal="center" vertical="center" wrapText="1"/>
      <protection locked="0"/>
    </xf>
    <xf numFmtId="0" fontId="22" fillId="0" borderId="0" xfId="6" applyFont="1" applyAlignment="1">
      <alignment horizontal="center" vertical="center"/>
    </xf>
    <xf numFmtId="0" fontId="42" fillId="0" borderId="0" xfId="6" applyFont="1" applyAlignment="1">
      <alignment horizontal="center" vertical="center"/>
    </xf>
    <xf numFmtId="49" fontId="23" fillId="0" borderId="0" xfId="6" applyNumberFormat="1" applyFont="1" applyAlignment="1">
      <alignment horizontal="center" vertical="center"/>
    </xf>
    <xf numFmtId="3" fontId="23" fillId="0" borderId="6" xfId="6" applyNumberFormat="1" applyFont="1" applyBorder="1" applyAlignment="1">
      <alignment horizontal="center" vertical="center" wrapText="1"/>
    </xf>
    <xf numFmtId="3" fontId="22" fillId="0" borderId="17" xfId="6" applyNumberFormat="1" applyFont="1" applyBorder="1" applyAlignment="1" applyProtection="1">
      <alignment horizontal="center" vertical="center" wrapText="1"/>
      <protection locked="0"/>
    </xf>
    <xf numFmtId="3" fontId="22" fillId="3" borderId="6" xfId="6" applyNumberFormat="1" applyFont="1" applyFill="1" applyBorder="1" applyAlignment="1" applyProtection="1">
      <alignment horizontal="center" vertical="center" wrapText="1"/>
      <protection locked="0"/>
    </xf>
    <xf numFmtId="3" fontId="23" fillId="0" borderId="40" xfId="6" applyNumberFormat="1" applyFont="1" applyBorder="1" applyAlignment="1">
      <alignment horizontal="center" vertical="center"/>
    </xf>
    <xf numFmtId="3" fontId="22" fillId="0" borderId="0" xfId="6" applyNumberFormat="1" applyFont="1" applyBorder="1" applyAlignment="1" applyProtection="1">
      <alignment horizontal="center" vertical="center" wrapText="1"/>
      <protection locked="0"/>
    </xf>
    <xf numFmtId="0" fontId="22" fillId="0" borderId="0" xfId="6" applyFont="1" applyAlignment="1">
      <alignment horizontal="center"/>
    </xf>
    <xf numFmtId="0" fontId="22" fillId="0" borderId="0" xfId="6" applyFont="1" applyAlignment="1" applyProtection="1">
      <alignment horizontal="center" vertical="center"/>
      <protection locked="0"/>
    </xf>
    <xf numFmtId="0" fontId="14" fillId="0" borderId="46" xfId="6" applyFont="1" applyBorder="1" applyAlignment="1">
      <alignment horizontal="right" vertical="center"/>
    </xf>
    <xf numFmtId="3" fontId="15" fillId="0" borderId="32" xfId="6" applyNumberFormat="1" applyFont="1" applyBorder="1" applyAlignment="1" applyProtection="1">
      <alignment horizontal="right" vertical="center" wrapText="1"/>
      <protection locked="0"/>
    </xf>
    <xf numFmtId="49" fontId="11" fillId="0" borderId="0" xfId="5" applyNumberFormat="1" applyFont="1" applyAlignment="1"/>
    <xf numFmtId="3" fontId="15" fillId="0" borderId="42" xfId="5" applyNumberFormat="1" applyFont="1" applyBorder="1" applyAlignment="1" applyProtection="1">
      <alignment horizontal="left"/>
      <protection locked="0"/>
    </xf>
    <xf numFmtId="0" fontId="15" fillId="0" borderId="42" xfId="5" applyFont="1" applyBorder="1" applyAlignment="1" applyProtection="1">
      <alignment horizontal="left"/>
      <protection locked="0"/>
    </xf>
    <xf numFmtId="0" fontId="15" fillId="0" borderId="0" xfId="5" applyFont="1" applyAlignment="1" applyProtection="1">
      <protection locked="0"/>
    </xf>
    <xf numFmtId="0" fontId="20" fillId="0" borderId="0" xfId="5" applyFont="1" applyAlignment="1">
      <alignment horizontal="center"/>
    </xf>
    <xf numFmtId="49" fontId="14" fillId="0" borderId="0" xfId="5" applyNumberFormat="1" applyFont="1" applyAlignment="1">
      <alignment horizontal="center"/>
    </xf>
    <xf numFmtId="3" fontId="15" fillId="0" borderId="42" xfId="5" applyNumberFormat="1" applyFont="1" applyBorder="1" applyAlignment="1" applyProtection="1">
      <alignment horizontal="center" wrapText="1"/>
      <protection locked="0"/>
    </xf>
    <xf numFmtId="3" fontId="14" fillId="0" borderId="0" xfId="5" applyNumberFormat="1" applyFont="1" applyFill="1" applyBorder="1" applyAlignment="1">
      <alignment horizontal="center" wrapText="1"/>
    </xf>
    <xf numFmtId="3" fontId="15" fillId="0" borderId="0" xfId="5" applyNumberFormat="1" applyFont="1" applyFill="1" applyBorder="1" applyAlignment="1" applyProtection="1">
      <alignment horizontal="center" wrapText="1"/>
      <protection locked="0"/>
    </xf>
    <xf numFmtId="3" fontId="15" fillId="0" borderId="0" xfId="5" applyNumberFormat="1" applyFont="1" applyBorder="1" applyAlignment="1">
      <alignment horizontal="center" wrapText="1"/>
    </xf>
    <xf numFmtId="0" fontId="15" fillId="0" borderId="0" xfId="5" applyFont="1" applyFill="1" applyBorder="1" applyAlignment="1" applyProtection="1">
      <alignment vertical="center" wrapText="1"/>
    </xf>
    <xf numFmtId="0" fontId="14" fillId="0" borderId="0" xfId="5" applyFont="1" applyBorder="1" applyAlignment="1" applyProtection="1">
      <protection locked="0"/>
    </xf>
    <xf numFmtId="0" fontId="19" fillId="0" borderId="0" xfId="5" applyFont="1" applyFill="1" applyBorder="1" applyAlignment="1" applyProtection="1">
      <protection locked="0"/>
    </xf>
    <xf numFmtId="49" fontId="19" fillId="0" borderId="41" xfId="5" applyNumberFormat="1" applyFont="1" applyFill="1" applyBorder="1" applyAlignment="1" applyProtection="1">
      <protection locked="0"/>
    </xf>
    <xf numFmtId="0" fontId="7" fillId="0" borderId="0" xfId="5" applyFont="1" applyBorder="1" applyAlignment="1">
      <alignment horizontal="center" vertical="center"/>
    </xf>
    <xf numFmtId="0" fontId="2" fillId="0" borderId="0" xfId="5" applyFont="1" applyFill="1" applyAlignment="1">
      <alignment horizontal="center" vertical="center"/>
    </xf>
    <xf numFmtId="49" fontId="15" fillId="0" borderId="0" xfId="5" applyNumberFormat="1" applyFont="1" applyFill="1" applyBorder="1" applyAlignment="1" applyProtection="1">
      <alignment horizontal="center" vertical="center"/>
      <protection locked="0"/>
    </xf>
    <xf numFmtId="0" fontId="15" fillId="0" borderId="40" xfId="5" applyFont="1" applyFill="1" applyBorder="1" applyAlignment="1">
      <alignment horizontal="center" vertical="center"/>
    </xf>
    <xf numFmtId="0" fontId="22" fillId="0" borderId="0" xfId="5" applyFont="1" applyAlignment="1" applyProtection="1">
      <alignment horizontal="center" vertical="center"/>
      <protection locked="0"/>
    </xf>
    <xf numFmtId="0" fontId="22" fillId="0" borderId="0" xfId="5" applyFont="1" applyAlignment="1">
      <alignment horizontal="center" vertical="center"/>
    </xf>
    <xf numFmtId="0" fontId="14" fillId="0" borderId="0" xfId="5" applyFont="1" applyFill="1" applyBorder="1" applyAlignment="1">
      <alignment horizontal="right"/>
    </xf>
    <xf numFmtId="166" fontId="14" fillId="0" borderId="0" xfId="7" applyNumberFormat="1" applyFont="1" applyFill="1" applyBorder="1"/>
    <xf numFmtId="3" fontId="14" fillId="2" borderId="6" xfId="5" applyNumberFormat="1" applyFont="1" applyFill="1" applyBorder="1" applyAlignment="1">
      <alignment horizontal="center"/>
    </xf>
    <xf numFmtId="3" fontId="14" fillId="0" borderId="6" xfId="5" applyNumberFormat="1" applyFont="1" applyBorder="1" applyAlignment="1" applyProtection="1">
      <alignment horizontal="center" wrapText="1"/>
      <protection locked="0"/>
    </xf>
    <xf numFmtId="3" fontId="14" fillId="0" borderId="0" xfId="5" applyNumberFormat="1" applyFont="1" applyBorder="1" applyAlignment="1" applyProtection="1">
      <alignment horizontal="center" wrapText="1"/>
      <protection locked="0"/>
    </xf>
    <xf numFmtId="0" fontId="2" fillId="0" borderId="0" xfId="5" applyAlignment="1">
      <alignment horizontal="center"/>
    </xf>
    <xf numFmtId="3" fontId="15" fillId="0" borderId="0" xfId="5" applyNumberFormat="1" applyFont="1" applyBorder="1" applyAlignment="1" applyProtection="1">
      <alignment horizontal="right" vertical="center" wrapText="1"/>
      <protection locked="0"/>
    </xf>
    <xf numFmtId="0" fontId="20" fillId="0" borderId="0" xfId="5" applyFont="1" applyAlignment="1">
      <alignment vertical="center"/>
    </xf>
    <xf numFmtId="49" fontId="14" fillId="0" borderId="0" xfId="5" applyNumberFormat="1" applyFont="1" applyAlignment="1">
      <alignment vertical="center"/>
    </xf>
    <xf numFmtId="3" fontId="14" fillId="0" borderId="21" xfId="5" applyNumberFormat="1" applyFont="1" applyBorder="1" applyAlignment="1">
      <alignment horizontal="center" wrapText="1"/>
    </xf>
    <xf numFmtId="0" fontId="15" fillId="0" borderId="6" xfId="5" applyFont="1" applyBorder="1" applyAlignment="1">
      <alignment horizontal="center" vertical="center"/>
    </xf>
    <xf numFmtId="0" fontId="14" fillId="0" borderId="0" xfId="5" applyFont="1" applyAlignment="1">
      <alignment horizontal="center" vertical="center"/>
    </xf>
    <xf numFmtId="0" fontId="15" fillId="0" borderId="0" xfId="5" applyFont="1" applyAlignment="1" applyProtection="1">
      <alignment horizontal="center" wrapText="1"/>
      <protection locked="0"/>
    </xf>
    <xf numFmtId="0" fontId="15" fillId="0" borderId="0" xfId="2" applyFont="1" applyAlignment="1">
      <alignment horizontal="center"/>
    </xf>
    <xf numFmtId="3" fontId="15" fillId="0" borderId="0" xfId="5" applyNumberFormat="1" applyFont="1" applyBorder="1" applyAlignment="1" applyProtection="1">
      <alignment horizontal="right" vertical="center"/>
      <protection locked="0"/>
    </xf>
    <xf numFmtId="0" fontId="15" fillId="0" borderId="42" xfId="5" applyFont="1" applyBorder="1" applyAlignment="1">
      <alignment wrapText="1"/>
    </xf>
    <xf numFmtId="3" fontId="14" fillId="0" borderId="42" xfId="5" applyNumberFormat="1" applyFont="1" applyBorder="1" applyAlignment="1">
      <alignment horizontal="center" vertical="center" wrapText="1"/>
    </xf>
    <xf numFmtId="3" fontId="15" fillId="0" borderId="42" xfId="5" applyNumberFormat="1" applyFont="1" applyBorder="1" applyAlignment="1">
      <alignment horizontal="center" vertical="center" wrapText="1"/>
    </xf>
    <xf numFmtId="0" fontId="7" fillId="0" borderId="0" xfId="2" applyFont="1" applyFill="1" applyAlignment="1"/>
    <xf numFmtId="0" fontId="14" fillId="0" borderId="6" xfId="2" applyFont="1" applyBorder="1" applyAlignment="1" applyProtection="1">
      <alignment horizontal="left" vertical="center" wrapText="1"/>
      <protection locked="0"/>
    </xf>
    <xf numFmtId="0" fontId="14" fillId="0" borderId="6" xfId="2" applyFont="1" applyBorder="1" applyAlignment="1" applyProtection="1">
      <alignment horizontal="left" wrapText="1"/>
      <protection locked="0"/>
    </xf>
    <xf numFmtId="0" fontId="15" fillId="0" borderId="6" xfId="2" applyFont="1" applyFill="1" applyBorder="1" applyAlignment="1" applyProtection="1">
      <alignment horizontal="left" wrapText="1"/>
      <protection locked="0"/>
    </xf>
    <xf numFmtId="0" fontId="15" fillId="0" borderId="6" xfId="2" applyFont="1" applyBorder="1" applyAlignment="1" applyProtection="1">
      <alignment horizontal="left" wrapText="1"/>
      <protection locked="0"/>
    </xf>
    <xf numFmtId="0" fontId="15" fillId="0" borderId="0" xfId="2" applyFont="1" applyBorder="1" applyAlignment="1">
      <alignment horizontal="center" wrapText="1"/>
    </xf>
    <xf numFmtId="0" fontId="14" fillId="0" borderId="0" xfId="2" applyFont="1" applyFill="1" applyAlignment="1">
      <alignment horizontal="center"/>
    </xf>
    <xf numFmtId="0" fontId="15" fillId="0" borderId="0" xfId="2" applyFont="1" applyAlignment="1" applyProtection="1">
      <alignment horizontal="center"/>
      <protection locked="0"/>
    </xf>
    <xf numFmtId="3" fontId="14" fillId="0" borderId="6" xfId="2" applyNumberFormat="1" applyFont="1" applyBorder="1" applyAlignment="1">
      <alignment horizontal="right" vertical="center" wrapText="1"/>
    </xf>
    <xf numFmtId="3" fontId="14" fillId="0" borderId="6" xfId="2" applyNumberFormat="1" applyFont="1" applyBorder="1" applyAlignment="1" applyProtection="1">
      <alignment horizontal="right" vertical="center" wrapText="1"/>
      <protection locked="0"/>
    </xf>
    <xf numFmtId="3" fontId="14" fillId="0" borderId="6" xfId="2" applyNumberFormat="1" applyFont="1" applyBorder="1" applyAlignment="1" applyProtection="1">
      <alignment horizontal="right" vertical="center"/>
      <protection locked="0"/>
    </xf>
    <xf numFmtId="0" fontId="14" fillId="0" borderId="6" xfId="2" applyFont="1" applyBorder="1" applyAlignment="1">
      <alignment horizontal="center" vertical="center" wrapText="1"/>
    </xf>
    <xf numFmtId="0" fontId="14" fillId="0" borderId="6" xfId="2" applyFont="1" applyBorder="1" applyAlignment="1" applyProtection="1">
      <alignment horizontal="center" vertical="center"/>
      <protection locked="0"/>
    </xf>
    <xf numFmtId="0" fontId="14" fillId="3" borderId="6" xfId="2" applyFont="1" applyFill="1" applyBorder="1" applyAlignment="1" applyProtection="1">
      <alignment horizontal="center" vertical="center" wrapText="1"/>
      <protection locked="0"/>
    </xf>
    <xf numFmtId="0" fontId="15" fillId="0" borderId="0" xfId="2" applyFont="1" applyBorder="1" applyAlignment="1" applyProtection="1">
      <alignment wrapText="1"/>
      <protection locked="0"/>
    </xf>
    <xf numFmtId="0" fontId="15" fillId="0" borderId="0" xfId="2" applyFont="1" applyFill="1" applyBorder="1" applyAlignment="1" applyProtection="1">
      <alignment wrapText="1"/>
      <protection locked="0"/>
    </xf>
    <xf numFmtId="3" fontId="15" fillId="0" borderId="0" xfId="2" applyNumberFormat="1" applyFont="1" applyBorder="1" applyAlignment="1" applyProtection="1">
      <alignment horizontal="right" vertical="center" wrapText="1"/>
      <protection locked="0"/>
    </xf>
    <xf numFmtId="3" fontId="15" fillId="0" borderId="0" xfId="2" applyNumberFormat="1" applyFont="1" applyBorder="1" applyProtection="1">
      <protection locked="0"/>
    </xf>
    <xf numFmtId="49" fontId="15" fillId="0" borderId="0" xfId="5" applyNumberFormat="1" applyFont="1" applyBorder="1" applyAlignment="1" applyProtection="1">
      <alignment horizontal="center" vertical="center"/>
      <protection locked="0"/>
    </xf>
    <xf numFmtId="49" fontId="15" fillId="0" borderId="0" xfId="5" applyNumberFormat="1" applyFont="1" applyAlignment="1" applyProtection="1">
      <alignment horizontal="center" vertical="center"/>
      <protection locked="0"/>
    </xf>
    <xf numFmtId="0" fontId="14" fillId="0" borderId="0" xfId="5" applyFont="1" applyBorder="1" applyAlignment="1" applyProtection="1">
      <alignment horizontal="center" vertical="center"/>
      <protection locked="0"/>
    </xf>
    <xf numFmtId="3" fontId="36" fillId="0" borderId="6" xfId="5" applyNumberFormat="1" applyFont="1" applyBorder="1" applyAlignment="1">
      <alignment horizontal="center" vertical="center" wrapText="1"/>
    </xf>
    <xf numFmtId="0" fontId="20" fillId="0" borderId="0" xfId="5" applyFont="1" applyAlignment="1" applyProtection="1">
      <protection locked="0"/>
    </xf>
    <xf numFmtId="0" fontId="14" fillId="0" borderId="0" xfId="5" applyFont="1" applyBorder="1" applyAlignment="1">
      <alignment horizontal="right" wrapText="1"/>
    </xf>
    <xf numFmtId="1" fontId="14" fillId="0" borderId="0" xfId="5" applyNumberFormat="1" applyFont="1" applyBorder="1" applyAlignment="1">
      <alignment wrapText="1"/>
    </xf>
    <xf numFmtId="0" fontId="15" fillId="0" borderId="0" xfId="5" applyFont="1" applyBorder="1" applyAlignment="1">
      <alignment horizontal="center" vertical="center"/>
    </xf>
    <xf numFmtId="49" fontId="14" fillId="3" borderId="41" xfId="5" applyNumberFormat="1" applyFont="1" applyFill="1" applyBorder="1" applyAlignment="1"/>
    <xf numFmtId="3" fontId="14" fillId="0" borderId="6" xfId="2" applyNumberFormat="1" applyFont="1" applyBorder="1" applyAlignment="1">
      <alignment horizontal="center" wrapText="1"/>
    </xf>
    <xf numFmtId="3" fontId="15" fillId="0" borderId="6" xfId="2" applyNumberFormat="1" applyFont="1" applyBorder="1" applyAlignment="1" applyProtection="1">
      <alignment horizontal="center" wrapText="1"/>
      <protection locked="0"/>
    </xf>
    <xf numFmtId="3" fontId="15" fillId="0" borderId="0" xfId="2" applyNumberFormat="1" applyFont="1" applyBorder="1" applyAlignment="1">
      <alignment horizontal="center" wrapText="1"/>
    </xf>
    <xf numFmtId="3" fontId="15" fillId="0" borderId="0" xfId="2" applyNumberFormat="1" applyFont="1" applyAlignment="1">
      <alignment horizontal="center"/>
    </xf>
    <xf numFmtId="3" fontId="14" fillId="0" borderId="40" xfId="2" applyNumberFormat="1" applyFont="1" applyBorder="1" applyAlignment="1">
      <alignment horizontal="center"/>
    </xf>
    <xf numFmtId="3" fontId="20" fillId="0" borderId="0" xfId="12" applyNumberFormat="1" applyFont="1" applyAlignment="1"/>
    <xf numFmtId="3" fontId="5" fillId="0" borderId="0" xfId="12" applyNumberFormat="1" applyFont="1" applyAlignment="1"/>
    <xf numFmtId="0" fontId="11" fillId="0" borderId="106" xfId="2" applyFont="1" applyBorder="1" applyAlignment="1">
      <alignment horizontal="right"/>
    </xf>
    <xf numFmtId="3" fontId="11" fillId="0" borderId="46" xfId="2" applyNumberFormat="1" applyFont="1" applyBorder="1"/>
    <xf numFmtId="1" fontId="11" fillId="0" borderId="46" xfId="2" applyNumberFormat="1" applyFont="1" applyBorder="1"/>
    <xf numFmtId="0" fontId="5" fillId="0" borderId="42" xfId="2" applyFont="1" applyBorder="1"/>
    <xf numFmtId="3" fontId="5" fillId="0" borderId="42" xfId="2" applyNumberFormat="1" applyFont="1" applyBorder="1"/>
    <xf numFmtId="3" fontId="5" fillId="0" borderId="42" xfId="2" applyNumberFormat="1" applyFont="1" applyBorder="1" applyAlignment="1">
      <alignment vertical="center" wrapText="1"/>
    </xf>
    <xf numFmtId="3" fontId="5" fillId="0" borderId="0" xfId="2" applyNumberFormat="1" applyFont="1" applyBorder="1" applyAlignment="1" applyProtection="1">
      <alignment horizontal="left" wrapText="1"/>
      <protection locked="0"/>
    </xf>
    <xf numFmtId="3" fontId="5" fillId="3" borderId="6" xfId="2" applyNumberFormat="1" applyFont="1" applyFill="1" applyBorder="1" applyAlignment="1" applyProtection="1">
      <alignment horizontal="center" vertical="center" wrapText="1"/>
      <protection locked="0"/>
    </xf>
    <xf numFmtId="0" fontId="5" fillId="0" borderId="0" xfId="2" applyFont="1" applyAlignment="1">
      <alignment horizontal="center" vertical="center"/>
    </xf>
    <xf numFmtId="0" fontId="11" fillId="0" borderId="0" xfId="2" applyFont="1" applyAlignment="1">
      <alignment horizontal="center" vertical="center"/>
    </xf>
    <xf numFmtId="3" fontId="11" fillId="0" borderId="6" xfId="2" applyNumberFormat="1" applyFont="1" applyBorder="1" applyAlignment="1">
      <alignment horizontal="center" vertical="center" wrapText="1"/>
    </xf>
    <xf numFmtId="0" fontId="5" fillId="0" borderId="0" xfId="2" applyFont="1" applyBorder="1" applyAlignment="1">
      <alignment horizontal="center" vertical="center" wrapText="1"/>
    </xf>
    <xf numFmtId="3" fontId="5" fillId="0" borderId="0" xfId="2" applyNumberFormat="1" applyFont="1" applyBorder="1" applyAlignment="1">
      <alignment horizontal="center" vertical="center" wrapText="1"/>
    </xf>
    <xf numFmtId="3" fontId="5" fillId="0" borderId="0" xfId="2" applyNumberFormat="1" applyFont="1" applyBorder="1" applyAlignment="1" applyProtection="1">
      <alignment horizontal="center" vertical="center" wrapText="1"/>
      <protection locked="0"/>
    </xf>
    <xf numFmtId="3" fontId="11" fillId="0" borderId="40" xfId="2" applyNumberFormat="1" applyFont="1" applyBorder="1" applyAlignment="1">
      <alignment horizontal="center" vertical="center"/>
    </xf>
    <xf numFmtId="3" fontId="5" fillId="0" borderId="6" xfId="2" applyNumberFormat="1" applyFont="1" applyBorder="1" applyAlignment="1">
      <alignment vertical="center"/>
    </xf>
    <xf numFmtId="3" fontId="5" fillId="0" borderId="6" xfId="2" applyNumberFormat="1" applyFont="1" applyBorder="1"/>
    <xf numFmtId="0" fontId="5" fillId="0" borderId="6" xfId="2" applyFont="1" applyBorder="1" applyAlignment="1" applyProtection="1">
      <alignment horizontal="right" vertical="center" wrapText="1"/>
      <protection locked="0"/>
    </xf>
    <xf numFmtId="0" fontId="5" fillId="0" borderId="42" xfId="2" applyFont="1" applyBorder="1" applyAlignment="1">
      <alignment horizontal="center" vertical="center"/>
    </xf>
    <xf numFmtId="3" fontId="14" fillId="0" borderId="6" xfId="2" applyNumberFormat="1" applyFont="1" applyBorder="1" applyAlignment="1" applyProtection="1">
      <alignment horizontal="center" vertical="center"/>
      <protection locked="0"/>
    </xf>
    <xf numFmtId="3" fontId="14" fillId="3" borderId="6" xfId="2" applyNumberFormat="1" applyFont="1" applyFill="1" applyBorder="1" applyAlignment="1" applyProtection="1">
      <alignment horizontal="center" vertical="center"/>
      <protection locked="0"/>
    </xf>
    <xf numFmtId="3" fontId="50" fillId="0" borderId="6" xfId="2" applyNumberFormat="1" applyFont="1" applyBorder="1" applyAlignment="1" applyProtection="1">
      <alignment horizontal="center" vertical="center"/>
      <protection locked="0"/>
    </xf>
    <xf numFmtId="3" fontId="23" fillId="0" borderId="6" xfId="5" applyNumberFormat="1" applyFont="1" applyFill="1" applyBorder="1" applyAlignment="1" applyProtection="1">
      <alignment horizontal="center" vertical="center"/>
      <protection locked="0"/>
    </xf>
    <xf numFmtId="3" fontId="14" fillId="0" borderId="59" xfId="2" applyNumberFormat="1" applyFont="1" applyBorder="1"/>
    <xf numFmtId="1" fontId="14" fillId="0" borderId="59" xfId="2" applyNumberFormat="1" applyFont="1" applyBorder="1"/>
    <xf numFmtId="0" fontId="15" fillId="0" borderId="42" xfId="2" applyFont="1" applyBorder="1"/>
    <xf numFmtId="0" fontId="15" fillId="0" borderId="42" xfId="5" applyFont="1" applyBorder="1" applyAlignment="1" applyProtection="1">
      <alignment horizontal="left" vertical="center" wrapText="1"/>
      <protection locked="0"/>
    </xf>
    <xf numFmtId="3" fontId="15" fillId="0" borderId="6" xfId="5" applyNumberFormat="1" applyFont="1" applyFill="1" applyBorder="1" applyAlignment="1" applyProtection="1">
      <alignment vertical="center" wrapText="1"/>
      <protection locked="0"/>
    </xf>
    <xf numFmtId="0" fontId="15" fillId="0" borderId="42" xfId="5" applyFont="1" applyBorder="1" applyAlignment="1" applyProtection="1">
      <alignment horizontal="center" vertical="center"/>
      <protection locked="0"/>
    </xf>
    <xf numFmtId="3" fontId="15" fillId="0" borderId="42" xfId="5" applyNumberFormat="1" applyFont="1" applyBorder="1" applyAlignment="1" applyProtection="1">
      <alignment vertical="center" wrapText="1"/>
      <protection locked="0"/>
    </xf>
    <xf numFmtId="3" fontId="14" fillId="0" borderId="42" xfId="5" applyNumberFormat="1" applyFont="1" applyBorder="1" applyAlignment="1" applyProtection="1">
      <alignment horizontal="center" vertical="center" wrapText="1"/>
      <protection locked="0"/>
    </xf>
    <xf numFmtId="3" fontId="15" fillId="0" borderId="15" xfId="5" applyNumberFormat="1" applyFont="1" applyBorder="1" applyAlignment="1" applyProtection="1">
      <alignment vertical="center" wrapText="1"/>
      <protection locked="0"/>
    </xf>
    <xf numFmtId="0" fontId="15" fillId="0" borderId="42" xfId="5" applyFont="1" applyFill="1" applyBorder="1" applyAlignment="1">
      <alignment wrapText="1"/>
    </xf>
    <xf numFmtId="3" fontId="5" fillId="0" borderId="0" xfId="1" applyNumberFormat="1" applyFont="1" applyAlignment="1">
      <alignment horizontal="center"/>
    </xf>
    <xf numFmtId="0" fontId="8" fillId="0" borderId="0" xfId="1" applyFont="1" applyFill="1" applyAlignment="1">
      <alignment horizontal="center" wrapText="1"/>
    </xf>
    <xf numFmtId="0" fontId="14" fillId="0" borderId="1"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6" xfId="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49" fontId="15" fillId="0" borderId="3" xfId="1" applyNumberFormat="1" applyFont="1" applyFill="1" applyBorder="1" applyAlignment="1">
      <alignment horizontal="center" vertical="center" wrapText="1"/>
    </xf>
    <xf numFmtId="49" fontId="15" fillId="0" borderId="7"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wrapText="1"/>
    </xf>
    <xf numFmtId="49" fontId="15" fillId="0" borderId="2" xfId="1" applyNumberFormat="1" applyFont="1" applyFill="1" applyBorder="1" applyAlignment="1">
      <alignment horizontal="center" wrapText="1"/>
    </xf>
    <xf numFmtId="49" fontId="15" fillId="0" borderId="3" xfId="1" applyNumberFormat="1" applyFont="1" applyFill="1" applyBorder="1" applyAlignment="1">
      <alignment horizontal="center" wrapText="1"/>
    </xf>
    <xf numFmtId="3" fontId="15" fillId="0" borderId="1" xfId="1" applyNumberFormat="1" applyFont="1" applyFill="1" applyBorder="1" applyAlignment="1">
      <alignment horizontal="center" vertical="center" wrapText="1"/>
    </xf>
    <xf numFmtId="3" fontId="15" fillId="0" borderId="3" xfId="1" applyNumberFormat="1" applyFont="1" applyFill="1" applyBorder="1" applyAlignment="1">
      <alignment horizontal="center" vertical="center" wrapText="1"/>
    </xf>
    <xf numFmtId="0" fontId="15" fillId="0" borderId="26" xfId="1" applyFont="1" applyFill="1" applyBorder="1" applyAlignment="1">
      <alignment horizontal="left" wrapText="1"/>
    </xf>
    <xf numFmtId="0" fontId="15" fillId="0" borderId="27" xfId="1" applyFont="1" applyFill="1" applyBorder="1" applyAlignment="1">
      <alignment horizontal="left" wrapText="1"/>
    </xf>
    <xf numFmtId="0" fontId="15" fillId="0" borderId="12" xfId="4" applyFont="1" applyFill="1" applyBorder="1" applyAlignment="1">
      <alignment horizontal="left" wrapText="1"/>
    </xf>
    <xf numFmtId="0" fontId="15" fillId="0" borderId="0" xfId="4" applyFont="1" applyFill="1" applyBorder="1" applyAlignment="1">
      <alignment horizontal="left" wrapText="1"/>
    </xf>
    <xf numFmtId="0" fontId="15" fillId="0" borderId="4" xfId="2" applyFont="1" applyBorder="1" applyAlignment="1">
      <alignment horizontal="center" vertical="center" wrapText="1"/>
    </xf>
    <xf numFmtId="0" fontId="15" fillId="0" borderId="8" xfId="2" applyFont="1" applyBorder="1" applyAlignment="1">
      <alignment horizontal="center" vertical="center" wrapText="1"/>
    </xf>
    <xf numFmtId="0" fontId="14" fillId="0" borderId="10" xfId="1" applyFont="1" applyFill="1" applyBorder="1" applyAlignment="1">
      <alignment horizontal="right" vertical="center" wrapText="1"/>
    </xf>
    <xf numFmtId="0" fontId="14" fillId="0" borderId="11" xfId="1" applyFont="1" applyFill="1" applyBorder="1" applyAlignment="1">
      <alignment horizontal="right" vertical="center" wrapText="1"/>
    </xf>
    <xf numFmtId="0" fontId="15" fillId="0" borderId="9"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5" xfId="1" applyFont="1" applyFill="1" applyBorder="1" applyAlignment="1">
      <alignment horizontal="center" vertical="center"/>
    </xf>
    <xf numFmtId="0" fontId="15" fillId="0" borderId="6"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0" xfId="5" applyFont="1" applyFill="1" applyAlignment="1">
      <alignment horizontal="left"/>
    </xf>
    <xf numFmtId="0" fontId="7" fillId="0" borderId="0" xfId="5" applyFont="1" applyFill="1" applyAlignment="1">
      <alignment horizontal="center"/>
    </xf>
    <xf numFmtId="0" fontId="15" fillId="0" borderId="17" xfId="5" applyFont="1" applyFill="1" applyBorder="1" applyAlignment="1" applyProtection="1">
      <alignment horizontal="right" wrapText="1"/>
      <protection locked="0"/>
    </xf>
    <xf numFmtId="0" fontId="15" fillId="0" borderId="21" xfId="5" applyFont="1" applyFill="1" applyBorder="1" applyAlignment="1" applyProtection="1">
      <alignment horizontal="right" wrapText="1"/>
      <protection locked="0"/>
    </xf>
    <xf numFmtId="0" fontId="15" fillId="0" borderId="17" xfId="5" applyFont="1" applyFill="1" applyBorder="1" applyAlignment="1" applyProtection="1">
      <alignment horizontal="left" wrapText="1"/>
      <protection locked="0"/>
    </xf>
    <xf numFmtId="0" fontId="15" fillId="0" borderId="21" xfId="5" applyFont="1" applyFill="1" applyBorder="1" applyAlignment="1" applyProtection="1">
      <alignment horizontal="left" wrapText="1"/>
      <protection locked="0"/>
    </xf>
    <xf numFmtId="3" fontId="15" fillId="0" borderId="17" xfId="5" applyNumberFormat="1" applyFont="1" applyFill="1" applyBorder="1" applyAlignment="1" applyProtection="1">
      <alignment horizontal="center" wrapText="1"/>
      <protection locked="0"/>
    </xf>
    <xf numFmtId="3" fontId="15" fillId="0" borderId="21" xfId="5" applyNumberFormat="1" applyFont="1" applyFill="1" applyBorder="1" applyAlignment="1" applyProtection="1">
      <alignment horizontal="center" wrapText="1"/>
      <protection locked="0"/>
    </xf>
    <xf numFmtId="0" fontId="15" fillId="0" borderId="14" xfId="5" applyFont="1" applyFill="1" applyBorder="1" applyAlignment="1">
      <alignment horizontal="center" vertical="center" wrapText="1"/>
    </xf>
    <xf numFmtId="0" fontId="15" fillId="0" borderId="15" xfId="5" applyFont="1" applyFill="1" applyBorder="1" applyAlignment="1">
      <alignment horizontal="center" vertical="center" wrapText="1"/>
    </xf>
    <xf numFmtId="0" fontId="14" fillId="0" borderId="14" xfId="5" applyFont="1" applyFill="1" applyBorder="1" applyAlignment="1">
      <alignment horizontal="right" wrapText="1"/>
    </xf>
    <xf numFmtId="0" fontId="14" fillId="0" borderId="10" xfId="5" applyFont="1" applyFill="1" applyBorder="1" applyAlignment="1">
      <alignment horizontal="right" wrapText="1"/>
    </xf>
    <xf numFmtId="0" fontId="14" fillId="0" borderId="15" xfId="5" applyFont="1" applyFill="1" applyBorder="1" applyAlignment="1">
      <alignment horizontal="right" wrapText="1"/>
    </xf>
    <xf numFmtId="3" fontId="15" fillId="0" borderId="17" xfId="5" applyNumberFormat="1" applyFont="1" applyFill="1" applyBorder="1" applyAlignment="1" applyProtection="1">
      <alignment horizontal="center" vertical="center" wrapText="1"/>
      <protection locked="0"/>
    </xf>
    <xf numFmtId="3" fontId="15" fillId="0" borderId="32" xfId="5" applyNumberFormat="1" applyFont="1" applyFill="1" applyBorder="1" applyAlignment="1" applyProtection="1">
      <alignment horizontal="center" vertical="center" wrapText="1"/>
      <protection locked="0"/>
    </xf>
    <xf numFmtId="3" fontId="15" fillId="0" borderId="21" xfId="5" applyNumberFormat="1" applyFont="1" applyFill="1" applyBorder="1" applyAlignment="1" applyProtection="1">
      <alignment horizontal="center" vertical="center" wrapText="1"/>
      <protection locked="0"/>
    </xf>
    <xf numFmtId="0" fontId="15" fillId="0" borderId="17" xfId="5" applyFont="1" applyFill="1" applyBorder="1" applyAlignment="1" applyProtection="1">
      <alignment horizontal="center" vertical="center" wrapText="1"/>
      <protection locked="0"/>
    </xf>
    <xf numFmtId="0" fontId="15" fillId="0" borderId="32" xfId="5" applyFont="1" applyFill="1" applyBorder="1" applyAlignment="1" applyProtection="1">
      <alignment horizontal="center" vertical="center" wrapText="1"/>
      <protection locked="0"/>
    </xf>
    <xf numFmtId="0" fontId="15" fillId="0" borderId="21" xfId="5" applyFont="1" applyFill="1" applyBorder="1" applyAlignment="1" applyProtection="1">
      <alignment horizontal="center" vertical="center" wrapText="1"/>
      <protection locked="0"/>
    </xf>
    <xf numFmtId="3" fontId="15" fillId="0" borderId="17" xfId="2" applyNumberFormat="1" applyFont="1" applyFill="1" applyBorder="1" applyAlignment="1" applyProtection="1">
      <alignment horizontal="center" vertical="center" wrapText="1"/>
      <protection locked="0"/>
    </xf>
    <xf numFmtId="3" fontId="15" fillId="0" borderId="32" xfId="2" applyNumberFormat="1" applyFont="1" applyFill="1" applyBorder="1" applyAlignment="1" applyProtection="1">
      <alignment horizontal="center" vertical="center" wrapText="1"/>
      <protection locked="0"/>
    </xf>
    <xf numFmtId="3" fontId="15" fillId="0" borderId="21" xfId="2" applyNumberFormat="1" applyFont="1" applyFill="1" applyBorder="1" applyAlignment="1" applyProtection="1">
      <alignment horizontal="center" vertical="center" wrapText="1"/>
      <protection locked="0"/>
    </xf>
    <xf numFmtId="0" fontId="15" fillId="0" borderId="19" xfId="5" applyFont="1" applyFill="1" applyBorder="1" applyAlignment="1" applyProtection="1">
      <alignment horizontal="left" vertical="center" wrapText="1"/>
      <protection locked="0"/>
    </xf>
    <xf numFmtId="0" fontId="15" fillId="0" borderId="33" xfId="5" applyFont="1" applyFill="1" applyBorder="1" applyAlignment="1" applyProtection="1">
      <alignment horizontal="left" vertical="center" wrapText="1"/>
      <protection locked="0"/>
    </xf>
    <xf numFmtId="0" fontId="15" fillId="0" borderId="34" xfId="5" applyFont="1" applyFill="1" applyBorder="1" applyAlignment="1" applyProtection="1">
      <alignment horizontal="left" vertical="center" wrapText="1"/>
      <protection locked="0"/>
    </xf>
    <xf numFmtId="0" fontId="15" fillId="0" borderId="35" xfId="5" applyFont="1" applyFill="1" applyBorder="1" applyAlignment="1" applyProtection="1">
      <alignment horizontal="left" vertical="center" wrapText="1"/>
      <protection locked="0"/>
    </xf>
    <xf numFmtId="0" fontId="15" fillId="0" borderId="36" xfId="5" applyFont="1" applyFill="1" applyBorder="1" applyAlignment="1" applyProtection="1">
      <alignment horizontal="left" vertical="center" wrapText="1"/>
      <protection locked="0"/>
    </xf>
    <xf numFmtId="0" fontId="15" fillId="0" borderId="37" xfId="5" applyFont="1" applyFill="1" applyBorder="1" applyAlignment="1" applyProtection="1">
      <alignment horizontal="left" vertical="center" wrapText="1"/>
      <protection locked="0"/>
    </xf>
    <xf numFmtId="0" fontId="15" fillId="0" borderId="14" xfId="5" applyFont="1" applyFill="1" applyBorder="1" applyAlignment="1" applyProtection="1">
      <alignment horizontal="left" vertical="center" wrapText="1"/>
      <protection locked="0"/>
    </xf>
    <xf numFmtId="0" fontId="15" fillId="0" borderId="15" xfId="5" applyFont="1" applyFill="1" applyBorder="1" applyAlignment="1" applyProtection="1">
      <alignment horizontal="left" vertical="center" wrapText="1"/>
      <protection locked="0"/>
    </xf>
    <xf numFmtId="0" fontId="14" fillId="0" borderId="17" xfId="5" applyFont="1" applyFill="1" applyBorder="1" applyAlignment="1" applyProtection="1">
      <alignment horizontal="right" vertical="center" wrapText="1"/>
      <protection locked="0"/>
    </xf>
    <xf numFmtId="0" fontId="14" fillId="0" borderId="21" xfId="5" applyFont="1" applyFill="1" applyBorder="1" applyAlignment="1" applyProtection="1">
      <alignment horizontal="right" vertical="center" wrapText="1"/>
      <protection locked="0"/>
    </xf>
    <xf numFmtId="0" fontId="14" fillId="0" borderId="17" xfId="5" applyFont="1" applyFill="1" applyBorder="1" applyAlignment="1" applyProtection="1">
      <alignment horizontal="center" vertical="center" wrapText="1"/>
      <protection locked="0"/>
    </xf>
    <xf numFmtId="0" fontId="14" fillId="0" borderId="21" xfId="5" applyFont="1" applyFill="1" applyBorder="1" applyAlignment="1" applyProtection="1">
      <alignment horizontal="center" vertical="center" wrapText="1"/>
      <protection locked="0"/>
    </xf>
    <xf numFmtId="0" fontId="14" fillId="0" borderId="32" xfId="5" applyFont="1" applyFill="1" applyBorder="1" applyAlignment="1" applyProtection="1">
      <alignment horizontal="right" vertical="center" wrapText="1"/>
      <protection locked="0"/>
    </xf>
    <xf numFmtId="0" fontId="14" fillId="0" borderId="32" xfId="5" applyFont="1" applyFill="1" applyBorder="1" applyAlignment="1" applyProtection="1">
      <alignment horizontal="center" vertical="center" wrapText="1"/>
      <protection locked="0"/>
    </xf>
    <xf numFmtId="0" fontId="14" fillId="0" borderId="19" xfId="5" applyFont="1" applyFill="1" applyBorder="1" applyAlignment="1">
      <alignment horizontal="right" vertical="center" wrapText="1"/>
    </xf>
    <xf numFmtId="0" fontId="14" fillId="0" borderId="34" xfId="5" applyFont="1" applyFill="1" applyBorder="1" applyAlignment="1">
      <alignment horizontal="right" vertical="center" wrapText="1"/>
    </xf>
    <xf numFmtId="0" fontId="14" fillId="0" borderId="36" xfId="5" applyFont="1" applyFill="1" applyBorder="1" applyAlignment="1">
      <alignment horizontal="right" vertical="center" wrapText="1"/>
    </xf>
    <xf numFmtId="0" fontId="14" fillId="0" borderId="33" xfId="5" applyFont="1" applyFill="1" applyBorder="1" applyAlignment="1">
      <alignment horizontal="center" vertical="center" wrapText="1"/>
    </xf>
    <xf numFmtId="0" fontId="14" fillId="0" borderId="35" xfId="5" applyFont="1" applyFill="1" applyBorder="1" applyAlignment="1">
      <alignment horizontal="center" vertical="center" wrapText="1"/>
    </xf>
    <xf numFmtId="0" fontId="14" fillId="0" borderId="37" xfId="5" applyFont="1" applyFill="1" applyBorder="1" applyAlignment="1">
      <alignment horizontal="center" vertical="center" wrapText="1"/>
    </xf>
    <xf numFmtId="3" fontId="15" fillId="0" borderId="17" xfId="5" applyNumberFormat="1" applyFont="1" applyFill="1" applyBorder="1" applyAlignment="1">
      <alignment horizontal="center" vertical="center" wrapText="1"/>
    </xf>
    <xf numFmtId="3" fontId="15" fillId="0" borderId="32" xfId="5" applyNumberFormat="1" applyFont="1" applyFill="1" applyBorder="1" applyAlignment="1">
      <alignment horizontal="center" vertical="center" wrapText="1"/>
    </xf>
    <xf numFmtId="3" fontId="15" fillId="0" borderId="21" xfId="5" applyNumberFormat="1" applyFont="1" applyFill="1" applyBorder="1" applyAlignment="1">
      <alignment horizontal="center" vertical="center" wrapText="1"/>
    </xf>
    <xf numFmtId="0" fontId="15" fillId="0" borderId="0" xfId="2" applyFont="1" applyFill="1" applyBorder="1" applyAlignment="1" applyProtection="1">
      <alignment horizontal="center"/>
      <protection locked="0"/>
    </xf>
    <xf numFmtId="0" fontId="14" fillId="0" borderId="6" xfId="5" applyFont="1" applyFill="1" applyBorder="1" applyAlignment="1">
      <alignment horizontal="right"/>
    </xf>
    <xf numFmtId="0" fontId="15" fillId="0" borderId="19" xfId="5" applyFont="1" applyFill="1" applyBorder="1" applyAlignment="1" applyProtection="1">
      <alignment horizontal="center" vertical="center" wrapText="1"/>
      <protection locked="0"/>
    </xf>
    <xf numFmtId="0" fontId="15" fillId="0" borderId="33" xfId="5" applyFont="1" applyFill="1" applyBorder="1" applyAlignment="1" applyProtection="1">
      <alignment horizontal="center" vertical="center" wrapText="1"/>
      <protection locked="0"/>
    </xf>
    <xf numFmtId="0" fontId="15" fillId="0" borderId="34" xfId="5" applyFont="1" applyFill="1" applyBorder="1" applyAlignment="1" applyProtection="1">
      <alignment horizontal="center" vertical="center" wrapText="1"/>
      <protection locked="0"/>
    </xf>
    <xf numFmtId="0" fontId="15" fillId="0" borderId="35" xfId="5" applyFont="1" applyFill="1" applyBorder="1" applyAlignment="1" applyProtection="1">
      <alignment horizontal="center" vertical="center" wrapText="1"/>
      <protection locked="0"/>
    </xf>
    <xf numFmtId="0" fontId="15" fillId="0" borderId="36" xfId="5" applyFont="1" applyFill="1" applyBorder="1" applyAlignment="1" applyProtection="1">
      <alignment horizontal="center" vertical="center" wrapText="1"/>
      <protection locked="0"/>
    </xf>
    <xf numFmtId="0" fontId="15" fillId="0" borderId="37" xfId="5" applyFont="1" applyFill="1" applyBorder="1" applyAlignment="1" applyProtection="1">
      <alignment horizontal="center" vertical="center" wrapText="1"/>
      <protection locked="0"/>
    </xf>
    <xf numFmtId="0" fontId="15" fillId="0" borderId="0" xfId="2" applyFont="1" applyAlignment="1">
      <alignment horizontal="left"/>
    </xf>
    <xf numFmtId="0" fontId="7" fillId="0" borderId="0" xfId="2" applyFont="1" applyAlignment="1">
      <alignment horizontal="center"/>
    </xf>
    <xf numFmtId="0" fontId="15" fillId="0" borderId="17" xfId="2" applyFont="1" applyBorder="1" applyAlignment="1" applyProtection="1">
      <alignment horizontal="center" vertical="center" wrapText="1"/>
      <protection locked="0"/>
    </xf>
    <xf numFmtId="0" fontId="15" fillId="0" borderId="32" xfId="2" applyFont="1" applyBorder="1" applyAlignment="1" applyProtection="1">
      <alignment horizontal="center" vertical="center" wrapText="1"/>
      <protection locked="0"/>
    </xf>
    <xf numFmtId="0" fontId="15" fillId="0" borderId="21" xfId="2" applyFont="1" applyBorder="1" applyAlignment="1" applyProtection="1">
      <alignment horizontal="center" vertical="center" wrapText="1"/>
      <protection locked="0"/>
    </xf>
    <xf numFmtId="0" fontId="15" fillId="0" borderId="14" xfId="2" applyFont="1" applyBorder="1" applyAlignment="1">
      <alignment horizontal="center" vertical="center" wrapText="1"/>
    </xf>
    <xf numFmtId="0" fontId="15" fillId="0" borderId="15" xfId="2" applyFont="1" applyBorder="1" applyAlignment="1">
      <alignment horizontal="center" vertical="center" wrapText="1"/>
    </xf>
    <xf numFmtId="0" fontId="14" fillId="0" borderId="14" xfId="2" applyFont="1" applyBorder="1" applyAlignment="1">
      <alignment horizontal="right" wrapText="1"/>
    </xf>
    <xf numFmtId="0" fontId="14" fillId="0" borderId="10" xfId="2" applyFont="1" applyBorder="1" applyAlignment="1">
      <alignment horizontal="right" wrapText="1"/>
    </xf>
    <xf numFmtId="0" fontId="14" fillId="0" borderId="15" xfId="2" applyFont="1" applyBorder="1" applyAlignment="1">
      <alignment horizontal="right" wrapText="1"/>
    </xf>
    <xf numFmtId="0" fontId="15" fillId="0" borderId="19" xfId="2" applyFont="1" applyBorder="1" applyAlignment="1" applyProtection="1">
      <alignment horizontal="left" vertical="center" wrapText="1"/>
      <protection locked="0"/>
    </xf>
    <xf numFmtId="0" fontId="15" fillId="0" borderId="33" xfId="2" applyFont="1" applyBorder="1" applyAlignment="1" applyProtection="1">
      <alignment horizontal="left" vertical="center" wrapText="1"/>
      <protection locked="0"/>
    </xf>
    <xf numFmtId="0" fontId="15" fillId="0" borderId="36" xfId="2" applyFont="1" applyBorder="1" applyAlignment="1" applyProtection="1">
      <alignment horizontal="left" vertical="center" wrapText="1"/>
      <protection locked="0"/>
    </xf>
    <xf numFmtId="0" fontId="15" fillId="0" borderId="37" xfId="2" applyFont="1" applyBorder="1" applyAlignment="1" applyProtection="1">
      <alignment horizontal="left" vertical="center" wrapText="1"/>
      <protection locked="0"/>
    </xf>
    <xf numFmtId="0" fontId="15" fillId="0" borderId="14" xfId="2" applyFont="1" applyBorder="1" applyAlignment="1">
      <alignment horizontal="left" vertical="center" wrapText="1"/>
    </xf>
    <xf numFmtId="0" fontId="15" fillId="0" borderId="15" xfId="2" applyFont="1" applyBorder="1" applyAlignment="1">
      <alignment horizontal="left" vertical="center" wrapText="1"/>
    </xf>
    <xf numFmtId="0" fontId="15" fillId="0" borderId="34" xfId="2" applyFont="1" applyBorder="1" applyAlignment="1" applyProtection="1">
      <alignment horizontal="left" vertical="center" wrapText="1"/>
      <protection locked="0"/>
    </xf>
    <xf numFmtId="0" fontId="15" fillId="0" borderId="35" xfId="2" applyFont="1" applyBorder="1" applyAlignment="1" applyProtection="1">
      <alignment horizontal="left" vertical="center" wrapText="1"/>
      <protection locked="0"/>
    </xf>
    <xf numFmtId="0" fontId="14" fillId="0" borderId="38" xfId="2" applyFont="1" applyBorder="1" applyAlignment="1">
      <alignment horizontal="right"/>
    </xf>
    <xf numFmtId="0" fontId="14" fillId="0" borderId="39" xfId="2" applyFont="1" applyBorder="1" applyAlignment="1">
      <alignment horizontal="right"/>
    </xf>
    <xf numFmtId="0" fontId="14" fillId="0" borderId="0" xfId="5" applyFont="1" applyAlignment="1">
      <alignment horizontal="left" wrapText="1"/>
    </xf>
    <xf numFmtId="0" fontId="15" fillId="0" borderId="0" xfId="5" applyFont="1" applyAlignment="1">
      <alignment horizontal="left"/>
    </xf>
    <xf numFmtId="0" fontId="7" fillId="0" borderId="0" xfId="5" applyFont="1" applyAlignment="1">
      <alignment horizontal="center"/>
    </xf>
    <xf numFmtId="0" fontId="15" fillId="0" borderId="17" xfId="5" applyFont="1" applyBorder="1" applyAlignment="1" applyProtection="1">
      <alignment horizontal="center" vertical="center" wrapText="1"/>
      <protection locked="0"/>
    </xf>
    <xf numFmtId="0" fontId="15" fillId="0" borderId="21" xfId="5" applyFont="1" applyBorder="1" applyAlignment="1" applyProtection="1">
      <alignment horizontal="center" vertical="center" wrapText="1"/>
      <protection locked="0"/>
    </xf>
    <xf numFmtId="0" fontId="15" fillId="0" borderId="14" xfId="5" applyFont="1" applyBorder="1" applyAlignment="1">
      <alignment horizontal="center" vertical="center" wrapText="1"/>
    </xf>
    <xf numFmtId="0" fontId="15" fillId="0" borderId="15" xfId="5" applyFont="1" applyBorder="1" applyAlignment="1">
      <alignment horizontal="center" vertical="center" wrapText="1"/>
    </xf>
    <xf numFmtId="0" fontId="15" fillId="0" borderId="19" xfId="5" applyFont="1" applyBorder="1" applyAlignment="1" applyProtection="1">
      <alignment horizontal="left" vertical="center" wrapText="1"/>
      <protection locked="0"/>
    </xf>
    <xf numFmtId="0" fontId="15" fillId="0" borderId="33" xfId="5" applyFont="1" applyBorder="1" applyAlignment="1" applyProtection="1">
      <alignment horizontal="left" vertical="center" wrapText="1"/>
      <protection locked="0"/>
    </xf>
    <xf numFmtId="0" fontId="15" fillId="0" borderId="36" xfId="5" applyFont="1" applyBorder="1" applyAlignment="1" applyProtection="1">
      <alignment horizontal="left" vertical="center" wrapText="1"/>
      <protection locked="0"/>
    </xf>
    <xf numFmtId="0" fontId="15" fillId="0" borderId="37" xfId="5" applyFont="1" applyBorder="1" applyAlignment="1" applyProtection="1">
      <alignment horizontal="left" vertical="center" wrapText="1"/>
      <protection locked="0"/>
    </xf>
    <xf numFmtId="0" fontId="15" fillId="0" borderId="14" xfId="5" applyFont="1" applyBorder="1" applyAlignment="1" applyProtection="1">
      <alignment horizontal="left" vertical="center" wrapText="1"/>
      <protection locked="0"/>
    </xf>
    <xf numFmtId="0" fontId="15" fillId="0" borderId="15" xfId="5" applyFont="1" applyBorder="1" applyAlignment="1" applyProtection="1">
      <alignment horizontal="left" vertical="center" wrapText="1"/>
      <protection locked="0"/>
    </xf>
    <xf numFmtId="0" fontId="15" fillId="0" borderId="14" xfId="5" quotePrefix="1" applyFont="1" applyBorder="1" applyAlignment="1" applyProtection="1">
      <alignment horizontal="left" vertical="center" wrapText="1"/>
      <protection locked="0"/>
    </xf>
    <xf numFmtId="0" fontId="15" fillId="0" borderId="15" xfId="5" quotePrefix="1" applyFont="1" applyBorder="1" applyAlignment="1" applyProtection="1">
      <alignment horizontal="left" vertical="center" wrapText="1"/>
      <protection locked="0"/>
    </xf>
    <xf numFmtId="0" fontId="14" fillId="0" borderId="14" xfId="5" applyFont="1" applyBorder="1" applyAlignment="1">
      <alignment horizontal="right" wrapText="1"/>
    </xf>
    <xf numFmtId="0" fontId="14" fillId="0" borderId="10" xfId="5" applyFont="1" applyBorder="1" applyAlignment="1">
      <alignment horizontal="right" wrapText="1"/>
    </xf>
    <xf numFmtId="0" fontId="14" fillId="0" borderId="15" xfId="5" applyFont="1" applyBorder="1" applyAlignment="1">
      <alignment horizontal="right" wrapText="1"/>
    </xf>
    <xf numFmtId="0" fontId="14" fillId="0" borderId="38" xfId="5" applyFont="1" applyBorder="1" applyAlignment="1">
      <alignment horizontal="right"/>
    </xf>
    <xf numFmtId="0" fontId="14" fillId="0" borderId="39" xfId="5" applyFont="1" applyBorder="1" applyAlignment="1">
      <alignment horizontal="right"/>
    </xf>
    <xf numFmtId="0" fontId="14" fillId="0" borderId="0" xfId="5" applyFont="1" applyAlignment="1">
      <alignment horizontal="left" vertical="center"/>
    </xf>
    <xf numFmtId="0" fontId="14" fillId="0" borderId="106" xfId="5" applyFont="1" applyBorder="1" applyAlignment="1">
      <alignment horizontal="right"/>
    </xf>
    <xf numFmtId="0" fontId="15" fillId="0" borderId="0" xfId="5" applyFont="1" applyAlignment="1">
      <alignment horizontal="left" vertical="top"/>
    </xf>
    <xf numFmtId="3" fontId="15" fillId="0" borderId="17" xfId="5" applyNumberFormat="1" applyFont="1" applyBorder="1" applyAlignment="1" applyProtection="1">
      <alignment horizontal="center" vertical="center" wrapText="1"/>
      <protection locked="0"/>
    </xf>
    <xf numFmtId="3" fontId="15" fillId="0" borderId="21" xfId="5" applyNumberFormat="1" applyFont="1" applyBorder="1" applyAlignment="1" applyProtection="1">
      <alignment horizontal="center" vertical="center" wrapText="1"/>
      <protection locked="0"/>
    </xf>
    <xf numFmtId="0" fontId="15" fillId="0" borderId="17" xfId="5" applyFont="1" applyBorder="1" applyAlignment="1" applyProtection="1">
      <alignment horizontal="left" vertical="center" wrapText="1"/>
      <protection locked="0"/>
    </xf>
    <xf numFmtId="0" fontId="15" fillId="0" borderId="21" xfId="5" applyFont="1" applyBorder="1" applyAlignment="1" applyProtection="1">
      <alignment horizontal="left" vertical="center" wrapText="1"/>
      <protection locked="0"/>
    </xf>
    <xf numFmtId="0" fontId="7" fillId="0" borderId="0" xfId="5" applyFont="1" applyFill="1" applyBorder="1" applyAlignment="1">
      <alignment horizontal="center"/>
    </xf>
    <xf numFmtId="0" fontId="15" fillId="0" borderId="0" xfId="5" applyFont="1" applyFill="1" applyBorder="1" applyAlignment="1">
      <alignment horizontal="left"/>
    </xf>
    <xf numFmtId="3" fontId="15" fillId="0" borderId="17" xfId="2" applyNumberFormat="1" applyFont="1" applyFill="1" applyBorder="1" applyAlignment="1">
      <alignment horizontal="center" vertical="center" wrapText="1"/>
    </xf>
    <xf numFmtId="3" fontId="15" fillId="0" borderId="32" xfId="2" applyNumberFormat="1" applyFont="1" applyFill="1" applyBorder="1" applyAlignment="1">
      <alignment horizontal="center" vertical="center" wrapText="1"/>
    </xf>
    <xf numFmtId="3" fontId="15" fillId="0" borderId="21" xfId="2" applyNumberFormat="1" applyFont="1" applyFill="1" applyBorder="1" applyAlignment="1">
      <alignment horizontal="center" vertical="center" wrapText="1"/>
    </xf>
    <xf numFmtId="3" fontId="15" fillId="0" borderId="0" xfId="2" applyNumberFormat="1" applyFont="1" applyFill="1" applyBorder="1" applyAlignment="1">
      <alignment horizontal="center" vertical="center" wrapText="1"/>
    </xf>
    <xf numFmtId="0" fontId="15" fillId="0" borderId="6" xfId="5" applyFont="1" applyFill="1" applyBorder="1" applyAlignment="1">
      <alignment horizontal="center" vertical="center" wrapText="1"/>
    </xf>
    <xf numFmtId="3" fontId="15" fillId="0" borderId="6" xfId="5" applyNumberFormat="1" applyFont="1" applyFill="1" applyBorder="1" applyAlignment="1" applyProtection="1">
      <alignment horizontal="center" vertical="center" wrapText="1"/>
      <protection locked="0"/>
    </xf>
    <xf numFmtId="3" fontId="15" fillId="0" borderId="6" xfId="5" applyNumberFormat="1" applyFont="1" applyFill="1" applyBorder="1" applyAlignment="1" applyProtection="1">
      <alignment horizontal="center" vertical="center"/>
      <protection locked="0"/>
    </xf>
    <xf numFmtId="3" fontId="15" fillId="0" borderId="6" xfId="5" applyNumberFormat="1" applyFont="1" applyFill="1" applyBorder="1" applyAlignment="1" applyProtection="1">
      <alignment horizontal="left" vertical="center" wrapText="1"/>
      <protection locked="0"/>
    </xf>
    <xf numFmtId="0" fontId="15" fillId="0" borderId="6" xfId="5" applyFont="1" applyFill="1" applyBorder="1" applyAlignment="1" applyProtection="1">
      <alignment horizontal="center" vertical="center" wrapText="1"/>
      <protection locked="0"/>
    </xf>
    <xf numFmtId="0" fontId="15" fillId="0" borderId="17" xfId="6" applyFont="1" applyFill="1" applyBorder="1" applyAlignment="1" applyProtection="1">
      <alignment vertical="center" wrapText="1"/>
      <protection locked="0"/>
    </xf>
    <xf numFmtId="0" fontId="15" fillId="0" borderId="32" xfId="6" applyFont="1" applyFill="1" applyBorder="1" applyAlignment="1" applyProtection="1">
      <alignment vertical="center" wrapText="1"/>
      <protection locked="0"/>
    </xf>
    <xf numFmtId="0" fontId="1" fillId="0" borderId="21" xfId="6" applyFill="1" applyBorder="1" applyAlignment="1">
      <alignment vertical="center" wrapText="1"/>
    </xf>
    <xf numFmtId="3" fontId="15" fillId="0" borderId="17" xfId="6" applyNumberFormat="1" applyFont="1" applyFill="1" applyBorder="1" applyAlignment="1" applyProtection="1">
      <alignment horizontal="center" vertical="center" wrapText="1"/>
      <protection locked="0"/>
    </xf>
    <xf numFmtId="3" fontId="15" fillId="0" borderId="21" xfId="6" applyNumberFormat="1" applyFont="1" applyFill="1" applyBorder="1" applyAlignment="1" applyProtection="1">
      <alignment horizontal="center" vertical="center" wrapText="1"/>
      <protection locked="0"/>
    </xf>
    <xf numFmtId="0" fontId="15" fillId="0" borderId="19" xfId="5" applyFont="1" applyFill="1" applyBorder="1" applyAlignment="1">
      <alignment horizontal="left" vertical="center" wrapText="1"/>
    </xf>
    <xf numFmtId="0" fontId="15" fillId="0" borderId="33" xfId="5" applyFont="1" applyFill="1" applyBorder="1" applyAlignment="1">
      <alignment horizontal="left" vertical="center" wrapText="1"/>
    </xf>
    <xf numFmtId="0" fontId="15" fillId="0" borderId="36" xfId="5" applyFont="1" applyFill="1" applyBorder="1" applyAlignment="1">
      <alignment horizontal="left" vertical="center" wrapText="1"/>
    </xf>
    <xf numFmtId="0" fontId="15" fillId="0" borderId="37" xfId="5" applyFont="1" applyFill="1" applyBorder="1" applyAlignment="1">
      <alignment horizontal="left" vertical="center" wrapText="1"/>
    </xf>
    <xf numFmtId="0" fontId="15" fillId="0" borderId="19" xfId="5" applyFont="1" applyFill="1" applyBorder="1" applyAlignment="1">
      <alignment horizontal="center" vertical="center" wrapText="1"/>
    </xf>
    <xf numFmtId="0" fontId="15" fillId="0" borderId="33" xfId="5" applyFont="1" applyFill="1" applyBorder="1" applyAlignment="1">
      <alignment horizontal="center" vertical="center" wrapText="1"/>
    </xf>
    <xf numFmtId="0" fontId="15" fillId="0" borderId="36" xfId="5" applyFont="1" applyFill="1" applyBorder="1" applyAlignment="1">
      <alignment horizontal="center" vertical="center" wrapText="1"/>
    </xf>
    <xf numFmtId="0" fontId="15" fillId="0" borderId="37" xfId="5" applyFont="1" applyFill="1" applyBorder="1" applyAlignment="1">
      <alignment horizontal="center" vertical="center" wrapText="1"/>
    </xf>
    <xf numFmtId="0" fontId="15" fillId="0" borderId="17" xfId="5" applyFont="1" applyFill="1" applyBorder="1" applyAlignment="1" applyProtection="1">
      <alignment horizontal="left" vertical="center" wrapText="1"/>
      <protection locked="0"/>
    </xf>
    <xf numFmtId="0" fontId="15" fillId="0" borderId="32" xfId="5" applyFont="1" applyFill="1" applyBorder="1" applyAlignment="1" applyProtection="1">
      <alignment horizontal="left" vertical="center" wrapText="1"/>
      <protection locked="0"/>
    </xf>
    <xf numFmtId="0" fontId="15" fillId="0" borderId="21" xfId="5" applyFont="1" applyFill="1" applyBorder="1" applyAlignment="1" applyProtection="1">
      <alignment horizontal="left" vertical="center" wrapText="1"/>
      <protection locked="0"/>
    </xf>
    <xf numFmtId="0" fontId="15" fillId="0" borderId="0" xfId="5" applyFont="1" applyFill="1" applyAlignment="1">
      <alignment horizontal="left" vertical="center"/>
    </xf>
    <xf numFmtId="3" fontId="15" fillId="0" borderId="6" xfId="5" applyNumberFormat="1" applyFont="1" applyFill="1" applyBorder="1" applyAlignment="1" applyProtection="1">
      <alignment vertical="center" wrapText="1"/>
      <protection locked="0"/>
    </xf>
    <xf numFmtId="0" fontId="14" fillId="0" borderId="0" xfId="5" applyFont="1" applyFill="1" applyAlignment="1">
      <alignment horizontal="left" vertical="center"/>
    </xf>
    <xf numFmtId="0" fontId="15" fillId="0" borderId="0" xfId="5" applyFont="1" applyFill="1" applyBorder="1" applyAlignment="1" applyProtection="1">
      <alignment horizontal="left" vertical="center" wrapText="1"/>
      <protection locked="0"/>
    </xf>
    <xf numFmtId="0" fontId="15" fillId="0" borderId="0" xfId="5" applyFont="1" applyFill="1" applyBorder="1" applyAlignment="1">
      <alignment horizontal="left" vertical="center" wrapText="1"/>
    </xf>
    <xf numFmtId="0" fontId="14" fillId="0" borderId="0" xfId="5" applyFont="1" applyFill="1" applyBorder="1" applyAlignment="1" applyProtection="1">
      <alignment horizontal="left" vertical="center" wrapText="1"/>
      <protection locked="0"/>
    </xf>
    <xf numFmtId="0" fontId="14" fillId="0" borderId="0" xfId="5" applyFont="1" applyFill="1" applyBorder="1" applyAlignment="1">
      <alignment horizontal="left" vertical="center" wrapText="1"/>
    </xf>
    <xf numFmtId="0" fontId="22" fillId="0" borderId="0" xfId="5" applyFont="1" applyFill="1" applyAlignment="1">
      <alignment horizontal="left" vertical="center" wrapText="1"/>
    </xf>
    <xf numFmtId="0" fontId="23" fillId="0" borderId="0" xfId="5" applyFont="1" applyFill="1" applyAlignment="1">
      <alignment horizontal="left" vertical="center" wrapText="1"/>
    </xf>
    <xf numFmtId="0" fontId="15" fillId="0" borderId="0" xfId="5" applyFont="1" applyFill="1" applyAlignment="1">
      <alignment horizontal="left" vertical="top" wrapText="1"/>
    </xf>
    <xf numFmtId="0" fontId="14" fillId="0" borderId="14" xfId="5" applyFont="1" applyFill="1" applyBorder="1" applyAlignment="1">
      <alignment horizontal="right" vertical="center" wrapText="1"/>
    </xf>
    <xf numFmtId="0" fontId="14" fillId="0" borderId="10" xfId="5" applyFont="1" applyFill="1" applyBorder="1" applyAlignment="1">
      <alignment horizontal="right" vertical="center" wrapText="1"/>
    </xf>
    <xf numFmtId="0" fontId="14" fillId="0" borderId="15" xfId="5" applyFont="1" applyFill="1" applyBorder="1" applyAlignment="1">
      <alignment horizontal="right" vertical="center" wrapText="1"/>
    </xf>
    <xf numFmtId="0" fontId="15" fillId="0" borderId="14" xfId="2" applyFont="1" applyFill="1" applyBorder="1" applyAlignment="1" applyProtection="1">
      <alignment horizontal="left" vertical="center" wrapText="1"/>
      <protection locked="0"/>
    </xf>
    <xf numFmtId="0" fontId="15" fillId="0" borderId="15" xfId="2" applyFont="1" applyFill="1" applyBorder="1" applyAlignment="1" applyProtection="1">
      <alignment horizontal="left" vertical="center" wrapText="1"/>
      <protection locked="0"/>
    </xf>
    <xf numFmtId="3" fontId="22" fillId="0" borderId="17" xfId="5" applyNumberFormat="1" applyFont="1" applyBorder="1" applyAlignment="1" applyProtection="1">
      <alignment horizontal="center" vertical="center" wrapText="1"/>
      <protection locked="0"/>
    </xf>
    <xf numFmtId="3" fontId="22" fillId="0" borderId="21" xfId="5" applyNumberFormat="1" applyFont="1" applyBorder="1" applyAlignment="1" applyProtection="1">
      <alignment horizontal="center" vertical="center" wrapText="1"/>
      <protection locked="0"/>
    </xf>
    <xf numFmtId="0" fontId="15" fillId="0" borderId="32" xfId="5" applyFont="1" applyBorder="1" applyAlignment="1" applyProtection="1">
      <alignment horizontal="center" vertical="center" wrapText="1"/>
      <protection locked="0"/>
    </xf>
    <xf numFmtId="0" fontId="15" fillId="0" borderId="6" xfId="5" applyFont="1" applyBorder="1" applyAlignment="1">
      <alignment horizontal="center" vertical="center" wrapText="1"/>
    </xf>
    <xf numFmtId="0" fontId="14" fillId="0" borderId="6" xfId="5" applyFont="1" applyBorder="1" applyAlignment="1">
      <alignment horizontal="right" wrapText="1"/>
    </xf>
    <xf numFmtId="0" fontId="15" fillId="0" borderId="6" xfId="5" applyFont="1" applyFill="1" applyBorder="1" applyAlignment="1" applyProtection="1">
      <alignment horizontal="left" vertical="center" wrapText="1"/>
      <protection locked="0"/>
    </xf>
    <xf numFmtId="0" fontId="15" fillId="0" borderId="6" xfId="5" applyFont="1" applyBorder="1" applyAlignment="1" applyProtection="1">
      <alignment horizontal="center" vertical="center" wrapText="1"/>
      <protection locked="0"/>
    </xf>
    <xf numFmtId="0" fontId="15" fillId="0" borderId="10" xfId="5" applyFont="1" applyFill="1" applyBorder="1" applyAlignment="1">
      <alignment horizontal="left" vertical="center" wrapText="1"/>
    </xf>
    <xf numFmtId="0" fontId="15" fillId="0" borderId="15" xfId="5" applyFont="1" applyFill="1" applyBorder="1" applyAlignment="1">
      <alignment horizontal="left" vertical="center" wrapText="1"/>
    </xf>
    <xf numFmtId="0" fontId="15" fillId="0" borderId="19" xfId="5" applyFont="1" applyBorder="1" applyAlignment="1">
      <alignment horizontal="center" vertical="center" wrapText="1"/>
    </xf>
    <xf numFmtId="0" fontId="15" fillId="0" borderId="36" xfId="5" applyFont="1" applyBorder="1" applyAlignment="1">
      <alignment horizontal="center" vertical="center" wrapText="1"/>
    </xf>
    <xf numFmtId="0" fontId="15" fillId="0" borderId="33" xfId="5" applyFont="1" applyBorder="1" applyAlignment="1">
      <alignment horizontal="left" vertical="center" wrapText="1"/>
    </xf>
    <xf numFmtId="0" fontId="15" fillId="0" borderId="37" xfId="5" applyFont="1" applyBorder="1" applyAlignment="1">
      <alignment horizontal="left" vertical="center" wrapText="1"/>
    </xf>
    <xf numFmtId="0" fontId="15" fillId="0" borderId="34" xfId="5" applyFont="1" applyBorder="1" applyAlignment="1">
      <alignment horizontal="center" vertical="center" wrapText="1"/>
    </xf>
    <xf numFmtId="0" fontId="15" fillId="0" borderId="35" xfId="5" applyFont="1" applyBorder="1" applyAlignment="1">
      <alignment horizontal="left" vertical="center" wrapText="1"/>
    </xf>
    <xf numFmtId="0" fontId="14" fillId="0" borderId="6" xfId="5" applyFont="1" applyFill="1" applyBorder="1" applyAlignment="1">
      <alignment horizontal="right" wrapText="1"/>
    </xf>
    <xf numFmtId="0" fontId="15" fillId="0" borderId="35" xfId="5" applyFont="1" applyFill="1" applyBorder="1" applyAlignment="1">
      <alignment horizontal="left" vertical="center" wrapText="1"/>
    </xf>
    <xf numFmtId="0" fontId="15" fillId="0" borderId="32" xfId="5" applyFont="1" applyBorder="1" applyAlignment="1" applyProtection="1">
      <alignment horizontal="left" vertical="center" wrapText="1"/>
      <protection locked="0"/>
    </xf>
    <xf numFmtId="0" fontId="15" fillId="0" borderId="6" xfId="5" applyFont="1" applyBorder="1" applyAlignment="1" applyProtection="1">
      <alignment horizontal="left" vertical="center" wrapText="1"/>
      <protection locked="0"/>
    </xf>
    <xf numFmtId="0" fontId="15" fillId="0" borderId="0" xfId="2" applyFont="1" applyBorder="1" applyAlignment="1" applyProtection="1">
      <alignment horizontal="center"/>
      <protection locked="0"/>
    </xf>
    <xf numFmtId="0" fontId="14" fillId="0" borderId="38" xfId="5" applyFont="1" applyBorder="1" applyAlignment="1">
      <alignment horizontal="right" vertical="center"/>
    </xf>
    <xf numFmtId="0" fontId="14" fillId="0" borderId="39" xfId="5" applyFont="1" applyBorder="1" applyAlignment="1">
      <alignment horizontal="right" vertical="center"/>
    </xf>
    <xf numFmtId="0" fontId="15" fillId="0" borderId="0" xfId="5" applyFont="1" applyAlignment="1">
      <alignment horizontal="left" wrapText="1"/>
    </xf>
    <xf numFmtId="0" fontId="15" fillId="0" borderId="0" xfId="5" applyFont="1" applyAlignment="1" applyProtection="1">
      <alignment wrapText="1"/>
      <protection locked="0"/>
    </xf>
    <xf numFmtId="0" fontId="15" fillId="0" borderId="17" xfId="5" applyFont="1" applyBorder="1" applyAlignment="1" applyProtection="1">
      <alignment horizontal="center" vertical="center"/>
      <protection locked="0"/>
    </xf>
    <xf numFmtId="0" fontId="15" fillId="0" borderId="21" xfId="5" applyFont="1" applyBorder="1" applyAlignment="1" applyProtection="1">
      <alignment horizontal="center" vertical="center"/>
      <protection locked="0"/>
    </xf>
    <xf numFmtId="3" fontId="15" fillId="0" borderId="32" xfId="5" applyNumberFormat="1" applyFont="1" applyBorder="1" applyAlignment="1" applyProtection="1">
      <alignment horizontal="center" vertical="center" wrapText="1"/>
      <protection locked="0"/>
    </xf>
    <xf numFmtId="0" fontId="15" fillId="0" borderId="32" xfId="5" applyFont="1" applyBorder="1" applyAlignment="1" applyProtection="1">
      <alignment horizontal="center" vertical="center"/>
      <protection locked="0"/>
    </xf>
    <xf numFmtId="0" fontId="15" fillId="0" borderId="34" xfId="5" applyFont="1" applyBorder="1" applyAlignment="1" applyProtection="1">
      <alignment horizontal="left" vertical="center" wrapText="1"/>
      <protection locked="0"/>
    </xf>
    <xf numFmtId="0" fontId="15" fillId="0" borderId="35" xfId="5" applyFont="1" applyBorder="1" applyAlignment="1" applyProtection="1">
      <alignment horizontal="left" vertical="center" wrapText="1"/>
      <protection locked="0"/>
    </xf>
    <xf numFmtId="3" fontId="6" fillId="0" borderId="17" xfId="2" applyNumberFormat="1" applyFont="1" applyFill="1" applyBorder="1" applyAlignment="1" applyProtection="1">
      <alignment horizontal="center" vertical="center" wrapText="1"/>
      <protection locked="0"/>
    </xf>
    <xf numFmtId="3" fontId="6" fillId="0" borderId="32" xfId="2" applyNumberFormat="1" applyFont="1" applyFill="1" applyBorder="1" applyAlignment="1" applyProtection="1">
      <alignment horizontal="center" vertical="center" wrapText="1"/>
      <protection locked="0"/>
    </xf>
    <xf numFmtId="3" fontId="6" fillId="0" borderId="21" xfId="2" applyNumberFormat="1" applyFont="1" applyFill="1" applyBorder="1" applyAlignment="1" applyProtection="1">
      <alignment horizontal="center" vertical="center" wrapText="1"/>
      <protection locked="0"/>
    </xf>
    <xf numFmtId="0" fontId="15" fillId="0" borderId="0" xfId="6" applyFont="1" applyAlignment="1">
      <alignment horizontal="left" vertical="center"/>
    </xf>
    <xf numFmtId="0" fontId="7" fillId="0" borderId="0" xfId="6" applyFont="1" applyAlignment="1">
      <alignment horizontal="center" vertical="center"/>
    </xf>
    <xf numFmtId="0" fontId="5" fillId="0" borderId="14" xfId="6" applyFont="1" applyBorder="1" applyAlignment="1">
      <alignment horizontal="center" vertical="center" wrapText="1"/>
    </xf>
    <xf numFmtId="0" fontId="15" fillId="0" borderId="15" xfId="6" applyFont="1" applyBorder="1" applyAlignment="1">
      <alignment horizontal="center" vertical="center" wrapText="1"/>
    </xf>
    <xf numFmtId="0" fontId="22" fillId="0" borderId="17" xfId="6" applyFont="1" applyBorder="1" applyAlignment="1">
      <alignment horizontal="center" vertical="center" wrapText="1"/>
    </xf>
    <xf numFmtId="0" fontId="22" fillId="0" borderId="21" xfId="6" applyFont="1" applyBorder="1" applyAlignment="1">
      <alignment horizontal="center" vertical="center" wrapText="1"/>
    </xf>
    <xf numFmtId="0" fontId="15" fillId="0" borderId="17" xfId="6" applyFont="1" applyBorder="1" applyAlignment="1">
      <alignment horizontal="center" vertical="center" wrapText="1"/>
    </xf>
    <xf numFmtId="0" fontId="15" fillId="0" borderId="21" xfId="6" applyFont="1" applyBorder="1" applyAlignment="1">
      <alignment horizontal="center" vertical="center" wrapText="1"/>
    </xf>
    <xf numFmtId="0" fontId="15" fillId="0" borderId="17" xfId="6" applyFont="1" applyBorder="1" applyAlignment="1" applyProtection="1">
      <alignment horizontal="center" vertical="center" wrapText="1"/>
      <protection locked="0"/>
    </xf>
    <xf numFmtId="0" fontId="15" fillId="0" borderId="21" xfId="6" applyFont="1" applyBorder="1" applyAlignment="1" applyProtection="1">
      <alignment horizontal="center" vertical="center" wrapText="1"/>
      <protection locked="0"/>
    </xf>
    <xf numFmtId="3" fontId="22" fillId="0" borderId="17" xfId="6" applyNumberFormat="1" applyFont="1" applyBorder="1" applyAlignment="1" applyProtection="1">
      <alignment horizontal="center" vertical="center" wrapText="1"/>
      <protection locked="0"/>
    </xf>
    <xf numFmtId="3" fontId="22" fillId="0" borderId="21" xfId="6" applyNumberFormat="1" applyFont="1" applyBorder="1" applyAlignment="1" applyProtection="1">
      <alignment horizontal="center" vertical="center" wrapText="1"/>
      <protection locked="0"/>
    </xf>
    <xf numFmtId="0" fontId="15" fillId="3" borderId="17" xfId="6" applyFont="1" applyFill="1" applyBorder="1" applyAlignment="1" applyProtection="1">
      <alignment horizontal="left" vertical="center" wrapText="1"/>
      <protection locked="0"/>
    </xf>
    <xf numFmtId="0" fontId="15" fillId="3" borderId="21" xfId="6" applyFont="1" applyFill="1" applyBorder="1" applyAlignment="1" applyProtection="1">
      <alignment horizontal="left" vertical="center" wrapText="1"/>
      <protection locked="0"/>
    </xf>
    <xf numFmtId="0" fontId="15" fillId="0" borderId="19" xfId="6" applyFont="1" applyFill="1" applyBorder="1" applyAlignment="1">
      <alignment horizontal="center" vertical="center" wrapText="1"/>
    </xf>
    <xf numFmtId="0" fontId="15" fillId="0" borderId="33" xfId="6" applyFont="1" applyFill="1" applyBorder="1" applyAlignment="1">
      <alignment horizontal="center" vertical="center" wrapText="1"/>
    </xf>
    <xf numFmtId="0" fontId="15" fillId="3" borderId="19" xfId="6" applyFont="1" applyFill="1" applyBorder="1" applyAlignment="1">
      <alignment horizontal="center" vertical="center" wrapText="1"/>
    </xf>
    <xf numFmtId="0" fontId="15" fillId="3" borderId="33" xfId="6" applyFont="1" applyFill="1" applyBorder="1" applyAlignment="1">
      <alignment horizontal="center" vertical="center" wrapText="1"/>
    </xf>
    <xf numFmtId="0" fontId="15" fillId="0" borderId="19" xfId="6" applyFont="1" applyBorder="1" applyAlignment="1">
      <alignment horizontal="center" vertical="center" wrapText="1"/>
    </xf>
    <xf numFmtId="0" fontId="15" fillId="0" borderId="33" xfId="6" applyFont="1" applyBorder="1" applyAlignment="1">
      <alignment horizontal="center" vertical="center" wrapText="1"/>
    </xf>
    <xf numFmtId="0" fontId="15" fillId="0" borderId="36" xfId="6" applyFont="1" applyBorder="1" applyAlignment="1">
      <alignment horizontal="center" vertical="center" wrapText="1"/>
    </xf>
    <xf numFmtId="0" fontId="15" fillId="0" borderId="37" xfId="6" applyFont="1" applyBorder="1" applyAlignment="1">
      <alignment horizontal="center" vertical="center" wrapText="1"/>
    </xf>
    <xf numFmtId="0" fontId="14" fillId="0" borderId="14" xfId="6" applyFont="1" applyBorder="1" applyAlignment="1">
      <alignment horizontal="right" vertical="center" wrapText="1"/>
    </xf>
    <xf numFmtId="0" fontId="14" fillId="0" borderId="10" xfId="6" applyFont="1" applyBorder="1" applyAlignment="1">
      <alignment horizontal="right" vertical="center" wrapText="1"/>
    </xf>
    <xf numFmtId="0" fontId="14" fillId="0" borderId="15" xfId="6" applyFont="1" applyBorder="1" applyAlignment="1">
      <alignment horizontal="right" vertical="center" wrapText="1"/>
    </xf>
    <xf numFmtId="0" fontId="15" fillId="0" borderId="14" xfId="6" applyFont="1" applyBorder="1" applyAlignment="1" applyProtection="1">
      <alignment horizontal="left" vertical="center" wrapText="1"/>
      <protection locked="0"/>
    </xf>
    <xf numFmtId="0" fontId="15" fillId="0" borderId="15" xfId="6" applyFont="1" applyBorder="1" applyAlignment="1" applyProtection="1">
      <alignment horizontal="left" vertical="center" wrapText="1"/>
      <protection locked="0"/>
    </xf>
    <xf numFmtId="0" fontId="15" fillId="0" borderId="19" xfId="6" applyFont="1" applyBorder="1" applyAlignment="1" applyProtection="1">
      <alignment horizontal="left" vertical="center" wrapText="1"/>
      <protection locked="0"/>
    </xf>
    <xf numFmtId="0" fontId="15" fillId="0" borderId="33" xfId="6" applyFont="1" applyBorder="1" applyAlignment="1" applyProtection="1">
      <alignment horizontal="left" vertical="center" wrapText="1"/>
      <protection locked="0"/>
    </xf>
    <xf numFmtId="0" fontId="15" fillId="0" borderId="36" xfId="6" applyFont="1" applyBorder="1" applyAlignment="1" applyProtection="1">
      <alignment horizontal="left" vertical="center" wrapText="1"/>
      <protection locked="0"/>
    </xf>
    <xf numFmtId="0" fontId="15" fillId="0" borderId="37" xfId="6" applyFont="1" applyBorder="1" applyAlignment="1" applyProtection="1">
      <alignment horizontal="left" vertical="center" wrapText="1"/>
      <protection locked="0"/>
    </xf>
    <xf numFmtId="0" fontId="14" fillId="0" borderId="40" xfId="6" applyFont="1" applyBorder="1" applyAlignment="1">
      <alignment horizontal="right" vertical="center"/>
    </xf>
    <xf numFmtId="0" fontId="14" fillId="0" borderId="46" xfId="6" applyFont="1" applyBorder="1" applyAlignment="1">
      <alignment horizontal="right" vertical="center"/>
    </xf>
    <xf numFmtId="0" fontId="15" fillId="0" borderId="6" xfId="6" applyFont="1" applyBorder="1" applyAlignment="1" applyProtection="1">
      <alignment horizontal="center" vertical="center" wrapText="1"/>
      <protection locked="0"/>
    </xf>
    <xf numFmtId="3" fontId="22" fillId="3" borderId="6" xfId="6" applyNumberFormat="1" applyFont="1" applyFill="1" applyBorder="1" applyAlignment="1" applyProtection="1">
      <alignment horizontal="center" vertical="center" wrapText="1"/>
      <protection locked="0"/>
    </xf>
    <xf numFmtId="0" fontId="43" fillId="3" borderId="6" xfId="8" applyFill="1" applyBorder="1" applyAlignment="1">
      <alignment horizontal="left" vertical="center"/>
    </xf>
    <xf numFmtId="3" fontId="15" fillId="3" borderId="6" xfId="6" applyNumberFormat="1" applyFont="1" applyFill="1" applyBorder="1" applyAlignment="1" applyProtection="1">
      <alignment horizontal="right" vertical="center" wrapText="1"/>
      <protection locked="0"/>
    </xf>
    <xf numFmtId="0" fontId="1" fillId="3" borderId="6" xfId="6" applyFill="1" applyBorder="1" applyAlignment="1">
      <alignment horizontal="right" vertical="center" wrapText="1"/>
    </xf>
    <xf numFmtId="0" fontId="15" fillId="0" borderId="32" xfId="6" applyFont="1" applyBorder="1" applyAlignment="1" applyProtection="1">
      <alignment horizontal="center" vertical="center"/>
      <protection locked="0"/>
    </xf>
    <xf numFmtId="0" fontId="1" fillId="0" borderId="21" xfId="6" applyBorder="1" applyAlignment="1">
      <alignment horizontal="center" vertical="center"/>
    </xf>
    <xf numFmtId="0" fontId="1" fillId="0" borderId="21" xfId="6" applyFont="1" applyBorder="1" applyAlignment="1">
      <alignment horizontal="center" vertical="center" wrapText="1"/>
    </xf>
    <xf numFmtId="0" fontId="15" fillId="0" borderId="34" xfId="6" applyFont="1" applyBorder="1" applyAlignment="1" applyProtection="1">
      <alignment horizontal="left" vertical="center" wrapText="1"/>
      <protection locked="0"/>
    </xf>
    <xf numFmtId="0" fontId="15" fillId="0" borderId="35" xfId="6" applyFont="1" applyBorder="1" applyAlignment="1" applyProtection="1">
      <alignment horizontal="left" vertical="center" wrapText="1"/>
      <protection locked="0"/>
    </xf>
    <xf numFmtId="0" fontId="15" fillId="3" borderId="14" xfId="6" applyFont="1" applyFill="1" applyBorder="1" applyAlignment="1" applyProtection="1">
      <alignment horizontal="left" vertical="center" wrapText="1"/>
      <protection locked="0"/>
    </xf>
    <xf numFmtId="0" fontId="15" fillId="3" borderId="15" xfId="6" applyFont="1" applyFill="1" applyBorder="1" applyAlignment="1" applyProtection="1">
      <alignment horizontal="left" vertical="center" wrapText="1"/>
      <protection locked="0"/>
    </xf>
    <xf numFmtId="3" fontId="15" fillId="0" borderId="17" xfId="2" applyNumberFormat="1" applyFont="1" applyBorder="1" applyAlignment="1" applyProtection="1">
      <alignment horizontal="center" vertical="center" wrapText="1"/>
      <protection locked="0"/>
    </xf>
    <xf numFmtId="3" fontId="15" fillId="0" borderId="21" xfId="2" applyNumberFormat="1" applyFont="1" applyBorder="1" applyAlignment="1" applyProtection="1">
      <alignment horizontal="center" vertical="center" wrapText="1"/>
      <protection locked="0"/>
    </xf>
    <xf numFmtId="0" fontId="15" fillId="0" borderId="17" xfId="2" applyFont="1" applyBorder="1" applyAlignment="1" applyProtection="1">
      <alignment horizontal="left" vertical="center" wrapText="1"/>
      <protection locked="0"/>
    </xf>
    <xf numFmtId="0" fontId="15" fillId="0" borderId="21" xfId="2" applyFont="1" applyBorder="1" applyAlignment="1" applyProtection="1">
      <alignment horizontal="left" vertical="center" wrapText="1"/>
      <protection locked="0"/>
    </xf>
    <xf numFmtId="0" fontId="15" fillId="0" borderId="14" xfId="2" applyFont="1" applyBorder="1" applyAlignment="1" applyProtection="1">
      <alignment horizontal="left" vertical="center" wrapText="1"/>
      <protection locked="0"/>
    </xf>
    <xf numFmtId="0" fontId="15" fillId="0" borderId="15" xfId="2" applyFont="1" applyBorder="1" applyAlignment="1" applyProtection="1">
      <alignment horizontal="left" vertical="center" wrapText="1"/>
      <protection locked="0"/>
    </xf>
    <xf numFmtId="0" fontId="7" fillId="0" borderId="0" xfId="5" applyFont="1" applyBorder="1" applyAlignment="1">
      <alignment horizontal="center"/>
    </xf>
    <xf numFmtId="0" fontId="15" fillId="0" borderId="0" xfId="5" applyFont="1" applyBorder="1" applyAlignment="1">
      <alignment horizontal="left"/>
    </xf>
    <xf numFmtId="0" fontId="15" fillId="0" borderId="17" xfId="5" applyFont="1" applyFill="1" applyBorder="1" applyAlignment="1">
      <alignment horizontal="center" vertical="center" wrapText="1"/>
    </xf>
    <xf numFmtId="0" fontId="15" fillId="0" borderId="21" xfId="5" applyFont="1" applyFill="1" applyBorder="1" applyAlignment="1">
      <alignment horizontal="center" vertical="center" wrapText="1"/>
    </xf>
    <xf numFmtId="0" fontId="15" fillId="0" borderId="32" xfId="5" applyFont="1" applyFill="1" applyBorder="1" applyAlignment="1">
      <alignment horizontal="center" vertical="center" wrapText="1"/>
    </xf>
    <xf numFmtId="0" fontId="15" fillId="0" borderId="34" xfId="5" applyFont="1" applyFill="1" applyBorder="1" applyAlignment="1">
      <alignment horizontal="left" vertical="center" wrapText="1"/>
    </xf>
    <xf numFmtId="0" fontId="5" fillId="0" borderId="17"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0" borderId="21" xfId="2" applyFont="1" applyFill="1" applyBorder="1" applyAlignment="1">
      <alignment horizontal="center" vertical="center" wrapText="1"/>
    </xf>
    <xf numFmtId="3" fontId="15" fillId="0" borderId="14" xfId="9" applyNumberFormat="1" applyFont="1" applyFill="1" applyBorder="1" applyAlignment="1">
      <alignment horizontal="left" vertical="center" wrapText="1"/>
    </xf>
    <xf numFmtId="3" fontId="15" fillId="0" borderId="15" xfId="9" applyNumberFormat="1" applyFont="1" applyFill="1" applyBorder="1" applyAlignment="1">
      <alignment horizontal="left" vertical="center" wrapText="1"/>
    </xf>
    <xf numFmtId="0" fontId="15" fillId="0" borderId="14" xfId="2" applyFont="1" applyFill="1" applyBorder="1" applyAlignment="1" applyProtection="1">
      <alignment horizontal="left" vertical="center" wrapText="1"/>
    </xf>
    <xf numFmtId="0" fontId="15" fillId="0" borderId="15" xfId="2" applyFont="1" applyFill="1" applyBorder="1" applyAlignment="1" applyProtection="1">
      <alignment horizontal="left" vertical="center" wrapText="1"/>
    </xf>
    <xf numFmtId="0" fontId="14" fillId="0" borderId="38" xfId="5" applyFont="1" applyFill="1" applyBorder="1" applyAlignment="1">
      <alignment horizontal="right"/>
    </xf>
    <xf numFmtId="0" fontId="14" fillId="0" borderId="39" xfId="5" applyFont="1" applyFill="1" applyBorder="1" applyAlignment="1">
      <alignment horizontal="right"/>
    </xf>
    <xf numFmtId="0" fontId="15" fillId="0" borderId="19" xfId="2" applyFont="1" applyFill="1" applyBorder="1" applyAlignment="1" applyProtection="1">
      <alignment horizontal="left" vertical="center" wrapText="1"/>
    </xf>
    <xf numFmtId="0" fontId="15" fillId="0" borderId="33" xfId="2" applyFont="1" applyFill="1" applyBorder="1" applyAlignment="1" applyProtection="1">
      <alignment horizontal="left" vertical="center" wrapText="1"/>
    </xf>
    <xf numFmtId="0" fontId="15" fillId="0" borderId="36" xfId="2" applyFont="1" applyFill="1" applyBorder="1" applyAlignment="1" applyProtection="1">
      <alignment horizontal="left" vertical="center" wrapText="1"/>
    </xf>
    <xf numFmtId="0" fontId="15" fillId="0" borderId="37" xfId="2" applyFont="1" applyFill="1" applyBorder="1" applyAlignment="1" applyProtection="1">
      <alignment horizontal="left" vertical="center" wrapText="1"/>
    </xf>
    <xf numFmtId="0" fontId="15" fillId="0" borderId="36" xfId="2" applyFont="1" applyFill="1" applyBorder="1" applyAlignment="1">
      <alignment horizontal="left" vertical="center" wrapText="1"/>
    </xf>
    <xf numFmtId="0" fontId="15" fillId="0" borderId="41" xfId="2" applyFont="1" applyFill="1" applyBorder="1" applyAlignment="1">
      <alignment horizontal="left" vertical="center" wrapText="1"/>
    </xf>
    <xf numFmtId="0" fontId="15" fillId="0" borderId="6" xfId="5" applyFont="1" applyBorder="1" applyAlignment="1" applyProtection="1">
      <alignment horizontal="center" vertical="center"/>
      <protection locked="0"/>
    </xf>
    <xf numFmtId="0" fontId="14" fillId="0" borderId="14" xfId="5" applyFont="1" applyBorder="1" applyAlignment="1">
      <alignment horizontal="left" wrapText="1"/>
    </xf>
    <xf numFmtId="0" fontId="14" fillId="0" borderId="15" xfId="5" applyFont="1" applyBorder="1" applyAlignment="1">
      <alignment horizontal="left" wrapText="1"/>
    </xf>
    <xf numFmtId="3" fontId="15" fillId="0" borderId="6" xfId="5" applyNumberFormat="1" applyFont="1" applyBorder="1" applyAlignment="1" applyProtection="1">
      <alignment horizontal="center" vertical="center" wrapText="1"/>
      <protection locked="0"/>
    </xf>
    <xf numFmtId="0" fontId="15" fillId="0" borderId="19" xfId="5" applyFont="1" applyBorder="1" applyAlignment="1" applyProtection="1">
      <alignment horizontal="left" vertical="center"/>
      <protection locked="0"/>
    </xf>
    <xf numFmtId="0" fontId="15" fillId="0" borderId="33" xfId="5" applyFont="1" applyBorder="1" applyAlignment="1" applyProtection="1">
      <alignment horizontal="left" vertical="center"/>
      <protection locked="0"/>
    </xf>
    <xf numFmtId="0" fontId="15" fillId="0" borderId="34" xfId="5" applyFont="1" applyBorder="1" applyAlignment="1" applyProtection="1">
      <alignment horizontal="left" vertical="center"/>
      <protection locked="0"/>
    </xf>
    <xf numFmtId="0" fontId="15" fillId="0" borderId="35" xfId="5" applyFont="1" applyBorder="1" applyAlignment="1" applyProtection="1">
      <alignment horizontal="left" vertical="center"/>
      <protection locked="0"/>
    </xf>
    <xf numFmtId="0" fontId="15" fillId="0" borderId="36" xfId="5" applyFont="1" applyBorder="1" applyAlignment="1" applyProtection="1">
      <alignment horizontal="left" vertical="center"/>
      <protection locked="0"/>
    </xf>
    <xf numFmtId="0" fontId="15" fillId="0" borderId="37" xfId="5" applyFont="1" applyBorder="1" applyAlignment="1" applyProtection="1">
      <alignment horizontal="left" vertical="center"/>
      <protection locked="0"/>
    </xf>
    <xf numFmtId="0" fontId="14" fillId="0" borderId="14" xfId="5" applyFont="1" applyBorder="1" applyAlignment="1" applyProtection="1">
      <alignment horizontal="left" vertical="center" wrapText="1"/>
      <protection locked="0"/>
    </xf>
    <xf numFmtId="0" fontId="14" fillId="0" borderId="15" xfId="5" applyFont="1" applyBorder="1" applyAlignment="1" applyProtection="1">
      <alignment horizontal="left" vertical="center" wrapText="1"/>
      <protection locked="0"/>
    </xf>
    <xf numFmtId="0" fontId="14" fillId="0" borderId="6" xfId="5" applyFont="1" applyBorder="1" applyAlignment="1" applyProtection="1">
      <alignment horizontal="right" vertical="center" wrapText="1"/>
      <protection locked="0"/>
    </xf>
    <xf numFmtId="167" fontId="15" fillId="0" borderId="0" xfId="10" applyNumberFormat="1" applyFont="1" applyFill="1" applyBorder="1" applyAlignment="1">
      <alignment horizontal="left" vertical="center" wrapText="1"/>
    </xf>
    <xf numFmtId="167" fontId="15" fillId="0" borderId="0" xfId="10" applyNumberFormat="1" applyFont="1" applyFill="1" applyBorder="1" applyAlignment="1">
      <alignment horizontal="center" vertical="center" wrapText="1"/>
    </xf>
    <xf numFmtId="0" fontId="14" fillId="2" borderId="6" xfId="5" applyFont="1" applyFill="1" applyBorder="1" applyAlignment="1">
      <alignment horizontal="right"/>
    </xf>
    <xf numFmtId="0" fontId="14" fillId="0" borderId="14" xfId="5" applyFont="1" applyBorder="1" applyAlignment="1">
      <alignment horizontal="right" vertical="center" wrapText="1"/>
    </xf>
    <xf numFmtId="0" fontId="14" fillId="0" borderId="10" xfId="5" applyFont="1" applyBorder="1" applyAlignment="1">
      <alignment horizontal="right" vertical="center" wrapText="1"/>
    </xf>
    <xf numFmtId="0" fontId="14" fillId="0" borderId="15" xfId="5" applyFont="1" applyBorder="1" applyAlignment="1">
      <alignment horizontal="right" vertical="center" wrapText="1"/>
    </xf>
    <xf numFmtId="0" fontId="15" fillId="0" borderId="0" xfId="5" applyFont="1" applyAlignment="1" applyProtection="1">
      <alignment horizontal="left" wrapText="1"/>
      <protection locked="0"/>
    </xf>
    <xf numFmtId="0" fontId="15" fillId="0" borderId="0" xfId="5" applyFont="1" applyBorder="1" applyAlignment="1" applyProtection="1">
      <alignment horizontal="center"/>
      <protection locked="0"/>
    </xf>
    <xf numFmtId="0" fontId="15" fillId="0" borderId="17" xfId="5" applyFont="1" applyBorder="1" applyAlignment="1">
      <alignment horizontal="center" vertical="center" wrapText="1"/>
    </xf>
    <xf numFmtId="0" fontId="15" fillId="0" borderId="21" xfId="5" applyFont="1" applyBorder="1" applyAlignment="1">
      <alignment horizontal="center" vertical="center" wrapText="1"/>
    </xf>
    <xf numFmtId="0" fontId="15" fillId="0" borderId="0" xfId="5" applyFont="1" applyAlignment="1">
      <alignment horizontal="left" vertical="center"/>
    </xf>
    <xf numFmtId="0" fontId="7" fillId="0" borderId="0" xfId="5" applyFont="1" applyAlignment="1">
      <alignment horizontal="center" vertical="center"/>
    </xf>
    <xf numFmtId="3" fontId="15" fillId="0" borderId="17" xfId="5" applyNumberFormat="1" applyFont="1" applyBorder="1" applyAlignment="1" applyProtection="1">
      <alignment horizontal="left" vertical="center" wrapText="1"/>
      <protection locked="0"/>
    </xf>
    <xf numFmtId="3" fontId="15" fillId="0" borderId="32" xfId="5" applyNumberFormat="1" applyFont="1" applyBorder="1" applyAlignment="1" applyProtection="1">
      <alignment horizontal="left" vertical="center" wrapText="1"/>
      <protection locked="0"/>
    </xf>
    <xf numFmtId="3" fontId="15" fillId="0" borderId="21" xfId="5" applyNumberFormat="1" applyFont="1" applyBorder="1" applyAlignment="1" applyProtection="1">
      <alignment horizontal="left" vertical="center" wrapText="1"/>
      <protection locked="0"/>
    </xf>
    <xf numFmtId="0" fontId="15" fillId="0" borderId="33" xfId="5" applyFont="1" applyBorder="1" applyAlignment="1">
      <alignment horizontal="center" vertical="center" wrapText="1"/>
    </xf>
    <xf numFmtId="0" fontId="15" fillId="0" borderId="37" xfId="5" applyFont="1" applyBorder="1" applyAlignment="1">
      <alignment horizontal="center" vertical="center" wrapText="1"/>
    </xf>
    <xf numFmtId="0" fontId="14" fillId="0" borderId="10" xfId="5" applyFont="1" applyBorder="1" applyAlignment="1">
      <alignment horizontal="left" wrapText="1"/>
    </xf>
    <xf numFmtId="0" fontId="15" fillId="0" borderId="10" xfId="5" applyFont="1" applyFill="1" applyBorder="1" applyAlignment="1" applyProtection="1">
      <alignment horizontal="left" vertical="center" wrapText="1"/>
      <protection locked="0"/>
    </xf>
    <xf numFmtId="0" fontId="14" fillId="0" borderId="38" xfId="5" applyFont="1" applyFill="1" applyBorder="1" applyAlignment="1">
      <alignment horizontal="right" vertical="center"/>
    </xf>
    <xf numFmtId="0" fontId="14" fillId="0" borderId="39" xfId="5" applyFont="1" applyFill="1" applyBorder="1" applyAlignment="1">
      <alignment horizontal="right" vertical="center"/>
    </xf>
    <xf numFmtId="0" fontId="15" fillId="0" borderId="0" xfId="2" applyFont="1" applyFill="1" applyAlignment="1">
      <alignment horizontal="left" vertical="center"/>
    </xf>
    <xf numFmtId="0" fontId="15" fillId="0" borderId="0" xfId="2" applyFont="1" applyFill="1" applyAlignment="1">
      <alignment vertical="center"/>
    </xf>
    <xf numFmtId="0" fontId="15" fillId="0" borderId="0" xfId="5" applyFont="1" applyBorder="1" applyAlignment="1" applyProtection="1">
      <alignment horizontal="left" vertical="center" wrapText="1"/>
      <protection locked="0"/>
    </xf>
    <xf numFmtId="0" fontId="14" fillId="0" borderId="0" xfId="5" applyFont="1" applyBorder="1" applyAlignment="1">
      <alignment horizontal="left" wrapText="1"/>
    </xf>
    <xf numFmtId="0" fontId="15" fillId="0" borderId="0" xfId="5" applyFont="1" applyBorder="1" applyAlignment="1">
      <alignment horizontal="left" wrapText="1"/>
    </xf>
    <xf numFmtId="0" fontId="14" fillId="0" borderId="0" xfId="5" applyFont="1" applyFill="1" applyAlignment="1">
      <alignment horizontal="left" vertical="center" wrapText="1"/>
    </xf>
    <xf numFmtId="0" fontId="15" fillId="0" borderId="0" xfId="5" applyFont="1" applyBorder="1" applyAlignment="1">
      <alignment horizontal="left" vertical="center" wrapText="1"/>
    </xf>
    <xf numFmtId="0" fontId="15" fillId="0" borderId="0" xfId="5" applyFont="1" applyBorder="1" applyAlignment="1" applyProtection="1">
      <alignment horizontal="left" wrapText="1"/>
      <protection locked="0"/>
    </xf>
    <xf numFmtId="0" fontId="14" fillId="0" borderId="0" xfId="5" applyFont="1" applyBorder="1" applyAlignment="1" applyProtection="1">
      <alignment horizontal="left" wrapText="1"/>
      <protection locked="0"/>
    </xf>
    <xf numFmtId="0" fontId="14" fillId="0" borderId="14" xfId="5" applyFont="1" applyBorder="1" applyAlignment="1" applyProtection="1">
      <alignment horizontal="left" vertical="center"/>
      <protection locked="0"/>
    </xf>
    <xf numFmtId="0" fontId="14" fillId="0" borderId="15" xfId="5" applyFont="1" applyBorder="1" applyAlignment="1" applyProtection="1">
      <alignment horizontal="left" vertical="center"/>
      <protection locked="0"/>
    </xf>
    <xf numFmtId="0" fontId="15" fillId="0" borderId="0" xfId="5" applyFont="1" applyBorder="1" applyAlignment="1" applyProtection="1">
      <alignment horizontal="left"/>
      <protection locked="0"/>
    </xf>
    <xf numFmtId="3" fontId="15" fillId="0" borderId="6" xfId="5" applyNumberFormat="1" applyFont="1" applyBorder="1" applyAlignment="1" applyProtection="1">
      <alignment horizontal="left" vertical="center" wrapText="1"/>
      <protection locked="0"/>
    </xf>
    <xf numFmtId="0" fontId="15" fillId="0" borderId="0" xfId="2" applyFont="1" applyAlignment="1">
      <alignment horizontal="left" wrapText="1"/>
    </xf>
    <xf numFmtId="0" fontId="51" fillId="0" borderId="0" xfId="2" applyFont="1" applyBorder="1" applyAlignment="1">
      <alignment horizontal="center" wrapText="1"/>
    </xf>
    <xf numFmtId="0" fontId="7" fillId="0" borderId="40" xfId="2" applyFont="1" applyFill="1" applyBorder="1" applyAlignment="1">
      <alignment horizontal="left" vertical="center"/>
    </xf>
    <xf numFmtId="0" fontId="7" fillId="0" borderId="40" xfId="2" applyFont="1" applyFill="1" applyBorder="1" applyAlignment="1">
      <alignment horizontal="left" vertical="center" wrapText="1"/>
    </xf>
    <xf numFmtId="0" fontId="14" fillId="0" borderId="43" xfId="5" applyFont="1" applyBorder="1" applyAlignment="1">
      <alignment horizontal="right" vertical="center"/>
    </xf>
    <xf numFmtId="0" fontId="20" fillId="0" borderId="0" xfId="5" applyFont="1" applyAlignment="1">
      <alignment horizontal="left" vertical="center"/>
    </xf>
    <xf numFmtId="49" fontId="14" fillId="0" borderId="0" xfId="5" applyNumberFormat="1" applyFont="1" applyAlignment="1">
      <alignment horizontal="left" vertical="center"/>
    </xf>
    <xf numFmtId="168" fontId="15" fillId="0" borderId="17" xfId="5" applyNumberFormat="1" applyFont="1" applyBorder="1" applyAlignment="1" applyProtection="1">
      <alignment horizontal="center" vertical="center" wrapText="1"/>
      <protection locked="0"/>
    </xf>
    <xf numFmtId="168" fontId="15" fillId="0" borderId="21" xfId="5" applyNumberFormat="1" applyFont="1" applyBorder="1" applyAlignment="1" applyProtection="1">
      <alignment horizontal="center" vertical="center" wrapText="1"/>
      <protection locked="0"/>
    </xf>
    <xf numFmtId="0" fontId="15" fillId="0" borderId="0" xfId="5" applyFont="1" applyAlignment="1">
      <alignment horizontal="left" wrapText="1" indent="3"/>
    </xf>
    <xf numFmtId="0" fontId="15" fillId="0" borderId="0" xfId="5" applyFont="1" applyAlignment="1">
      <alignment horizontal="left" indent="3"/>
    </xf>
    <xf numFmtId="3" fontId="15" fillId="3" borderId="17" xfId="2" applyNumberFormat="1" applyFont="1" applyFill="1" applyBorder="1" applyAlignment="1" applyProtection="1">
      <alignment horizontal="center" vertical="center" wrapText="1"/>
      <protection locked="0"/>
    </xf>
    <xf numFmtId="3" fontId="15" fillId="3" borderId="32" xfId="2" applyNumberFormat="1" applyFont="1" applyFill="1" applyBorder="1" applyAlignment="1" applyProtection="1">
      <alignment horizontal="center" vertical="center" wrapText="1"/>
      <protection locked="0"/>
    </xf>
    <xf numFmtId="3" fontId="15" fillId="3" borderId="21" xfId="2" applyNumberFormat="1" applyFont="1" applyFill="1" applyBorder="1" applyAlignment="1" applyProtection="1">
      <alignment horizontal="center" vertical="center" wrapText="1"/>
      <protection locked="0"/>
    </xf>
    <xf numFmtId="0" fontId="15" fillId="0" borderId="6" xfId="2" applyFont="1" applyFill="1" applyBorder="1" applyAlignment="1" applyProtection="1">
      <alignment horizontal="center" vertical="center" wrapText="1"/>
      <protection locked="0"/>
    </xf>
    <xf numFmtId="3" fontId="15" fillId="0" borderId="6" xfId="2" applyNumberFormat="1" applyFont="1" applyBorder="1" applyAlignment="1" applyProtection="1">
      <alignment horizontal="center" vertical="center" wrapText="1"/>
      <protection locked="0"/>
    </xf>
    <xf numFmtId="0" fontId="15" fillId="0" borderId="6" xfId="2" applyFont="1" applyBorder="1" applyAlignment="1">
      <alignment horizontal="left" vertical="top" wrapText="1"/>
    </xf>
    <xf numFmtId="0" fontId="15" fillId="0" borderId="19" xfId="2" applyFont="1" applyFill="1" applyBorder="1" applyAlignment="1" applyProtection="1">
      <alignment horizontal="left" vertical="center" wrapText="1"/>
      <protection locked="0"/>
    </xf>
    <xf numFmtId="0" fontId="15" fillId="0" borderId="33" xfId="2" applyFont="1" applyFill="1" applyBorder="1" applyAlignment="1" applyProtection="1">
      <alignment horizontal="left" vertical="center" wrapText="1"/>
      <protection locked="0"/>
    </xf>
    <xf numFmtId="0" fontId="15" fillId="0" borderId="34" xfId="2" applyFont="1" applyFill="1" applyBorder="1" applyAlignment="1" applyProtection="1">
      <alignment horizontal="left" vertical="center" wrapText="1"/>
      <protection locked="0"/>
    </xf>
    <xf numFmtId="0" fontId="15" fillId="0" borderId="35" xfId="2" applyFont="1" applyFill="1" applyBorder="1" applyAlignment="1" applyProtection="1">
      <alignment horizontal="left" vertical="center" wrapText="1"/>
      <protection locked="0"/>
    </xf>
    <xf numFmtId="0" fontId="15" fillId="0" borderId="36" xfId="2" applyFont="1" applyFill="1" applyBorder="1" applyAlignment="1" applyProtection="1">
      <alignment horizontal="left" vertical="center" wrapText="1"/>
      <protection locked="0"/>
    </xf>
    <xf numFmtId="0" fontId="15" fillId="0" borderId="37" xfId="2" applyFont="1" applyFill="1" applyBorder="1" applyAlignment="1" applyProtection="1">
      <alignment horizontal="left" vertical="center" wrapText="1"/>
      <protection locked="0"/>
    </xf>
    <xf numFmtId="0" fontId="15" fillId="0" borderId="6" xfId="2" applyFont="1" applyBorder="1" applyAlignment="1" applyProtection="1">
      <alignment horizontal="center" vertical="center" wrapText="1"/>
      <protection locked="0"/>
    </xf>
    <xf numFmtId="0" fontId="15" fillId="0" borderId="6" xfId="2" applyFont="1" applyBorder="1" applyAlignment="1">
      <alignment horizontal="left" vertical="top"/>
    </xf>
    <xf numFmtId="3" fontId="15" fillId="0" borderId="32" xfId="2" applyNumberFormat="1" applyFont="1" applyBorder="1" applyAlignment="1" applyProtection="1">
      <alignment horizontal="center" vertical="center" wrapText="1"/>
      <protection locked="0"/>
    </xf>
    <xf numFmtId="0" fontId="15" fillId="0" borderId="6" xfId="2" applyFont="1" applyBorder="1" applyAlignment="1" applyProtection="1">
      <alignment horizontal="center" vertical="center"/>
      <protection locked="0"/>
    </xf>
    <xf numFmtId="0" fontId="15" fillId="0" borderId="6" xfId="2" applyFont="1" applyBorder="1" applyAlignment="1">
      <alignment horizontal="left" vertical="center" wrapText="1"/>
    </xf>
    <xf numFmtId="0" fontId="14" fillId="0" borderId="44" xfId="5" applyFont="1" applyBorder="1" applyAlignment="1">
      <alignment horizontal="right" vertical="center"/>
    </xf>
    <xf numFmtId="0" fontId="14" fillId="0" borderId="45" xfId="5" applyFont="1" applyBorder="1" applyAlignment="1">
      <alignment horizontal="right" vertical="center"/>
    </xf>
    <xf numFmtId="0" fontId="14" fillId="0" borderId="0" xfId="2" applyFont="1" applyFill="1" applyAlignment="1">
      <alignment horizontal="left" vertical="center"/>
    </xf>
    <xf numFmtId="0" fontId="15" fillId="0" borderId="32" xfId="2" applyFont="1" applyBorder="1" applyAlignment="1" applyProtection="1">
      <alignment horizontal="left" vertical="center" wrapText="1"/>
      <protection locked="0"/>
    </xf>
    <xf numFmtId="3" fontId="15" fillId="0" borderId="17" xfId="5" applyNumberFormat="1" applyFont="1" applyBorder="1" applyAlignment="1" applyProtection="1">
      <alignment horizontal="right" vertical="center" wrapText="1"/>
      <protection locked="0"/>
    </xf>
    <xf numFmtId="3" fontId="15" fillId="0" borderId="32" xfId="5" applyNumberFormat="1" applyFont="1" applyBorder="1" applyAlignment="1" applyProtection="1">
      <alignment horizontal="right" vertical="center" wrapText="1"/>
      <protection locked="0"/>
    </xf>
    <xf numFmtId="3" fontId="15" fillId="0" borderId="21" xfId="5" applyNumberFormat="1" applyFont="1" applyBorder="1" applyAlignment="1" applyProtection="1">
      <alignment horizontal="right" vertical="center" wrapText="1"/>
      <protection locked="0"/>
    </xf>
    <xf numFmtId="0" fontId="15" fillId="0" borderId="0" xfId="5" applyFont="1" applyAlignment="1">
      <alignment horizontal="center" wrapText="1"/>
    </xf>
    <xf numFmtId="0" fontId="15" fillId="0" borderId="0" xfId="5" applyFont="1" applyBorder="1" applyAlignment="1">
      <alignment horizontal="center"/>
    </xf>
    <xf numFmtId="0" fontId="22" fillId="0" borderId="0" xfId="2" applyFont="1" applyAlignment="1">
      <alignment horizontal="left"/>
    </xf>
    <xf numFmtId="0" fontId="15" fillId="0" borderId="0" xfId="5" applyFont="1" applyAlignment="1"/>
    <xf numFmtId="0" fontId="22" fillId="0" borderId="14" xfId="5" applyFont="1" applyBorder="1" applyAlignment="1" applyProtection="1">
      <alignment horizontal="left" vertical="center" wrapText="1"/>
      <protection locked="0"/>
    </xf>
    <xf numFmtId="0" fontId="22" fillId="0" borderId="15" xfId="5" applyFont="1" applyBorder="1" applyAlignment="1" applyProtection="1">
      <alignment horizontal="left" vertical="center" wrapText="1"/>
      <protection locked="0"/>
    </xf>
    <xf numFmtId="0" fontId="15" fillId="0" borderId="14" xfId="5" applyFont="1" applyFill="1" applyBorder="1" applyAlignment="1">
      <alignment horizontal="left" vertical="center" wrapText="1"/>
    </xf>
    <xf numFmtId="0" fontId="15" fillId="0" borderId="32" xfId="5" applyFont="1" applyBorder="1" applyAlignment="1">
      <alignment horizontal="center" vertical="center" wrapText="1"/>
    </xf>
    <xf numFmtId="49" fontId="14" fillId="0" borderId="41" xfId="2" applyNumberFormat="1" applyFont="1" applyBorder="1" applyAlignment="1" applyProtection="1">
      <alignment horizontal="left"/>
      <protection locked="0"/>
    </xf>
    <xf numFmtId="0" fontId="15" fillId="0" borderId="6" xfId="2" applyFont="1" applyBorder="1" applyAlignment="1">
      <alignment horizontal="center" vertical="center" wrapText="1"/>
    </xf>
    <xf numFmtId="0" fontId="15" fillId="0" borderId="0" xfId="2" applyFont="1" applyBorder="1" applyAlignment="1" applyProtection="1">
      <alignment horizontal="left"/>
      <protection locked="0"/>
    </xf>
    <xf numFmtId="0" fontId="15" fillId="0" borderId="0" xfId="2" applyFont="1" applyBorder="1" applyAlignment="1" applyProtection="1">
      <alignment horizontal="left" wrapText="1"/>
      <protection locked="0"/>
    </xf>
    <xf numFmtId="0" fontId="15" fillId="0" borderId="0" xfId="2" applyFont="1" applyBorder="1" applyAlignment="1">
      <alignment horizontal="left"/>
    </xf>
    <xf numFmtId="0" fontId="20" fillId="0" borderId="0" xfId="2" applyFont="1" applyBorder="1" applyAlignment="1" applyProtection="1">
      <alignment horizontal="left"/>
      <protection locked="0"/>
    </xf>
    <xf numFmtId="0" fontId="7" fillId="0" borderId="0" xfId="2" applyFont="1" applyBorder="1" applyAlignment="1">
      <alignment horizontal="center"/>
    </xf>
    <xf numFmtId="3" fontId="15" fillId="0" borderId="6" xfId="2" applyNumberFormat="1" applyFont="1" applyBorder="1" applyAlignment="1" applyProtection="1">
      <alignment horizontal="left" wrapText="1"/>
      <protection locked="0"/>
    </xf>
    <xf numFmtId="49" fontId="15" fillId="0" borderId="6" xfId="2" applyNumberFormat="1" applyFont="1" applyBorder="1" applyAlignment="1" applyProtection="1">
      <alignment horizontal="center" vertical="center" wrapText="1"/>
      <protection locked="0"/>
    </xf>
    <xf numFmtId="0" fontId="15" fillId="0" borderId="6" xfId="2" applyFont="1" applyBorder="1" applyAlignment="1" applyProtection="1">
      <alignment horizontal="left" vertical="center" wrapText="1"/>
      <protection locked="0"/>
    </xf>
    <xf numFmtId="3" fontId="15" fillId="0" borderId="32" xfId="1" applyNumberFormat="1" applyFont="1" applyBorder="1" applyAlignment="1">
      <alignment horizontal="center" vertical="center" wrapText="1"/>
    </xf>
    <xf numFmtId="3" fontId="15" fillId="0" borderId="21" xfId="1" applyNumberFormat="1" applyFont="1" applyBorder="1" applyAlignment="1">
      <alignment horizontal="center" vertical="center" wrapText="1"/>
    </xf>
    <xf numFmtId="0" fontId="14" fillId="0" borderId="6" xfId="2" applyFont="1" applyBorder="1" applyAlignment="1">
      <alignment horizontal="right" wrapText="1"/>
    </xf>
    <xf numFmtId="0" fontId="14" fillId="0" borderId="6" xfId="2" applyFont="1" applyBorder="1" applyAlignment="1" applyProtection="1">
      <alignment horizontal="center" vertical="center" wrapText="1"/>
      <protection locked="0"/>
    </xf>
    <xf numFmtId="0" fontId="14" fillId="0" borderId="6" xfId="2" applyFont="1" applyBorder="1" applyAlignment="1" applyProtection="1">
      <alignment horizontal="left" vertical="center" wrapText="1"/>
      <protection locked="0"/>
    </xf>
    <xf numFmtId="3" fontId="15" fillId="0" borderId="6" xfId="1" applyNumberFormat="1" applyFont="1" applyBorder="1" applyAlignment="1">
      <alignment horizontal="center" vertical="center" wrapText="1"/>
    </xf>
    <xf numFmtId="3" fontId="15" fillId="0" borderId="6" xfId="2" applyNumberFormat="1" applyFont="1" applyFill="1" applyBorder="1" applyAlignment="1">
      <alignment horizontal="left" vertical="center" wrapText="1"/>
    </xf>
    <xf numFmtId="49" fontId="15" fillId="0" borderId="6" xfId="2" applyNumberFormat="1" applyFont="1" applyBorder="1" applyAlignment="1">
      <alignment horizontal="center" vertical="center"/>
    </xf>
    <xf numFmtId="3" fontId="15" fillId="0" borderId="17" xfId="1" applyNumberFormat="1" applyFont="1" applyBorder="1" applyAlignment="1">
      <alignment horizontal="center" vertical="center" wrapText="1"/>
    </xf>
    <xf numFmtId="3" fontId="15" fillId="0" borderId="6" xfId="2" applyNumberFormat="1" applyFont="1" applyBorder="1" applyAlignment="1" applyProtection="1">
      <alignment horizontal="left" vertical="center" wrapText="1"/>
      <protection locked="0"/>
    </xf>
    <xf numFmtId="49" fontId="15" fillId="0" borderId="6" xfId="1" applyNumberFormat="1" applyFont="1" applyFill="1" applyBorder="1" applyAlignment="1">
      <alignment horizontal="left" vertical="center" wrapText="1"/>
    </xf>
    <xf numFmtId="3" fontId="15" fillId="0" borderId="6" xfId="1" applyNumberFormat="1" applyFont="1" applyFill="1" applyBorder="1" applyAlignment="1">
      <alignment horizontal="center" vertical="center" wrapText="1"/>
    </xf>
    <xf numFmtId="3" fontId="6" fillId="0" borderId="6" xfId="1" applyNumberFormat="1" applyFont="1" applyBorder="1" applyAlignment="1">
      <alignment horizontal="center" vertical="center" wrapText="1"/>
    </xf>
    <xf numFmtId="49" fontId="15" fillId="0" borderId="6" xfId="1" applyNumberFormat="1" applyFont="1" applyBorder="1" applyAlignment="1">
      <alignment horizontal="left" vertical="center" wrapText="1"/>
    </xf>
    <xf numFmtId="0" fontId="15" fillId="0" borderId="6" xfId="2" quotePrefix="1" applyFont="1" applyBorder="1" applyAlignment="1" applyProtection="1">
      <alignment horizontal="left" vertical="center" wrapText="1"/>
      <protection locked="0"/>
    </xf>
    <xf numFmtId="3" fontId="15" fillId="0" borderId="6" xfId="1" applyNumberFormat="1" applyFont="1" applyBorder="1" applyAlignment="1">
      <alignment horizontal="center" wrapText="1"/>
    </xf>
    <xf numFmtId="49" fontId="15" fillId="0" borderId="6" xfId="2" applyNumberFormat="1" applyFont="1" applyBorder="1" applyAlignment="1" applyProtection="1">
      <alignment horizontal="center" vertical="center"/>
      <protection locked="0"/>
    </xf>
    <xf numFmtId="0" fontId="15" fillId="0" borderId="6" xfId="2" applyFont="1" applyBorder="1" applyAlignment="1" applyProtection="1">
      <alignment horizontal="left" vertical="center"/>
      <protection locked="0"/>
    </xf>
    <xf numFmtId="3" fontId="15" fillId="0" borderId="6" xfId="1" applyNumberFormat="1" applyFont="1" applyBorder="1" applyAlignment="1" applyProtection="1">
      <alignment horizontal="center" vertical="center" wrapText="1"/>
      <protection locked="0"/>
    </xf>
    <xf numFmtId="44" fontId="15" fillId="0" borderId="6" xfId="14" applyFont="1" applyBorder="1" applyAlignment="1">
      <alignment horizontal="center" vertical="center" wrapText="1"/>
    </xf>
    <xf numFmtId="0" fontId="14" fillId="0" borderId="0" xfId="2" applyFont="1" applyFill="1" applyAlignment="1">
      <alignment horizontal="left"/>
    </xf>
    <xf numFmtId="3" fontId="15" fillId="0" borderId="6" xfId="5" applyNumberFormat="1" applyFont="1" applyBorder="1" applyAlignment="1">
      <alignment horizontal="center" vertical="center" wrapText="1"/>
    </xf>
    <xf numFmtId="0" fontId="15" fillId="0" borderId="19" xfId="5" applyFont="1" applyBorder="1" applyAlignment="1">
      <alignment horizontal="left" vertical="center" wrapText="1"/>
    </xf>
    <xf numFmtId="0" fontId="15" fillId="0" borderId="34" xfId="5" applyFont="1" applyBorder="1" applyAlignment="1">
      <alignment horizontal="left" vertical="center" wrapText="1"/>
    </xf>
    <xf numFmtId="0" fontId="15" fillId="0" borderId="36" xfId="5" applyFont="1" applyBorder="1" applyAlignment="1">
      <alignment horizontal="left" vertical="center" wrapText="1"/>
    </xf>
    <xf numFmtId="3" fontId="15" fillId="0" borderId="17" xfId="5" applyNumberFormat="1" applyFont="1" applyBorder="1" applyAlignment="1">
      <alignment horizontal="center" vertical="center" wrapText="1"/>
    </xf>
    <xf numFmtId="3" fontId="15" fillId="0" borderId="32" xfId="5" applyNumberFormat="1" applyFont="1" applyBorder="1" applyAlignment="1">
      <alignment horizontal="center" vertical="center" wrapText="1"/>
    </xf>
    <xf numFmtId="3" fontId="15" fillId="0" borderId="21" xfId="5" applyNumberFormat="1" applyFont="1" applyBorder="1" applyAlignment="1">
      <alignment horizontal="center" vertical="center" wrapText="1"/>
    </xf>
    <xf numFmtId="49" fontId="15" fillId="0" borderId="6" xfId="5" applyNumberFormat="1" applyFont="1" applyBorder="1" applyAlignment="1" applyProtection="1">
      <alignment horizontal="center" vertical="center" wrapText="1"/>
      <protection locked="0"/>
    </xf>
    <xf numFmtId="0" fontId="14" fillId="0" borderId="19" xfId="5" applyFont="1" applyBorder="1" applyAlignment="1" applyProtection="1">
      <alignment horizontal="left" vertical="center" wrapText="1"/>
      <protection locked="0"/>
    </xf>
    <xf numFmtId="0" fontId="14" fillId="0" borderId="33" xfId="5" applyFont="1" applyBorder="1" applyAlignment="1" applyProtection="1">
      <alignment horizontal="left" vertical="center" wrapText="1"/>
      <protection locked="0"/>
    </xf>
    <xf numFmtId="0" fontId="14" fillId="0" borderId="34" xfId="5" applyFont="1" applyBorder="1" applyAlignment="1" applyProtection="1">
      <alignment horizontal="left" vertical="center" wrapText="1"/>
      <protection locked="0"/>
    </xf>
    <xf numFmtId="0" fontId="14" fillId="0" borderId="35" xfId="5" applyFont="1" applyBorder="1" applyAlignment="1" applyProtection="1">
      <alignment horizontal="left" vertical="center" wrapText="1"/>
      <protection locked="0"/>
    </xf>
    <xf numFmtId="0" fontId="14" fillId="0" borderId="36" xfId="5" applyFont="1" applyBorder="1" applyAlignment="1" applyProtection="1">
      <alignment horizontal="left" vertical="center" wrapText="1"/>
      <protection locked="0"/>
    </xf>
    <xf numFmtId="0" fontId="14" fillId="0" borderId="37" xfId="5" applyFont="1" applyBorder="1" applyAlignment="1" applyProtection="1">
      <alignment horizontal="left" vertical="center" wrapText="1"/>
      <protection locked="0"/>
    </xf>
    <xf numFmtId="4" fontId="15" fillId="3" borderId="6" xfId="5" applyNumberFormat="1" applyFont="1" applyFill="1" applyBorder="1" applyAlignment="1" applyProtection="1">
      <alignment horizontal="center" vertical="center" wrapText="1"/>
      <protection locked="0"/>
    </xf>
    <xf numFmtId="0" fontId="14" fillId="0" borderId="6" xfId="5" applyFont="1" applyBorder="1" applyAlignment="1">
      <alignment horizontal="center" vertical="center" wrapText="1"/>
    </xf>
    <xf numFmtId="0" fontId="14" fillId="0" borderId="19" xfId="5" applyFont="1" applyBorder="1" applyAlignment="1">
      <alignment horizontal="center" vertical="center" wrapText="1"/>
    </xf>
    <xf numFmtId="0" fontId="14" fillId="0" borderId="33" xfId="5" applyFont="1" applyBorder="1" applyAlignment="1">
      <alignment horizontal="center" vertical="center" wrapText="1"/>
    </xf>
    <xf numFmtId="0" fontId="14" fillId="0" borderId="34" xfId="5" applyFont="1" applyBorder="1" applyAlignment="1">
      <alignment horizontal="center" vertical="center" wrapText="1"/>
    </xf>
    <xf numFmtId="0" fontId="14" fillId="0" borderId="35" xfId="5" applyFont="1" applyBorder="1" applyAlignment="1">
      <alignment horizontal="center" vertical="center" wrapText="1"/>
    </xf>
    <xf numFmtId="0" fontId="14" fillId="0" borderId="36" xfId="5" applyFont="1" applyBorder="1" applyAlignment="1">
      <alignment horizontal="center" vertical="center" wrapText="1"/>
    </xf>
    <xf numFmtId="0" fontId="14" fillId="0" borderId="37" xfId="5" applyFont="1" applyBorder="1" applyAlignment="1">
      <alignment horizontal="center" vertical="center" wrapText="1"/>
    </xf>
    <xf numFmtId="0" fontId="14" fillId="0" borderId="14" xfId="5" applyFont="1" applyBorder="1" applyAlignment="1" applyProtection="1">
      <alignment horizontal="left" wrapText="1"/>
      <protection locked="0"/>
    </xf>
    <xf numFmtId="0" fontId="14" fillId="0" borderId="15" xfId="5" applyFont="1" applyBorder="1" applyAlignment="1" applyProtection="1">
      <alignment horizontal="left" wrapText="1"/>
      <protection locked="0"/>
    </xf>
    <xf numFmtId="49" fontId="14" fillId="0" borderId="6" xfId="5" applyNumberFormat="1" applyFont="1" applyBorder="1" applyAlignment="1">
      <alignment horizontal="center" vertical="center" wrapText="1"/>
    </xf>
    <xf numFmtId="0" fontId="14" fillId="0" borderId="19" xfId="5" applyFont="1" applyBorder="1" applyAlignment="1">
      <alignment horizontal="left" vertical="center" wrapText="1"/>
    </xf>
    <xf numFmtId="0" fontId="14" fillId="0" borderId="33" xfId="5" applyFont="1" applyBorder="1" applyAlignment="1">
      <alignment horizontal="left" vertical="center" wrapText="1"/>
    </xf>
    <xf numFmtId="0" fontId="14" fillId="0" borderId="34" xfId="5" applyFont="1" applyBorder="1" applyAlignment="1">
      <alignment horizontal="left" vertical="center" wrapText="1"/>
    </xf>
    <xf numFmtId="0" fontId="14" fillId="0" borderId="35" xfId="5" applyFont="1" applyBorder="1" applyAlignment="1">
      <alignment horizontal="left" vertical="center" wrapText="1"/>
    </xf>
    <xf numFmtId="0" fontId="14" fillId="0" borderId="36" xfId="5" applyFont="1" applyBorder="1" applyAlignment="1">
      <alignment horizontal="left" vertical="center" wrapText="1"/>
    </xf>
    <xf numFmtId="0" fontId="14" fillId="0" borderId="37" xfId="5" applyFont="1" applyBorder="1" applyAlignment="1">
      <alignment horizontal="left" vertical="center" wrapText="1"/>
    </xf>
    <xf numFmtId="3" fontId="15" fillId="0" borderId="6" xfId="5" applyNumberFormat="1" applyFont="1" applyBorder="1" applyAlignment="1" applyProtection="1">
      <alignment horizontal="center" wrapText="1"/>
      <protection locked="0"/>
    </xf>
    <xf numFmtId="0" fontId="22" fillId="0" borderId="6" xfId="5" applyFont="1" applyBorder="1" applyAlignment="1" applyProtection="1">
      <alignment horizontal="left" vertical="center" wrapText="1"/>
      <protection locked="0"/>
    </xf>
    <xf numFmtId="0" fontId="14" fillId="0" borderId="6" xfId="5" applyFont="1" applyBorder="1" applyAlignment="1">
      <alignment horizontal="right"/>
    </xf>
    <xf numFmtId="3" fontId="15" fillId="0" borderId="6" xfId="5" applyNumberFormat="1" applyFont="1" applyBorder="1" applyAlignment="1" applyProtection="1">
      <alignment horizontal="center" vertical="center"/>
      <protection locked="0"/>
    </xf>
    <xf numFmtId="0" fontId="14" fillId="0" borderId="14" xfId="5" applyFont="1" applyBorder="1" applyAlignment="1">
      <alignment horizontal="left" vertical="center" wrapText="1"/>
    </xf>
    <xf numFmtId="0" fontId="14" fillId="0" borderId="15" xfId="5" applyFont="1" applyBorder="1" applyAlignment="1">
      <alignment horizontal="left" vertical="center" wrapText="1"/>
    </xf>
    <xf numFmtId="0" fontId="14" fillId="0" borderId="29" xfId="2" applyFont="1" applyBorder="1" applyAlignment="1">
      <alignment horizontal="right"/>
    </xf>
    <xf numFmtId="0" fontId="14" fillId="0" borderId="0" xfId="2" applyFont="1" applyBorder="1" applyAlignment="1">
      <alignment horizontal="right"/>
    </xf>
    <xf numFmtId="3" fontId="15" fillId="3" borderId="17" xfId="11" applyNumberFormat="1" applyFont="1" applyFill="1" applyBorder="1" applyAlignment="1">
      <alignment horizontal="left" vertical="center" wrapText="1"/>
    </xf>
    <xf numFmtId="3" fontId="15" fillId="3" borderId="21" xfId="11" applyNumberFormat="1" applyFont="1" applyFill="1" applyBorder="1" applyAlignment="1">
      <alignment horizontal="left" vertical="center" wrapText="1"/>
    </xf>
    <xf numFmtId="3" fontId="5" fillId="3" borderId="17" xfId="11" applyNumberFormat="1" applyFont="1" applyFill="1" applyBorder="1" applyAlignment="1">
      <alignment horizontal="left" vertical="center" wrapText="1"/>
    </xf>
    <xf numFmtId="3" fontId="5" fillId="3" borderId="32" xfId="11" applyNumberFormat="1" applyFont="1" applyFill="1" applyBorder="1" applyAlignment="1">
      <alignment horizontal="left" vertical="center" wrapText="1"/>
    </xf>
    <xf numFmtId="3" fontId="5" fillId="3" borderId="21" xfId="11" applyNumberFormat="1" applyFont="1" applyFill="1" applyBorder="1" applyAlignment="1">
      <alignment horizontal="left" vertical="center" wrapText="1"/>
    </xf>
    <xf numFmtId="3" fontId="5" fillId="0" borderId="14" xfId="2" applyNumberFormat="1" applyFont="1" applyBorder="1" applyAlignment="1">
      <alignment horizontal="left" vertical="center" wrapText="1"/>
    </xf>
    <xf numFmtId="3" fontId="5" fillId="0" borderId="15" xfId="2" applyNumberFormat="1" applyFont="1" applyBorder="1" applyAlignment="1">
      <alignment horizontal="left" vertical="center" wrapText="1"/>
    </xf>
    <xf numFmtId="0" fontId="15" fillId="0" borderId="19" xfId="2" applyFont="1" applyBorder="1" applyAlignment="1" applyProtection="1">
      <alignment horizontal="left" wrapText="1"/>
      <protection locked="0"/>
    </xf>
    <xf numFmtId="0" fontId="15" fillId="0" borderId="33" xfId="2" applyFont="1" applyBorder="1" applyAlignment="1" applyProtection="1">
      <alignment horizontal="left" wrapText="1"/>
      <protection locked="0"/>
    </xf>
    <xf numFmtId="0" fontId="15" fillId="0" borderId="34" xfId="2" applyFont="1" applyBorder="1" applyAlignment="1" applyProtection="1">
      <alignment horizontal="left" wrapText="1"/>
      <protection locked="0"/>
    </xf>
    <xf numFmtId="0" fontId="15" fillId="0" borderId="35" xfId="2" applyFont="1" applyBorder="1" applyAlignment="1" applyProtection="1">
      <alignment horizontal="left" wrapText="1"/>
      <protection locked="0"/>
    </xf>
    <xf numFmtId="0" fontId="15" fillId="0" borderId="36" xfId="2" applyFont="1" applyBorder="1" applyAlignment="1" applyProtection="1">
      <alignment horizontal="left" wrapText="1"/>
      <protection locked="0"/>
    </xf>
    <xf numFmtId="0" fontId="15" fillId="0" borderId="37" xfId="2" applyFont="1" applyBorder="1" applyAlignment="1" applyProtection="1">
      <alignment horizontal="left" wrapText="1"/>
      <protection locked="0"/>
    </xf>
    <xf numFmtId="3" fontId="5" fillId="0" borderId="14" xfId="2" applyNumberFormat="1" applyFont="1" applyFill="1" applyBorder="1" applyAlignment="1">
      <alignment horizontal="left" vertical="center" wrapText="1"/>
    </xf>
    <xf numFmtId="3" fontId="5" fillId="0" borderId="15" xfId="2" applyNumberFormat="1" applyFont="1" applyFill="1" applyBorder="1" applyAlignment="1">
      <alignment horizontal="left" vertical="center" wrapText="1"/>
    </xf>
    <xf numFmtId="3" fontId="5" fillId="3" borderId="17" xfId="12" applyNumberFormat="1" applyFont="1" applyFill="1" applyBorder="1" applyAlignment="1">
      <alignment horizontal="center" vertical="center" wrapText="1"/>
    </xf>
    <xf numFmtId="3" fontId="5" fillId="3" borderId="32" xfId="12" applyNumberFormat="1" applyFont="1" applyFill="1" applyBorder="1" applyAlignment="1">
      <alignment horizontal="center" vertical="center" wrapText="1"/>
    </xf>
    <xf numFmtId="3" fontId="5" fillId="3" borderId="21" xfId="12" applyNumberFormat="1" applyFont="1" applyFill="1" applyBorder="1" applyAlignment="1">
      <alignment horizontal="center" vertical="center" wrapText="1"/>
    </xf>
    <xf numFmtId="3" fontId="5" fillId="0" borderId="14" xfId="12" applyNumberFormat="1" applyFont="1" applyBorder="1" applyAlignment="1">
      <alignment horizontal="left" wrapText="1"/>
    </xf>
    <xf numFmtId="3" fontId="5" fillId="0" borderId="15" xfId="12" applyNumberFormat="1" applyFont="1" applyBorder="1" applyAlignment="1">
      <alignment horizontal="left" wrapText="1"/>
    </xf>
    <xf numFmtId="3" fontId="5" fillId="0" borderId="19" xfId="2" applyNumberFormat="1" applyFont="1" applyBorder="1" applyAlignment="1">
      <alignment horizontal="left" vertical="center" wrapText="1"/>
    </xf>
    <xf numFmtId="3" fontId="5" fillId="0" borderId="33" xfId="2" applyNumberFormat="1" applyFont="1" applyBorder="1" applyAlignment="1">
      <alignment horizontal="left" vertical="center" wrapText="1"/>
    </xf>
    <xf numFmtId="3" fontId="5" fillId="0" borderId="36" xfId="2" applyNumberFormat="1" applyFont="1" applyBorder="1" applyAlignment="1">
      <alignment horizontal="left" vertical="center" wrapText="1"/>
    </xf>
    <xf numFmtId="3" fontId="5" fillId="0" borderId="37" xfId="2" applyNumberFormat="1" applyFont="1" applyBorder="1" applyAlignment="1">
      <alignment horizontal="left" vertical="center" wrapText="1"/>
    </xf>
    <xf numFmtId="3" fontId="5" fillId="0" borderId="17" xfId="11" applyNumberFormat="1" applyFont="1" applyBorder="1" applyAlignment="1">
      <alignment horizontal="left" wrapText="1"/>
    </xf>
    <xf numFmtId="3" fontId="5" fillId="0" borderId="21" xfId="11" applyNumberFormat="1" applyFont="1" applyBorder="1" applyAlignment="1">
      <alignment horizontal="left" wrapText="1"/>
    </xf>
    <xf numFmtId="3" fontId="5" fillId="0" borderId="14" xfId="11" applyNumberFormat="1" applyFont="1" applyBorder="1" applyAlignment="1">
      <alignment horizontal="left" vertical="center" wrapText="1"/>
    </xf>
    <xf numFmtId="3" fontId="5" fillId="0" borderId="15" xfId="11" applyNumberFormat="1" applyFont="1" applyBorder="1" applyAlignment="1">
      <alignment horizontal="left" vertical="center" wrapText="1"/>
    </xf>
    <xf numFmtId="0" fontId="5" fillId="0" borderId="0" xfId="1" applyFont="1" applyAlignment="1">
      <alignment horizontal="left" wrapText="1"/>
    </xf>
    <xf numFmtId="0" fontId="5" fillId="0" borderId="0" xfId="1" applyFont="1" applyAlignment="1">
      <alignment horizontal="left" vertical="top" wrapText="1"/>
    </xf>
    <xf numFmtId="3" fontId="5" fillId="0" borderId="0" xfId="2" applyNumberFormat="1" applyFont="1" applyAlignment="1">
      <alignment horizontal="left" vertical="top" wrapText="1"/>
    </xf>
    <xf numFmtId="0" fontId="5" fillId="0" borderId="0" xfId="2" applyFont="1" applyAlignment="1">
      <alignment horizontal="left" wrapText="1"/>
    </xf>
    <xf numFmtId="3" fontId="6" fillId="0" borderId="17" xfId="11" applyNumberFormat="1" applyFont="1" applyBorder="1" applyAlignment="1">
      <alignment horizontal="left" vertical="center" wrapText="1"/>
    </xf>
    <xf numFmtId="3" fontId="6" fillId="0" borderId="32" xfId="11" applyNumberFormat="1" applyFont="1" applyBorder="1" applyAlignment="1">
      <alignment horizontal="left" vertical="center" wrapText="1"/>
    </xf>
    <xf numFmtId="3" fontId="6" fillId="0" borderId="21" xfId="11" applyNumberFormat="1" applyFont="1" applyBorder="1" applyAlignment="1">
      <alignment horizontal="left" vertical="center" wrapText="1"/>
    </xf>
    <xf numFmtId="0" fontId="11" fillId="0" borderId="44" xfId="2" applyFont="1" applyBorder="1" applyAlignment="1">
      <alignment horizontal="right"/>
    </xf>
    <xf numFmtId="0" fontId="11" fillId="0" borderId="106" xfId="2" applyFont="1" applyBorder="1" applyAlignment="1">
      <alignment horizontal="right"/>
    </xf>
    <xf numFmtId="3" fontId="5" fillId="0" borderId="14" xfId="2" applyNumberFormat="1" applyFont="1" applyBorder="1" applyAlignment="1" applyProtection="1">
      <alignment horizontal="left" vertical="center" wrapText="1"/>
      <protection locked="0"/>
    </xf>
    <xf numFmtId="3" fontId="5" fillId="0" borderId="10" xfId="2" applyNumberFormat="1" applyFont="1" applyBorder="1" applyAlignment="1" applyProtection="1">
      <alignment horizontal="left" vertical="center" wrapText="1"/>
      <protection locked="0"/>
    </xf>
    <xf numFmtId="0" fontId="5" fillId="0" borderId="14" xfId="2" applyFont="1" applyBorder="1" applyAlignment="1">
      <alignment horizontal="center" vertical="center" wrapText="1"/>
    </xf>
    <xf numFmtId="0" fontId="5" fillId="0" borderId="15" xfId="2" applyFont="1" applyBorder="1" applyAlignment="1">
      <alignment horizontal="center" vertical="center" wrapText="1"/>
    </xf>
    <xf numFmtId="0" fontId="11" fillId="0" borderId="14" xfId="2" applyFont="1" applyBorder="1" applyAlignment="1">
      <alignment horizontal="right" wrapText="1"/>
    </xf>
    <xf numFmtId="0" fontId="11" fillId="0" borderId="10" xfId="2" applyFont="1" applyBorder="1" applyAlignment="1">
      <alignment horizontal="right" wrapText="1"/>
    </xf>
    <xf numFmtId="0" fontId="11" fillId="0" borderId="15" xfId="2" applyFont="1" applyBorder="1" applyAlignment="1">
      <alignment horizontal="right" wrapText="1"/>
    </xf>
    <xf numFmtId="0" fontId="5" fillId="0" borderId="17" xfId="2" applyFont="1" applyBorder="1" applyAlignment="1" applyProtection="1">
      <alignment horizontal="center" vertical="center" wrapText="1"/>
      <protection locked="0"/>
    </xf>
    <xf numFmtId="0" fontId="5" fillId="0" borderId="32" xfId="2" applyFont="1" applyBorder="1" applyAlignment="1" applyProtection="1">
      <alignment horizontal="center" vertical="center" wrapText="1"/>
      <protection locked="0"/>
    </xf>
    <xf numFmtId="0" fontId="5" fillId="0" borderId="21" xfId="2" applyFont="1" applyBorder="1" applyAlignment="1" applyProtection="1">
      <alignment horizontal="center" vertical="center" wrapText="1"/>
      <protection locked="0"/>
    </xf>
    <xf numFmtId="3" fontId="5" fillId="0" borderId="17" xfId="2" applyNumberFormat="1" applyFont="1" applyBorder="1" applyAlignment="1" applyProtection="1">
      <alignment horizontal="center" vertical="center" wrapText="1"/>
      <protection locked="0"/>
    </xf>
    <xf numFmtId="3" fontId="5" fillId="0" borderId="32" xfId="2" applyNumberFormat="1" applyFont="1" applyBorder="1" applyAlignment="1" applyProtection="1">
      <alignment horizontal="center" vertical="center" wrapText="1"/>
      <protection locked="0"/>
    </xf>
    <xf numFmtId="3" fontId="5" fillId="0" borderId="21" xfId="2" applyNumberFormat="1" applyFont="1" applyBorder="1" applyAlignment="1" applyProtection="1">
      <alignment horizontal="center" vertical="center" wrapText="1"/>
      <protection locked="0"/>
    </xf>
    <xf numFmtId="3" fontId="5" fillId="0" borderId="17" xfId="11" applyNumberFormat="1" applyFont="1" applyBorder="1" applyAlignment="1">
      <alignment horizontal="center" vertical="center" wrapText="1"/>
    </xf>
    <xf numFmtId="3" fontId="5" fillId="0" borderId="32" xfId="11" applyNumberFormat="1" applyFont="1" applyBorder="1" applyAlignment="1">
      <alignment horizontal="center" vertical="center" wrapText="1"/>
    </xf>
    <xf numFmtId="3" fontId="5" fillId="0" borderId="21" xfId="11" applyNumberFormat="1" applyFont="1" applyBorder="1" applyAlignment="1">
      <alignment horizontal="center" vertical="center" wrapText="1"/>
    </xf>
    <xf numFmtId="3" fontId="5" fillId="0" borderId="19" xfId="2" applyNumberFormat="1" applyFont="1" applyBorder="1" applyAlignment="1" applyProtection="1">
      <alignment horizontal="left" vertical="center" wrapText="1"/>
      <protection locked="0"/>
    </xf>
    <xf numFmtId="3" fontId="5" fillId="0" borderId="33" xfId="2" applyNumberFormat="1" applyFont="1" applyBorder="1" applyAlignment="1" applyProtection="1">
      <alignment horizontal="left" vertical="center" wrapText="1"/>
      <protection locked="0"/>
    </xf>
    <xf numFmtId="3" fontId="5" fillId="0" borderId="34" xfId="2" applyNumberFormat="1" applyFont="1" applyBorder="1" applyAlignment="1" applyProtection="1">
      <alignment horizontal="left" vertical="center" wrapText="1"/>
      <protection locked="0"/>
    </xf>
    <xf numFmtId="3" fontId="5" fillId="0" borderId="35" xfId="2" applyNumberFormat="1" applyFont="1" applyBorder="1" applyAlignment="1" applyProtection="1">
      <alignment horizontal="left" vertical="center" wrapText="1"/>
      <protection locked="0"/>
    </xf>
    <xf numFmtId="3" fontId="5" fillId="0" borderId="36" xfId="2" applyNumberFormat="1" applyFont="1" applyBorder="1" applyAlignment="1" applyProtection="1">
      <alignment horizontal="left" vertical="center" wrapText="1"/>
      <protection locked="0"/>
    </xf>
    <xf numFmtId="3" fontId="5" fillId="0" borderId="37" xfId="2" applyNumberFormat="1" applyFont="1" applyBorder="1" applyAlignment="1" applyProtection="1">
      <alignment horizontal="left" vertical="center" wrapText="1"/>
      <protection locked="0"/>
    </xf>
    <xf numFmtId="0" fontId="5" fillId="0" borderId="0" xfId="2" applyFont="1" applyAlignment="1">
      <alignment horizontal="left"/>
    </xf>
    <xf numFmtId="3" fontId="5" fillId="0" borderId="34" xfId="2" applyNumberFormat="1" applyFont="1" applyBorder="1" applyAlignment="1">
      <alignment horizontal="left" vertical="center" wrapText="1"/>
    </xf>
    <xf numFmtId="3" fontId="5" fillId="0" borderId="35" xfId="2" applyNumberFormat="1" applyFont="1" applyBorder="1" applyAlignment="1">
      <alignment horizontal="left" vertical="center" wrapText="1"/>
    </xf>
    <xf numFmtId="0" fontId="11" fillId="0" borderId="38" xfId="2" applyFont="1" applyBorder="1" applyAlignment="1">
      <alignment horizontal="right"/>
    </xf>
    <xf numFmtId="0" fontId="11" fillId="0" borderId="39" xfId="2" applyFont="1" applyBorder="1" applyAlignment="1">
      <alignment horizontal="right"/>
    </xf>
    <xf numFmtId="0" fontId="5" fillId="0" borderId="6" xfId="2" applyFont="1" applyBorder="1" applyAlignment="1" applyProtection="1">
      <alignment horizontal="center" vertical="center" wrapText="1"/>
      <protection locked="0"/>
    </xf>
    <xf numFmtId="3" fontId="5" fillId="0" borderId="6" xfId="2" applyNumberFormat="1" applyFont="1" applyBorder="1" applyAlignment="1" applyProtection="1">
      <alignment horizontal="center" vertical="center" wrapText="1"/>
      <protection locked="0"/>
    </xf>
    <xf numFmtId="0" fontId="5" fillId="0" borderId="6" xfId="2" applyFont="1" applyBorder="1" applyAlignment="1" applyProtection="1">
      <alignment horizontal="left" vertical="center" wrapText="1"/>
      <protection locked="0"/>
    </xf>
    <xf numFmtId="3" fontId="5" fillId="3" borderId="17" xfId="4" applyNumberFormat="1" applyFont="1" applyFill="1" applyBorder="1" applyAlignment="1">
      <alignment horizontal="left" vertical="top" wrapText="1"/>
    </xf>
    <xf numFmtId="3" fontId="5" fillId="3" borderId="32" xfId="4" applyNumberFormat="1" applyFont="1" applyFill="1" applyBorder="1" applyAlignment="1">
      <alignment horizontal="left" vertical="top" wrapText="1"/>
    </xf>
    <xf numFmtId="3" fontId="5" fillId="3" borderId="21" xfId="4" applyNumberFormat="1" applyFont="1" applyFill="1" applyBorder="1" applyAlignment="1">
      <alignment horizontal="left" vertical="top" wrapText="1"/>
    </xf>
    <xf numFmtId="0" fontId="5" fillId="0" borderId="6" xfId="2" applyFont="1" applyBorder="1" applyAlignment="1" applyProtection="1">
      <alignment horizontal="center" vertical="center"/>
      <protection locked="0"/>
    </xf>
    <xf numFmtId="3" fontId="5" fillId="0" borderId="6" xfId="2" applyNumberFormat="1" applyFont="1" applyBorder="1" applyAlignment="1">
      <alignment horizontal="center" vertical="center" wrapText="1"/>
    </xf>
    <xf numFmtId="0" fontId="5" fillId="0" borderId="6" xfId="2" applyFont="1" applyBorder="1" applyAlignment="1">
      <alignment horizontal="center" vertical="center"/>
    </xf>
    <xf numFmtId="0" fontId="5" fillId="0" borderId="6" xfId="2" applyFont="1" applyBorder="1" applyAlignment="1">
      <alignment horizontal="left" vertical="center" wrapText="1"/>
    </xf>
    <xf numFmtId="0" fontId="11" fillId="0" borderId="6" xfId="2" applyFont="1" applyBorder="1" applyAlignment="1">
      <alignment horizontal="right" wrapText="1"/>
    </xf>
    <xf numFmtId="0" fontId="5" fillId="0" borderId="14" xfId="2" applyFont="1" applyBorder="1" applyAlignment="1" applyProtection="1">
      <alignment horizontal="left" vertical="center" wrapText="1"/>
      <protection locked="0"/>
    </xf>
    <xf numFmtId="0" fontId="5" fillId="0" borderId="15" xfId="2" applyFont="1" applyBorder="1" applyAlignment="1" applyProtection="1">
      <alignment horizontal="left" vertical="center" wrapText="1"/>
      <protection locked="0"/>
    </xf>
    <xf numFmtId="0" fontId="5" fillId="0" borderId="6" xfId="2" applyFont="1" applyBorder="1" applyAlignment="1">
      <alignment horizontal="left" vertical="center"/>
    </xf>
    <xf numFmtId="3" fontId="5" fillId="0" borderId="17" xfId="2" applyNumberFormat="1" applyFont="1" applyBorder="1" applyAlignment="1">
      <alignment horizontal="center" vertical="center" wrapText="1"/>
    </xf>
    <xf numFmtId="3" fontId="5" fillId="0" borderId="21" xfId="2" applyNumberFormat="1" applyFont="1" applyBorder="1" applyAlignment="1">
      <alignment horizontal="center" vertical="center" wrapText="1"/>
    </xf>
    <xf numFmtId="0" fontId="5" fillId="0" borderId="19"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5" fillId="0" borderId="34" xfId="2" applyFont="1" applyBorder="1" applyAlignment="1" applyProtection="1">
      <alignment horizontal="left" vertical="center" wrapText="1"/>
      <protection locked="0"/>
    </xf>
    <xf numFmtId="0" fontId="5" fillId="0" borderId="35" xfId="2" applyFont="1" applyBorder="1" applyAlignment="1" applyProtection="1">
      <alignment horizontal="left" vertical="center" wrapText="1"/>
      <protection locked="0"/>
    </xf>
    <xf numFmtId="0" fontId="5" fillId="0" borderId="36" xfId="2" applyFont="1" applyBorder="1" applyAlignment="1" applyProtection="1">
      <alignment horizontal="left" vertical="center" wrapText="1"/>
      <protection locked="0"/>
    </xf>
    <xf numFmtId="0" fontId="5" fillId="0" borderId="37" xfId="2" applyFont="1" applyBorder="1" applyAlignment="1" applyProtection="1">
      <alignment horizontal="left" vertical="center" wrapText="1"/>
      <protection locked="0"/>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0" fontId="5" fillId="0" borderId="14" xfId="2" applyFont="1" applyBorder="1" applyAlignment="1">
      <alignment horizontal="left" vertical="center"/>
    </xf>
    <xf numFmtId="0" fontId="5" fillId="0" borderId="15" xfId="2" applyFont="1" applyBorder="1" applyAlignment="1">
      <alignment horizontal="left" vertical="center"/>
    </xf>
    <xf numFmtId="0" fontId="5" fillId="0" borderId="6" xfId="2" applyFont="1" applyBorder="1" applyAlignment="1">
      <alignment horizontal="center" vertical="center" wrapText="1"/>
    </xf>
    <xf numFmtId="0" fontId="5" fillId="0" borderId="19" xfId="2" applyFont="1" applyBorder="1" applyAlignment="1">
      <alignment horizontal="left" vertical="center" wrapText="1"/>
    </xf>
    <xf numFmtId="0" fontId="5" fillId="0" borderId="33" xfId="2" applyFont="1" applyBorder="1" applyAlignment="1">
      <alignment horizontal="left" vertical="center" wrapText="1"/>
    </xf>
    <xf numFmtId="0" fontId="5" fillId="0" borderId="36" xfId="2" applyFont="1" applyBorder="1" applyAlignment="1">
      <alignment horizontal="left" vertical="center" wrapText="1"/>
    </xf>
    <xf numFmtId="0" fontId="5" fillId="0" borderId="37" xfId="2" applyFont="1" applyBorder="1" applyAlignment="1">
      <alignment horizontal="left" vertical="center" wrapText="1"/>
    </xf>
    <xf numFmtId="0" fontId="5" fillId="0" borderId="19" xfId="2" applyFont="1" applyBorder="1" applyAlignment="1">
      <alignment horizontal="left" vertical="center"/>
    </xf>
    <xf numFmtId="0" fontId="5" fillId="0" borderId="33" xfId="2" applyFont="1" applyBorder="1" applyAlignment="1">
      <alignment horizontal="left" vertical="center"/>
    </xf>
    <xf numFmtId="0" fontId="5" fillId="0" borderId="36" xfId="2" applyFont="1" applyBorder="1" applyAlignment="1">
      <alignment horizontal="left" vertical="center"/>
    </xf>
    <xf numFmtId="0" fontId="5" fillId="0" borderId="37" xfId="2" applyFont="1" applyBorder="1" applyAlignment="1">
      <alignment horizontal="left" vertical="center"/>
    </xf>
    <xf numFmtId="1" fontId="8" fillId="0" borderId="0" xfId="15" applyNumberFormat="1" applyFont="1" applyFill="1" applyAlignment="1">
      <alignment horizontal="center"/>
    </xf>
    <xf numFmtId="0" fontId="5" fillId="0" borderId="97" xfId="15" applyFont="1" applyFill="1" applyBorder="1" applyAlignment="1">
      <alignment horizontal="center" vertical="center" wrapText="1"/>
    </xf>
    <xf numFmtId="0" fontId="5" fillId="0" borderId="100" xfId="15" applyFont="1" applyFill="1" applyBorder="1" applyAlignment="1">
      <alignment horizontal="center" vertical="center" wrapText="1"/>
    </xf>
    <xf numFmtId="0" fontId="5" fillId="0" borderId="18" xfId="15" applyFont="1" applyFill="1" applyBorder="1" applyAlignment="1">
      <alignment horizontal="center" vertical="center" wrapText="1"/>
    </xf>
    <xf numFmtId="0" fontId="5" fillId="0" borderId="98" xfId="15" applyFont="1" applyFill="1" applyBorder="1" applyAlignment="1">
      <alignment horizontal="center" vertical="center"/>
    </xf>
    <xf numFmtId="0" fontId="5" fillId="0" borderId="32" xfId="15" applyFont="1" applyFill="1" applyBorder="1" applyAlignment="1">
      <alignment horizontal="center" vertical="center"/>
    </xf>
    <xf numFmtId="0" fontId="5" fillId="0" borderId="21" xfId="15" applyFont="1" applyFill="1" applyBorder="1" applyAlignment="1">
      <alignment horizontal="center" vertical="center"/>
    </xf>
    <xf numFmtId="0" fontId="11" fillId="0" borderId="98" xfId="15" applyFont="1" applyFill="1" applyBorder="1" applyAlignment="1">
      <alignment horizontal="center" vertical="center"/>
    </xf>
    <xf numFmtId="0" fontId="11" fillId="0" borderId="32" xfId="15" applyFont="1" applyFill="1" applyBorder="1" applyAlignment="1">
      <alignment horizontal="center" vertical="center"/>
    </xf>
    <xf numFmtId="0" fontId="11" fillId="0" borderId="21" xfId="15" applyFont="1" applyFill="1" applyBorder="1" applyAlignment="1">
      <alignment horizontal="center" vertical="center"/>
    </xf>
    <xf numFmtId="0" fontId="11" fillId="0" borderId="99" xfId="15" applyFont="1" applyFill="1" applyBorder="1" applyAlignment="1">
      <alignment horizontal="center" vertical="center" wrapText="1"/>
    </xf>
    <xf numFmtId="0" fontId="11" fillId="0" borderId="101" xfId="15" applyFont="1" applyFill="1" applyBorder="1" applyAlignment="1">
      <alignment horizontal="center" vertical="center" wrapText="1"/>
    </xf>
    <xf numFmtId="0" fontId="11" fillId="0" borderId="38" xfId="15" applyFont="1" applyFill="1" applyBorder="1" applyAlignment="1">
      <alignment horizontal="center" vertical="center"/>
    </xf>
    <xf numFmtId="0" fontId="11" fillId="0" borderId="39" xfId="15" applyFont="1" applyFill="1" applyBorder="1" applyAlignment="1">
      <alignment horizontal="center" vertical="center"/>
    </xf>
    <xf numFmtId="0" fontId="11" fillId="0" borderId="43" xfId="15" applyFont="1" applyFill="1" applyBorder="1" applyAlignment="1">
      <alignment horizontal="center" vertical="center"/>
    </xf>
    <xf numFmtId="0" fontId="12" fillId="0" borderId="29" xfId="15" applyFont="1" applyFill="1" applyBorder="1" applyAlignment="1">
      <alignment horizontal="center" vertical="center" wrapText="1"/>
    </xf>
    <xf numFmtId="0" fontId="12" fillId="0" borderId="31" xfId="15" applyFont="1" applyFill="1" applyBorder="1" applyAlignment="1">
      <alignment horizontal="center" vertical="center" wrapText="1"/>
    </xf>
    <xf numFmtId="0" fontId="12" fillId="0" borderId="102" xfId="15" applyFont="1" applyFill="1" applyBorder="1" applyAlignment="1">
      <alignment horizontal="center" vertical="center" wrapText="1"/>
    </xf>
    <xf numFmtId="0" fontId="12" fillId="0" borderId="103" xfId="15" applyFont="1" applyFill="1" applyBorder="1" applyAlignment="1">
      <alignment horizontal="center" vertical="center" wrapText="1"/>
    </xf>
    <xf numFmtId="49" fontId="14" fillId="0" borderId="0" xfId="5" applyNumberFormat="1" applyFont="1" applyAlignment="1">
      <alignment horizontal="left"/>
    </xf>
    <xf numFmtId="0" fontId="14" fillId="0" borderId="29" xfId="5" applyFont="1" applyBorder="1" applyAlignment="1">
      <alignment horizontal="right"/>
    </xf>
    <xf numFmtId="0" fontId="14" fillId="0" borderId="30" xfId="5" applyFont="1" applyBorder="1" applyAlignment="1">
      <alignment horizontal="right"/>
    </xf>
  </cellXfs>
  <cellStyles count="17">
    <cellStyle name="Comma 2" xfId="7"/>
    <cellStyle name="Currency 2" xfId="14"/>
    <cellStyle name="Hyperlink" xfId="8" builtinId="8"/>
    <cellStyle name="Normal" xfId="0" builtinId="0"/>
    <cellStyle name="Normal 11" xfId="5"/>
    <cellStyle name="Normal 2" xfId="2"/>
    <cellStyle name="Normal 2 2" xfId="13"/>
    <cellStyle name="Normal 2 3" xfId="10"/>
    <cellStyle name="Normal 2 3 2 2" xfId="4"/>
    <cellStyle name="Normal 3" xfId="6"/>
    <cellStyle name="Normal 3 2 2 2 2" xfId="1"/>
    <cellStyle name="Normal 3 3" xfId="9"/>
    <cellStyle name="Normal 5" xfId="3"/>
    <cellStyle name="Normal 5 2" xfId="15"/>
    <cellStyle name="Normal 6" xfId="11"/>
    <cellStyle name="Normal 7" xfId="16"/>
    <cellStyle name="Normal_budžeta nod.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53"/>
  <sheetViews>
    <sheetView tabSelected="1" view="pageLayout" zoomScaleNormal="100" zoomScaleSheetLayoutView="100" workbookViewId="0">
      <selection activeCell="AA8" sqref="AA8"/>
    </sheetView>
  </sheetViews>
  <sheetFormatPr defaultColWidth="9.140625" defaultRowHeight="15.75" x14ac:dyDescent="0.25"/>
  <cols>
    <col min="1" max="1" width="3.7109375" style="1" customWidth="1"/>
    <col min="2" max="2" width="29.7109375" style="2" customWidth="1"/>
    <col min="3" max="3" width="8.5703125" style="2" customWidth="1"/>
    <col min="4" max="4" width="6.140625" style="2" bestFit="1" customWidth="1"/>
    <col min="5" max="5" width="6" style="3" customWidth="1"/>
    <col min="6" max="6" width="8.28515625" style="3" hidden="1" customWidth="1"/>
    <col min="7" max="7" width="9.7109375" style="4" hidden="1" customWidth="1"/>
    <col min="8" max="8" width="8.5703125" style="4" customWidth="1"/>
    <col min="9" max="9" width="8.28515625" style="4" hidden="1" customWidth="1"/>
    <col min="10" max="10" width="8.140625" style="4" hidden="1" customWidth="1"/>
    <col min="11" max="11" width="10.28515625" style="4" customWidth="1"/>
    <col min="12" max="12" width="8.140625" style="4" hidden="1" customWidth="1"/>
    <col min="13" max="13" width="8" style="4" hidden="1" customWidth="1"/>
    <col min="14" max="14" width="10.7109375" style="6" customWidth="1"/>
    <col min="15" max="15" width="7.5703125" style="2" customWidth="1"/>
    <col min="16" max="16" width="8.5703125" style="2" customWidth="1"/>
    <col min="17" max="17" width="7.140625" style="2" customWidth="1"/>
    <col min="18" max="18" width="8.42578125" style="2" customWidth="1"/>
    <col min="19" max="19" width="18.85546875" style="2" customWidth="1"/>
    <col min="20" max="20" width="9.140625" style="2" customWidth="1"/>
    <col min="21" max="26" width="9.140625" style="2" hidden="1" customWidth="1"/>
    <col min="27" max="16384" width="9.140625" style="2"/>
  </cols>
  <sheetData>
    <row r="1" spans="1:27" ht="18" customHeight="1" x14ac:dyDescent="0.25">
      <c r="A1" s="7"/>
      <c r="B1" s="8"/>
      <c r="C1" s="8"/>
      <c r="D1" s="8"/>
      <c r="E1" s="8"/>
      <c r="F1" s="8"/>
      <c r="G1" s="9"/>
      <c r="H1" s="9"/>
      <c r="I1" s="9"/>
      <c r="J1" s="9"/>
      <c r="K1" s="5"/>
      <c r="L1" s="9"/>
      <c r="M1" s="9"/>
      <c r="N1" s="9"/>
      <c r="O1" s="8"/>
      <c r="P1" s="1687"/>
      <c r="Q1" s="1687"/>
      <c r="R1" s="8"/>
      <c r="S1" s="8"/>
    </row>
    <row r="2" spans="1:27" s="6" customFormat="1" ht="15.75" customHeight="1" x14ac:dyDescent="0.3">
      <c r="A2" s="10"/>
      <c r="B2" s="11"/>
      <c r="C2" s="1688" t="s">
        <v>0</v>
      </c>
      <c r="D2" s="1688"/>
      <c r="E2" s="1688"/>
      <c r="F2" s="1688"/>
      <c r="G2" s="1688"/>
      <c r="H2" s="1688"/>
      <c r="I2" s="1688"/>
      <c r="J2" s="1688"/>
      <c r="K2" s="1688"/>
      <c r="L2" s="1688"/>
      <c r="M2" s="1688"/>
      <c r="N2" s="1688"/>
      <c r="O2" s="1688"/>
      <c r="P2" s="1688"/>
      <c r="Q2" s="1688"/>
      <c r="U2" s="12"/>
      <c r="V2" s="12"/>
      <c r="W2" s="12"/>
      <c r="X2" s="12"/>
    </row>
    <row r="3" spans="1:27" s="6" customFormat="1" ht="14.25" customHeight="1" x14ac:dyDescent="0.25">
      <c r="A3" s="13"/>
      <c r="B3" s="14"/>
      <c r="C3" s="15"/>
      <c r="D3" s="15"/>
      <c r="E3" s="16"/>
      <c r="F3" s="16"/>
      <c r="G3" s="16"/>
      <c r="H3" s="16"/>
      <c r="I3" s="16"/>
      <c r="J3" s="16"/>
      <c r="K3" s="17"/>
      <c r="L3" s="18"/>
      <c r="M3" s="18"/>
      <c r="N3" s="14"/>
      <c r="O3" s="19"/>
      <c r="P3" s="19"/>
      <c r="Q3" s="19"/>
      <c r="S3" s="20"/>
    </row>
    <row r="4" spans="1:27" s="21" customFormat="1" ht="53.25" customHeight="1" x14ac:dyDescent="0.2">
      <c r="A4" s="1689" t="s">
        <v>1</v>
      </c>
      <c r="B4" s="1691" t="s">
        <v>2</v>
      </c>
      <c r="C4" s="1693" t="s">
        <v>3</v>
      </c>
      <c r="D4" s="1695" t="s">
        <v>4</v>
      </c>
      <c r="E4" s="1697" t="s">
        <v>5</v>
      </c>
      <c r="F4" s="1699" t="s">
        <v>6</v>
      </c>
      <c r="G4" s="1695"/>
      <c r="H4" s="1697"/>
      <c r="I4" s="1700" t="s">
        <v>7</v>
      </c>
      <c r="J4" s="1701"/>
      <c r="K4" s="1702"/>
      <c r="L4" s="1699" t="s">
        <v>8</v>
      </c>
      <c r="M4" s="1695"/>
      <c r="N4" s="1697"/>
      <c r="O4" s="1703" t="s">
        <v>9</v>
      </c>
      <c r="P4" s="1704"/>
      <c r="Q4" s="1703" t="s">
        <v>10</v>
      </c>
      <c r="R4" s="1704"/>
      <c r="S4" s="1709" t="s">
        <v>11</v>
      </c>
    </row>
    <row r="5" spans="1:27" s="21" customFormat="1" ht="37.5" customHeight="1" x14ac:dyDescent="0.2">
      <c r="A5" s="1690"/>
      <c r="B5" s="1692"/>
      <c r="C5" s="1694"/>
      <c r="D5" s="1696"/>
      <c r="E5" s="1698"/>
      <c r="F5" s="22" t="s">
        <v>12</v>
      </c>
      <c r="G5" s="23" t="s">
        <v>13</v>
      </c>
      <c r="H5" s="24" t="s">
        <v>3356</v>
      </c>
      <c r="I5" s="22" t="s">
        <v>14</v>
      </c>
      <c r="J5" s="23" t="s">
        <v>12</v>
      </c>
      <c r="K5" s="24" t="s">
        <v>3356</v>
      </c>
      <c r="L5" s="22" t="s">
        <v>14</v>
      </c>
      <c r="M5" s="23" t="s">
        <v>12</v>
      </c>
      <c r="N5" s="24" t="s">
        <v>3356</v>
      </c>
      <c r="O5" s="22" t="s">
        <v>3</v>
      </c>
      <c r="P5" s="24" t="s">
        <v>15</v>
      </c>
      <c r="Q5" s="22" t="s">
        <v>3</v>
      </c>
      <c r="R5" s="24" t="s">
        <v>16</v>
      </c>
      <c r="S5" s="1710"/>
    </row>
    <row r="6" spans="1:27" s="21" customFormat="1" ht="15" customHeight="1" x14ac:dyDescent="0.2">
      <c r="A6" s="25"/>
      <c r="B6" s="26"/>
      <c r="C6" s="1711" t="s">
        <v>17</v>
      </c>
      <c r="D6" s="1711"/>
      <c r="E6" s="1712"/>
      <c r="F6" s="27">
        <f t="shared" ref="F6:N6" si="0">SUM(F8,F39,F43)</f>
        <v>7040656</v>
      </c>
      <c r="G6" s="28">
        <f t="shared" si="0"/>
        <v>9527014</v>
      </c>
      <c r="H6" s="29">
        <f t="shared" si="0"/>
        <v>6499372</v>
      </c>
      <c r="I6" s="27">
        <f t="shared" si="0"/>
        <v>1899318</v>
      </c>
      <c r="J6" s="28">
        <f t="shared" si="0"/>
        <v>1778163</v>
      </c>
      <c r="K6" s="29">
        <f t="shared" si="0"/>
        <v>1781216</v>
      </c>
      <c r="L6" s="27">
        <f t="shared" si="0"/>
        <v>9082231</v>
      </c>
      <c r="M6" s="28">
        <f t="shared" si="0"/>
        <v>5262493</v>
      </c>
      <c r="N6" s="29">
        <f t="shared" si="0"/>
        <v>4718156</v>
      </c>
      <c r="O6" s="27"/>
      <c r="P6" s="30">
        <f>SUM(P8,P39,P43)</f>
        <v>11379937</v>
      </c>
      <c r="Q6" s="27"/>
      <c r="R6" s="30">
        <f>SUM(R8,R39,R43)</f>
        <v>10522263</v>
      </c>
      <c r="S6" s="31"/>
      <c r="W6" s="32">
        <f>SUM(W10:W37)</f>
        <v>0</v>
      </c>
      <c r="X6" s="33">
        <f>SUM(X10:X37)</f>
        <v>0</v>
      </c>
      <c r="Y6" s="34"/>
      <c r="AA6" s="35"/>
    </row>
    <row r="7" spans="1:27" s="21" customFormat="1" ht="34.5" customHeight="1" x14ac:dyDescent="0.2">
      <c r="A7" s="1713" t="s">
        <v>18</v>
      </c>
      <c r="B7" s="1714"/>
      <c r="C7" s="36"/>
      <c r="D7" s="36"/>
      <c r="E7" s="37"/>
      <c r="F7" s="38"/>
      <c r="G7" s="39"/>
      <c r="H7" s="40"/>
      <c r="I7" s="38"/>
      <c r="J7" s="39"/>
      <c r="K7" s="40"/>
      <c r="L7" s="38"/>
      <c r="M7" s="39"/>
      <c r="N7" s="40"/>
      <c r="O7" s="38"/>
      <c r="P7" s="41"/>
      <c r="Q7" s="38"/>
      <c r="R7" s="42"/>
      <c r="S7" s="43"/>
      <c r="W7" s="44" t="s">
        <v>19</v>
      </c>
      <c r="X7" s="45" t="s">
        <v>20</v>
      </c>
      <c r="Y7" s="46"/>
    </row>
    <row r="8" spans="1:27" s="21" customFormat="1" ht="12" x14ac:dyDescent="0.2">
      <c r="A8" s="1717"/>
      <c r="B8" s="1718"/>
      <c r="C8" s="47"/>
      <c r="D8" s="47"/>
      <c r="E8" s="48" t="s">
        <v>21</v>
      </c>
      <c r="F8" s="49">
        <f>SUM(F9,F19,F24,F32)</f>
        <v>4811210</v>
      </c>
      <c r="G8" s="50">
        <f>SUM(G9,G19,G24,G32)</f>
        <v>6998487</v>
      </c>
      <c r="H8" s="51">
        <f>SUM(H9,H19,H24,H32)</f>
        <v>4170845</v>
      </c>
      <c r="I8" s="52">
        <f>SUM(I9,I19,I24,I32)</f>
        <v>1038936</v>
      </c>
      <c r="J8" s="50">
        <f>SUM(J9,J19,J24,J32)</f>
        <v>917781</v>
      </c>
      <c r="K8" s="51">
        <f>SUM(K9,K19,K24,K32,K37)</f>
        <v>764567</v>
      </c>
      <c r="L8" s="53">
        <f>SUM(L9,L19,L24,L32)</f>
        <v>7713167</v>
      </c>
      <c r="M8" s="50">
        <f>SUM(M9,M19,M24,M32)</f>
        <v>3893429</v>
      </c>
      <c r="N8" s="54">
        <f>SUM(N9,N19,N24,N32)</f>
        <v>3406278</v>
      </c>
      <c r="O8" s="27"/>
      <c r="P8" s="30">
        <f>SUM(P9,P19,P24,P32)</f>
        <v>9874443</v>
      </c>
      <c r="Q8" s="27"/>
      <c r="R8" s="30">
        <f>SUM(R9,R19,R24,R32)</f>
        <v>9017069</v>
      </c>
      <c r="S8" s="55"/>
      <c r="W8" s="56"/>
      <c r="X8" s="57"/>
      <c r="Y8" s="58"/>
    </row>
    <row r="9" spans="1:27" s="21" customFormat="1" ht="12" x14ac:dyDescent="0.2">
      <c r="A9" s="59">
        <v>1</v>
      </c>
      <c r="B9" s="60" t="s">
        <v>22</v>
      </c>
      <c r="C9" s="61"/>
      <c r="D9" s="61"/>
      <c r="E9" s="62"/>
      <c r="F9" s="63">
        <f t="shared" ref="F9:N9" si="1">SUM(F10:F18)</f>
        <v>3892944</v>
      </c>
      <c r="G9" s="64">
        <f t="shared" si="1"/>
        <v>6050393</v>
      </c>
      <c r="H9" s="65">
        <f t="shared" si="1"/>
        <v>3365973</v>
      </c>
      <c r="I9" s="63">
        <f t="shared" si="1"/>
        <v>252914</v>
      </c>
      <c r="J9" s="64">
        <f t="shared" si="1"/>
        <v>221612</v>
      </c>
      <c r="K9" s="65">
        <f t="shared" si="1"/>
        <v>219451</v>
      </c>
      <c r="L9" s="63">
        <f t="shared" si="1"/>
        <v>7481017</v>
      </c>
      <c r="M9" s="64">
        <f t="shared" si="1"/>
        <v>3671332</v>
      </c>
      <c r="N9" s="65">
        <f t="shared" si="1"/>
        <v>3146522</v>
      </c>
      <c r="O9" s="63"/>
      <c r="P9" s="65">
        <f>SUM(P10:P18)</f>
        <v>9278968</v>
      </c>
      <c r="Q9" s="63"/>
      <c r="R9" s="65">
        <f>SUM(R10:R18)</f>
        <v>8415100</v>
      </c>
      <c r="S9" s="43"/>
      <c r="W9" s="56"/>
      <c r="X9" s="57"/>
      <c r="Y9" s="58"/>
    </row>
    <row r="10" spans="1:27" s="21" customFormat="1" ht="12" x14ac:dyDescent="0.2">
      <c r="A10" s="66">
        <v>1.1000000000000001</v>
      </c>
      <c r="B10" s="67" t="s">
        <v>23</v>
      </c>
      <c r="C10" s="68" t="s">
        <v>24</v>
      </c>
      <c r="D10" s="69" t="s">
        <v>25</v>
      </c>
      <c r="E10" s="62" t="s">
        <v>26</v>
      </c>
      <c r="F10" s="70">
        <f t="shared" ref="F10:F11" si="2">SUM(J10+M10)</f>
        <v>868734</v>
      </c>
      <c r="G10" s="71">
        <v>2655685</v>
      </c>
      <c r="H10" s="72">
        <f>SUM(K10+N10)</f>
        <v>1452810</v>
      </c>
      <c r="I10" s="73">
        <v>72944</v>
      </c>
      <c r="J10" s="71">
        <v>72944</v>
      </c>
      <c r="K10" s="72">
        <f>98867+120584</f>
        <v>219451</v>
      </c>
      <c r="L10" s="73">
        <v>1951466</v>
      </c>
      <c r="M10" s="71">
        <v>795790</v>
      </c>
      <c r="N10" s="72">
        <f>1452810-98867-120584</f>
        <v>1233359</v>
      </c>
      <c r="O10" s="74" t="s">
        <v>27</v>
      </c>
      <c r="P10" s="75">
        <v>2861000</v>
      </c>
      <c r="Q10" s="74" t="s">
        <v>28</v>
      </c>
      <c r="R10" s="75">
        <v>1636000</v>
      </c>
      <c r="S10" s="43"/>
      <c r="W10" s="76"/>
      <c r="X10" s="77"/>
      <c r="Y10" s="78"/>
    </row>
    <row r="11" spans="1:27" s="21" customFormat="1" ht="24" x14ac:dyDescent="0.2">
      <c r="A11" s="79">
        <v>1.2</v>
      </c>
      <c r="B11" s="80" t="s">
        <v>29</v>
      </c>
      <c r="C11" s="81" t="s">
        <v>30</v>
      </c>
      <c r="D11" s="81" t="s">
        <v>25</v>
      </c>
      <c r="E11" s="82" t="s">
        <v>26</v>
      </c>
      <c r="F11" s="70">
        <f t="shared" si="2"/>
        <v>659414</v>
      </c>
      <c r="G11" s="83">
        <v>525965</v>
      </c>
      <c r="H11" s="84">
        <f t="shared" ref="H11:H18" si="3">SUM(K11+N11)</f>
        <v>226780</v>
      </c>
      <c r="I11" s="70">
        <v>6875</v>
      </c>
      <c r="J11" s="83">
        <v>6874</v>
      </c>
      <c r="K11" s="84"/>
      <c r="L11" s="70">
        <v>3280952</v>
      </c>
      <c r="M11" s="83">
        <v>652540</v>
      </c>
      <c r="N11" s="84">
        <v>226780</v>
      </c>
      <c r="O11" s="85" t="s">
        <v>31</v>
      </c>
      <c r="P11" s="86">
        <v>1690968</v>
      </c>
      <c r="Q11" s="85" t="s">
        <v>32</v>
      </c>
      <c r="R11" s="86">
        <v>896000</v>
      </c>
      <c r="S11" s="87" t="s">
        <v>33</v>
      </c>
      <c r="W11" s="76"/>
      <c r="X11" s="77"/>
      <c r="Y11" s="78"/>
    </row>
    <row r="12" spans="1:27" s="21" customFormat="1" ht="24" x14ac:dyDescent="0.2">
      <c r="A12" s="79">
        <v>1.3</v>
      </c>
      <c r="B12" s="88" t="s">
        <v>34</v>
      </c>
      <c r="C12" s="81" t="s">
        <v>35</v>
      </c>
      <c r="D12" s="81" t="s">
        <v>25</v>
      </c>
      <c r="E12" s="82" t="s">
        <v>26</v>
      </c>
      <c r="F12" s="70">
        <f>SUM(J12+M12)</f>
        <v>447028</v>
      </c>
      <c r="G12" s="83">
        <v>189500</v>
      </c>
      <c r="H12" s="84">
        <f t="shared" si="3"/>
        <v>22000</v>
      </c>
      <c r="I12" s="70"/>
      <c r="J12" s="83"/>
      <c r="K12" s="84"/>
      <c r="L12" s="70">
        <v>457642</v>
      </c>
      <c r="M12" s="83">
        <v>447028</v>
      </c>
      <c r="N12" s="84">
        <v>22000</v>
      </c>
      <c r="O12" s="85" t="s">
        <v>36</v>
      </c>
      <c r="P12" s="86">
        <v>333000</v>
      </c>
      <c r="Q12" s="85"/>
      <c r="R12" s="86">
        <v>0</v>
      </c>
      <c r="S12" s="87" t="s">
        <v>33</v>
      </c>
      <c r="W12" s="76"/>
      <c r="X12" s="77"/>
      <c r="Y12" s="78"/>
    </row>
    <row r="13" spans="1:27" s="21" customFormat="1" ht="24" x14ac:dyDescent="0.2">
      <c r="A13" s="79">
        <v>1.4</v>
      </c>
      <c r="B13" s="88" t="s">
        <v>37</v>
      </c>
      <c r="C13" s="81" t="s">
        <v>38</v>
      </c>
      <c r="D13" s="81" t="s">
        <v>25</v>
      </c>
      <c r="E13" s="82" t="s">
        <v>26</v>
      </c>
      <c r="F13" s="70">
        <f t="shared" ref="F13:F18" si="4">SUM(J13+M13)</f>
        <v>663923</v>
      </c>
      <c r="G13" s="83">
        <v>765442</v>
      </c>
      <c r="H13" s="84">
        <f t="shared" si="3"/>
        <v>765442</v>
      </c>
      <c r="I13" s="70"/>
      <c r="J13" s="83"/>
      <c r="K13" s="84"/>
      <c r="L13" s="70">
        <v>673524</v>
      </c>
      <c r="M13" s="83">
        <v>663923</v>
      </c>
      <c r="N13" s="84">
        <v>765442</v>
      </c>
      <c r="O13" s="85" t="s">
        <v>39</v>
      </c>
      <c r="P13" s="86">
        <v>125000</v>
      </c>
      <c r="Q13" s="85" t="s">
        <v>40</v>
      </c>
      <c r="R13" s="86">
        <v>160000</v>
      </c>
      <c r="S13" s="43" t="s">
        <v>41</v>
      </c>
      <c r="W13" s="76"/>
      <c r="X13" s="77"/>
      <c r="Y13" s="78"/>
    </row>
    <row r="14" spans="1:27" s="21" customFormat="1" ht="12" x14ac:dyDescent="0.2">
      <c r="A14" s="79">
        <v>1.5</v>
      </c>
      <c r="B14" s="88" t="s">
        <v>42</v>
      </c>
      <c r="C14" s="81" t="s">
        <v>43</v>
      </c>
      <c r="D14" s="81" t="s">
        <v>25</v>
      </c>
      <c r="E14" s="82" t="s">
        <v>44</v>
      </c>
      <c r="F14" s="70">
        <f t="shared" si="4"/>
        <v>210151</v>
      </c>
      <c r="G14" s="83">
        <v>347650</v>
      </c>
      <c r="H14" s="84">
        <f t="shared" si="3"/>
        <v>274890</v>
      </c>
      <c r="I14" s="70"/>
      <c r="J14" s="83"/>
      <c r="K14" s="84"/>
      <c r="L14" s="70">
        <v>214979</v>
      </c>
      <c r="M14" s="83">
        <v>210151</v>
      </c>
      <c r="N14" s="84">
        <v>274890</v>
      </c>
      <c r="O14" s="85" t="s">
        <v>45</v>
      </c>
      <c r="P14" s="86">
        <v>92000</v>
      </c>
      <c r="Q14" s="85" t="s">
        <v>46</v>
      </c>
      <c r="R14" s="86">
        <v>250000</v>
      </c>
      <c r="S14" s="87" t="s">
        <v>33</v>
      </c>
      <c r="W14" s="76"/>
      <c r="X14" s="77"/>
      <c r="Y14" s="78"/>
    </row>
    <row r="15" spans="1:27" s="21" customFormat="1" ht="12" x14ac:dyDescent="0.2">
      <c r="A15" s="89">
        <v>1.6</v>
      </c>
      <c r="B15" s="88" t="s">
        <v>47</v>
      </c>
      <c r="C15" s="81" t="s">
        <v>48</v>
      </c>
      <c r="D15" s="81" t="s">
        <v>25</v>
      </c>
      <c r="E15" s="82" t="s">
        <v>26</v>
      </c>
      <c r="F15" s="70">
        <f t="shared" si="4"/>
        <v>982478</v>
      </c>
      <c r="G15" s="83">
        <v>1118707</v>
      </c>
      <c r="H15" s="84">
        <f t="shared" si="3"/>
        <v>309930</v>
      </c>
      <c r="I15" s="70">
        <v>124259</v>
      </c>
      <c r="J15" s="83">
        <v>92958</v>
      </c>
      <c r="K15" s="84"/>
      <c r="L15" s="70">
        <v>889520</v>
      </c>
      <c r="M15" s="83">
        <v>889520</v>
      </c>
      <c r="N15" s="84">
        <v>309930</v>
      </c>
      <c r="O15" s="85" t="s">
        <v>49</v>
      </c>
      <c r="P15" s="86">
        <v>1786500</v>
      </c>
      <c r="Q15" s="85" t="s">
        <v>50</v>
      </c>
      <c r="R15" s="86">
        <v>1318600</v>
      </c>
      <c r="S15" s="87" t="s">
        <v>33</v>
      </c>
      <c r="W15" s="76"/>
      <c r="X15" s="77"/>
      <c r="Y15" s="78"/>
    </row>
    <row r="16" spans="1:27" s="21" customFormat="1" ht="12" x14ac:dyDescent="0.2">
      <c r="A16" s="89">
        <v>1.7</v>
      </c>
      <c r="B16" s="88" t="s">
        <v>51</v>
      </c>
      <c r="C16" s="81" t="s">
        <v>52</v>
      </c>
      <c r="D16" s="81" t="s">
        <v>25</v>
      </c>
      <c r="E16" s="82" t="s">
        <v>26</v>
      </c>
      <c r="F16" s="70">
        <f>SUM(J16+M16)</f>
        <v>43374</v>
      </c>
      <c r="G16" s="83">
        <v>184691</v>
      </c>
      <c r="H16" s="84">
        <f t="shared" si="3"/>
        <v>184691</v>
      </c>
      <c r="I16" s="70">
        <v>42786</v>
      </c>
      <c r="J16" s="83">
        <v>42786</v>
      </c>
      <c r="K16" s="84"/>
      <c r="L16" s="70">
        <v>588</v>
      </c>
      <c r="M16" s="83">
        <v>588</v>
      </c>
      <c r="N16" s="84">
        <v>184691</v>
      </c>
      <c r="O16" s="85" t="s">
        <v>53</v>
      </c>
      <c r="P16" s="86">
        <v>2052000</v>
      </c>
      <c r="Q16" s="85" t="s">
        <v>54</v>
      </c>
      <c r="R16" s="86">
        <v>2512000</v>
      </c>
      <c r="S16" s="87" t="s">
        <v>33</v>
      </c>
      <c r="W16" s="76"/>
      <c r="X16" s="77"/>
      <c r="Y16" s="78"/>
    </row>
    <row r="17" spans="1:25" s="21" customFormat="1" ht="12" hidden="1" x14ac:dyDescent="0.2">
      <c r="A17" s="89">
        <v>1.8</v>
      </c>
      <c r="B17" s="88" t="s">
        <v>55</v>
      </c>
      <c r="C17" s="81"/>
      <c r="D17" s="81"/>
      <c r="E17" s="82" t="s">
        <v>44</v>
      </c>
      <c r="F17" s="70">
        <f>SUM(J17+M17)</f>
        <v>6050</v>
      </c>
      <c r="G17" s="83">
        <v>0</v>
      </c>
      <c r="H17" s="84">
        <f t="shared" si="3"/>
        <v>0</v>
      </c>
      <c r="I17" s="70">
        <v>6050</v>
      </c>
      <c r="J17" s="83">
        <v>6050</v>
      </c>
      <c r="K17" s="84"/>
      <c r="L17" s="70"/>
      <c r="M17" s="83"/>
      <c r="N17" s="84"/>
      <c r="O17" s="85" t="s">
        <v>56</v>
      </c>
      <c r="P17" s="86">
        <v>182500</v>
      </c>
      <c r="Q17" s="85" t="s">
        <v>56</v>
      </c>
      <c r="R17" s="86">
        <v>827500</v>
      </c>
      <c r="S17" s="87" t="s">
        <v>33</v>
      </c>
      <c r="W17" s="76"/>
      <c r="X17" s="77"/>
      <c r="Y17" s="78"/>
    </row>
    <row r="18" spans="1:25" s="21" customFormat="1" ht="15" customHeight="1" x14ac:dyDescent="0.2">
      <c r="A18" s="90">
        <v>1.8</v>
      </c>
      <c r="B18" s="91" t="s">
        <v>57</v>
      </c>
      <c r="C18" s="69" t="s">
        <v>58</v>
      </c>
      <c r="D18" s="69" t="s">
        <v>25</v>
      </c>
      <c r="E18" s="62" t="s">
        <v>44</v>
      </c>
      <c r="F18" s="70">
        <f t="shared" si="4"/>
        <v>11792</v>
      </c>
      <c r="G18" s="71">
        <f>140553+122200</f>
        <v>262753</v>
      </c>
      <c r="H18" s="84">
        <f t="shared" si="3"/>
        <v>129430</v>
      </c>
      <c r="I18" s="73"/>
      <c r="J18" s="71"/>
      <c r="K18" s="72"/>
      <c r="L18" s="73">
        <v>12346</v>
      </c>
      <c r="M18" s="71">
        <v>11792</v>
      </c>
      <c r="N18" s="72">
        <v>129430</v>
      </c>
      <c r="O18" s="92" t="s">
        <v>59</v>
      </c>
      <c r="P18" s="93">
        <v>156000</v>
      </c>
      <c r="Q18" s="92" t="s">
        <v>60</v>
      </c>
      <c r="R18" s="93">
        <v>815000</v>
      </c>
      <c r="S18" s="87" t="s">
        <v>61</v>
      </c>
      <c r="W18" s="76"/>
      <c r="X18" s="77"/>
      <c r="Y18" s="78"/>
    </row>
    <row r="19" spans="1:25" s="21" customFormat="1" ht="12" x14ac:dyDescent="0.2">
      <c r="A19" s="59">
        <v>2</v>
      </c>
      <c r="B19" s="60" t="s">
        <v>62</v>
      </c>
      <c r="C19" s="61"/>
      <c r="D19" s="61"/>
      <c r="E19" s="62"/>
      <c r="F19" s="63">
        <f t="shared" ref="F19:M19" si="5">SUM(F20:F23)</f>
        <v>437645</v>
      </c>
      <c r="G19" s="64">
        <f t="shared" si="5"/>
        <v>557031</v>
      </c>
      <c r="H19" s="65">
        <f t="shared" si="5"/>
        <v>557031</v>
      </c>
      <c r="I19" s="63">
        <f t="shared" si="5"/>
        <v>302635</v>
      </c>
      <c r="J19" s="64">
        <f t="shared" si="5"/>
        <v>298398</v>
      </c>
      <c r="K19" s="65">
        <f>SUM(K20:K23)</f>
        <v>302635</v>
      </c>
      <c r="L19" s="63">
        <f t="shared" si="5"/>
        <v>148896</v>
      </c>
      <c r="M19" s="64">
        <f t="shared" si="5"/>
        <v>139247</v>
      </c>
      <c r="N19" s="65">
        <f>SUM(N20:N23)</f>
        <v>254396</v>
      </c>
      <c r="O19" s="94"/>
      <c r="P19" s="95">
        <f>SUM(P20:P23)</f>
        <v>407400</v>
      </c>
      <c r="Q19" s="94"/>
      <c r="R19" s="95">
        <f>SUM(R20:R23)</f>
        <v>407400</v>
      </c>
      <c r="S19" s="87"/>
      <c r="W19" s="96"/>
      <c r="X19" s="97"/>
      <c r="Y19" s="78"/>
    </row>
    <row r="20" spans="1:25" s="21" customFormat="1" ht="12" x14ac:dyDescent="0.2">
      <c r="A20" s="79">
        <v>2.1</v>
      </c>
      <c r="B20" s="98" t="s">
        <v>63</v>
      </c>
      <c r="C20" s="99" t="s">
        <v>64</v>
      </c>
      <c r="D20" s="81" t="s">
        <v>25</v>
      </c>
      <c r="E20" s="62" t="s">
        <v>65</v>
      </c>
      <c r="F20" s="73">
        <f>SUM(J20+M20)</f>
        <v>207992</v>
      </c>
      <c r="G20" s="71">
        <v>287301</v>
      </c>
      <c r="H20" s="72">
        <f t="shared" ref="H20:H22" si="6">SUM(K20+N20)</f>
        <v>287301</v>
      </c>
      <c r="I20" s="73">
        <v>143000</v>
      </c>
      <c r="J20" s="71">
        <v>143000</v>
      </c>
      <c r="K20" s="72">
        <v>143000</v>
      </c>
      <c r="L20" s="73">
        <v>65000</v>
      </c>
      <c r="M20" s="71">
        <v>64992</v>
      </c>
      <c r="N20" s="72">
        <v>144301</v>
      </c>
      <c r="O20" s="74" t="s">
        <v>66</v>
      </c>
      <c r="P20" s="75">
        <v>218400</v>
      </c>
      <c r="Q20" s="74" t="s">
        <v>67</v>
      </c>
      <c r="R20" s="75">
        <v>218400</v>
      </c>
      <c r="S20" s="87" t="s">
        <v>33</v>
      </c>
      <c r="W20" s="96"/>
      <c r="X20" s="97"/>
      <c r="Y20" s="78"/>
    </row>
    <row r="21" spans="1:25" s="21" customFormat="1" ht="24" x14ac:dyDescent="0.2">
      <c r="A21" s="79">
        <v>2.2000000000000002</v>
      </c>
      <c r="B21" s="98" t="s">
        <v>68</v>
      </c>
      <c r="C21" s="81" t="s">
        <v>69</v>
      </c>
      <c r="D21" s="81" t="s">
        <v>25</v>
      </c>
      <c r="E21" s="62" t="s">
        <v>65</v>
      </c>
      <c r="F21" s="70">
        <f>SUM(J21+M21)</f>
        <v>213452</v>
      </c>
      <c r="G21" s="83">
        <v>247380</v>
      </c>
      <c r="H21" s="84">
        <f t="shared" si="6"/>
        <v>247380</v>
      </c>
      <c r="I21" s="70">
        <v>159635</v>
      </c>
      <c r="J21" s="83">
        <v>155398</v>
      </c>
      <c r="K21" s="84">
        <v>159635</v>
      </c>
      <c r="L21" s="70">
        <v>65254</v>
      </c>
      <c r="M21" s="83">
        <v>58054</v>
      </c>
      <c r="N21" s="84">
        <v>87745</v>
      </c>
      <c r="O21" s="85" t="s">
        <v>69</v>
      </c>
      <c r="P21" s="86">
        <v>168000</v>
      </c>
      <c r="Q21" s="85" t="s">
        <v>69</v>
      </c>
      <c r="R21" s="86">
        <v>168000</v>
      </c>
      <c r="S21" s="87" t="s">
        <v>33</v>
      </c>
      <c r="W21" s="96"/>
      <c r="X21" s="97"/>
      <c r="Y21" s="78"/>
    </row>
    <row r="22" spans="1:25" s="21" customFormat="1" ht="12" x14ac:dyDescent="0.2">
      <c r="A22" s="79">
        <v>2.2999999999999998</v>
      </c>
      <c r="B22" s="80" t="s">
        <v>70</v>
      </c>
      <c r="C22" s="81" t="s">
        <v>71</v>
      </c>
      <c r="D22" s="81" t="s">
        <v>25</v>
      </c>
      <c r="E22" s="62" t="s">
        <v>65</v>
      </c>
      <c r="F22" s="70">
        <f>SUM(J22+M22)</f>
        <v>16201</v>
      </c>
      <c r="G22" s="83">
        <v>22350</v>
      </c>
      <c r="H22" s="84">
        <f t="shared" si="6"/>
        <v>22350</v>
      </c>
      <c r="I22" s="70"/>
      <c r="J22" s="83"/>
      <c r="K22" s="84"/>
      <c r="L22" s="70">
        <v>18642</v>
      </c>
      <c r="M22" s="83">
        <v>16201</v>
      </c>
      <c r="N22" s="84">
        <v>22350</v>
      </c>
      <c r="O22" s="85" t="s">
        <v>71</v>
      </c>
      <c r="P22" s="86">
        <v>21000</v>
      </c>
      <c r="Q22" s="85" t="s">
        <v>71</v>
      </c>
      <c r="R22" s="86">
        <v>21000</v>
      </c>
      <c r="S22" s="87" t="s">
        <v>33</v>
      </c>
      <c r="W22" s="96"/>
      <c r="X22" s="97"/>
      <c r="Y22" s="78"/>
    </row>
    <row r="23" spans="1:25" s="21" customFormat="1" ht="15" customHeight="1" x14ac:dyDescent="0.2">
      <c r="A23" s="100"/>
      <c r="B23" s="101"/>
      <c r="C23" s="99"/>
      <c r="D23" s="99"/>
      <c r="E23" s="62"/>
      <c r="F23" s="73"/>
      <c r="G23" s="71"/>
      <c r="H23" s="72"/>
      <c r="I23" s="73"/>
      <c r="J23" s="71"/>
      <c r="K23" s="72"/>
      <c r="L23" s="73"/>
      <c r="M23" s="71"/>
      <c r="N23" s="72"/>
      <c r="O23" s="102"/>
      <c r="P23" s="75"/>
      <c r="Q23" s="102"/>
      <c r="R23" s="75"/>
      <c r="S23" s="87"/>
      <c r="W23" s="96"/>
      <c r="X23" s="97"/>
      <c r="Y23" s="78"/>
    </row>
    <row r="24" spans="1:25" s="21" customFormat="1" ht="12" x14ac:dyDescent="0.2">
      <c r="A24" s="59">
        <v>3</v>
      </c>
      <c r="B24" s="60" t="s">
        <v>72</v>
      </c>
      <c r="C24" s="61"/>
      <c r="D24" s="61"/>
      <c r="E24" s="62"/>
      <c r="F24" s="63">
        <f>SUM(F25:F31)</f>
        <v>285262</v>
      </c>
      <c r="G24" s="64">
        <f t="shared" ref="G24:N24" si="7">SUM(G25:G31)</f>
        <v>237681</v>
      </c>
      <c r="H24" s="65">
        <f t="shared" si="7"/>
        <v>237681</v>
      </c>
      <c r="I24" s="63">
        <f t="shared" si="7"/>
        <v>256700</v>
      </c>
      <c r="J24" s="64">
        <f t="shared" si="7"/>
        <v>252629</v>
      </c>
      <c r="K24" s="65">
        <f>SUM(K25:K31)</f>
        <v>237681</v>
      </c>
      <c r="L24" s="63">
        <f t="shared" si="7"/>
        <v>33037</v>
      </c>
      <c r="M24" s="64">
        <f t="shared" si="7"/>
        <v>32633</v>
      </c>
      <c r="N24" s="65">
        <f t="shared" si="7"/>
        <v>0</v>
      </c>
      <c r="O24" s="94"/>
      <c r="P24" s="95">
        <f>SUM(P25:P31)</f>
        <v>188075</v>
      </c>
      <c r="Q24" s="94"/>
      <c r="R24" s="95">
        <f>SUM(R25:R31)</f>
        <v>194569</v>
      </c>
      <c r="S24" s="87"/>
      <c r="W24" s="96"/>
      <c r="X24" s="97"/>
      <c r="Y24" s="78"/>
    </row>
    <row r="25" spans="1:25" s="21" customFormat="1" ht="12" x14ac:dyDescent="0.2">
      <c r="A25" s="79">
        <v>3.1</v>
      </c>
      <c r="B25" s="80" t="s">
        <v>73</v>
      </c>
      <c r="C25" s="103" t="s">
        <v>74</v>
      </c>
      <c r="D25" s="81" t="s">
        <v>25</v>
      </c>
      <c r="E25" s="62" t="s">
        <v>65</v>
      </c>
      <c r="F25" s="70">
        <f t="shared" ref="F25:F36" si="8">SUM(J25+M25)</f>
        <v>103038</v>
      </c>
      <c r="G25" s="83">
        <v>110000</v>
      </c>
      <c r="H25" s="84">
        <f t="shared" ref="H25:H36" si="9">SUM(K25+N25)</f>
        <v>110000</v>
      </c>
      <c r="I25" s="70">
        <v>105200</v>
      </c>
      <c r="J25" s="83">
        <v>103038</v>
      </c>
      <c r="K25" s="84">
        <v>110000</v>
      </c>
      <c r="L25" s="70"/>
      <c r="M25" s="83"/>
      <c r="N25" s="84"/>
      <c r="O25" s="104" t="s">
        <v>75</v>
      </c>
      <c r="P25" s="86">
        <v>104000</v>
      </c>
      <c r="Q25" s="104" t="s">
        <v>76</v>
      </c>
      <c r="R25" s="86">
        <v>108000</v>
      </c>
      <c r="S25" s="87" t="s">
        <v>33</v>
      </c>
      <c r="W25" s="96"/>
      <c r="X25" s="97"/>
      <c r="Y25" s="78"/>
    </row>
    <row r="26" spans="1:25" s="21" customFormat="1" ht="48" x14ac:dyDescent="0.2">
      <c r="A26" s="79">
        <v>3.2</v>
      </c>
      <c r="B26" s="105" t="s">
        <v>77</v>
      </c>
      <c r="C26" s="23" t="s">
        <v>78</v>
      </c>
      <c r="D26" s="81" t="s">
        <v>25</v>
      </c>
      <c r="E26" s="82" t="s">
        <v>65</v>
      </c>
      <c r="F26" s="106">
        <f t="shared" si="8"/>
        <v>51000</v>
      </c>
      <c r="G26" s="107">
        <v>51000</v>
      </c>
      <c r="H26" s="86">
        <f t="shared" si="9"/>
        <v>51000</v>
      </c>
      <c r="I26" s="106">
        <v>51000</v>
      </c>
      <c r="J26" s="107">
        <v>51000</v>
      </c>
      <c r="K26" s="86">
        <v>51000</v>
      </c>
      <c r="L26" s="106"/>
      <c r="M26" s="107"/>
      <c r="N26" s="86"/>
      <c r="O26" s="22" t="s">
        <v>79</v>
      </c>
      <c r="P26" s="86">
        <v>49875</v>
      </c>
      <c r="Q26" s="22" t="s">
        <v>79</v>
      </c>
      <c r="R26" s="86">
        <v>52369</v>
      </c>
      <c r="S26" s="87" t="s">
        <v>33</v>
      </c>
      <c r="W26" s="96"/>
      <c r="X26" s="97"/>
      <c r="Y26" s="78"/>
    </row>
    <row r="27" spans="1:25" s="21" customFormat="1" ht="12" x14ac:dyDescent="0.2">
      <c r="A27" s="79">
        <v>3.3</v>
      </c>
      <c r="B27" s="105" t="s">
        <v>80</v>
      </c>
      <c r="C27" s="81" t="s">
        <v>81</v>
      </c>
      <c r="D27" s="81" t="s">
        <v>25</v>
      </c>
      <c r="E27" s="62" t="s">
        <v>65</v>
      </c>
      <c r="F27" s="73">
        <f t="shared" si="8"/>
        <v>342</v>
      </c>
      <c r="G27" s="71">
        <v>1200</v>
      </c>
      <c r="H27" s="72">
        <f t="shared" si="9"/>
        <v>1200</v>
      </c>
      <c r="I27" s="73">
        <v>1200</v>
      </c>
      <c r="J27" s="71">
        <v>342</v>
      </c>
      <c r="K27" s="72">
        <v>1200</v>
      </c>
      <c r="L27" s="73"/>
      <c r="M27" s="71"/>
      <c r="N27" s="72"/>
      <c r="O27" s="85" t="s">
        <v>82</v>
      </c>
      <c r="P27" s="75">
        <v>1200</v>
      </c>
      <c r="Q27" s="85" t="s">
        <v>82</v>
      </c>
      <c r="R27" s="75">
        <v>1200</v>
      </c>
      <c r="S27" s="87" t="s">
        <v>33</v>
      </c>
      <c r="W27" s="96"/>
      <c r="X27" s="97"/>
      <c r="Y27" s="78"/>
    </row>
    <row r="28" spans="1:25" s="21" customFormat="1" ht="13.5" customHeight="1" x14ac:dyDescent="0.2">
      <c r="A28" s="79">
        <v>3.4</v>
      </c>
      <c r="B28" s="105" t="s">
        <v>83</v>
      </c>
      <c r="C28" s="81" t="s">
        <v>84</v>
      </c>
      <c r="D28" s="81" t="s">
        <v>25</v>
      </c>
      <c r="E28" s="62" t="s">
        <v>85</v>
      </c>
      <c r="F28" s="73">
        <f t="shared" si="8"/>
        <v>64949</v>
      </c>
      <c r="G28" s="71">
        <v>40000</v>
      </c>
      <c r="H28" s="72">
        <f t="shared" si="9"/>
        <v>40000</v>
      </c>
      <c r="I28" s="73">
        <v>65000</v>
      </c>
      <c r="J28" s="71">
        <v>64949</v>
      </c>
      <c r="K28" s="72">
        <v>40000</v>
      </c>
      <c r="L28" s="73"/>
      <c r="M28" s="71"/>
      <c r="N28" s="72"/>
      <c r="O28" s="85" t="s">
        <v>86</v>
      </c>
      <c r="P28" s="75">
        <v>5000</v>
      </c>
      <c r="Q28" s="85" t="s">
        <v>86</v>
      </c>
      <c r="R28" s="75">
        <v>5000</v>
      </c>
      <c r="S28" s="87" t="s">
        <v>33</v>
      </c>
      <c r="W28" s="96"/>
      <c r="X28" s="97"/>
      <c r="Y28" s="78"/>
    </row>
    <row r="29" spans="1:25" s="21" customFormat="1" ht="12" x14ac:dyDescent="0.2">
      <c r="A29" s="1715">
        <v>3.5</v>
      </c>
      <c r="B29" s="1716" t="s">
        <v>87</v>
      </c>
      <c r="C29" s="81" t="s">
        <v>88</v>
      </c>
      <c r="D29" s="81" t="s">
        <v>25</v>
      </c>
      <c r="E29" s="62" t="s">
        <v>65</v>
      </c>
      <c r="F29" s="73">
        <f t="shared" si="8"/>
        <v>20877</v>
      </c>
      <c r="G29" s="71">
        <v>16481</v>
      </c>
      <c r="H29" s="72">
        <f t="shared" si="9"/>
        <v>16481</v>
      </c>
      <c r="I29" s="73">
        <v>19300</v>
      </c>
      <c r="J29" s="71">
        <v>19300</v>
      </c>
      <c r="K29" s="72">
        <v>16481</v>
      </c>
      <c r="L29" s="73">
        <v>1981</v>
      </c>
      <c r="M29" s="71">
        <v>1577</v>
      </c>
      <c r="N29" s="72"/>
      <c r="O29" s="85" t="s">
        <v>88</v>
      </c>
      <c r="P29" s="75">
        <v>13000</v>
      </c>
      <c r="Q29" s="85" t="s">
        <v>88</v>
      </c>
      <c r="R29" s="75">
        <v>13000</v>
      </c>
      <c r="S29" s="87" t="s">
        <v>33</v>
      </c>
      <c r="W29" s="96"/>
      <c r="X29" s="97"/>
      <c r="Y29" s="78"/>
    </row>
    <row r="30" spans="1:25" s="21" customFormat="1" ht="15" customHeight="1" x14ac:dyDescent="0.2">
      <c r="A30" s="1715"/>
      <c r="B30" s="1716"/>
      <c r="C30" s="81" t="s">
        <v>89</v>
      </c>
      <c r="D30" s="81" t="s">
        <v>25</v>
      </c>
      <c r="E30" s="62" t="s">
        <v>90</v>
      </c>
      <c r="F30" s="73">
        <f t="shared" si="8"/>
        <v>45056</v>
      </c>
      <c r="G30" s="71">
        <v>18000</v>
      </c>
      <c r="H30" s="72">
        <f t="shared" si="9"/>
        <v>18000</v>
      </c>
      <c r="I30" s="73">
        <v>14000</v>
      </c>
      <c r="J30" s="71">
        <v>14000</v>
      </c>
      <c r="K30" s="72">
        <v>18000</v>
      </c>
      <c r="L30" s="73">
        <v>31056</v>
      </c>
      <c r="M30" s="71">
        <v>31056</v>
      </c>
      <c r="N30" s="72"/>
      <c r="O30" s="85" t="s">
        <v>89</v>
      </c>
      <c r="P30" s="75">
        <v>14000</v>
      </c>
      <c r="Q30" s="85" t="s">
        <v>91</v>
      </c>
      <c r="R30" s="75">
        <v>14000</v>
      </c>
      <c r="S30" s="87" t="s">
        <v>33</v>
      </c>
      <c r="W30" s="96"/>
      <c r="X30" s="97"/>
      <c r="Y30" s="78"/>
    </row>
    <row r="31" spans="1:25" s="21" customFormat="1" ht="15" customHeight="1" x14ac:dyDescent="0.2">
      <c r="A31" s="1715"/>
      <c r="B31" s="1716"/>
      <c r="C31" s="81" t="s">
        <v>92</v>
      </c>
      <c r="D31" s="81" t="s">
        <v>25</v>
      </c>
      <c r="E31" s="62" t="s">
        <v>85</v>
      </c>
      <c r="F31" s="73">
        <f t="shared" si="8"/>
        <v>0</v>
      </c>
      <c r="G31" s="71">
        <v>1000</v>
      </c>
      <c r="H31" s="72">
        <f t="shared" si="9"/>
        <v>1000</v>
      </c>
      <c r="I31" s="73">
        <v>1000</v>
      </c>
      <c r="J31" s="71">
        <v>0</v>
      </c>
      <c r="K31" s="72">
        <v>1000</v>
      </c>
      <c r="L31" s="73"/>
      <c r="M31" s="71"/>
      <c r="N31" s="72"/>
      <c r="O31" s="85" t="s">
        <v>92</v>
      </c>
      <c r="P31" s="75">
        <v>1000</v>
      </c>
      <c r="Q31" s="85" t="s">
        <v>92</v>
      </c>
      <c r="R31" s="75">
        <v>1000</v>
      </c>
      <c r="S31" s="87" t="s">
        <v>33</v>
      </c>
      <c r="W31" s="96"/>
      <c r="X31" s="97"/>
      <c r="Y31" s="78"/>
    </row>
    <row r="32" spans="1:25" s="21" customFormat="1" ht="12" x14ac:dyDescent="0.2">
      <c r="A32" s="59">
        <v>4</v>
      </c>
      <c r="B32" s="60" t="s">
        <v>93</v>
      </c>
      <c r="C32" s="108"/>
      <c r="D32" s="108"/>
      <c r="E32" s="82"/>
      <c r="F32" s="63">
        <f t="shared" ref="F32:N32" si="10">SUM(F33:F36)</f>
        <v>195359</v>
      </c>
      <c r="G32" s="64">
        <f t="shared" si="10"/>
        <v>153382</v>
      </c>
      <c r="H32" s="65">
        <f t="shared" si="10"/>
        <v>10160</v>
      </c>
      <c r="I32" s="63">
        <f t="shared" si="10"/>
        <v>226687</v>
      </c>
      <c r="J32" s="64">
        <f t="shared" si="10"/>
        <v>145142</v>
      </c>
      <c r="K32" s="65">
        <f t="shared" si="10"/>
        <v>4800</v>
      </c>
      <c r="L32" s="63">
        <f t="shared" si="10"/>
        <v>50217</v>
      </c>
      <c r="M32" s="64">
        <f t="shared" si="10"/>
        <v>50217</v>
      </c>
      <c r="N32" s="65">
        <f t="shared" si="10"/>
        <v>5360</v>
      </c>
      <c r="O32" s="63"/>
      <c r="P32" s="65">
        <f>SUM(P33:P36)</f>
        <v>0</v>
      </c>
      <c r="Q32" s="63"/>
      <c r="R32" s="65">
        <f>SUM(R33:R36)</f>
        <v>0</v>
      </c>
      <c r="S32" s="87" t="s">
        <v>33</v>
      </c>
      <c r="W32" s="96"/>
      <c r="X32" s="97"/>
      <c r="Y32" s="78"/>
    </row>
    <row r="33" spans="1:25" s="21" customFormat="1" ht="12" x14ac:dyDescent="0.2">
      <c r="A33" s="79">
        <v>4.0999999999999996</v>
      </c>
      <c r="B33" s="80" t="s">
        <v>94</v>
      </c>
      <c r="C33" s="109" t="s">
        <v>95</v>
      </c>
      <c r="D33" s="109" t="s">
        <v>25</v>
      </c>
      <c r="E33" s="82" t="s">
        <v>65</v>
      </c>
      <c r="F33" s="70">
        <f t="shared" si="8"/>
        <v>4719</v>
      </c>
      <c r="G33" s="71">
        <v>4800</v>
      </c>
      <c r="H33" s="84">
        <f>SUM(K33+N33)</f>
        <v>4800</v>
      </c>
      <c r="I33" s="73">
        <v>4719</v>
      </c>
      <c r="J33" s="71">
        <v>4719</v>
      </c>
      <c r="K33" s="72">
        <v>4800</v>
      </c>
      <c r="L33" s="73"/>
      <c r="M33" s="71"/>
      <c r="N33" s="72"/>
      <c r="O33" s="102"/>
      <c r="P33" s="75"/>
      <c r="Q33" s="102"/>
      <c r="R33" s="75"/>
      <c r="S33" s="87" t="s">
        <v>33</v>
      </c>
      <c r="T33" s="110"/>
      <c r="W33" s="96"/>
      <c r="X33" s="97"/>
      <c r="Y33" s="78"/>
    </row>
    <row r="34" spans="1:25" s="21" customFormat="1" ht="24" hidden="1" x14ac:dyDescent="0.2">
      <c r="A34" s="79">
        <v>4.2</v>
      </c>
      <c r="B34" s="80" t="s">
        <v>96</v>
      </c>
      <c r="C34" s="109" t="s">
        <v>97</v>
      </c>
      <c r="D34" s="109" t="s">
        <v>25</v>
      </c>
      <c r="E34" s="82" t="s">
        <v>26</v>
      </c>
      <c r="F34" s="70">
        <f t="shared" si="8"/>
        <v>50217</v>
      </c>
      <c r="G34" s="83">
        <v>51000</v>
      </c>
      <c r="H34" s="84">
        <f t="shared" si="9"/>
        <v>0</v>
      </c>
      <c r="I34" s="106"/>
      <c r="J34" s="107"/>
      <c r="K34" s="86"/>
      <c r="L34" s="106">
        <v>50217</v>
      </c>
      <c r="M34" s="107">
        <v>50217</v>
      </c>
      <c r="N34" s="86"/>
      <c r="O34" s="106"/>
      <c r="P34" s="86"/>
      <c r="Q34" s="106"/>
      <c r="R34" s="86"/>
      <c r="S34" s="87" t="s">
        <v>33</v>
      </c>
      <c r="T34" s="110"/>
      <c r="W34" s="96"/>
      <c r="X34" s="97"/>
      <c r="Y34" s="78"/>
    </row>
    <row r="35" spans="1:25" s="21" customFormat="1" ht="24" x14ac:dyDescent="0.2">
      <c r="A35" s="79">
        <v>4.2</v>
      </c>
      <c r="B35" s="111" t="s">
        <v>98</v>
      </c>
      <c r="C35" s="109" t="s">
        <v>99</v>
      </c>
      <c r="D35" s="109" t="s">
        <v>25</v>
      </c>
      <c r="E35" s="82" t="s">
        <v>44</v>
      </c>
      <c r="F35" s="70">
        <f t="shared" si="8"/>
        <v>121208</v>
      </c>
      <c r="G35" s="83">
        <v>97582</v>
      </c>
      <c r="H35" s="84">
        <f t="shared" si="9"/>
        <v>5360</v>
      </c>
      <c r="I35" s="70">
        <v>202753</v>
      </c>
      <c r="J35" s="83">
        <v>121208</v>
      </c>
      <c r="K35" s="84"/>
      <c r="L35" s="70"/>
      <c r="M35" s="83"/>
      <c r="N35" s="84">
        <v>5360</v>
      </c>
      <c r="O35" s="85"/>
      <c r="P35" s="86"/>
      <c r="Q35" s="85"/>
      <c r="R35" s="86"/>
      <c r="S35" s="87" t="s">
        <v>33</v>
      </c>
      <c r="T35" s="110"/>
      <c r="W35" s="112"/>
      <c r="X35" s="113"/>
      <c r="Y35" s="114"/>
    </row>
    <row r="36" spans="1:25" s="21" customFormat="1" ht="39.75" hidden="1" customHeight="1" x14ac:dyDescent="0.2">
      <c r="A36" s="79">
        <v>4.3</v>
      </c>
      <c r="B36" s="115" t="s">
        <v>100</v>
      </c>
      <c r="C36" s="116"/>
      <c r="D36" s="109" t="s">
        <v>25</v>
      </c>
      <c r="E36" s="82" t="s">
        <v>26</v>
      </c>
      <c r="F36" s="70">
        <f t="shared" si="8"/>
        <v>19215</v>
      </c>
      <c r="G36" s="83">
        <v>0</v>
      </c>
      <c r="H36" s="84">
        <f t="shared" si="9"/>
        <v>0</v>
      </c>
      <c r="I36" s="106">
        <v>19215</v>
      </c>
      <c r="J36" s="107">
        <v>19215</v>
      </c>
      <c r="K36" s="86"/>
      <c r="L36" s="106"/>
      <c r="M36" s="107">
        <v>0</v>
      </c>
      <c r="N36" s="86"/>
      <c r="O36" s="106"/>
      <c r="P36" s="86"/>
      <c r="Q36" s="106"/>
      <c r="R36" s="86"/>
      <c r="S36" s="87" t="s">
        <v>33</v>
      </c>
      <c r="T36" s="110"/>
      <c r="W36" s="117"/>
      <c r="X36" s="35"/>
      <c r="Y36" s="35"/>
    </row>
    <row r="37" spans="1:25" s="21" customFormat="1" ht="12" x14ac:dyDescent="0.2">
      <c r="A37" s="59"/>
      <c r="B37" s="118"/>
      <c r="C37" s="116"/>
      <c r="D37" s="109"/>
      <c r="E37" s="82"/>
      <c r="F37" s="119"/>
      <c r="G37" s="120"/>
      <c r="H37" s="121"/>
      <c r="I37" s="119"/>
      <c r="J37" s="120"/>
      <c r="K37" s="121"/>
      <c r="L37" s="119"/>
      <c r="M37" s="120"/>
      <c r="N37" s="121"/>
      <c r="O37" s="119"/>
      <c r="P37" s="121"/>
      <c r="Q37" s="119"/>
      <c r="R37" s="121"/>
      <c r="S37" s="122"/>
      <c r="T37" s="110"/>
      <c r="W37" s="35"/>
      <c r="X37" s="35"/>
      <c r="Y37" s="35"/>
    </row>
    <row r="38" spans="1:25" s="21" customFormat="1" ht="23.25" customHeight="1" x14ac:dyDescent="0.2">
      <c r="A38" s="1705" t="s">
        <v>101</v>
      </c>
      <c r="B38" s="1706"/>
      <c r="C38" s="127"/>
      <c r="D38" s="127"/>
      <c r="E38" s="128"/>
      <c r="F38" s="129"/>
      <c r="G38" s="130"/>
      <c r="H38" s="131"/>
      <c r="I38" s="132"/>
      <c r="J38" s="130"/>
      <c r="K38" s="133"/>
      <c r="L38" s="132"/>
      <c r="M38" s="130"/>
      <c r="N38" s="133"/>
      <c r="O38" s="132"/>
      <c r="P38" s="133"/>
      <c r="Q38" s="132"/>
      <c r="R38" s="128"/>
      <c r="S38" s="134"/>
    </row>
    <row r="39" spans="1:25" s="21" customFormat="1" ht="12" x14ac:dyDescent="0.2">
      <c r="A39" s="1707"/>
      <c r="B39" s="1708"/>
      <c r="C39" s="1708"/>
      <c r="D39" s="135"/>
      <c r="E39" s="136" t="s">
        <v>21</v>
      </c>
      <c r="F39" s="137">
        <f>SUM(F40)</f>
        <v>1421347</v>
      </c>
      <c r="G39" s="138">
        <f>SUM(G40)</f>
        <v>1758293</v>
      </c>
      <c r="H39" s="139">
        <f>SUM(H40)</f>
        <v>1558293</v>
      </c>
      <c r="I39" s="137">
        <f>SUM(I40)</f>
        <v>625382</v>
      </c>
      <c r="J39" s="138">
        <f t="shared" ref="J39:R39" si="11">SUM(J40)</f>
        <v>625382</v>
      </c>
      <c r="K39" s="139">
        <f t="shared" si="11"/>
        <v>773649</v>
      </c>
      <c r="L39" s="137">
        <f t="shared" si="11"/>
        <v>795965</v>
      </c>
      <c r="M39" s="138">
        <f t="shared" si="11"/>
        <v>795965</v>
      </c>
      <c r="N39" s="139">
        <f>SUM(N40)</f>
        <v>784644</v>
      </c>
      <c r="O39" s="140">
        <f t="shared" si="11"/>
        <v>0</v>
      </c>
      <c r="P39" s="141">
        <f t="shared" si="11"/>
        <v>1505494</v>
      </c>
      <c r="Q39" s="140">
        <f t="shared" si="11"/>
        <v>0</v>
      </c>
      <c r="R39" s="141">
        <f t="shared" si="11"/>
        <v>1505194</v>
      </c>
      <c r="S39" s="87"/>
    </row>
    <row r="40" spans="1:25" s="21" customFormat="1" ht="12" x14ac:dyDescent="0.2">
      <c r="A40" s="59">
        <v>1</v>
      </c>
      <c r="B40" s="60" t="s">
        <v>102</v>
      </c>
      <c r="C40" s="61"/>
      <c r="D40" s="61"/>
      <c r="E40" s="62"/>
      <c r="F40" s="63">
        <f t="shared" ref="F40:R40" si="12">SUM(F41:F41)</f>
        <v>1421347</v>
      </c>
      <c r="G40" s="64">
        <f t="shared" si="12"/>
        <v>1758293</v>
      </c>
      <c r="H40" s="65">
        <f t="shared" si="12"/>
        <v>1558293</v>
      </c>
      <c r="I40" s="63">
        <f t="shared" si="12"/>
        <v>625382</v>
      </c>
      <c r="J40" s="64">
        <f t="shared" si="12"/>
        <v>625382</v>
      </c>
      <c r="K40" s="65">
        <f t="shared" si="12"/>
        <v>773649</v>
      </c>
      <c r="L40" s="63">
        <f t="shared" si="12"/>
        <v>795965</v>
      </c>
      <c r="M40" s="64">
        <f t="shared" si="12"/>
        <v>795965</v>
      </c>
      <c r="N40" s="65">
        <f>SUM(N41:N41)</f>
        <v>784644</v>
      </c>
      <c r="O40" s="94"/>
      <c r="P40" s="95">
        <f t="shared" si="12"/>
        <v>1505494</v>
      </c>
      <c r="Q40" s="94"/>
      <c r="R40" s="95">
        <f t="shared" si="12"/>
        <v>1505194</v>
      </c>
      <c r="S40" s="87"/>
    </row>
    <row r="41" spans="1:25" s="21" customFormat="1" ht="36" x14ac:dyDescent="0.2">
      <c r="A41" s="123">
        <v>1.1000000000000001</v>
      </c>
      <c r="B41" s="142" t="s">
        <v>103</v>
      </c>
      <c r="C41" s="143" t="s">
        <v>104</v>
      </c>
      <c r="D41" s="143" t="s">
        <v>105</v>
      </c>
      <c r="E41" s="124" t="s">
        <v>106</v>
      </c>
      <c r="F41" s="125">
        <f>SUM(J41+M41)</f>
        <v>1421347</v>
      </c>
      <c r="G41" s="144">
        <v>1758293</v>
      </c>
      <c r="H41" s="114">
        <f>SUM(K41+N41)</f>
        <v>1558293</v>
      </c>
      <c r="I41" s="125">
        <v>625382</v>
      </c>
      <c r="J41" s="144">
        <v>625382</v>
      </c>
      <c r="K41" s="114">
        <v>773649</v>
      </c>
      <c r="L41" s="125">
        <v>795965</v>
      </c>
      <c r="M41" s="144">
        <v>795965</v>
      </c>
      <c r="N41" s="114">
        <f>984644-200000</f>
        <v>784644</v>
      </c>
      <c r="O41" s="123" t="s">
        <v>104</v>
      </c>
      <c r="P41" s="126">
        <v>1505494</v>
      </c>
      <c r="Q41" s="123" t="s">
        <v>104</v>
      </c>
      <c r="R41" s="126">
        <v>1505194</v>
      </c>
      <c r="S41" s="145" t="s">
        <v>33</v>
      </c>
    </row>
    <row r="42" spans="1:25" x14ac:dyDescent="0.25">
      <c r="A42" s="146" t="s">
        <v>107</v>
      </c>
      <c r="B42" s="147"/>
      <c r="C42" s="127"/>
      <c r="D42" s="127"/>
      <c r="E42" s="128"/>
      <c r="F42" s="129"/>
      <c r="G42" s="130"/>
      <c r="H42" s="131"/>
      <c r="I42" s="132"/>
      <c r="J42" s="130"/>
      <c r="K42" s="133"/>
      <c r="L42" s="132"/>
      <c r="M42" s="130"/>
      <c r="N42" s="133"/>
      <c r="O42" s="132"/>
      <c r="P42" s="133"/>
      <c r="Q42" s="132"/>
      <c r="R42" s="128"/>
      <c r="S42" s="134"/>
    </row>
    <row r="43" spans="1:25" x14ac:dyDescent="0.25">
      <c r="A43" s="1707"/>
      <c r="B43" s="1708"/>
      <c r="C43" s="1708"/>
      <c r="D43" s="135"/>
      <c r="E43" s="136" t="s">
        <v>21</v>
      </c>
      <c r="F43" s="137">
        <f t="shared" ref="F43:R43" si="13">SUM(F44:F44)</f>
        <v>808099</v>
      </c>
      <c r="G43" s="138">
        <f t="shared" si="13"/>
        <v>770234</v>
      </c>
      <c r="H43" s="139">
        <f t="shared" si="13"/>
        <v>770234</v>
      </c>
      <c r="I43" s="137">
        <f t="shared" si="13"/>
        <v>235000</v>
      </c>
      <c r="J43" s="138">
        <f t="shared" si="13"/>
        <v>235000</v>
      </c>
      <c r="K43" s="139">
        <f t="shared" si="13"/>
        <v>243000</v>
      </c>
      <c r="L43" s="137">
        <f t="shared" si="13"/>
        <v>573099</v>
      </c>
      <c r="M43" s="138">
        <f t="shared" si="13"/>
        <v>573099</v>
      </c>
      <c r="N43" s="139">
        <f t="shared" si="13"/>
        <v>527234</v>
      </c>
      <c r="O43" s="137">
        <f t="shared" si="13"/>
        <v>0</v>
      </c>
      <c r="P43" s="139">
        <f t="shared" si="13"/>
        <v>0</v>
      </c>
      <c r="Q43" s="137">
        <f t="shared" si="13"/>
        <v>0</v>
      </c>
      <c r="R43" s="139">
        <f t="shared" si="13"/>
        <v>0</v>
      </c>
      <c r="S43" s="87"/>
    </row>
    <row r="44" spans="1:25" ht="24" x14ac:dyDescent="0.25">
      <c r="A44" s="123">
        <v>1</v>
      </c>
      <c r="B44" s="148" t="s">
        <v>108</v>
      </c>
      <c r="C44" s="149"/>
      <c r="D44" s="149"/>
      <c r="E44" s="124"/>
      <c r="F44" s="125">
        <f>SUM(J44+M44)</f>
        <v>808099</v>
      </c>
      <c r="G44" s="144">
        <v>770234</v>
      </c>
      <c r="H44" s="114">
        <f t="shared" ref="H44" si="14">SUM(K44+N44)</f>
        <v>770234</v>
      </c>
      <c r="I44" s="125">
        <v>235000</v>
      </c>
      <c r="J44" s="144">
        <v>235000</v>
      </c>
      <c r="K44" s="114">
        <v>243000</v>
      </c>
      <c r="L44" s="125">
        <v>573099</v>
      </c>
      <c r="M44" s="144">
        <v>573099</v>
      </c>
      <c r="N44" s="114">
        <v>527234</v>
      </c>
      <c r="O44" s="150"/>
      <c r="P44" s="126"/>
      <c r="Q44" s="150"/>
      <c r="R44" s="126"/>
      <c r="S44" s="145"/>
    </row>
    <row r="46" spans="1:25" x14ac:dyDescent="0.25">
      <c r="A46" s="151" t="s">
        <v>109</v>
      </c>
    </row>
    <row r="47" spans="1:25" x14ac:dyDescent="0.25">
      <c r="A47" s="152" t="s">
        <v>110</v>
      </c>
      <c r="B47" s="152"/>
      <c r="C47" s="152"/>
      <c r="D47" s="153"/>
      <c r="E47" s="153"/>
      <c r="F47" s="154"/>
      <c r="G47" s="154"/>
      <c r="H47" s="154"/>
      <c r="I47" s="155"/>
      <c r="J47" s="155"/>
    </row>
    <row r="48" spans="1:25" x14ac:dyDescent="0.25">
      <c r="A48" s="152"/>
      <c r="B48" s="152" t="s">
        <v>111</v>
      </c>
      <c r="C48" s="152"/>
      <c r="D48" s="153"/>
      <c r="E48" s="153"/>
      <c r="F48" s="154"/>
      <c r="G48" s="154"/>
      <c r="H48" s="154"/>
      <c r="I48" s="155"/>
      <c r="J48" s="155"/>
    </row>
    <row r="49" spans="1:11" x14ac:dyDescent="0.25">
      <c r="A49" s="156"/>
      <c r="B49" s="152" t="s">
        <v>112</v>
      </c>
      <c r="C49" s="152"/>
      <c r="D49" s="157"/>
      <c r="E49" s="157"/>
      <c r="F49" s="157"/>
      <c r="G49" s="157"/>
      <c r="H49" s="157"/>
      <c r="I49" s="157"/>
    </row>
    <row r="50" spans="1:11" x14ac:dyDescent="0.25">
      <c r="A50" s="152"/>
      <c r="B50" s="152" t="s">
        <v>113</v>
      </c>
      <c r="C50" s="152"/>
      <c r="D50" s="153"/>
      <c r="E50" s="153"/>
      <c r="F50" s="154"/>
      <c r="G50" s="154"/>
      <c r="H50" s="154"/>
      <c r="I50" s="155"/>
      <c r="J50" s="155"/>
    </row>
    <row r="51" spans="1:11" x14ac:dyDescent="0.25">
      <c r="A51" s="152"/>
      <c r="B51" s="152" t="s">
        <v>114</v>
      </c>
      <c r="C51" s="158"/>
      <c r="D51" s="156"/>
      <c r="E51" s="156"/>
      <c r="F51" s="156"/>
      <c r="G51" s="156"/>
      <c r="H51" s="156"/>
      <c r="J51" s="159"/>
    </row>
    <row r="52" spans="1:11" x14ac:dyDescent="0.25">
      <c r="A52" s="152"/>
      <c r="B52" s="152" t="s">
        <v>115</v>
      </c>
      <c r="C52" s="152"/>
      <c r="D52" s="153"/>
      <c r="E52" s="153"/>
      <c r="F52" s="154"/>
      <c r="G52" s="154"/>
      <c r="H52" s="154"/>
      <c r="I52" s="155"/>
      <c r="J52" s="155"/>
    </row>
    <row r="53" spans="1:11" x14ac:dyDescent="0.25">
      <c r="A53" s="152"/>
      <c r="B53" s="152" t="s">
        <v>116</v>
      </c>
      <c r="C53" s="158"/>
      <c r="D53" s="158"/>
      <c r="E53" s="158"/>
      <c r="F53" s="158"/>
      <c r="G53" s="158"/>
      <c r="H53" s="158"/>
      <c r="I53" s="158"/>
      <c r="J53" s="158"/>
      <c r="K53" s="158"/>
    </row>
  </sheetData>
  <sheetProtection algorithmName="SHA-512" hashValue="B/EylLDUNzldnXCA2/CgIqseSjXLY84ovuUBfuRc3E2y6UruWEeKM+/3/+vZpzkbQF06356GGe7ziL6K1zv1sQ==" saltValue="i13x5CrX5HstFJ/SVKvNQg==" spinCount="100000" sheet="1" objects="1" scenarios="1" formatCells="0"/>
  <mergeCells count="21">
    <mergeCell ref="A38:B38"/>
    <mergeCell ref="A39:C39"/>
    <mergeCell ref="A43:C43"/>
    <mergeCell ref="S4:S5"/>
    <mergeCell ref="C6:E6"/>
    <mergeCell ref="A7:B7"/>
    <mergeCell ref="A29:A31"/>
    <mergeCell ref="B29:B31"/>
    <mergeCell ref="A8:B8"/>
    <mergeCell ref="P1:Q1"/>
    <mergeCell ref="C2:Q2"/>
    <mergeCell ref="A4:A5"/>
    <mergeCell ref="B4:B5"/>
    <mergeCell ref="C4:C5"/>
    <mergeCell ref="D4:D5"/>
    <mergeCell ref="E4:E5"/>
    <mergeCell ref="F4:H4"/>
    <mergeCell ref="I4:K4"/>
    <mergeCell ref="L4:N4"/>
    <mergeCell ref="O4:P4"/>
    <mergeCell ref="Q4:R4"/>
  </mergeCells>
  <printOptions horizontalCentered="1"/>
  <pageMargins left="0.19685039370078741" right="0.11811023622047245" top="0.59055118110236227" bottom="0.39370078740157483" header="0.23622047244094491" footer="0.23622047244094491"/>
  <pageSetup paperSize="9" scale="53" orientation="portrait" r:id="rId1"/>
  <headerFooter>
    <oddHeader xml:space="preserve">&amp;R&amp;"Times New Roman,Regular"&amp;10
 3.pielikums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164"/>
  <sheetViews>
    <sheetView view="pageLayout" zoomScaleNormal="100" workbookViewId="0">
      <selection activeCell="P1" sqref="P1"/>
    </sheetView>
  </sheetViews>
  <sheetFormatPr defaultRowHeight="12" x14ac:dyDescent="0.25"/>
  <cols>
    <col min="1" max="1" width="3.85546875" style="475" customWidth="1"/>
    <col min="2" max="2" width="23" style="475" customWidth="1"/>
    <col min="3" max="3" width="11.42578125" style="475" customWidth="1"/>
    <col min="4" max="4" width="11" style="508" hidden="1" customWidth="1"/>
    <col min="5" max="5" width="10.28515625" style="508" hidden="1" customWidth="1"/>
    <col min="6" max="6" width="10.85546875" style="508" hidden="1" customWidth="1"/>
    <col min="7" max="7" width="9.7109375" style="508" hidden="1" customWidth="1"/>
    <col min="8" max="8" width="10.5703125" style="508" hidden="1" customWidth="1"/>
    <col min="9" max="9" width="10.85546875" style="475" hidden="1" customWidth="1"/>
    <col min="10" max="10" width="11.5703125" style="475" customWidth="1"/>
    <col min="11" max="11" width="11" style="475" customWidth="1"/>
    <col min="12" max="12" width="10.7109375" style="475" customWidth="1"/>
    <col min="13" max="13" width="17.5703125" style="1570" customWidth="1"/>
    <col min="14" max="14" width="32.140625" style="475" hidden="1" customWidth="1"/>
    <col min="15" max="16384" width="9.140625" style="475"/>
  </cols>
  <sheetData>
    <row r="1" spans="1:16" x14ac:dyDescent="0.25">
      <c r="A1" s="1894" t="s">
        <v>1195</v>
      </c>
      <c r="B1" s="1894"/>
      <c r="C1" s="1511" t="s">
        <v>118</v>
      </c>
      <c r="D1" s="474"/>
      <c r="E1" s="475"/>
      <c r="F1" s="475"/>
      <c r="G1" s="476"/>
      <c r="H1" s="475"/>
    </row>
    <row r="2" spans="1:16" x14ac:dyDescent="0.25">
      <c r="A2" s="1894" t="s">
        <v>1196</v>
      </c>
      <c r="B2" s="1894"/>
      <c r="C2" s="1511">
        <v>90000056357</v>
      </c>
      <c r="D2" s="474"/>
      <c r="E2" s="475"/>
      <c r="F2" s="475"/>
      <c r="G2" s="476"/>
      <c r="H2" s="475"/>
    </row>
    <row r="3" spans="1:16" ht="15.75" x14ac:dyDescent="0.25">
      <c r="A3" s="1895" t="s">
        <v>120</v>
      </c>
      <c r="B3" s="1895"/>
      <c r="C3" s="1895"/>
      <c r="D3" s="1895"/>
      <c r="E3" s="1895"/>
      <c r="F3" s="1895"/>
      <c r="G3" s="1895"/>
      <c r="H3" s="1895"/>
      <c r="I3" s="1895"/>
      <c r="J3" s="1895"/>
      <c r="K3" s="1895"/>
      <c r="L3" s="1895"/>
      <c r="M3" s="1895"/>
      <c r="N3" s="1895"/>
    </row>
    <row r="4" spans="1:16" ht="15.75" x14ac:dyDescent="0.25">
      <c r="A4" s="477"/>
      <c r="B4" s="477"/>
      <c r="C4" s="1428"/>
      <c r="D4" s="477"/>
      <c r="E4" s="477"/>
      <c r="F4" s="477"/>
      <c r="G4" s="478"/>
      <c r="H4" s="477"/>
      <c r="I4" s="477"/>
      <c r="J4" s="477"/>
      <c r="K4" s="477"/>
      <c r="L4" s="477"/>
      <c r="M4" s="478"/>
      <c r="N4" s="477"/>
    </row>
    <row r="5" spans="1:16" ht="15.75" x14ac:dyDescent="0.25">
      <c r="A5" s="1894" t="s">
        <v>121</v>
      </c>
      <c r="B5" s="1894"/>
      <c r="C5" s="479" t="s">
        <v>1197</v>
      </c>
      <c r="D5" s="479"/>
      <c r="E5" s="480"/>
      <c r="F5" s="480"/>
      <c r="G5" s="481"/>
      <c r="H5" s="480"/>
      <c r="I5" s="480"/>
      <c r="J5" s="480"/>
      <c r="K5" s="480"/>
      <c r="L5" s="480"/>
      <c r="M5" s="1571"/>
      <c r="N5" s="480"/>
    </row>
    <row r="6" spans="1:16" x14ac:dyDescent="0.25">
      <c r="A6" s="1894" t="s">
        <v>123</v>
      </c>
      <c r="B6" s="1894"/>
      <c r="C6" s="1511" t="s">
        <v>1198</v>
      </c>
      <c r="D6" s="474"/>
      <c r="E6" s="475"/>
      <c r="F6" s="475"/>
      <c r="G6" s="476"/>
      <c r="H6" s="475"/>
    </row>
    <row r="7" spans="1:16" x14ac:dyDescent="0.25">
      <c r="A7" s="1894" t="s">
        <v>125</v>
      </c>
      <c r="B7" s="1894"/>
      <c r="C7" s="482" t="s">
        <v>809</v>
      </c>
      <c r="D7" s="482"/>
      <c r="E7" s="483"/>
      <c r="F7" s="483"/>
      <c r="G7" s="484"/>
      <c r="H7" s="483"/>
      <c r="I7" s="483"/>
      <c r="J7" s="483"/>
      <c r="K7" s="483"/>
      <c r="L7" s="483"/>
      <c r="M7" s="1572"/>
      <c r="N7" s="483"/>
    </row>
    <row r="8" spans="1:16" s="485" customFormat="1" ht="36" customHeight="1" x14ac:dyDescent="0.2">
      <c r="A8" s="1900" t="s">
        <v>1</v>
      </c>
      <c r="B8" s="1912" t="s">
        <v>127</v>
      </c>
      <c r="C8" s="1913"/>
      <c r="D8" s="1908" t="s">
        <v>520</v>
      </c>
      <c r="E8" s="1909"/>
      <c r="F8" s="1910" t="s">
        <v>521</v>
      </c>
      <c r="G8" s="1911"/>
      <c r="H8" s="1912" t="s">
        <v>522</v>
      </c>
      <c r="I8" s="1913"/>
      <c r="J8" s="1900" t="s">
        <v>129</v>
      </c>
      <c r="K8" s="1896" t="s">
        <v>3357</v>
      </c>
      <c r="L8" s="1897"/>
      <c r="M8" s="1898" t="s">
        <v>11</v>
      </c>
      <c r="N8" s="1900" t="s">
        <v>131</v>
      </c>
    </row>
    <row r="9" spans="1:16" s="485" customFormat="1" ht="24" x14ac:dyDescent="0.2">
      <c r="A9" s="1901"/>
      <c r="B9" s="1914"/>
      <c r="C9" s="1915"/>
      <c r="D9" s="486" t="s">
        <v>524</v>
      </c>
      <c r="E9" s="486" t="s">
        <v>525</v>
      </c>
      <c r="F9" s="486" t="s">
        <v>524</v>
      </c>
      <c r="G9" s="486" t="s">
        <v>525</v>
      </c>
      <c r="H9" s="486" t="s">
        <v>524</v>
      </c>
      <c r="I9" s="487" t="s">
        <v>525</v>
      </c>
      <c r="J9" s="1901"/>
      <c r="K9" s="487" t="s">
        <v>524</v>
      </c>
      <c r="L9" s="487" t="s">
        <v>525</v>
      </c>
      <c r="M9" s="1899"/>
      <c r="N9" s="1901"/>
    </row>
    <row r="10" spans="1:16" ht="12.75" customHeight="1" x14ac:dyDescent="0.25">
      <c r="A10" s="1916" t="s">
        <v>132</v>
      </c>
      <c r="B10" s="1917"/>
      <c r="C10" s="1918"/>
      <c r="D10" s="488">
        <f t="shared" ref="D10:I10" si="0">SUM(D11:D33)</f>
        <v>553002</v>
      </c>
      <c r="E10" s="488">
        <f t="shared" si="0"/>
        <v>37070</v>
      </c>
      <c r="F10" s="488">
        <f t="shared" si="0"/>
        <v>486666</v>
      </c>
      <c r="G10" s="488">
        <f t="shared" si="0"/>
        <v>37070</v>
      </c>
      <c r="H10" s="488">
        <f t="shared" si="0"/>
        <v>466245</v>
      </c>
      <c r="I10" s="489">
        <f t="shared" si="0"/>
        <v>39248</v>
      </c>
      <c r="J10" s="489"/>
      <c r="K10" s="489">
        <f>SUM(K11:K33)</f>
        <v>434630</v>
      </c>
      <c r="L10" s="489">
        <f>SUM(L11:L33)</f>
        <v>39248</v>
      </c>
      <c r="M10" s="1573"/>
      <c r="N10" s="490"/>
    </row>
    <row r="11" spans="1:16" ht="54" customHeight="1" x14ac:dyDescent="0.25">
      <c r="A11" s="491">
        <v>1</v>
      </c>
      <c r="B11" s="1919" t="s">
        <v>1199</v>
      </c>
      <c r="C11" s="1920"/>
      <c r="D11" s="492">
        <v>16100</v>
      </c>
      <c r="E11" s="492"/>
      <c r="F11" s="492">
        <v>13000</v>
      </c>
      <c r="G11" s="492"/>
      <c r="H11" s="492">
        <v>12000</v>
      </c>
      <c r="I11" s="493"/>
      <c r="J11" s="494">
        <v>2244</v>
      </c>
      <c r="K11" s="493">
        <v>12000</v>
      </c>
      <c r="L11" s="493"/>
      <c r="M11" s="1569" t="s">
        <v>3362</v>
      </c>
      <c r="N11" s="495" t="s">
        <v>1200</v>
      </c>
      <c r="P11" s="496"/>
    </row>
    <row r="12" spans="1:16" ht="30" customHeight="1" x14ac:dyDescent="0.25">
      <c r="A12" s="491">
        <v>2</v>
      </c>
      <c r="B12" s="1919" t="s">
        <v>1201</v>
      </c>
      <c r="C12" s="1920"/>
      <c r="D12" s="492">
        <v>8000</v>
      </c>
      <c r="E12" s="492"/>
      <c r="F12" s="492">
        <v>8000</v>
      </c>
      <c r="G12" s="492"/>
      <c r="H12" s="492">
        <v>8000</v>
      </c>
      <c r="I12" s="493"/>
      <c r="J12" s="497">
        <v>2239</v>
      </c>
      <c r="K12" s="493">
        <v>6200</v>
      </c>
      <c r="L12" s="493"/>
      <c r="M12" s="1569" t="s">
        <v>3363</v>
      </c>
      <c r="N12" s="495" t="s">
        <v>1202</v>
      </c>
    </row>
    <row r="13" spans="1:16" ht="15.75" customHeight="1" x14ac:dyDescent="0.25">
      <c r="A13" s="1902">
        <v>3</v>
      </c>
      <c r="B13" s="1921" t="s">
        <v>1203</v>
      </c>
      <c r="C13" s="1922"/>
      <c r="D13" s="492">
        <v>4700</v>
      </c>
      <c r="E13" s="492"/>
      <c r="F13" s="492">
        <v>4700</v>
      </c>
      <c r="G13" s="492"/>
      <c r="H13" s="492">
        <v>4700</v>
      </c>
      <c r="I13" s="498"/>
      <c r="J13" s="497">
        <v>2312</v>
      </c>
      <c r="K13" s="493">
        <v>3500</v>
      </c>
      <c r="L13" s="493"/>
      <c r="M13" s="1904" t="s">
        <v>3364</v>
      </c>
      <c r="N13" s="1906" t="s">
        <v>1204</v>
      </c>
    </row>
    <row r="14" spans="1:16" ht="15.75" customHeight="1" x14ac:dyDescent="0.25">
      <c r="A14" s="1903"/>
      <c r="B14" s="1923"/>
      <c r="C14" s="1924"/>
      <c r="D14" s="492">
        <v>3300</v>
      </c>
      <c r="E14" s="492"/>
      <c r="F14" s="492">
        <v>3300</v>
      </c>
      <c r="G14" s="492"/>
      <c r="H14" s="492">
        <v>3300</v>
      </c>
      <c r="I14" s="498"/>
      <c r="J14" s="494">
        <v>2239</v>
      </c>
      <c r="K14" s="493">
        <v>2235</v>
      </c>
      <c r="L14" s="493"/>
      <c r="M14" s="1905"/>
      <c r="N14" s="1907"/>
    </row>
    <row r="15" spans="1:16" ht="20.25" customHeight="1" x14ac:dyDescent="0.2">
      <c r="A15" s="491">
        <v>4</v>
      </c>
      <c r="B15" s="1919" t="s">
        <v>1205</v>
      </c>
      <c r="C15" s="1920"/>
      <c r="D15" s="492">
        <v>28826</v>
      </c>
      <c r="E15" s="492"/>
      <c r="F15" s="492">
        <v>28826</v>
      </c>
      <c r="G15" s="492"/>
      <c r="H15" s="492">
        <v>33869</v>
      </c>
      <c r="I15" s="493"/>
      <c r="J15" s="497">
        <v>2263</v>
      </c>
      <c r="K15" s="493">
        <v>33869</v>
      </c>
      <c r="L15" s="493"/>
      <c r="M15" s="1569" t="s">
        <v>1536</v>
      </c>
      <c r="N15" s="499"/>
    </row>
    <row r="16" spans="1:16" ht="22.5" customHeight="1" x14ac:dyDescent="0.2">
      <c r="A16" s="491">
        <v>5</v>
      </c>
      <c r="B16" s="1919" t="s">
        <v>1206</v>
      </c>
      <c r="C16" s="1920"/>
      <c r="D16" s="492">
        <v>3956</v>
      </c>
      <c r="E16" s="492"/>
      <c r="F16" s="492">
        <v>3956</v>
      </c>
      <c r="G16" s="492"/>
      <c r="H16" s="492">
        <v>10259</v>
      </c>
      <c r="I16" s="493"/>
      <c r="J16" s="497">
        <v>2269</v>
      </c>
      <c r="K16" s="493">
        <v>10259</v>
      </c>
      <c r="L16" s="493"/>
      <c r="M16" s="1569" t="s">
        <v>1536</v>
      </c>
      <c r="N16" s="500"/>
    </row>
    <row r="17" spans="1:14" ht="25.5" customHeight="1" x14ac:dyDescent="0.2">
      <c r="A17" s="501">
        <v>6</v>
      </c>
      <c r="B17" s="1919" t="s">
        <v>1207</v>
      </c>
      <c r="C17" s="1920"/>
      <c r="D17" s="502">
        <v>56846</v>
      </c>
      <c r="E17" s="502">
        <v>37070</v>
      </c>
      <c r="F17" s="502">
        <v>56846</v>
      </c>
      <c r="G17" s="502">
        <v>37070</v>
      </c>
      <c r="H17" s="502">
        <v>56846</v>
      </c>
      <c r="I17" s="503">
        <v>39248</v>
      </c>
      <c r="J17" s="504">
        <v>2261</v>
      </c>
      <c r="K17" s="503">
        <v>56846</v>
      </c>
      <c r="L17" s="503">
        <v>39248</v>
      </c>
      <c r="M17" s="1574" t="s">
        <v>1536</v>
      </c>
      <c r="N17" s="500"/>
    </row>
    <row r="18" spans="1:14" ht="18.75" customHeight="1" x14ac:dyDescent="0.25">
      <c r="A18" s="1927">
        <v>7</v>
      </c>
      <c r="B18" s="1921" t="s">
        <v>1208</v>
      </c>
      <c r="C18" s="1922"/>
      <c r="D18" s="492">
        <v>12000</v>
      </c>
      <c r="E18" s="492"/>
      <c r="F18" s="492">
        <v>12000</v>
      </c>
      <c r="G18" s="492"/>
      <c r="H18" s="492">
        <v>13200</v>
      </c>
      <c r="I18" s="493"/>
      <c r="J18" s="497">
        <v>2221</v>
      </c>
      <c r="K18" s="493">
        <v>10500</v>
      </c>
      <c r="L18" s="492"/>
      <c r="M18" s="1928" t="s">
        <v>1536</v>
      </c>
      <c r="N18" s="1929"/>
    </row>
    <row r="19" spans="1:14" ht="18.75" customHeight="1" x14ac:dyDescent="0.25">
      <c r="A19" s="1927"/>
      <c r="B19" s="1935"/>
      <c r="C19" s="1936"/>
      <c r="D19" s="492">
        <v>2006</v>
      </c>
      <c r="E19" s="492"/>
      <c r="F19" s="492">
        <v>2006</v>
      </c>
      <c r="G19" s="492"/>
      <c r="H19" s="492">
        <v>2000</v>
      </c>
      <c r="I19" s="493"/>
      <c r="J19" s="497">
        <v>2222</v>
      </c>
      <c r="K19" s="493">
        <v>2000</v>
      </c>
      <c r="L19" s="492"/>
      <c r="M19" s="1928"/>
      <c r="N19" s="1929"/>
    </row>
    <row r="20" spans="1:14" ht="18.75" customHeight="1" x14ac:dyDescent="0.25">
      <c r="A20" s="1927"/>
      <c r="B20" s="1935"/>
      <c r="C20" s="1936"/>
      <c r="D20" s="492">
        <v>13000</v>
      </c>
      <c r="E20" s="492"/>
      <c r="F20" s="492">
        <v>13000</v>
      </c>
      <c r="G20" s="492"/>
      <c r="H20" s="492">
        <v>12020</v>
      </c>
      <c r="I20" s="493"/>
      <c r="J20" s="497">
        <v>2223</v>
      </c>
      <c r="K20" s="493">
        <v>12000</v>
      </c>
      <c r="L20" s="492"/>
      <c r="M20" s="1928"/>
      <c r="N20" s="1929"/>
    </row>
    <row r="21" spans="1:14" ht="18.75" hidden="1" customHeight="1" x14ac:dyDescent="0.25">
      <c r="A21" s="1927"/>
      <c r="B21" s="1935"/>
      <c r="C21" s="1936"/>
      <c r="D21" s="492">
        <v>2548</v>
      </c>
      <c r="E21" s="492"/>
      <c r="F21" s="492">
        <v>2540</v>
      </c>
      <c r="G21" s="492"/>
      <c r="H21" s="492">
        <v>0</v>
      </c>
      <c r="I21" s="493"/>
      <c r="J21" s="497">
        <v>5239</v>
      </c>
      <c r="K21" s="493"/>
      <c r="L21" s="492"/>
      <c r="M21" s="1928"/>
      <c r="N21" s="1929"/>
    </row>
    <row r="22" spans="1:14" ht="18.75" customHeight="1" x14ac:dyDescent="0.25">
      <c r="A22" s="1927"/>
      <c r="B22" s="1935"/>
      <c r="C22" s="1936"/>
      <c r="D22" s="492">
        <v>500</v>
      </c>
      <c r="E22" s="492"/>
      <c r="F22" s="492">
        <v>500</v>
      </c>
      <c r="G22" s="492"/>
      <c r="H22" s="492">
        <v>400</v>
      </c>
      <c r="I22" s="493"/>
      <c r="J22" s="497">
        <v>2243</v>
      </c>
      <c r="K22" s="493">
        <v>400</v>
      </c>
      <c r="L22" s="492"/>
      <c r="M22" s="1928"/>
      <c r="N22" s="1929"/>
    </row>
    <row r="23" spans="1:14" ht="18.75" customHeight="1" x14ac:dyDescent="0.25">
      <c r="A23" s="1927"/>
      <c r="B23" s="1935"/>
      <c r="C23" s="1936"/>
      <c r="D23" s="1930">
        <v>293020</v>
      </c>
      <c r="E23" s="492"/>
      <c r="F23" s="492">
        <v>265020</v>
      </c>
      <c r="G23" s="492"/>
      <c r="H23" s="492">
        <f>206736+53630</f>
        <v>260366</v>
      </c>
      <c r="I23" s="492"/>
      <c r="J23" s="505">
        <v>2244</v>
      </c>
      <c r="K23" s="492">
        <f>206736+32630</f>
        <v>239366</v>
      </c>
      <c r="L23" s="492"/>
      <c r="M23" s="1928"/>
      <c r="N23" s="1929"/>
    </row>
    <row r="24" spans="1:14" ht="30" hidden="1" customHeight="1" x14ac:dyDescent="0.25">
      <c r="A24" s="1927"/>
      <c r="B24" s="1923"/>
      <c r="C24" s="1924"/>
      <c r="D24" s="1931"/>
      <c r="E24" s="492"/>
      <c r="F24" s="492">
        <v>28000</v>
      </c>
      <c r="G24" s="492"/>
      <c r="H24" s="492"/>
      <c r="I24" s="492"/>
      <c r="J24" s="505">
        <v>2244</v>
      </c>
      <c r="K24" s="492"/>
      <c r="L24" s="492"/>
      <c r="M24" s="1928"/>
      <c r="N24" s="1929"/>
    </row>
    <row r="25" spans="1:14" s="508" customFormat="1" ht="15" hidden="1" customHeight="1" x14ac:dyDescent="0.25">
      <c r="A25" s="506">
        <v>8</v>
      </c>
      <c r="B25" s="1937" t="s">
        <v>1209</v>
      </c>
      <c r="C25" s="1938"/>
      <c r="D25" s="492">
        <v>50000</v>
      </c>
      <c r="E25" s="492"/>
      <c r="F25" s="492">
        <v>0</v>
      </c>
      <c r="G25" s="492"/>
      <c r="H25" s="492">
        <v>0</v>
      </c>
      <c r="I25" s="492"/>
      <c r="J25" s="505">
        <v>2261</v>
      </c>
      <c r="K25" s="492"/>
      <c r="L25" s="492"/>
      <c r="M25" s="1575" t="s">
        <v>1210</v>
      </c>
      <c r="N25" s="1060" t="s">
        <v>1211</v>
      </c>
    </row>
    <row r="26" spans="1:14" ht="39" customHeight="1" x14ac:dyDescent="0.25">
      <c r="A26" s="1932">
        <v>8</v>
      </c>
      <c r="B26" s="1921" t="s">
        <v>1212</v>
      </c>
      <c r="C26" s="1922"/>
      <c r="D26" s="509">
        <v>11600</v>
      </c>
      <c r="E26" s="509"/>
      <c r="F26" s="509">
        <v>9000</v>
      </c>
      <c r="G26" s="509"/>
      <c r="H26" s="509">
        <v>15885</v>
      </c>
      <c r="I26" s="510"/>
      <c r="J26" s="511">
        <v>2244</v>
      </c>
      <c r="K26" s="1581">
        <f>14385+500+1000</f>
        <v>15885</v>
      </c>
      <c r="L26" s="512"/>
      <c r="M26" s="1904" t="s">
        <v>3365</v>
      </c>
      <c r="N26" s="513" t="s">
        <v>1213</v>
      </c>
    </row>
    <row r="27" spans="1:14" ht="14.25" hidden="1" customHeight="1" x14ac:dyDescent="0.25">
      <c r="A27" s="1933"/>
      <c r="B27" s="1923"/>
      <c r="C27" s="1924"/>
      <c r="D27" s="514"/>
      <c r="E27" s="514"/>
      <c r="F27" s="514"/>
      <c r="G27" s="514"/>
      <c r="H27" s="514"/>
      <c r="I27" s="515"/>
      <c r="J27" s="516"/>
      <c r="K27" s="517"/>
      <c r="L27" s="517"/>
      <c r="M27" s="1934"/>
      <c r="N27" s="1061" t="s">
        <v>1214</v>
      </c>
    </row>
    <row r="28" spans="1:14" ht="28.5" customHeight="1" x14ac:dyDescent="0.25">
      <c r="A28" s="518">
        <v>9</v>
      </c>
      <c r="B28" s="1919" t="s">
        <v>1215</v>
      </c>
      <c r="C28" s="1920"/>
      <c r="D28" s="519">
        <v>18000</v>
      </c>
      <c r="E28" s="519"/>
      <c r="F28" s="519">
        <v>10000</v>
      </c>
      <c r="G28" s="519"/>
      <c r="H28" s="519">
        <v>10000</v>
      </c>
      <c r="I28" s="520"/>
      <c r="J28" s="494">
        <v>2244</v>
      </c>
      <c r="K28" s="493">
        <v>10000</v>
      </c>
      <c r="L28" s="493"/>
      <c r="M28" s="1569" t="s">
        <v>1536</v>
      </c>
      <c r="N28" s="507" t="s">
        <v>1216</v>
      </c>
    </row>
    <row r="29" spans="1:14" ht="46.5" customHeight="1" x14ac:dyDescent="0.2">
      <c r="A29" s="518">
        <v>10</v>
      </c>
      <c r="B29" s="1919" t="s">
        <v>1217</v>
      </c>
      <c r="C29" s="1920"/>
      <c r="D29" s="519">
        <v>19010</v>
      </c>
      <c r="E29" s="519"/>
      <c r="F29" s="519">
        <v>19010</v>
      </c>
      <c r="G29" s="519"/>
      <c r="H29" s="519">
        <v>15000</v>
      </c>
      <c r="I29" s="520"/>
      <c r="J29" s="494">
        <v>2244</v>
      </c>
      <c r="K29" s="493">
        <v>12000</v>
      </c>
      <c r="L29" s="493"/>
      <c r="M29" s="1569" t="s">
        <v>3366</v>
      </c>
      <c r="N29" s="521" t="s">
        <v>1218</v>
      </c>
    </row>
    <row r="30" spans="1:14" ht="62.25" customHeight="1" x14ac:dyDescent="0.25">
      <c r="A30" s="518">
        <v>11</v>
      </c>
      <c r="B30" s="1919" t="s">
        <v>1219</v>
      </c>
      <c r="C30" s="1920"/>
      <c r="D30" s="519">
        <v>5490</v>
      </c>
      <c r="E30" s="519"/>
      <c r="F30" s="519">
        <v>4300</v>
      </c>
      <c r="G30" s="519"/>
      <c r="H30" s="519">
        <v>4300</v>
      </c>
      <c r="I30" s="522"/>
      <c r="J30" s="523">
        <v>2244</v>
      </c>
      <c r="K30" s="493">
        <v>4300</v>
      </c>
      <c r="L30" s="493"/>
      <c r="M30" s="1569" t="s">
        <v>3366</v>
      </c>
      <c r="N30" s="524" t="s">
        <v>1220</v>
      </c>
    </row>
    <row r="31" spans="1:14" ht="28.5" customHeight="1" x14ac:dyDescent="0.25">
      <c r="A31" s="491">
        <v>12</v>
      </c>
      <c r="B31" s="1919" t="s">
        <v>1221</v>
      </c>
      <c r="C31" s="1920"/>
      <c r="D31" s="492">
        <v>2100</v>
      </c>
      <c r="E31" s="492"/>
      <c r="F31" s="492">
        <v>2100</v>
      </c>
      <c r="G31" s="492"/>
      <c r="H31" s="492">
        <v>2100</v>
      </c>
      <c r="I31" s="493"/>
      <c r="J31" s="497">
        <v>2519</v>
      </c>
      <c r="K31" s="493">
        <v>2070</v>
      </c>
      <c r="L31" s="493"/>
      <c r="M31" s="1569" t="s">
        <v>3367</v>
      </c>
      <c r="N31" s="524" t="s">
        <v>1222</v>
      </c>
    </row>
    <row r="32" spans="1:14" ht="54" customHeight="1" x14ac:dyDescent="0.25">
      <c r="A32" s="491">
        <v>13</v>
      </c>
      <c r="B32" s="1919" t="s">
        <v>1223</v>
      </c>
      <c r="C32" s="1920"/>
      <c r="D32" s="492">
        <v>1000</v>
      </c>
      <c r="E32" s="492"/>
      <c r="F32" s="492">
        <v>0</v>
      </c>
      <c r="G32" s="492"/>
      <c r="H32" s="492">
        <v>1000</v>
      </c>
      <c r="I32" s="493"/>
      <c r="J32" s="497">
        <v>2276</v>
      </c>
      <c r="K32" s="493">
        <v>200</v>
      </c>
      <c r="L32" s="493"/>
      <c r="M32" s="1569" t="s">
        <v>3367</v>
      </c>
      <c r="N32" s="524" t="s">
        <v>1224</v>
      </c>
    </row>
    <row r="33" spans="1:14" ht="26.25" customHeight="1" x14ac:dyDescent="0.25">
      <c r="A33" s="491">
        <v>14</v>
      </c>
      <c r="B33" s="1919" t="s">
        <v>1225</v>
      </c>
      <c r="C33" s="1920"/>
      <c r="D33" s="492">
        <v>1000</v>
      </c>
      <c r="E33" s="492"/>
      <c r="F33" s="492">
        <v>562</v>
      </c>
      <c r="G33" s="492"/>
      <c r="H33" s="492">
        <v>1000</v>
      </c>
      <c r="I33" s="493"/>
      <c r="J33" s="494">
        <v>2239</v>
      </c>
      <c r="K33" s="493">
        <v>1000</v>
      </c>
      <c r="L33" s="493"/>
      <c r="M33" s="1569" t="s">
        <v>3367</v>
      </c>
      <c r="N33" s="524" t="s">
        <v>1226</v>
      </c>
    </row>
    <row r="34" spans="1:14" ht="26.25" hidden="1" customHeight="1" x14ac:dyDescent="0.25">
      <c r="A34" s="1925" t="s">
        <v>239</v>
      </c>
      <c r="B34" s="1926"/>
      <c r="C34" s="1580"/>
      <c r="D34" s="525">
        <f>SUM(D10)</f>
        <v>553002</v>
      </c>
      <c r="E34" s="525">
        <f t="shared" ref="E34:K34" si="1">SUM(E10)</f>
        <v>37070</v>
      </c>
      <c r="F34" s="525">
        <f t="shared" si="1"/>
        <v>486666</v>
      </c>
      <c r="G34" s="525">
        <f t="shared" si="1"/>
        <v>37070</v>
      </c>
      <c r="H34" s="525">
        <f t="shared" si="1"/>
        <v>466245</v>
      </c>
      <c r="I34" s="526">
        <f t="shared" si="1"/>
        <v>39248</v>
      </c>
      <c r="J34" s="526"/>
      <c r="K34" s="526">
        <f t="shared" si="1"/>
        <v>434630</v>
      </c>
      <c r="L34" s="526"/>
      <c r="M34" s="1576"/>
      <c r="N34" s="527"/>
    </row>
    <row r="35" spans="1:14" x14ac:dyDescent="0.25">
      <c r="A35" s="528"/>
      <c r="B35" s="528"/>
      <c r="C35" s="528"/>
      <c r="D35" s="529"/>
      <c r="E35" s="529"/>
      <c r="F35" s="529"/>
      <c r="G35" s="530"/>
      <c r="H35" s="529"/>
      <c r="I35" s="529"/>
      <c r="J35" s="529"/>
      <c r="K35" s="529"/>
      <c r="L35" s="529"/>
      <c r="M35" s="1577"/>
      <c r="N35" s="531"/>
    </row>
    <row r="36" spans="1:14" x14ac:dyDescent="0.25">
      <c r="A36" s="475" t="s">
        <v>400</v>
      </c>
      <c r="B36" s="476"/>
      <c r="C36" s="476"/>
      <c r="D36" s="475"/>
      <c r="E36" s="476"/>
      <c r="F36" s="475"/>
      <c r="G36" s="476"/>
      <c r="H36" s="475"/>
      <c r="I36" s="476"/>
    </row>
    <row r="37" spans="1:14" x14ac:dyDescent="0.25">
      <c r="A37" s="475" t="s">
        <v>401</v>
      </c>
      <c r="B37" s="476"/>
      <c r="C37" s="476"/>
      <c r="D37" s="475"/>
      <c r="E37" s="476"/>
      <c r="F37" s="475"/>
      <c r="G37" s="476"/>
      <c r="H37" s="475"/>
      <c r="I37" s="476"/>
    </row>
    <row r="38" spans="1:14" x14ac:dyDescent="0.25">
      <c r="B38" s="476"/>
      <c r="C38" s="476"/>
      <c r="D38" s="475"/>
      <c r="E38" s="476"/>
      <c r="F38" s="475"/>
      <c r="G38" s="476"/>
      <c r="H38" s="475"/>
      <c r="I38" s="476"/>
    </row>
    <row r="39" spans="1:14" x14ac:dyDescent="0.25">
      <c r="A39" s="475" t="s">
        <v>110</v>
      </c>
      <c r="B39" s="476"/>
      <c r="C39" s="476"/>
      <c r="D39" s="475"/>
      <c r="E39" s="476"/>
      <c r="F39" s="475"/>
      <c r="G39" s="476"/>
      <c r="H39" s="475"/>
      <c r="I39" s="476"/>
    </row>
    <row r="40" spans="1:14" x14ac:dyDescent="0.25">
      <c r="A40" s="475" t="s">
        <v>1227</v>
      </c>
      <c r="B40" s="476"/>
      <c r="C40" s="476"/>
      <c r="D40" s="475"/>
      <c r="E40" s="476"/>
      <c r="F40" s="475"/>
      <c r="G40" s="476"/>
      <c r="H40" s="475"/>
      <c r="I40" s="476"/>
    </row>
    <row r="41" spans="1:14" x14ac:dyDescent="0.25">
      <c r="B41" s="476" t="s">
        <v>1228</v>
      </c>
      <c r="C41" s="476"/>
      <c r="D41" s="475"/>
      <c r="E41" s="476"/>
      <c r="F41" s="475"/>
      <c r="G41" s="476"/>
      <c r="H41" s="475"/>
      <c r="I41" s="476"/>
    </row>
    <row r="42" spans="1:14" s="485" customFormat="1" x14ac:dyDescent="0.2">
      <c r="A42" s="475"/>
      <c r="B42" s="476" t="s">
        <v>1229</v>
      </c>
      <c r="C42" s="476"/>
      <c r="D42" s="475"/>
      <c r="E42" s="476"/>
      <c r="F42" s="475"/>
      <c r="G42" s="476"/>
      <c r="H42" s="475"/>
      <c r="I42" s="476"/>
      <c r="J42" s="475"/>
      <c r="M42" s="1578"/>
    </row>
    <row r="43" spans="1:14" x14ac:dyDescent="0.25">
      <c r="B43" s="476" t="s">
        <v>755</v>
      </c>
      <c r="C43" s="476"/>
      <c r="D43" s="475"/>
      <c r="E43" s="476"/>
      <c r="F43" s="475"/>
      <c r="G43" s="476"/>
      <c r="H43" s="475"/>
      <c r="I43" s="476"/>
    </row>
    <row r="44" spans="1:14" s="485" customFormat="1" x14ac:dyDescent="0.2">
      <c r="A44" s="475"/>
      <c r="B44" s="476" t="s">
        <v>1230</v>
      </c>
      <c r="C44" s="476"/>
      <c r="D44" s="475"/>
      <c r="E44" s="476"/>
      <c r="F44" s="475"/>
      <c r="G44" s="476"/>
      <c r="H44" s="475"/>
      <c r="I44" s="476"/>
      <c r="J44" s="475"/>
      <c r="M44" s="1578"/>
    </row>
    <row r="45" spans="1:14" s="533" customFormat="1" x14ac:dyDescent="0.2">
      <c r="A45" s="475" t="s">
        <v>1231</v>
      </c>
      <c r="B45" s="476"/>
      <c r="C45" s="476"/>
      <c r="D45" s="475"/>
      <c r="E45" s="476"/>
      <c r="F45" s="475"/>
      <c r="G45" s="476"/>
      <c r="H45" s="475"/>
      <c r="I45" s="476"/>
      <c r="J45" s="475"/>
      <c r="M45" s="1578"/>
    </row>
    <row r="46" spans="1:14" s="533" customFormat="1" x14ac:dyDescent="0.2">
      <c r="A46" s="475"/>
      <c r="B46" s="476" t="s">
        <v>1179</v>
      </c>
      <c r="C46" s="476"/>
      <c r="D46" s="475"/>
      <c r="E46" s="476"/>
      <c r="F46" s="475"/>
      <c r="G46" s="476"/>
      <c r="H46" s="475"/>
      <c r="I46" s="476"/>
      <c r="J46" s="475"/>
      <c r="M46" s="1578"/>
    </row>
    <row r="47" spans="1:14" s="533" customFormat="1" x14ac:dyDescent="0.2">
      <c r="A47" s="475"/>
      <c r="B47" s="476" t="s">
        <v>1232</v>
      </c>
      <c r="C47" s="476"/>
      <c r="D47" s="475"/>
      <c r="E47" s="476"/>
      <c r="F47" s="475"/>
      <c r="G47" s="476"/>
      <c r="H47" s="475"/>
      <c r="I47" s="476"/>
      <c r="J47" s="475"/>
      <c r="M47" s="1578"/>
    </row>
    <row r="48" spans="1:14" s="485" customFormat="1" x14ac:dyDescent="0.2">
      <c r="A48" s="475" t="s">
        <v>1233</v>
      </c>
      <c r="B48" s="476"/>
      <c r="C48" s="476"/>
      <c r="D48" s="475"/>
      <c r="E48" s="476"/>
      <c r="F48" s="475"/>
      <c r="G48" s="476"/>
      <c r="H48" s="475"/>
      <c r="I48" s="476"/>
      <c r="J48" s="475"/>
      <c r="M48" s="1578"/>
    </row>
    <row r="49" spans="1:14" s="485" customFormat="1" x14ac:dyDescent="0.2">
      <c r="A49" s="475"/>
      <c r="B49" s="476" t="s">
        <v>1234</v>
      </c>
      <c r="C49" s="476"/>
      <c r="D49" s="475"/>
      <c r="E49" s="476"/>
      <c r="F49" s="475"/>
      <c r="G49" s="476"/>
      <c r="H49" s="475"/>
      <c r="I49" s="476"/>
      <c r="J49" s="475"/>
      <c r="M49" s="1578"/>
    </row>
    <row r="50" spans="1:14" s="485" customFormat="1" x14ac:dyDescent="0.2">
      <c r="A50" s="475"/>
      <c r="B50" s="476" t="s">
        <v>1027</v>
      </c>
      <c r="C50" s="476"/>
      <c r="D50" s="475"/>
      <c r="E50" s="476"/>
      <c r="F50" s="475"/>
      <c r="G50" s="476"/>
      <c r="H50" s="475"/>
      <c r="I50" s="476"/>
      <c r="J50" s="475"/>
      <c r="M50" s="1578"/>
    </row>
    <row r="51" spans="1:14" x14ac:dyDescent="0.25">
      <c r="B51" s="476"/>
      <c r="C51" s="476"/>
      <c r="D51" s="475"/>
      <c r="E51" s="476"/>
      <c r="F51" s="475"/>
      <c r="G51" s="476"/>
      <c r="H51" s="475"/>
      <c r="I51" s="476"/>
    </row>
    <row r="52" spans="1:14" x14ac:dyDescent="0.25">
      <c r="B52" s="476"/>
      <c r="C52" s="476"/>
      <c r="D52" s="475"/>
      <c r="E52" s="476"/>
      <c r="F52" s="475"/>
      <c r="G52" s="476"/>
      <c r="H52" s="475"/>
      <c r="I52" s="476"/>
    </row>
    <row r="53" spans="1:14" x14ac:dyDescent="0.25">
      <c r="B53" s="476"/>
      <c r="C53" s="476"/>
      <c r="D53" s="475"/>
      <c r="E53" s="476"/>
      <c r="F53" s="475"/>
      <c r="G53" s="476"/>
      <c r="H53" s="475"/>
      <c r="I53" s="476"/>
    </row>
    <row r="54" spans="1:14" x14ac:dyDescent="0.25">
      <c r="B54" s="476"/>
      <c r="C54" s="476"/>
      <c r="D54" s="475"/>
      <c r="E54" s="476"/>
      <c r="F54" s="475"/>
      <c r="G54" s="476"/>
      <c r="H54" s="475"/>
      <c r="I54" s="476"/>
    </row>
    <row r="55" spans="1:14" x14ac:dyDescent="0.25">
      <c r="B55" s="476"/>
      <c r="C55" s="476"/>
      <c r="D55" s="475"/>
      <c r="E55" s="476"/>
      <c r="F55" s="475"/>
      <c r="G55" s="476"/>
      <c r="H55" s="475"/>
      <c r="I55" s="476"/>
      <c r="K55" s="534"/>
      <c r="L55" s="534"/>
      <c r="M55" s="1579"/>
    </row>
    <row r="56" spans="1:14" x14ac:dyDescent="0.25">
      <c r="B56" s="476"/>
      <c r="C56" s="476"/>
      <c r="D56" s="475"/>
      <c r="E56" s="476"/>
      <c r="F56" s="475"/>
      <c r="G56" s="476"/>
      <c r="H56" s="475"/>
      <c r="I56" s="476"/>
      <c r="K56" s="534"/>
      <c r="L56" s="534"/>
      <c r="M56" s="1579"/>
      <c r="N56" s="534"/>
    </row>
    <row r="57" spans="1:14" x14ac:dyDescent="0.25">
      <c r="B57" s="476"/>
      <c r="C57" s="476"/>
      <c r="D57" s="475"/>
      <c r="E57" s="476"/>
      <c r="F57" s="475"/>
      <c r="G57" s="476"/>
      <c r="H57" s="475"/>
      <c r="I57" s="476"/>
      <c r="K57" s="534"/>
      <c r="L57" s="534"/>
      <c r="M57" s="1579"/>
      <c r="N57" s="534"/>
    </row>
    <row r="58" spans="1:14" x14ac:dyDescent="0.25">
      <c r="B58" s="476"/>
      <c r="C58" s="476"/>
      <c r="D58" s="475"/>
      <c r="E58" s="476"/>
      <c r="F58" s="475"/>
      <c r="G58" s="476"/>
      <c r="H58" s="475"/>
      <c r="I58" s="476"/>
      <c r="K58" s="534"/>
      <c r="L58" s="534"/>
      <c r="M58" s="1579"/>
      <c r="N58" s="534"/>
    </row>
    <row r="59" spans="1:14" x14ac:dyDescent="0.25">
      <c r="B59" s="476"/>
      <c r="C59" s="476"/>
      <c r="D59" s="475"/>
      <c r="E59" s="476"/>
      <c r="F59" s="475"/>
      <c r="G59" s="476"/>
      <c r="H59" s="475"/>
      <c r="I59" s="476"/>
      <c r="K59" s="534"/>
      <c r="L59" s="534"/>
      <c r="M59" s="1579"/>
      <c r="N59" s="534"/>
    </row>
    <row r="60" spans="1:14" x14ac:dyDescent="0.25">
      <c r="B60" s="476"/>
      <c r="C60" s="476"/>
      <c r="D60" s="475"/>
      <c r="E60" s="476"/>
      <c r="F60" s="475"/>
      <c r="G60" s="476"/>
      <c r="H60" s="475"/>
      <c r="I60" s="476"/>
      <c r="K60" s="534"/>
      <c r="L60" s="534"/>
      <c r="M60" s="1579"/>
      <c r="N60" s="534"/>
    </row>
    <row r="61" spans="1:14" x14ac:dyDescent="0.25">
      <c r="B61" s="476"/>
      <c r="C61" s="476"/>
      <c r="D61" s="475"/>
      <c r="E61" s="476"/>
      <c r="F61" s="475"/>
      <c r="G61" s="476"/>
      <c r="H61" s="475"/>
      <c r="I61" s="476"/>
    </row>
    <row r="62" spans="1:14" x14ac:dyDescent="0.25">
      <c r="B62" s="476"/>
      <c r="C62" s="476"/>
      <c r="D62" s="475"/>
      <c r="E62" s="476"/>
      <c r="F62" s="475"/>
      <c r="G62" s="476"/>
      <c r="H62" s="475"/>
      <c r="I62" s="476"/>
    </row>
    <row r="63" spans="1:14" x14ac:dyDescent="0.25">
      <c r="B63" s="476"/>
      <c r="C63" s="476"/>
      <c r="D63" s="475"/>
      <c r="E63" s="476"/>
      <c r="F63" s="475"/>
      <c r="G63" s="476"/>
      <c r="H63" s="475"/>
      <c r="I63" s="476"/>
    </row>
    <row r="64" spans="1:14" x14ac:dyDescent="0.25">
      <c r="B64" s="476"/>
      <c r="C64" s="476"/>
      <c r="D64" s="475"/>
      <c r="E64" s="476"/>
      <c r="F64" s="475"/>
      <c r="G64" s="476"/>
      <c r="H64" s="475"/>
      <c r="I64" s="476"/>
    </row>
    <row r="65" spans="2:9" x14ac:dyDescent="0.25">
      <c r="B65" s="476"/>
      <c r="C65" s="476"/>
      <c r="D65" s="475"/>
      <c r="E65" s="476"/>
      <c r="F65" s="475"/>
      <c r="G65" s="476"/>
      <c r="H65" s="475"/>
      <c r="I65" s="476"/>
    </row>
    <row r="66" spans="2:9" x14ac:dyDescent="0.25">
      <c r="B66" s="476"/>
      <c r="C66" s="476"/>
      <c r="D66" s="475"/>
      <c r="E66" s="476"/>
      <c r="F66" s="475"/>
      <c r="G66" s="476"/>
      <c r="H66" s="475"/>
      <c r="I66" s="476"/>
    </row>
    <row r="67" spans="2:9" x14ac:dyDescent="0.25">
      <c r="B67" s="476"/>
      <c r="C67" s="476"/>
      <c r="D67" s="475"/>
      <c r="E67" s="476"/>
      <c r="F67" s="475"/>
      <c r="G67" s="476"/>
      <c r="H67" s="475"/>
      <c r="I67" s="476"/>
    </row>
    <row r="68" spans="2:9" x14ac:dyDescent="0.25">
      <c r="B68" s="476"/>
      <c r="C68" s="476"/>
      <c r="D68" s="475"/>
      <c r="E68" s="476"/>
      <c r="F68" s="475"/>
      <c r="G68" s="476"/>
      <c r="H68" s="475"/>
      <c r="I68" s="476"/>
    </row>
    <row r="69" spans="2:9" x14ac:dyDescent="0.25">
      <c r="B69" s="476"/>
      <c r="C69" s="476"/>
      <c r="D69" s="475"/>
      <c r="E69" s="476"/>
      <c r="F69" s="475"/>
      <c r="G69" s="476"/>
      <c r="H69" s="475"/>
      <c r="I69" s="476"/>
    </row>
    <row r="70" spans="2:9" x14ac:dyDescent="0.25">
      <c r="B70" s="476"/>
      <c r="C70" s="476"/>
      <c r="D70" s="475"/>
      <c r="E70" s="476"/>
      <c r="F70" s="475"/>
      <c r="G70" s="476"/>
      <c r="H70" s="475"/>
      <c r="I70" s="476"/>
    </row>
    <row r="71" spans="2:9" x14ac:dyDescent="0.25">
      <c r="B71" s="476"/>
      <c r="C71" s="476"/>
      <c r="D71" s="475"/>
      <c r="E71" s="476"/>
      <c r="F71" s="475"/>
      <c r="G71" s="476"/>
      <c r="H71" s="475"/>
      <c r="I71" s="476"/>
    </row>
    <row r="72" spans="2:9" x14ac:dyDescent="0.25">
      <c r="B72" s="476"/>
      <c r="C72" s="476"/>
      <c r="D72" s="475"/>
      <c r="E72" s="476"/>
      <c r="F72" s="475"/>
      <c r="G72" s="476"/>
      <c r="H72" s="475"/>
      <c r="I72" s="476"/>
    </row>
    <row r="73" spans="2:9" x14ac:dyDescent="0.25">
      <c r="B73" s="476"/>
      <c r="C73" s="476"/>
      <c r="D73" s="475"/>
      <c r="E73" s="476"/>
      <c r="F73" s="475"/>
      <c r="G73" s="476"/>
      <c r="H73" s="475"/>
      <c r="I73" s="476"/>
    </row>
    <row r="74" spans="2:9" x14ac:dyDescent="0.25">
      <c r="B74" s="476"/>
      <c r="C74" s="476"/>
      <c r="D74" s="475"/>
      <c r="E74" s="476"/>
      <c r="F74" s="475"/>
      <c r="G74" s="476"/>
      <c r="H74" s="475"/>
      <c r="I74" s="476"/>
    </row>
    <row r="75" spans="2:9" x14ac:dyDescent="0.25">
      <c r="B75" s="476"/>
      <c r="C75" s="476"/>
      <c r="D75" s="475"/>
      <c r="E75" s="476"/>
      <c r="F75" s="475"/>
      <c r="G75" s="476"/>
      <c r="H75" s="475"/>
      <c r="I75" s="476"/>
    </row>
    <row r="76" spans="2:9" x14ac:dyDescent="0.25">
      <c r="B76" s="476"/>
      <c r="C76" s="476"/>
      <c r="D76" s="475"/>
      <c r="E76" s="476"/>
      <c r="F76" s="475"/>
      <c r="G76" s="476"/>
      <c r="H76" s="475"/>
      <c r="I76" s="476"/>
    </row>
    <row r="77" spans="2:9" x14ac:dyDescent="0.25">
      <c r="B77" s="476"/>
      <c r="C77" s="476"/>
      <c r="D77" s="475"/>
      <c r="E77" s="476"/>
      <c r="F77" s="475"/>
      <c r="G77" s="476"/>
      <c r="H77" s="475"/>
      <c r="I77" s="476"/>
    </row>
    <row r="78" spans="2:9" x14ac:dyDescent="0.25">
      <c r="B78" s="476"/>
      <c r="C78" s="476"/>
      <c r="D78" s="475"/>
      <c r="E78" s="476"/>
      <c r="F78" s="475"/>
      <c r="G78" s="476"/>
      <c r="H78" s="475"/>
      <c r="I78" s="476"/>
    </row>
    <row r="79" spans="2:9" x14ac:dyDescent="0.25">
      <c r="B79" s="476"/>
      <c r="C79" s="476"/>
      <c r="D79" s="475"/>
      <c r="E79" s="476"/>
      <c r="F79" s="475"/>
      <c r="G79" s="476"/>
      <c r="H79" s="475"/>
      <c r="I79" s="476"/>
    </row>
    <row r="80" spans="2:9" x14ac:dyDescent="0.25">
      <c r="B80" s="476"/>
      <c r="C80" s="476"/>
      <c r="D80" s="475"/>
      <c r="E80" s="476"/>
      <c r="F80" s="475"/>
      <c r="G80" s="476"/>
      <c r="H80" s="475"/>
      <c r="I80" s="476"/>
    </row>
    <row r="81" spans="2:9" x14ac:dyDescent="0.25">
      <c r="B81" s="476"/>
      <c r="C81" s="476"/>
      <c r="D81" s="475"/>
      <c r="E81" s="476"/>
      <c r="F81" s="475"/>
      <c r="G81" s="476"/>
      <c r="H81" s="475"/>
      <c r="I81" s="476"/>
    </row>
    <row r="82" spans="2:9" x14ac:dyDescent="0.25">
      <c r="B82" s="476"/>
      <c r="C82" s="476"/>
      <c r="D82" s="475"/>
      <c r="E82" s="476"/>
      <c r="F82" s="475"/>
      <c r="G82" s="476"/>
      <c r="H82" s="475"/>
      <c r="I82" s="476"/>
    </row>
    <row r="83" spans="2:9" x14ac:dyDescent="0.25">
      <c r="B83" s="476"/>
      <c r="C83" s="476"/>
      <c r="D83" s="475"/>
      <c r="E83" s="476"/>
      <c r="F83" s="475"/>
      <c r="G83" s="476"/>
      <c r="H83" s="475"/>
      <c r="I83" s="476"/>
    </row>
    <row r="84" spans="2:9" x14ac:dyDescent="0.25">
      <c r="B84" s="476"/>
      <c r="C84" s="476"/>
      <c r="D84" s="475"/>
      <c r="E84" s="476"/>
      <c r="F84" s="475"/>
      <c r="G84" s="476"/>
      <c r="H84" s="475"/>
      <c r="I84" s="476"/>
    </row>
    <row r="85" spans="2:9" x14ac:dyDescent="0.25">
      <c r="B85" s="476"/>
      <c r="C85" s="476"/>
      <c r="D85" s="475"/>
      <c r="E85" s="476"/>
      <c r="F85" s="475"/>
      <c r="G85" s="476"/>
      <c r="H85" s="475"/>
      <c r="I85" s="476"/>
    </row>
    <row r="86" spans="2:9" x14ac:dyDescent="0.25">
      <c r="B86" s="476"/>
      <c r="C86" s="476"/>
      <c r="D86" s="475"/>
      <c r="E86" s="476"/>
      <c r="F86" s="475"/>
      <c r="G86" s="476"/>
      <c r="H86" s="475"/>
      <c r="I86" s="476"/>
    </row>
    <row r="87" spans="2:9" x14ac:dyDescent="0.25">
      <c r="B87" s="476"/>
      <c r="C87" s="476"/>
      <c r="D87" s="475"/>
      <c r="E87" s="476"/>
      <c r="F87" s="475"/>
      <c r="G87" s="476"/>
      <c r="H87" s="475"/>
      <c r="I87" s="476"/>
    </row>
    <row r="88" spans="2:9" x14ac:dyDescent="0.25">
      <c r="B88" s="476"/>
      <c r="C88" s="476"/>
      <c r="D88" s="475"/>
      <c r="E88" s="476"/>
      <c r="F88" s="475"/>
      <c r="G88" s="476"/>
      <c r="H88" s="475"/>
      <c r="I88" s="476"/>
    </row>
    <row r="89" spans="2:9" x14ac:dyDescent="0.25">
      <c r="B89" s="476"/>
      <c r="C89" s="476"/>
      <c r="D89" s="475"/>
      <c r="E89" s="476"/>
      <c r="F89" s="475"/>
      <c r="G89" s="476"/>
      <c r="H89" s="475"/>
      <c r="I89" s="476"/>
    </row>
    <row r="90" spans="2:9" x14ac:dyDescent="0.25">
      <c r="B90" s="476"/>
      <c r="C90" s="476"/>
      <c r="D90" s="475"/>
      <c r="E90" s="476"/>
      <c r="F90" s="475"/>
      <c r="G90" s="476"/>
      <c r="H90" s="475"/>
      <c r="I90" s="476"/>
    </row>
    <row r="91" spans="2:9" x14ac:dyDescent="0.25">
      <c r="B91" s="476"/>
      <c r="C91" s="476"/>
      <c r="D91" s="475"/>
      <c r="E91" s="476"/>
      <c r="F91" s="475"/>
      <c r="G91" s="476"/>
      <c r="H91" s="475"/>
      <c r="I91" s="476"/>
    </row>
    <row r="92" spans="2:9" x14ac:dyDescent="0.25">
      <c r="B92" s="476"/>
      <c r="C92" s="476"/>
      <c r="D92" s="475"/>
      <c r="E92" s="476"/>
      <c r="F92" s="475"/>
      <c r="G92" s="476"/>
      <c r="H92" s="475"/>
      <c r="I92" s="476"/>
    </row>
    <row r="93" spans="2:9" x14ac:dyDescent="0.25">
      <c r="B93" s="476"/>
      <c r="C93" s="476"/>
      <c r="D93" s="475"/>
      <c r="E93" s="476"/>
      <c r="F93" s="475"/>
      <c r="G93" s="476"/>
      <c r="H93" s="475"/>
      <c r="I93" s="476"/>
    </row>
    <row r="94" spans="2:9" x14ac:dyDescent="0.25">
      <c r="B94" s="476"/>
      <c r="C94" s="476"/>
      <c r="D94" s="475"/>
      <c r="E94" s="476"/>
      <c r="F94" s="475"/>
      <c r="G94" s="476"/>
      <c r="H94" s="475"/>
      <c r="I94" s="476"/>
    </row>
    <row r="95" spans="2:9" x14ac:dyDescent="0.25">
      <c r="B95" s="476"/>
      <c r="C95" s="476"/>
      <c r="D95" s="475"/>
      <c r="E95" s="476"/>
      <c r="F95" s="475"/>
      <c r="G95" s="476"/>
      <c r="H95" s="475"/>
      <c r="I95" s="476"/>
    </row>
    <row r="96" spans="2:9" x14ac:dyDescent="0.25">
      <c r="B96" s="476"/>
      <c r="C96" s="476"/>
      <c r="D96" s="475"/>
      <c r="E96" s="476"/>
      <c r="F96" s="475"/>
      <c r="G96" s="476"/>
      <c r="H96" s="475"/>
      <c r="I96" s="476"/>
    </row>
    <row r="97" spans="2:9" x14ac:dyDescent="0.25">
      <c r="B97" s="476"/>
      <c r="C97" s="476"/>
      <c r="D97" s="475"/>
      <c r="E97" s="476"/>
      <c r="F97" s="475"/>
      <c r="G97" s="476"/>
      <c r="H97" s="475"/>
      <c r="I97" s="476"/>
    </row>
    <row r="98" spans="2:9" x14ac:dyDescent="0.25">
      <c r="B98" s="476"/>
      <c r="C98" s="476"/>
      <c r="D98" s="475"/>
      <c r="E98" s="476"/>
      <c r="F98" s="475"/>
      <c r="G98" s="476"/>
      <c r="H98" s="475"/>
      <c r="I98" s="476"/>
    </row>
    <row r="99" spans="2:9" x14ac:dyDescent="0.25">
      <c r="B99" s="476"/>
      <c r="C99" s="476"/>
      <c r="D99" s="475"/>
      <c r="E99" s="476"/>
      <c r="F99" s="475"/>
      <c r="G99" s="476"/>
      <c r="H99" s="475"/>
      <c r="I99" s="476"/>
    </row>
    <row r="100" spans="2:9" x14ac:dyDescent="0.25">
      <c r="B100" s="476"/>
      <c r="C100" s="476"/>
      <c r="D100" s="475"/>
      <c r="E100" s="476"/>
      <c r="F100" s="475"/>
      <c r="G100" s="476"/>
      <c r="H100" s="475"/>
      <c r="I100" s="476"/>
    </row>
    <row r="101" spans="2:9" x14ac:dyDescent="0.25">
      <c r="B101" s="476"/>
      <c r="C101" s="476"/>
      <c r="D101" s="475"/>
      <c r="E101" s="476"/>
      <c r="F101" s="475"/>
      <c r="G101" s="476"/>
      <c r="H101" s="475"/>
      <c r="I101" s="476"/>
    </row>
    <row r="102" spans="2:9" x14ac:dyDescent="0.25">
      <c r="B102" s="476"/>
      <c r="C102" s="476"/>
      <c r="D102" s="475"/>
      <c r="E102" s="476"/>
      <c r="F102" s="475"/>
      <c r="G102" s="476"/>
      <c r="H102" s="475"/>
      <c r="I102" s="476"/>
    </row>
    <row r="103" spans="2:9" x14ac:dyDescent="0.25">
      <c r="B103" s="476"/>
      <c r="C103" s="476"/>
      <c r="D103" s="475"/>
      <c r="E103" s="476"/>
      <c r="F103" s="475"/>
      <c r="G103" s="476"/>
      <c r="H103" s="475"/>
      <c r="I103" s="476"/>
    </row>
    <row r="104" spans="2:9" x14ac:dyDescent="0.25">
      <c r="B104" s="476"/>
      <c r="C104" s="476"/>
      <c r="D104" s="475"/>
      <c r="E104" s="476"/>
      <c r="F104" s="475"/>
      <c r="G104" s="476"/>
      <c r="H104" s="475"/>
      <c r="I104" s="476"/>
    </row>
    <row r="105" spans="2:9" x14ac:dyDescent="0.25">
      <c r="B105" s="476"/>
      <c r="C105" s="476"/>
      <c r="D105" s="475"/>
      <c r="E105" s="476"/>
      <c r="F105" s="475"/>
      <c r="G105" s="476"/>
      <c r="H105" s="475"/>
      <c r="I105" s="476"/>
    </row>
    <row r="106" spans="2:9" x14ac:dyDescent="0.25">
      <c r="B106" s="476"/>
      <c r="C106" s="476"/>
      <c r="D106" s="475"/>
      <c r="E106" s="476"/>
      <c r="F106" s="475"/>
      <c r="G106" s="476"/>
      <c r="H106" s="475"/>
      <c r="I106" s="476"/>
    </row>
    <row r="107" spans="2:9" x14ac:dyDescent="0.25">
      <c r="B107" s="476"/>
      <c r="C107" s="476"/>
      <c r="D107" s="475"/>
      <c r="E107" s="476"/>
      <c r="F107" s="475"/>
      <c r="G107" s="476"/>
      <c r="H107" s="475"/>
      <c r="I107" s="476"/>
    </row>
    <row r="108" spans="2:9" x14ac:dyDescent="0.25">
      <c r="B108" s="476"/>
      <c r="C108" s="476"/>
      <c r="D108" s="475"/>
      <c r="E108" s="476"/>
      <c r="F108" s="475"/>
      <c r="G108" s="476"/>
      <c r="H108" s="475"/>
      <c r="I108" s="476"/>
    </row>
    <row r="109" spans="2:9" x14ac:dyDescent="0.25">
      <c r="B109" s="476"/>
      <c r="C109" s="476"/>
      <c r="D109" s="475"/>
      <c r="E109" s="476"/>
      <c r="F109" s="475"/>
      <c r="G109" s="476"/>
      <c r="H109" s="475"/>
      <c r="I109" s="476"/>
    </row>
    <row r="110" spans="2:9" x14ac:dyDescent="0.25">
      <c r="B110" s="476"/>
      <c r="C110" s="476"/>
      <c r="D110" s="475"/>
      <c r="E110" s="476"/>
      <c r="F110" s="475"/>
      <c r="G110" s="476"/>
      <c r="H110" s="475"/>
      <c r="I110" s="476"/>
    </row>
    <row r="111" spans="2:9" x14ac:dyDescent="0.25">
      <c r="B111" s="476"/>
      <c r="C111" s="476"/>
      <c r="D111" s="475"/>
      <c r="E111" s="476"/>
      <c r="F111" s="475"/>
      <c r="G111" s="476"/>
      <c r="H111" s="475"/>
      <c r="I111" s="476"/>
    </row>
    <row r="112" spans="2:9" x14ac:dyDescent="0.25">
      <c r="B112" s="476"/>
      <c r="C112" s="476"/>
      <c r="D112" s="475"/>
      <c r="E112" s="476"/>
      <c r="F112" s="475"/>
      <c r="G112" s="476"/>
      <c r="H112" s="475"/>
      <c r="I112" s="476"/>
    </row>
    <row r="113" spans="2:9" x14ac:dyDescent="0.25">
      <c r="B113" s="476"/>
      <c r="C113" s="476"/>
      <c r="D113" s="475"/>
      <c r="E113" s="476"/>
      <c r="F113" s="475"/>
      <c r="G113" s="476"/>
      <c r="H113" s="475"/>
      <c r="I113" s="476"/>
    </row>
    <row r="114" spans="2:9" x14ac:dyDescent="0.25">
      <c r="B114" s="476"/>
      <c r="C114" s="476"/>
      <c r="D114" s="475"/>
      <c r="E114" s="476"/>
      <c r="F114" s="475"/>
      <c r="G114" s="476"/>
      <c r="H114" s="475"/>
      <c r="I114" s="476"/>
    </row>
    <row r="115" spans="2:9" x14ac:dyDescent="0.25">
      <c r="B115" s="476"/>
      <c r="C115" s="476"/>
      <c r="D115" s="475"/>
      <c r="E115" s="476"/>
      <c r="F115" s="475"/>
      <c r="G115" s="476"/>
      <c r="H115" s="475"/>
      <c r="I115" s="476"/>
    </row>
    <row r="116" spans="2:9" x14ac:dyDescent="0.25">
      <c r="B116" s="476"/>
      <c r="C116" s="476"/>
      <c r="D116" s="475"/>
      <c r="E116" s="476"/>
      <c r="F116" s="475"/>
      <c r="G116" s="476"/>
      <c r="H116" s="475"/>
      <c r="I116" s="476"/>
    </row>
    <row r="117" spans="2:9" x14ac:dyDescent="0.25">
      <c r="B117" s="476"/>
      <c r="C117" s="476"/>
      <c r="D117" s="475"/>
      <c r="E117" s="476"/>
      <c r="F117" s="475"/>
      <c r="G117" s="476"/>
      <c r="H117" s="475"/>
      <c r="I117" s="476"/>
    </row>
    <row r="118" spans="2:9" x14ac:dyDescent="0.25">
      <c r="B118" s="476"/>
      <c r="C118" s="476"/>
      <c r="D118" s="475"/>
      <c r="E118" s="476"/>
      <c r="F118" s="475"/>
      <c r="G118" s="476"/>
      <c r="H118" s="475"/>
      <c r="I118" s="476"/>
    </row>
    <row r="119" spans="2:9" x14ac:dyDescent="0.25">
      <c r="B119" s="476"/>
      <c r="C119" s="476"/>
      <c r="D119" s="475"/>
      <c r="E119" s="476"/>
      <c r="F119" s="475"/>
      <c r="G119" s="476"/>
      <c r="H119" s="475"/>
      <c r="I119" s="476"/>
    </row>
    <row r="120" spans="2:9" x14ac:dyDescent="0.25">
      <c r="B120" s="476"/>
      <c r="C120" s="476"/>
      <c r="D120" s="475"/>
      <c r="E120" s="476"/>
      <c r="F120" s="475"/>
      <c r="G120" s="476"/>
      <c r="H120" s="475"/>
      <c r="I120" s="476"/>
    </row>
    <row r="121" spans="2:9" x14ac:dyDescent="0.25">
      <c r="B121" s="476"/>
      <c r="C121" s="476"/>
      <c r="D121" s="475"/>
      <c r="E121" s="476"/>
      <c r="F121" s="475"/>
      <c r="G121" s="476"/>
      <c r="H121" s="475"/>
      <c r="I121" s="476"/>
    </row>
    <row r="122" spans="2:9" x14ac:dyDescent="0.25">
      <c r="B122" s="476"/>
      <c r="C122" s="476"/>
      <c r="D122" s="475"/>
      <c r="E122" s="476"/>
      <c r="F122" s="475"/>
      <c r="G122" s="476"/>
      <c r="H122" s="475"/>
      <c r="I122" s="476"/>
    </row>
    <row r="123" spans="2:9" x14ac:dyDescent="0.25">
      <c r="B123" s="476"/>
      <c r="C123" s="476"/>
      <c r="D123" s="475"/>
      <c r="E123" s="476"/>
      <c r="F123" s="475"/>
      <c r="G123" s="476"/>
      <c r="H123" s="475"/>
      <c r="I123" s="476"/>
    </row>
    <row r="124" spans="2:9" x14ac:dyDescent="0.25">
      <c r="B124" s="476"/>
      <c r="C124" s="476"/>
      <c r="D124" s="475"/>
      <c r="E124" s="476"/>
      <c r="F124" s="475"/>
      <c r="G124" s="476"/>
      <c r="H124" s="475"/>
      <c r="I124" s="476"/>
    </row>
    <row r="125" spans="2:9" x14ac:dyDescent="0.25">
      <c r="B125" s="476"/>
      <c r="C125" s="476"/>
      <c r="D125" s="475"/>
      <c r="E125" s="476"/>
      <c r="F125" s="475"/>
      <c r="G125" s="476"/>
      <c r="H125" s="475"/>
      <c r="I125" s="476"/>
    </row>
    <row r="126" spans="2:9" x14ac:dyDescent="0.25">
      <c r="B126" s="476"/>
      <c r="C126" s="476"/>
      <c r="D126" s="475"/>
      <c r="E126" s="476"/>
      <c r="F126" s="475"/>
      <c r="G126" s="476"/>
      <c r="H126" s="475"/>
      <c r="I126" s="476"/>
    </row>
    <row r="127" spans="2:9" x14ac:dyDescent="0.25">
      <c r="B127" s="476"/>
      <c r="C127" s="476"/>
      <c r="D127" s="475"/>
      <c r="E127" s="476"/>
      <c r="F127" s="475"/>
      <c r="G127" s="476"/>
      <c r="H127" s="475"/>
      <c r="I127" s="476"/>
    </row>
    <row r="128" spans="2:9" x14ac:dyDescent="0.25">
      <c r="B128" s="476"/>
      <c r="C128" s="476"/>
      <c r="D128" s="475"/>
      <c r="E128" s="476"/>
      <c r="F128" s="475"/>
      <c r="G128" s="476"/>
      <c r="H128" s="475"/>
      <c r="I128" s="476"/>
    </row>
    <row r="129" spans="2:9" x14ac:dyDescent="0.25">
      <c r="B129" s="476"/>
      <c r="C129" s="476"/>
      <c r="D129" s="475"/>
      <c r="E129" s="476"/>
      <c r="F129" s="475"/>
      <c r="G129" s="476"/>
      <c r="H129" s="475"/>
      <c r="I129" s="476"/>
    </row>
    <row r="130" spans="2:9" x14ac:dyDescent="0.25">
      <c r="B130" s="476"/>
      <c r="C130" s="476"/>
      <c r="D130" s="475"/>
      <c r="E130" s="476"/>
      <c r="F130" s="475"/>
      <c r="G130" s="476"/>
      <c r="H130" s="475"/>
      <c r="I130" s="476"/>
    </row>
    <row r="131" spans="2:9" x14ac:dyDescent="0.25">
      <c r="B131" s="476"/>
      <c r="C131" s="476"/>
      <c r="D131" s="475"/>
      <c r="E131" s="476"/>
      <c r="F131" s="475"/>
      <c r="G131" s="476"/>
      <c r="H131" s="475"/>
      <c r="I131" s="476"/>
    </row>
    <row r="132" spans="2:9" x14ac:dyDescent="0.25">
      <c r="B132" s="476"/>
      <c r="C132" s="476"/>
      <c r="D132" s="475"/>
      <c r="E132" s="476"/>
      <c r="F132" s="475"/>
      <c r="G132" s="476"/>
      <c r="H132" s="475"/>
      <c r="I132" s="476"/>
    </row>
    <row r="133" spans="2:9" x14ac:dyDescent="0.25">
      <c r="B133" s="476"/>
      <c r="C133" s="476"/>
      <c r="D133" s="475"/>
      <c r="E133" s="476"/>
      <c r="F133" s="475"/>
      <c r="G133" s="476"/>
      <c r="H133" s="475"/>
      <c r="I133" s="476"/>
    </row>
    <row r="134" spans="2:9" x14ac:dyDescent="0.25">
      <c r="B134" s="476"/>
      <c r="C134" s="476"/>
      <c r="D134" s="475"/>
      <c r="E134" s="476"/>
      <c r="F134" s="475"/>
      <c r="G134" s="476"/>
      <c r="H134" s="475"/>
      <c r="I134" s="476"/>
    </row>
    <row r="135" spans="2:9" x14ac:dyDescent="0.25">
      <c r="B135" s="476"/>
      <c r="C135" s="476"/>
      <c r="D135" s="475"/>
      <c r="E135" s="476"/>
      <c r="F135" s="475"/>
      <c r="G135" s="476"/>
      <c r="H135" s="475"/>
      <c r="I135" s="476"/>
    </row>
    <row r="136" spans="2:9" x14ac:dyDescent="0.25">
      <c r="B136" s="476"/>
      <c r="C136" s="476"/>
      <c r="D136" s="475"/>
      <c r="E136" s="476"/>
      <c r="F136" s="475"/>
      <c r="G136" s="476"/>
      <c r="H136" s="475"/>
      <c r="I136" s="476"/>
    </row>
    <row r="137" spans="2:9" x14ac:dyDescent="0.25">
      <c r="B137" s="476"/>
      <c r="C137" s="476"/>
      <c r="D137" s="475"/>
      <c r="E137" s="476"/>
      <c r="F137" s="475"/>
      <c r="G137" s="476"/>
      <c r="H137" s="475"/>
      <c r="I137" s="476"/>
    </row>
    <row r="138" spans="2:9" x14ac:dyDescent="0.25">
      <c r="B138" s="476"/>
      <c r="C138" s="476"/>
      <c r="D138" s="475"/>
      <c r="E138" s="476"/>
      <c r="F138" s="475"/>
      <c r="G138" s="476"/>
      <c r="H138" s="475"/>
      <c r="I138" s="476"/>
    </row>
    <row r="139" spans="2:9" x14ac:dyDescent="0.25">
      <c r="B139" s="476"/>
      <c r="C139" s="476"/>
      <c r="D139" s="475"/>
      <c r="E139" s="476"/>
      <c r="F139" s="475"/>
      <c r="G139" s="476"/>
      <c r="H139" s="475"/>
      <c r="I139" s="476"/>
    </row>
    <row r="140" spans="2:9" x14ac:dyDescent="0.25">
      <c r="B140" s="476"/>
      <c r="C140" s="476"/>
      <c r="D140" s="475"/>
      <c r="E140" s="476"/>
      <c r="F140" s="475"/>
      <c r="G140" s="476"/>
      <c r="H140" s="475"/>
      <c r="I140" s="476"/>
    </row>
    <row r="141" spans="2:9" x14ac:dyDescent="0.25">
      <c r="B141" s="476"/>
      <c r="C141" s="476"/>
      <c r="D141" s="475"/>
      <c r="E141" s="476"/>
      <c r="F141" s="475"/>
      <c r="G141" s="476"/>
      <c r="H141" s="475"/>
      <c r="I141" s="476"/>
    </row>
    <row r="142" spans="2:9" x14ac:dyDescent="0.25">
      <c r="B142" s="476"/>
      <c r="C142" s="476"/>
      <c r="D142" s="475"/>
      <c r="E142" s="476"/>
      <c r="F142" s="475"/>
      <c r="G142" s="476"/>
      <c r="H142" s="475"/>
      <c r="I142" s="476"/>
    </row>
    <row r="143" spans="2:9" x14ac:dyDescent="0.25">
      <c r="B143" s="476"/>
      <c r="C143" s="476"/>
      <c r="D143" s="475"/>
      <c r="E143" s="476"/>
      <c r="F143" s="475"/>
      <c r="G143" s="476"/>
      <c r="H143" s="475"/>
      <c r="I143" s="476"/>
    </row>
    <row r="144" spans="2:9" x14ac:dyDescent="0.25">
      <c r="B144" s="476"/>
      <c r="C144" s="476"/>
      <c r="D144" s="475"/>
      <c r="E144" s="476"/>
      <c r="F144" s="475"/>
      <c r="G144" s="476"/>
      <c r="H144" s="475"/>
      <c r="I144" s="476"/>
    </row>
    <row r="145" spans="2:9" x14ac:dyDescent="0.25">
      <c r="B145" s="476"/>
      <c r="C145" s="476"/>
      <c r="D145" s="475"/>
      <c r="E145" s="476"/>
      <c r="F145" s="475"/>
      <c r="G145" s="476"/>
      <c r="H145" s="475"/>
      <c r="I145" s="476"/>
    </row>
    <row r="146" spans="2:9" x14ac:dyDescent="0.25">
      <c r="B146" s="476"/>
      <c r="C146" s="476"/>
      <c r="D146" s="475"/>
      <c r="E146" s="476"/>
      <c r="F146" s="475"/>
      <c r="G146" s="476"/>
      <c r="H146" s="475"/>
      <c r="I146" s="476"/>
    </row>
    <row r="147" spans="2:9" x14ac:dyDescent="0.25">
      <c r="B147" s="476"/>
      <c r="C147" s="476"/>
      <c r="D147" s="475"/>
      <c r="E147" s="476"/>
      <c r="F147" s="475"/>
      <c r="G147" s="476"/>
      <c r="H147" s="475"/>
      <c r="I147" s="476"/>
    </row>
    <row r="148" spans="2:9" x14ac:dyDescent="0.25">
      <c r="B148" s="476"/>
      <c r="C148" s="476"/>
      <c r="D148" s="475"/>
      <c r="E148" s="476"/>
      <c r="F148" s="475"/>
      <c r="G148" s="476"/>
      <c r="H148" s="475"/>
      <c r="I148" s="476"/>
    </row>
    <row r="149" spans="2:9" x14ac:dyDescent="0.25">
      <c r="B149" s="476"/>
      <c r="C149" s="476"/>
      <c r="D149" s="475"/>
      <c r="E149" s="476"/>
      <c r="F149" s="475"/>
      <c r="G149" s="476"/>
      <c r="H149" s="475"/>
      <c r="I149" s="476"/>
    </row>
    <row r="150" spans="2:9" x14ac:dyDescent="0.25">
      <c r="B150" s="476"/>
      <c r="C150" s="476"/>
      <c r="D150" s="475"/>
      <c r="E150" s="476"/>
      <c r="F150" s="475"/>
      <c r="G150" s="476"/>
      <c r="H150" s="475"/>
      <c r="I150" s="476"/>
    </row>
    <row r="151" spans="2:9" x14ac:dyDescent="0.25">
      <c r="B151" s="476"/>
      <c r="C151" s="476"/>
      <c r="D151" s="475"/>
      <c r="E151" s="476"/>
      <c r="F151" s="475"/>
      <c r="G151" s="476"/>
      <c r="H151" s="475"/>
      <c r="I151" s="476"/>
    </row>
    <row r="152" spans="2:9" x14ac:dyDescent="0.25">
      <c r="B152" s="476"/>
      <c r="C152" s="476"/>
      <c r="D152" s="475"/>
      <c r="E152" s="476"/>
      <c r="F152" s="475"/>
      <c r="G152" s="476"/>
      <c r="H152" s="475"/>
      <c r="I152" s="476"/>
    </row>
    <row r="153" spans="2:9" x14ac:dyDescent="0.25">
      <c r="B153" s="476"/>
      <c r="C153" s="476"/>
      <c r="D153" s="475"/>
      <c r="E153" s="476"/>
      <c r="F153" s="475"/>
      <c r="G153" s="476"/>
      <c r="H153" s="475"/>
      <c r="I153" s="476"/>
    </row>
    <row r="154" spans="2:9" x14ac:dyDescent="0.25">
      <c r="B154" s="476"/>
      <c r="C154" s="476"/>
      <c r="D154" s="475"/>
      <c r="E154" s="476"/>
      <c r="F154" s="475"/>
      <c r="G154" s="476"/>
      <c r="H154" s="475"/>
      <c r="I154" s="476"/>
    </row>
    <row r="155" spans="2:9" x14ac:dyDescent="0.25">
      <c r="B155" s="476"/>
      <c r="C155" s="476"/>
      <c r="D155" s="475"/>
      <c r="E155" s="476"/>
      <c r="F155" s="475"/>
      <c r="G155" s="476"/>
      <c r="H155" s="475"/>
      <c r="I155" s="476"/>
    </row>
    <row r="156" spans="2:9" x14ac:dyDescent="0.25">
      <c r="B156" s="476"/>
      <c r="C156" s="476"/>
      <c r="D156" s="475"/>
      <c r="E156" s="476"/>
      <c r="F156" s="475"/>
      <c r="G156" s="476"/>
      <c r="H156" s="475"/>
      <c r="I156" s="476"/>
    </row>
    <row r="157" spans="2:9" x14ac:dyDescent="0.25">
      <c r="B157" s="476"/>
      <c r="C157" s="476"/>
      <c r="D157" s="475"/>
      <c r="E157" s="476"/>
      <c r="F157" s="475"/>
      <c r="G157" s="476"/>
      <c r="H157" s="475"/>
      <c r="I157" s="476"/>
    </row>
    <row r="158" spans="2:9" x14ac:dyDescent="0.25">
      <c r="B158" s="476"/>
      <c r="C158" s="476"/>
      <c r="D158" s="475"/>
      <c r="E158" s="476"/>
      <c r="F158" s="475"/>
      <c r="G158" s="476"/>
      <c r="H158" s="475"/>
      <c r="I158" s="476"/>
    </row>
    <row r="159" spans="2:9" x14ac:dyDescent="0.25">
      <c r="B159" s="476"/>
      <c r="C159" s="476"/>
      <c r="D159" s="475"/>
      <c r="E159" s="476"/>
      <c r="F159" s="475"/>
      <c r="G159" s="476"/>
      <c r="H159" s="475"/>
      <c r="I159" s="476"/>
    </row>
    <row r="160" spans="2:9" x14ac:dyDescent="0.25">
      <c r="B160" s="476"/>
      <c r="C160" s="476"/>
      <c r="D160" s="475"/>
      <c r="E160" s="476"/>
      <c r="F160" s="475"/>
      <c r="G160" s="476"/>
      <c r="H160" s="475"/>
      <c r="I160" s="476"/>
    </row>
    <row r="161" spans="2:9" x14ac:dyDescent="0.25">
      <c r="B161" s="476"/>
      <c r="C161" s="476"/>
      <c r="D161" s="475"/>
      <c r="E161" s="476"/>
      <c r="F161" s="475"/>
      <c r="G161" s="476"/>
      <c r="H161" s="475"/>
      <c r="I161" s="476"/>
    </row>
    <row r="162" spans="2:9" x14ac:dyDescent="0.25">
      <c r="B162" s="476"/>
      <c r="C162" s="476"/>
      <c r="D162" s="475"/>
      <c r="E162" s="476"/>
      <c r="F162" s="475"/>
      <c r="G162" s="476"/>
      <c r="H162" s="475"/>
      <c r="I162" s="476"/>
    </row>
    <row r="163" spans="2:9" x14ac:dyDescent="0.25">
      <c r="B163" s="476"/>
      <c r="C163" s="476"/>
      <c r="D163" s="475"/>
      <c r="E163" s="476"/>
      <c r="F163" s="475"/>
      <c r="G163" s="476"/>
      <c r="H163" s="475"/>
      <c r="I163" s="476"/>
    </row>
    <row r="164" spans="2:9" x14ac:dyDescent="0.25">
      <c r="B164" s="476"/>
      <c r="C164" s="476"/>
      <c r="D164" s="475"/>
      <c r="E164" s="476"/>
      <c r="F164" s="475"/>
      <c r="G164" s="476"/>
      <c r="H164" s="475"/>
      <c r="I164" s="476"/>
    </row>
    <row r="165" spans="2:9" x14ac:dyDescent="0.25">
      <c r="B165" s="476"/>
      <c r="C165" s="476"/>
      <c r="D165" s="475"/>
      <c r="E165" s="476"/>
      <c r="F165" s="475"/>
      <c r="G165" s="476"/>
      <c r="H165" s="475"/>
      <c r="I165" s="476"/>
    </row>
    <row r="166" spans="2:9" x14ac:dyDescent="0.25">
      <c r="B166" s="476"/>
      <c r="C166" s="476"/>
      <c r="D166" s="475"/>
      <c r="E166" s="476"/>
      <c r="F166" s="475"/>
      <c r="G166" s="476"/>
      <c r="H166" s="475"/>
      <c r="I166" s="476"/>
    </row>
    <row r="167" spans="2:9" x14ac:dyDescent="0.25">
      <c r="B167" s="476"/>
      <c r="C167" s="476"/>
      <c r="D167" s="475"/>
      <c r="E167" s="476"/>
      <c r="F167" s="475"/>
      <c r="G167" s="476"/>
      <c r="H167" s="475"/>
      <c r="I167" s="476"/>
    </row>
    <row r="168" spans="2:9" x14ac:dyDescent="0.25">
      <c r="B168" s="476"/>
      <c r="C168" s="476"/>
      <c r="D168" s="475"/>
      <c r="E168" s="476"/>
      <c r="F168" s="475"/>
      <c r="G168" s="476"/>
      <c r="H168" s="475"/>
      <c r="I168" s="476"/>
    </row>
    <row r="169" spans="2:9" x14ac:dyDescent="0.25">
      <c r="B169" s="476"/>
      <c r="C169" s="476"/>
      <c r="D169" s="475"/>
      <c r="E169" s="476"/>
      <c r="F169" s="475"/>
      <c r="G169" s="476"/>
      <c r="H169" s="475"/>
      <c r="I169" s="476"/>
    </row>
    <row r="170" spans="2:9" x14ac:dyDescent="0.25">
      <c r="B170" s="476"/>
      <c r="C170" s="476"/>
      <c r="D170" s="475"/>
      <c r="E170" s="476"/>
      <c r="F170" s="475"/>
      <c r="G170" s="476"/>
      <c r="H170" s="475"/>
      <c r="I170" s="476"/>
    </row>
    <row r="171" spans="2:9" x14ac:dyDescent="0.25">
      <c r="B171" s="476"/>
      <c r="C171" s="476"/>
      <c r="D171" s="475"/>
      <c r="E171" s="476"/>
      <c r="F171" s="475"/>
      <c r="G171" s="476"/>
      <c r="H171" s="475"/>
      <c r="I171" s="476"/>
    </row>
    <row r="172" spans="2:9" x14ac:dyDescent="0.25">
      <c r="B172" s="476"/>
      <c r="C172" s="476"/>
      <c r="D172" s="475"/>
      <c r="E172" s="476"/>
      <c r="F172" s="475"/>
      <c r="G172" s="476"/>
      <c r="H172" s="475"/>
      <c r="I172" s="476"/>
    </row>
    <row r="173" spans="2:9" x14ac:dyDescent="0.25">
      <c r="B173" s="476"/>
      <c r="C173" s="476"/>
      <c r="D173" s="475"/>
      <c r="E173" s="476"/>
      <c r="F173" s="475"/>
      <c r="G173" s="476"/>
      <c r="H173" s="475"/>
      <c r="I173" s="476"/>
    </row>
    <row r="174" spans="2:9" x14ac:dyDescent="0.25">
      <c r="B174" s="476"/>
      <c r="C174" s="476"/>
      <c r="D174" s="475"/>
      <c r="E174" s="476"/>
      <c r="F174" s="475"/>
      <c r="G174" s="476"/>
      <c r="H174" s="475"/>
      <c r="I174" s="476"/>
    </row>
    <row r="175" spans="2:9" x14ac:dyDescent="0.25">
      <c r="B175" s="476"/>
      <c r="C175" s="476"/>
      <c r="D175" s="475"/>
      <c r="E175" s="476"/>
      <c r="F175" s="475"/>
      <c r="G175" s="476"/>
      <c r="H175" s="475"/>
      <c r="I175" s="476"/>
    </row>
    <row r="176" spans="2:9" x14ac:dyDescent="0.25">
      <c r="B176" s="476"/>
      <c r="C176" s="476"/>
      <c r="D176" s="475"/>
      <c r="E176" s="476"/>
      <c r="F176" s="475"/>
      <c r="G176" s="476"/>
      <c r="H176" s="475"/>
      <c r="I176" s="476"/>
    </row>
    <row r="177" spans="2:9" x14ac:dyDescent="0.25">
      <c r="B177" s="476"/>
      <c r="C177" s="476"/>
      <c r="D177" s="475"/>
      <c r="E177" s="476"/>
      <c r="F177" s="475"/>
      <c r="G177" s="476"/>
      <c r="H177" s="475"/>
      <c r="I177" s="476"/>
    </row>
    <row r="178" spans="2:9" x14ac:dyDescent="0.25">
      <c r="B178" s="476"/>
      <c r="C178" s="476"/>
      <c r="D178" s="475"/>
      <c r="E178" s="476"/>
      <c r="F178" s="475"/>
      <c r="G178" s="476"/>
      <c r="H178" s="475"/>
      <c r="I178" s="476"/>
    </row>
    <row r="179" spans="2:9" x14ac:dyDescent="0.25">
      <c r="B179" s="476"/>
      <c r="C179" s="476"/>
      <c r="D179" s="475"/>
      <c r="E179" s="476"/>
      <c r="F179" s="475"/>
      <c r="G179" s="476"/>
      <c r="H179" s="475"/>
      <c r="I179" s="476"/>
    </row>
    <row r="180" spans="2:9" x14ac:dyDescent="0.25">
      <c r="B180" s="476"/>
      <c r="C180" s="476"/>
      <c r="D180" s="475"/>
      <c r="E180" s="476"/>
      <c r="F180" s="475"/>
      <c r="G180" s="476"/>
      <c r="H180" s="475"/>
      <c r="I180" s="476"/>
    </row>
    <row r="181" spans="2:9" x14ac:dyDescent="0.25">
      <c r="B181" s="476"/>
      <c r="C181" s="476"/>
      <c r="D181" s="475"/>
      <c r="E181" s="476"/>
      <c r="F181" s="475"/>
      <c r="G181" s="476"/>
      <c r="H181" s="475"/>
      <c r="I181" s="476"/>
    </row>
    <row r="182" spans="2:9" x14ac:dyDescent="0.25">
      <c r="B182" s="476"/>
      <c r="C182" s="476"/>
      <c r="D182" s="475"/>
      <c r="E182" s="476"/>
      <c r="F182" s="475"/>
      <c r="G182" s="476"/>
      <c r="H182" s="475"/>
      <c r="I182" s="476"/>
    </row>
    <row r="183" spans="2:9" x14ac:dyDescent="0.25">
      <c r="B183" s="476"/>
      <c r="C183" s="476"/>
      <c r="D183" s="475"/>
      <c r="E183" s="476"/>
      <c r="F183" s="475"/>
      <c r="G183" s="476"/>
      <c r="H183" s="475"/>
      <c r="I183" s="476"/>
    </row>
    <row r="184" spans="2:9" x14ac:dyDescent="0.25">
      <c r="B184" s="476"/>
      <c r="C184" s="476"/>
      <c r="D184" s="475"/>
      <c r="E184" s="476"/>
      <c r="F184" s="475"/>
      <c r="G184" s="476"/>
      <c r="H184" s="475"/>
      <c r="I184" s="476"/>
    </row>
    <row r="185" spans="2:9" x14ac:dyDescent="0.25">
      <c r="B185" s="476"/>
      <c r="C185" s="476"/>
      <c r="D185" s="475"/>
      <c r="E185" s="476"/>
      <c r="F185" s="475"/>
      <c r="G185" s="476"/>
      <c r="H185" s="475"/>
      <c r="I185" s="476"/>
    </row>
    <row r="186" spans="2:9" x14ac:dyDescent="0.25">
      <c r="B186" s="476"/>
      <c r="C186" s="476"/>
      <c r="D186" s="475"/>
      <c r="E186" s="476"/>
      <c r="F186" s="475"/>
      <c r="G186" s="476"/>
      <c r="H186" s="475"/>
      <c r="I186" s="476"/>
    </row>
    <row r="187" spans="2:9" x14ac:dyDescent="0.25">
      <c r="B187" s="476"/>
      <c r="C187" s="476"/>
      <c r="D187" s="475"/>
      <c r="E187" s="476"/>
      <c r="F187" s="475"/>
      <c r="G187" s="476"/>
      <c r="H187" s="475"/>
      <c r="I187" s="476"/>
    </row>
    <row r="188" spans="2:9" x14ac:dyDescent="0.25">
      <c r="B188" s="476"/>
      <c r="C188" s="476"/>
      <c r="D188" s="475"/>
      <c r="E188" s="476"/>
      <c r="F188" s="475"/>
      <c r="G188" s="476"/>
      <c r="H188" s="475"/>
      <c r="I188" s="476"/>
    </row>
    <row r="189" spans="2:9" x14ac:dyDescent="0.25">
      <c r="B189" s="476"/>
      <c r="C189" s="476"/>
      <c r="D189" s="475"/>
      <c r="E189" s="476"/>
      <c r="F189" s="475"/>
      <c r="G189" s="476"/>
      <c r="H189" s="475"/>
      <c r="I189" s="476"/>
    </row>
    <row r="190" spans="2:9" x14ac:dyDescent="0.25">
      <c r="B190" s="476"/>
      <c r="C190" s="476"/>
      <c r="D190" s="475"/>
      <c r="E190" s="476"/>
      <c r="F190" s="475"/>
      <c r="G190" s="476"/>
      <c r="H190" s="475"/>
      <c r="I190" s="476"/>
    </row>
    <row r="191" spans="2:9" x14ac:dyDescent="0.25">
      <c r="B191" s="476"/>
      <c r="C191" s="476"/>
      <c r="D191" s="475"/>
      <c r="E191" s="476"/>
      <c r="F191" s="475"/>
      <c r="G191" s="476"/>
      <c r="H191" s="475"/>
      <c r="I191" s="476"/>
    </row>
    <row r="192" spans="2:9" x14ac:dyDescent="0.25">
      <c r="B192" s="476"/>
      <c r="C192" s="476"/>
      <c r="D192" s="475"/>
      <c r="E192" s="476"/>
      <c r="F192" s="475"/>
      <c r="G192" s="476"/>
      <c r="H192" s="475"/>
      <c r="I192" s="476"/>
    </row>
    <row r="193" spans="2:9" x14ac:dyDescent="0.25">
      <c r="B193" s="476"/>
      <c r="C193" s="476"/>
      <c r="D193" s="475"/>
      <c r="E193" s="476"/>
      <c r="F193" s="475"/>
      <c r="G193" s="476"/>
      <c r="H193" s="475"/>
      <c r="I193" s="476"/>
    </row>
    <row r="194" spans="2:9" x14ac:dyDescent="0.25">
      <c r="B194" s="476"/>
      <c r="C194" s="476"/>
      <c r="D194" s="475"/>
      <c r="E194" s="476"/>
      <c r="F194" s="475"/>
      <c r="G194" s="476"/>
      <c r="H194" s="475"/>
      <c r="I194" s="476"/>
    </row>
    <row r="195" spans="2:9" x14ac:dyDescent="0.25">
      <c r="B195" s="476"/>
      <c r="C195" s="476"/>
      <c r="D195" s="475"/>
      <c r="E195" s="476"/>
      <c r="F195" s="475"/>
      <c r="G195" s="476"/>
      <c r="H195" s="475"/>
      <c r="I195" s="476"/>
    </row>
    <row r="196" spans="2:9" x14ac:dyDescent="0.25">
      <c r="B196" s="476"/>
      <c r="C196" s="476"/>
      <c r="D196" s="475"/>
      <c r="E196" s="476"/>
      <c r="F196" s="475"/>
      <c r="G196" s="476"/>
      <c r="H196" s="475"/>
      <c r="I196" s="476"/>
    </row>
    <row r="197" spans="2:9" x14ac:dyDescent="0.25">
      <c r="B197" s="476"/>
      <c r="C197" s="476"/>
      <c r="D197" s="475"/>
      <c r="E197" s="476"/>
      <c r="F197" s="475"/>
      <c r="G197" s="476"/>
      <c r="H197" s="475"/>
      <c r="I197" s="476"/>
    </row>
    <row r="198" spans="2:9" x14ac:dyDescent="0.25">
      <c r="B198" s="476"/>
      <c r="C198" s="476"/>
      <c r="D198" s="475"/>
      <c r="E198" s="476"/>
      <c r="F198" s="475"/>
      <c r="G198" s="476"/>
      <c r="H198" s="475"/>
      <c r="I198" s="476"/>
    </row>
    <row r="199" spans="2:9" x14ac:dyDescent="0.25">
      <c r="B199" s="476"/>
      <c r="C199" s="476"/>
      <c r="D199" s="475"/>
      <c r="E199" s="476"/>
      <c r="F199" s="475"/>
      <c r="G199" s="476"/>
      <c r="H199" s="475"/>
      <c r="I199" s="476"/>
    </row>
    <row r="200" spans="2:9" x14ac:dyDescent="0.25">
      <c r="B200" s="476"/>
      <c r="C200" s="476"/>
      <c r="D200" s="475"/>
      <c r="E200" s="476"/>
      <c r="F200" s="475"/>
      <c r="G200" s="476"/>
      <c r="H200" s="475"/>
      <c r="I200" s="476"/>
    </row>
    <row r="201" spans="2:9" x14ac:dyDescent="0.25">
      <c r="B201" s="476"/>
      <c r="C201" s="476"/>
      <c r="D201" s="475"/>
      <c r="E201" s="476"/>
      <c r="F201" s="475"/>
      <c r="G201" s="476"/>
      <c r="H201" s="475"/>
      <c r="I201" s="476"/>
    </row>
    <row r="202" spans="2:9" x14ac:dyDescent="0.25">
      <c r="B202" s="476"/>
      <c r="C202" s="476"/>
      <c r="D202" s="475"/>
      <c r="E202" s="476"/>
      <c r="F202" s="475"/>
      <c r="G202" s="476"/>
      <c r="H202" s="475"/>
      <c r="I202" s="476"/>
    </row>
    <row r="203" spans="2:9" x14ac:dyDescent="0.25">
      <c r="B203" s="476"/>
      <c r="C203" s="476"/>
      <c r="D203" s="475"/>
      <c r="E203" s="476"/>
      <c r="F203" s="475"/>
      <c r="G203" s="476"/>
      <c r="H203" s="475"/>
      <c r="I203" s="476"/>
    </row>
    <row r="204" spans="2:9" x14ac:dyDescent="0.25">
      <c r="B204" s="476"/>
      <c r="C204" s="476"/>
      <c r="D204" s="475"/>
      <c r="E204" s="476"/>
      <c r="F204" s="475"/>
      <c r="G204" s="476"/>
      <c r="H204" s="475"/>
      <c r="I204" s="476"/>
    </row>
    <row r="205" spans="2:9" x14ac:dyDescent="0.25">
      <c r="B205" s="476"/>
      <c r="C205" s="476"/>
      <c r="D205" s="475"/>
      <c r="E205" s="476"/>
      <c r="F205" s="475"/>
      <c r="G205" s="476"/>
      <c r="H205" s="475"/>
      <c r="I205" s="476"/>
    </row>
    <row r="206" spans="2:9" x14ac:dyDescent="0.25">
      <c r="B206" s="476"/>
      <c r="C206" s="476"/>
      <c r="D206" s="475"/>
      <c r="E206" s="476"/>
      <c r="F206" s="475"/>
      <c r="G206" s="476"/>
      <c r="H206" s="475"/>
      <c r="I206" s="476"/>
    </row>
    <row r="207" spans="2:9" x14ac:dyDescent="0.25">
      <c r="B207" s="476"/>
      <c r="C207" s="476"/>
      <c r="D207" s="475"/>
      <c r="E207" s="476"/>
      <c r="F207" s="475"/>
      <c r="G207" s="476"/>
      <c r="H207" s="475"/>
      <c r="I207" s="476"/>
    </row>
    <row r="208" spans="2:9" x14ac:dyDescent="0.25">
      <c r="B208" s="476"/>
      <c r="C208" s="476"/>
      <c r="D208" s="475"/>
      <c r="E208" s="476"/>
      <c r="F208" s="475"/>
      <c r="G208" s="476"/>
      <c r="H208" s="475"/>
      <c r="I208" s="476"/>
    </row>
    <row r="209" spans="2:9" x14ac:dyDescent="0.25">
      <c r="B209" s="476"/>
      <c r="C209" s="476"/>
      <c r="D209" s="475"/>
      <c r="E209" s="476"/>
      <c r="F209" s="475"/>
      <c r="G209" s="476"/>
      <c r="H209" s="475"/>
      <c r="I209" s="476"/>
    </row>
    <row r="210" spans="2:9" x14ac:dyDescent="0.25">
      <c r="B210" s="476"/>
      <c r="C210" s="476"/>
      <c r="D210" s="475"/>
      <c r="E210" s="476"/>
      <c r="F210" s="475"/>
      <c r="G210" s="476"/>
      <c r="H210" s="475"/>
      <c r="I210" s="476"/>
    </row>
    <row r="211" spans="2:9" x14ac:dyDescent="0.25">
      <c r="B211" s="476"/>
      <c r="C211" s="476"/>
      <c r="D211" s="475"/>
      <c r="E211" s="476"/>
      <c r="F211" s="475"/>
      <c r="G211" s="476"/>
      <c r="H211" s="475"/>
      <c r="I211" s="476"/>
    </row>
    <row r="212" spans="2:9" x14ac:dyDescent="0.25">
      <c r="B212" s="476"/>
      <c r="C212" s="476"/>
      <c r="D212" s="475"/>
      <c r="E212" s="476"/>
      <c r="F212" s="475"/>
      <c r="G212" s="476"/>
      <c r="H212" s="475"/>
      <c r="I212" s="476"/>
    </row>
    <row r="213" spans="2:9" x14ac:dyDescent="0.25">
      <c r="B213" s="476"/>
      <c r="C213" s="476"/>
      <c r="D213" s="475"/>
      <c r="E213" s="476"/>
      <c r="F213" s="475"/>
      <c r="G213" s="476"/>
      <c r="H213" s="475"/>
      <c r="I213" s="476"/>
    </row>
    <row r="214" spans="2:9" x14ac:dyDescent="0.25">
      <c r="B214" s="476"/>
      <c r="C214" s="476"/>
      <c r="D214" s="475"/>
      <c r="E214" s="476"/>
      <c r="F214" s="475"/>
      <c r="G214" s="476"/>
      <c r="H214" s="475"/>
      <c r="I214" s="476"/>
    </row>
    <row r="215" spans="2:9" x14ac:dyDescent="0.25">
      <c r="B215" s="476"/>
      <c r="C215" s="476"/>
      <c r="D215" s="475"/>
      <c r="E215" s="476"/>
      <c r="F215" s="475"/>
      <c r="G215" s="476"/>
      <c r="H215" s="475"/>
      <c r="I215" s="476"/>
    </row>
    <row r="216" spans="2:9" x14ac:dyDescent="0.25">
      <c r="B216" s="476"/>
      <c r="C216" s="476"/>
      <c r="D216" s="475"/>
      <c r="E216" s="476"/>
      <c r="F216" s="475"/>
      <c r="G216" s="476"/>
      <c r="H216" s="475"/>
      <c r="I216" s="476"/>
    </row>
    <row r="217" spans="2:9" x14ac:dyDescent="0.25">
      <c r="B217" s="476"/>
      <c r="C217" s="476"/>
      <c r="D217" s="475"/>
      <c r="E217" s="476"/>
      <c r="F217" s="475"/>
      <c r="G217" s="476"/>
      <c r="H217" s="475"/>
      <c r="I217" s="476"/>
    </row>
    <row r="218" spans="2:9" x14ac:dyDescent="0.25">
      <c r="B218" s="476"/>
      <c r="C218" s="476"/>
      <c r="D218" s="475"/>
      <c r="E218" s="476"/>
      <c r="F218" s="475"/>
      <c r="G218" s="476"/>
      <c r="H218" s="475"/>
      <c r="I218" s="476"/>
    </row>
    <row r="219" spans="2:9" x14ac:dyDescent="0.25">
      <c r="B219" s="476"/>
      <c r="C219" s="476"/>
      <c r="D219" s="475"/>
      <c r="E219" s="476"/>
      <c r="F219" s="475"/>
      <c r="G219" s="476"/>
      <c r="H219" s="475"/>
      <c r="I219" s="476"/>
    </row>
    <row r="220" spans="2:9" x14ac:dyDescent="0.25">
      <c r="B220" s="476"/>
      <c r="C220" s="476"/>
      <c r="D220" s="475"/>
      <c r="E220" s="476"/>
      <c r="F220" s="475"/>
      <c r="G220" s="476"/>
      <c r="H220" s="475"/>
      <c r="I220" s="476"/>
    </row>
    <row r="221" spans="2:9" x14ac:dyDescent="0.25">
      <c r="B221" s="476"/>
      <c r="C221" s="476"/>
      <c r="D221" s="475"/>
      <c r="E221" s="476"/>
      <c r="F221" s="475"/>
      <c r="G221" s="476"/>
      <c r="H221" s="475"/>
      <c r="I221" s="476"/>
    </row>
    <row r="222" spans="2:9" x14ac:dyDescent="0.25">
      <c r="B222" s="476"/>
      <c r="C222" s="476"/>
      <c r="D222" s="475"/>
      <c r="E222" s="476"/>
      <c r="F222" s="475"/>
      <c r="G222" s="476"/>
      <c r="H222" s="475"/>
      <c r="I222" s="476"/>
    </row>
    <row r="223" spans="2:9" x14ac:dyDescent="0.25">
      <c r="B223" s="476"/>
      <c r="C223" s="476"/>
      <c r="D223" s="475"/>
      <c r="E223" s="476"/>
      <c r="F223" s="475"/>
      <c r="G223" s="476"/>
      <c r="H223" s="475"/>
      <c r="I223" s="476"/>
    </row>
    <row r="224" spans="2:9" x14ac:dyDescent="0.25">
      <c r="B224" s="476"/>
      <c r="C224" s="476"/>
      <c r="D224" s="475"/>
      <c r="E224" s="476"/>
      <c r="F224" s="475"/>
      <c r="G224" s="476"/>
      <c r="H224" s="475"/>
      <c r="I224" s="476"/>
    </row>
    <row r="225" spans="2:9" x14ac:dyDescent="0.25">
      <c r="B225" s="476"/>
      <c r="C225" s="476"/>
      <c r="D225" s="475"/>
      <c r="E225" s="476"/>
      <c r="F225" s="475"/>
      <c r="G225" s="476"/>
      <c r="H225" s="475"/>
      <c r="I225" s="476"/>
    </row>
    <row r="226" spans="2:9" x14ac:dyDescent="0.25">
      <c r="B226" s="476"/>
      <c r="C226" s="476"/>
      <c r="D226" s="475"/>
      <c r="E226" s="476"/>
      <c r="F226" s="475"/>
      <c r="G226" s="476"/>
      <c r="H226" s="475"/>
      <c r="I226" s="476"/>
    </row>
    <row r="227" spans="2:9" x14ac:dyDescent="0.25">
      <c r="B227" s="476"/>
      <c r="C227" s="476"/>
      <c r="D227" s="475"/>
      <c r="E227" s="476"/>
      <c r="F227" s="475"/>
      <c r="G227" s="476"/>
      <c r="H227" s="475"/>
      <c r="I227" s="476"/>
    </row>
    <row r="228" spans="2:9" x14ac:dyDescent="0.25">
      <c r="B228" s="476"/>
      <c r="C228" s="476"/>
      <c r="D228" s="475"/>
      <c r="E228" s="476"/>
      <c r="F228" s="475"/>
      <c r="G228" s="476"/>
      <c r="H228" s="475"/>
      <c r="I228" s="476"/>
    </row>
    <row r="229" spans="2:9" x14ac:dyDescent="0.25">
      <c r="B229" s="476"/>
      <c r="C229" s="476"/>
      <c r="D229" s="475"/>
      <c r="E229" s="476"/>
      <c r="F229" s="475"/>
      <c r="G229" s="476"/>
      <c r="H229" s="475"/>
      <c r="I229" s="476"/>
    </row>
    <row r="230" spans="2:9" x14ac:dyDescent="0.25">
      <c r="B230" s="476"/>
      <c r="C230" s="476"/>
      <c r="D230" s="475"/>
      <c r="E230" s="476"/>
      <c r="F230" s="475"/>
      <c r="G230" s="476"/>
      <c r="H230" s="475"/>
      <c r="I230" s="476"/>
    </row>
    <row r="231" spans="2:9" x14ac:dyDescent="0.25">
      <c r="B231" s="476"/>
      <c r="C231" s="476"/>
      <c r="D231" s="475"/>
      <c r="E231" s="476"/>
      <c r="F231" s="475"/>
      <c r="G231" s="476"/>
      <c r="H231" s="475"/>
      <c r="I231" s="476"/>
    </row>
    <row r="232" spans="2:9" x14ac:dyDescent="0.25">
      <c r="B232" s="476"/>
      <c r="C232" s="476"/>
      <c r="D232" s="475"/>
      <c r="E232" s="476"/>
      <c r="F232" s="475"/>
      <c r="G232" s="476"/>
      <c r="H232" s="475"/>
      <c r="I232" s="476"/>
    </row>
    <row r="233" spans="2:9" x14ac:dyDescent="0.25">
      <c r="B233" s="476"/>
      <c r="C233" s="476"/>
      <c r="D233" s="475"/>
      <c r="E233" s="476"/>
      <c r="F233" s="475"/>
      <c r="G233" s="476"/>
      <c r="H233" s="475"/>
      <c r="I233" s="476"/>
    </row>
    <row r="234" spans="2:9" x14ac:dyDescent="0.25">
      <c r="B234" s="476"/>
      <c r="C234" s="476"/>
      <c r="D234" s="475"/>
      <c r="E234" s="476"/>
      <c r="F234" s="475"/>
      <c r="G234" s="476"/>
      <c r="H234" s="475"/>
      <c r="I234" s="476"/>
    </row>
    <row r="235" spans="2:9" x14ac:dyDescent="0.25">
      <c r="B235" s="476"/>
      <c r="C235" s="476"/>
      <c r="D235" s="475"/>
      <c r="E235" s="476"/>
      <c r="F235" s="475"/>
      <c r="G235" s="476"/>
      <c r="H235" s="475"/>
      <c r="I235" s="476"/>
    </row>
    <row r="236" spans="2:9" x14ac:dyDescent="0.25">
      <c r="B236" s="476"/>
      <c r="C236" s="476"/>
      <c r="D236" s="475"/>
      <c r="E236" s="476"/>
      <c r="F236" s="475"/>
      <c r="G236" s="476"/>
      <c r="H236" s="475"/>
      <c r="I236" s="476"/>
    </row>
    <row r="237" spans="2:9" x14ac:dyDescent="0.25">
      <c r="B237" s="476"/>
      <c r="C237" s="476"/>
      <c r="D237" s="475"/>
      <c r="E237" s="476"/>
      <c r="F237" s="475"/>
      <c r="G237" s="476"/>
      <c r="H237" s="475"/>
      <c r="I237" s="476"/>
    </row>
    <row r="238" spans="2:9" x14ac:dyDescent="0.25">
      <c r="B238" s="476"/>
      <c r="C238" s="476"/>
      <c r="D238" s="475"/>
      <c r="E238" s="476"/>
      <c r="F238" s="475"/>
      <c r="G238" s="476"/>
      <c r="H238" s="475"/>
      <c r="I238" s="476"/>
    </row>
    <row r="239" spans="2:9" x14ac:dyDescent="0.25">
      <c r="B239" s="476"/>
      <c r="C239" s="476"/>
      <c r="D239" s="475"/>
      <c r="E239" s="476"/>
      <c r="F239" s="475"/>
      <c r="G239" s="476"/>
      <c r="H239" s="475"/>
      <c r="I239" s="476"/>
    </row>
    <row r="240" spans="2:9" x14ac:dyDescent="0.25">
      <c r="B240" s="476"/>
      <c r="C240" s="476"/>
      <c r="D240" s="475"/>
      <c r="E240" s="476"/>
      <c r="F240" s="475"/>
      <c r="G240" s="476"/>
      <c r="H240" s="475"/>
      <c r="I240" s="476"/>
    </row>
    <row r="241" spans="2:9" x14ac:dyDescent="0.25">
      <c r="B241" s="476"/>
      <c r="C241" s="476"/>
      <c r="D241" s="475"/>
      <c r="E241" s="476"/>
      <c r="F241" s="475"/>
      <c r="G241" s="476"/>
      <c r="H241" s="475"/>
      <c r="I241" s="476"/>
    </row>
    <row r="242" spans="2:9" x14ac:dyDescent="0.25">
      <c r="B242" s="476"/>
      <c r="C242" s="476"/>
      <c r="D242" s="475"/>
      <c r="E242" s="476"/>
      <c r="F242" s="475"/>
      <c r="G242" s="476"/>
      <c r="H242" s="475"/>
      <c r="I242" s="476"/>
    </row>
    <row r="243" spans="2:9" x14ac:dyDescent="0.25">
      <c r="B243" s="476"/>
      <c r="C243" s="476"/>
      <c r="D243" s="475"/>
      <c r="E243" s="476"/>
      <c r="F243" s="475"/>
      <c r="G243" s="476"/>
      <c r="H243" s="475"/>
      <c r="I243" s="476"/>
    </row>
    <row r="244" spans="2:9" x14ac:dyDescent="0.25">
      <c r="B244" s="476"/>
      <c r="C244" s="476"/>
      <c r="D244" s="475"/>
      <c r="E244" s="476"/>
      <c r="F244" s="475"/>
      <c r="G244" s="476"/>
      <c r="H244" s="475"/>
      <c r="I244" s="476"/>
    </row>
    <row r="245" spans="2:9" x14ac:dyDescent="0.25">
      <c r="B245" s="476"/>
      <c r="C245" s="476"/>
      <c r="D245" s="475"/>
      <c r="E245" s="476"/>
      <c r="F245" s="475"/>
      <c r="G245" s="476"/>
      <c r="H245" s="475"/>
      <c r="I245" s="476"/>
    </row>
    <row r="246" spans="2:9" x14ac:dyDescent="0.25">
      <c r="B246" s="476"/>
      <c r="C246" s="476"/>
      <c r="D246" s="475"/>
      <c r="E246" s="476"/>
      <c r="F246" s="475"/>
      <c r="G246" s="476"/>
      <c r="H246" s="475"/>
      <c r="I246" s="476"/>
    </row>
    <row r="247" spans="2:9" x14ac:dyDescent="0.25">
      <c r="B247" s="476"/>
      <c r="C247" s="476"/>
      <c r="D247" s="475"/>
      <c r="E247" s="476"/>
      <c r="F247" s="475"/>
      <c r="G247" s="476"/>
      <c r="H247" s="475"/>
      <c r="I247" s="476"/>
    </row>
    <row r="248" spans="2:9" x14ac:dyDescent="0.25">
      <c r="B248" s="476"/>
      <c r="C248" s="476"/>
      <c r="D248" s="475"/>
      <c r="E248" s="476"/>
      <c r="F248" s="475"/>
      <c r="G248" s="476"/>
      <c r="H248" s="475"/>
      <c r="I248" s="476"/>
    </row>
    <row r="249" spans="2:9" x14ac:dyDescent="0.25">
      <c r="B249" s="476"/>
      <c r="C249" s="476"/>
      <c r="D249" s="475"/>
      <c r="E249" s="476"/>
      <c r="F249" s="475"/>
      <c r="G249" s="476"/>
      <c r="H249" s="475"/>
      <c r="I249" s="476"/>
    </row>
    <row r="250" spans="2:9" x14ac:dyDescent="0.25">
      <c r="B250" s="476"/>
      <c r="C250" s="476"/>
      <c r="D250" s="475"/>
      <c r="E250" s="476"/>
      <c r="F250" s="475"/>
      <c r="G250" s="476"/>
      <c r="H250" s="475"/>
      <c r="I250" s="476"/>
    </row>
    <row r="251" spans="2:9" x14ac:dyDescent="0.25">
      <c r="B251" s="476"/>
      <c r="C251" s="476"/>
      <c r="D251" s="475"/>
      <c r="E251" s="476"/>
      <c r="F251" s="475"/>
      <c r="G251" s="476"/>
      <c r="H251" s="475"/>
      <c r="I251" s="476"/>
    </row>
    <row r="252" spans="2:9" x14ac:dyDescent="0.25">
      <c r="B252" s="476"/>
      <c r="C252" s="476"/>
      <c r="D252" s="475"/>
      <c r="E252" s="476"/>
      <c r="F252" s="475"/>
      <c r="G252" s="476"/>
      <c r="H252" s="475"/>
      <c r="I252" s="476"/>
    </row>
    <row r="253" spans="2:9" x14ac:dyDescent="0.25">
      <c r="B253" s="476"/>
      <c r="C253" s="476"/>
      <c r="D253" s="475"/>
      <c r="E253" s="476"/>
      <c r="F253" s="475"/>
      <c r="G253" s="476"/>
      <c r="H253" s="475"/>
      <c r="I253" s="476"/>
    </row>
    <row r="254" spans="2:9" x14ac:dyDescent="0.25">
      <c r="B254" s="476"/>
      <c r="C254" s="476"/>
      <c r="D254" s="475"/>
      <c r="E254" s="476"/>
      <c r="F254" s="475"/>
      <c r="G254" s="476"/>
      <c r="H254" s="475"/>
      <c r="I254" s="476"/>
    </row>
    <row r="255" spans="2:9" x14ac:dyDescent="0.25">
      <c r="B255" s="476"/>
      <c r="C255" s="476"/>
      <c r="D255" s="475"/>
      <c r="E255" s="476"/>
      <c r="F255" s="475"/>
      <c r="G255" s="476"/>
      <c r="H255" s="475"/>
      <c r="I255" s="476"/>
    </row>
    <row r="256" spans="2:9" x14ac:dyDescent="0.25">
      <c r="B256" s="476"/>
      <c r="C256" s="476"/>
      <c r="D256" s="475"/>
      <c r="E256" s="476"/>
      <c r="F256" s="475"/>
      <c r="G256" s="476"/>
      <c r="H256" s="475"/>
      <c r="I256" s="476"/>
    </row>
    <row r="257" spans="2:9" x14ac:dyDescent="0.25">
      <c r="B257" s="476"/>
      <c r="C257" s="476"/>
      <c r="D257" s="475"/>
      <c r="E257" s="476"/>
      <c r="F257" s="475"/>
      <c r="G257" s="476"/>
      <c r="H257" s="475"/>
      <c r="I257" s="476"/>
    </row>
    <row r="258" spans="2:9" x14ac:dyDescent="0.25">
      <c r="B258" s="476"/>
      <c r="C258" s="476"/>
      <c r="D258" s="475"/>
      <c r="E258" s="476"/>
      <c r="F258" s="475"/>
      <c r="G258" s="476"/>
      <c r="H258" s="475"/>
      <c r="I258" s="476"/>
    </row>
    <row r="259" spans="2:9" x14ac:dyDescent="0.25">
      <c r="B259" s="476"/>
      <c r="C259" s="476"/>
      <c r="D259" s="475"/>
      <c r="E259" s="476"/>
      <c r="F259" s="475"/>
      <c r="G259" s="476"/>
      <c r="H259" s="475"/>
      <c r="I259" s="476"/>
    </row>
    <row r="260" spans="2:9" x14ac:dyDescent="0.25">
      <c r="B260" s="476"/>
      <c r="C260" s="476"/>
      <c r="D260" s="475"/>
      <c r="E260" s="476"/>
      <c r="F260" s="475"/>
      <c r="G260" s="476"/>
      <c r="H260" s="475"/>
      <c r="I260" s="476"/>
    </row>
    <row r="261" spans="2:9" x14ac:dyDescent="0.25">
      <c r="B261" s="476"/>
      <c r="C261" s="476"/>
      <c r="D261" s="475"/>
      <c r="E261" s="476"/>
      <c r="F261" s="475"/>
      <c r="G261" s="476"/>
      <c r="H261" s="475"/>
      <c r="I261" s="476"/>
    </row>
    <row r="262" spans="2:9" x14ac:dyDescent="0.25">
      <c r="B262" s="476"/>
      <c r="C262" s="476"/>
      <c r="D262" s="475"/>
      <c r="E262" s="476"/>
      <c r="F262" s="475"/>
      <c r="G262" s="476"/>
      <c r="H262" s="475"/>
      <c r="I262" s="476"/>
    </row>
    <row r="263" spans="2:9" x14ac:dyDescent="0.25">
      <c r="B263" s="476"/>
      <c r="C263" s="476"/>
      <c r="D263" s="475"/>
      <c r="E263" s="476"/>
      <c r="F263" s="475"/>
      <c r="G263" s="476"/>
      <c r="H263" s="475"/>
      <c r="I263" s="476"/>
    </row>
    <row r="264" spans="2:9" x14ac:dyDescent="0.25">
      <c r="B264" s="476"/>
      <c r="C264" s="476"/>
      <c r="D264" s="475"/>
      <c r="E264" s="476"/>
      <c r="F264" s="475"/>
      <c r="G264" s="476"/>
      <c r="H264" s="475"/>
      <c r="I264" s="476"/>
    </row>
    <row r="265" spans="2:9" x14ac:dyDescent="0.25">
      <c r="B265" s="476"/>
      <c r="C265" s="476"/>
      <c r="D265" s="475"/>
      <c r="E265" s="476"/>
      <c r="F265" s="475"/>
      <c r="G265" s="476"/>
      <c r="H265" s="475"/>
      <c r="I265" s="476"/>
    </row>
    <row r="266" spans="2:9" x14ac:dyDescent="0.25">
      <c r="B266" s="476"/>
      <c r="C266" s="476"/>
      <c r="D266" s="475"/>
      <c r="E266" s="476"/>
      <c r="F266" s="475"/>
      <c r="G266" s="476"/>
      <c r="H266" s="475"/>
      <c r="I266" s="476"/>
    </row>
    <row r="267" spans="2:9" x14ac:dyDescent="0.25">
      <c r="B267" s="476"/>
      <c r="C267" s="476"/>
      <c r="D267" s="475"/>
      <c r="E267" s="476"/>
      <c r="F267" s="475"/>
      <c r="G267" s="476"/>
      <c r="H267" s="475"/>
      <c r="I267" s="476"/>
    </row>
    <row r="268" spans="2:9" x14ac:dyDescent="0.25">
      <c r="B268" s="476"/>
      <c r="C268" s="476"/>
      <c r="D268" s="475"/>
      <c r="E268" s="476"/>
      <c r="F268" s="475"/>
      <c r="G268" s="476"/>
      <c r="H268" s="475"/>
      <c r="I268" s="476"/>
    </row>
    <row r="269" spans="2:9" x14ac:dyDescent="0.25">
      <c r="B269" s="476"/>
      <c r="C269" s="476"/>
      <c r="D269" s="475"/>
      <c r="E269" s="476"/>
      <c r="F269" s="475"/>
      <c r="G269" s="476"/>
      <c r="H269" s="475"/>
      <c r="I269" s="476"/>
    </row>
    <row r="270" spans="2:9" x14ac:dyDescent="0.25">
      <c r="B270" s="476"/>
      <c r="C270" s="476"/>
      <c r="D270" s="475"/>
      <c r="E270" s="476"/>
      <c r="F270" s="475"/>
      <c r="G270" s="476"/>
      <c r="H270" s="475"/>
      <c r="I270" s="476"/>
    </row>
    <row r="271" spans="2:9" x14ac:dyDescent="0.25">
      <c r="B271" s="476"/>
      <c r="C271" s="476"/>
      <c r="D271" s="475"/>
      <c r="E271" s="476"/>
      <c r="F271" s="475"/>
      <c r="G271" s="476"/>
      <c r="H271" s="475"/>
      <c r="I271" s="476"/>
    </row>
    <row r="272" spans="2:9" x14ac:dyDescent="0.25">
      <c r="B272" s="476"/>
      <c r="C272" s="476"/>
      <c r="D272" s="475"/>
      <c r="E272" s="476"/>
      <c r="F272" s="475"/>
      <c r="G272" s="476"/>
      <c r="H272" s="475"/>
      <c r="I272" s="476"/>
    </row>
    <row r="273" spans="2:9" x14ac:dyDescent="0.25">
      <c r="B273" s="476"/>
      <c r="C273" s="476"/>
      <c r="D273" s="475"/>
      <c r="E273" s="476"/>
      <c r="F273" s="475"/>
      <c r="G273" s="476"/>
      <c r="H273" s="475"/>
      <c r="I273" s="476"/>
    </row>
    <row r="274" spans="2:9" x14ac:dyDescent="0.25">
      <c r="B274" s="476"/>
      <c r="C274" s="476"/>
      <c r="D274" s="475"/>
      <c r="E274" s="476"/>
      <c r="F274" s="475"/>
      <c r="G274" s="476"/>
      <c r="H274" s="475"/>
      <c r="I274" s="476"/>
    </row>
    <row r="275" spans="2:9" x14ac:dyDescent="0.25">
      <c r="B275" s="476"/>
      <c r="C275" s="476"/>
      <c r="D275" s="475"/>
      <c r="E275" s="476"/>
      <c r="F275" s="475"/>
      <c r="G275" s="476"/>
      <c r="H275" s="475"/>
      <c r="I275" s="476"/>
    </row>
    <row r="276" spans="2:9" x14ac:dyDescent="0.25">
      <c r="B276" s="476"/>
      <c r="C276" s="476"/>
      <c r="D276" s="475"/>
      <c r="E276" s="476"/>
      <c r="F276" s="475"/>
      <c r="G276" s="476"/>
      <c r="H276" s="475"/>
      <c r="I276" s="476"/>
    </row>
    <row r="277" spans="2:9" x14ac:dyDescent="0.25">
      <c r="B277" s="476"/>
      <c r="C277" s="476"/>
      <c r="D277" s="475"/>
      <c r="E277" s="476"/>
      <c r="F277" s="475"/>
      <c r="G277" s="476"/>
      <c r="H277" s="475"/>
      <c r="I277" s="476"/>
    </row>
    <row r="278" spans="2:9" x14ac:dyDescent="0.25">
      <c r="B278" s="476"/>
      <c r="C278" s="476"/>
      <c r="D278" s="475"/>
      <c r="E278" s="476"/>
      <c r="F278" s="475"/>
      <c r="G278" s="476"/>
      <c r="H278" s="475"/>
      <c r="I278" s="476"/>
    </row>
    <row r="279" spans="2:9" x14ac:dyDescent="0.25">
      <c r="B279" s="476"/>
      <c r="C279" s="476"/>
      <c r="D279" s="475"/>
      <c r="E279" s="476"/>
      <c r="F279" s="475"/>
      <c r="G279" s="476"/>
      <c r="H279" s="475"/>
      <c r="I279" s="476"/>
    </row>
    <row r="280" spans="2:9" x14ac:dyDescent="0.25">
      <c r="B280" s="476"/>
      <c r="C280" s="476"/>
      <c r="D280" s="475"/>
      <c r="E280" s="476"/>
      <c r="F280" s="475"/>
      <c r="G280" s="476"/>
      <c r="H280" s="475"/>
      <c r="I280" s="476"/>
    </row>
    <row r="281" spans="2:9" x14ac:dyDescent="0.25">
      <c r="B281" s="476"/>
      <c r="C281" s="476"/>
      <c r="D281" s="475"/>
      <c r="E281" s="476"/>
      <c r="F281" s="475"/>
      <c r="G281" s="476"/>
      <c r="H281" s="475"/>
      <c r="I281" s="476"/>
    </row>
    <row r="282" spans="2:9" x14ac:dyDescent="0.25">
      <c r="B282" s="476"/>
      <c r="C282" s="476"/>
      <c r="D282" s="475"/>
      <c r="E282" s="476"/>
      <c r="F282" s="475"/>
      <c r="G282" s="476"/>
      <c r="H282" s="475"/>
      <c r="I282" s="476"/>
    </row>
    <row r="283" spans="2:9" x14ac:dyDescent="0.25">
      <c r="B283" s="476"/>
      <c r="C283" s="476"/>
      <c r="D283" s="475"/>
      <c r="E283" s="476"/>
      <c r="F283" s="475"/>
      <c r="G283" s="476"/>
      <c r="H283" s="475"/>
      <c r="I283" s="476"/>
    </row>
    <row r="284" spans="2:9" x14ac:dyDescent="0.25">
      <c r="B284" s="476"/>
      <c r="C284" s="476"/>
      <c r="D284" s="475"/>
      <c r="E284" s="476"/>
      <c r="F284" s="475"/>
      <c r="G284" s="476"/>
      <c r="H284" s="475"/>
      <c r="I284" s="476"/>
    </row>
    <row r="285" spans="2:9" x14ac:dyDescent="0.25">
      <c r="B285" s="476"/>
      <c r="C285" s="476"/>
      <c r="D285" s="475"/>
      <c r="E285" s="476"/>
      <c r="F285" s="475"/>
      <c r="G285" s="476"/>
      <c r="H285" s="475"/>
      <c r="I285" s="476"/>
    </row>
    <row r="286" spans="2:9" x14ac:dyDescent="0.25">
      <c r="B286" s="476"/>
      <c r="C286" s="476"/>
      <c r="D286" s="475"/>
      <c r="E286" s="476"/>
      <c r="F286" s="475"/>
      <c r="G286" s="476"/>
      <c r="H286" s="475"/>
      <c r="I286" s="476"/>
    </row>
    <row r="287" spans="2:9" x14ac:dyDescent="0.25">
      <c r="B287" s="476"/>
      <c r="C287" s="476"/>
      <c r="D287" s="475"/>
      <c r="E287" s="476"/>
      <c r="F287" s="475"/>
      <c r="G287" s="476"/>
      <c r="H287" s="475"/>
      <c r="I287" s="476"/>
    </row>
    <row r="288" spans="2:9" x14ac:dyDescent="0.25">
      <c r="B288" s="476"/>
      <c r="C288" s="476"/>
      <c r="D288" s="475"/>
      <c r="E288" s="476"/>
      <c r="F288" s="475"/>
      <c r="G288" s="476"/>
      <c r="H288" s="475"/>
      <c r="I288" s="476"/>
    </row>
    <row r="289" spans="2:9" x14ac:dyDescent="0.25">
      <c r="B289" s="476"/>
      <c r="C289" s="476"/>
      <c r="D289" s="475"/>
      <c r="E289" s="476"/>
      <c r="F289" s="475"/>
      <c r="G289" s="476"/>
      <c r="H289" s="475"/>
      <c r="I289" s="476"/>
    </row>
    <row r="290" spans="2:9" x14ac:dyDescent="0.25">
      <c r="B290" s="476"/>
      <c r="C290" s="476"/>
      <c r="D290" s="475"/>
      <c r="E290" s="476"/>
      <c r="F290" s="475"/>
      <c r="G290" s="476"/>
      <c r="H290" s="475"/>
      <c r="I290" s="476"/>
    </row>
    <row r="291" spans="2:9" x14ac:dyDescent="0.25">
      <c r="B291" s="476"/>
      <c r="C291" s="476"/>
      <c r="D291" s="475"/>
      <c r="E291" s="476"/>
      <c r="F291" s="475"/>
      <c r="G291" s="476"/>
      <c r="H291" s="475"/>
      <c r="I291" s="476"/>
    </row>
    <row r="292" spans="2:9" x14ac:dyDescent="0.25">
      <c r="B292" s="476"/>
      <c r="C292" s="476"/>
      <c r="D292" s="475"/>
      <c r="E292" s="476"/>
      <c r="F292" s="475"/>
      <c r="G292" s="476"/>
      <c r="H292" s="475"/>
      <c r="I292" s="476"/>
    </row>
    <row r="293" spans="2:9" x14ac:dyDescent="0.25">
      <c r="B293" s="476"/>
      <c r="C293" s="476"/>
      <c r="D293" s="475"/>
      <c r="E293" s="476"/>
      <c r="F293" s="475"/>
      <c r="G293" s="476"/>
      <c r="H293" s="475"/>
      <c r="I293" s="476"/>
    </row>
    <row r="294" spans="2:9" x14ac:dyDescent="0.25">
      <c r="B294" s="476"/>
      <c r="C294" s="476"/>
      <c r="D294" s="475"/>
      <c r="E294" s="476"/>
      <c r="F294" s="475"/>
      <c r="G294" s="476"/>
      <c r="H294" s="475"/>
      <c r="I294" s="476"/>
    </row>
    <row r="295" spans="2:9" x14ac:dyDescent="0.25">
      <c r="B295" s="476"/>
      <c r="C295" s="476"/>
      <c r="D295" s="475"/>
      <c r="E295" s="476"/>
      <c r="F295" s="475"/>
      <c r="G295" s="476"/>
      <c r="H295" s="475"/>
      <c r="I295" s="476"/>
    </row>
    <row r="296" spans="2:9" x14ac:dyDescent="0.25">
      <c r="B296" s="476"/>
      <c r="C296" s="476"/>
      <c r="D296" s="475"/>
      <c r="E296" s="476"/>
      <c r="F296" s="475"/>
      <c r="G296" s="476"/>
      <c r="H296" s="475"/>
      <c r="I296" s="476"/>
    </row>
    <row r="297" spans="2:9" x14ac:dyDescent="0.25">
      <c r="B297" s="476"/>
      <c r="C297" s="476"/>
      <c r="D297" s="475"/>
      <c r="E297" s="476"/>
      <c r="F297" s="475"/>
      <c r="G297" s="476"/>
      <c r="H297" s="475"/>
      <c r="I297" s="476"/>
    </row>
    <row r="298" spans="2:9" x14ac:dyDescent="0.25">
      <c r="B298" s="476"/>
      <c r="C298" s="476"/>
      <c r="D298" s="475"/>
      <c r="E298" s="476"/>
      <c r="F298" s="475"/>
      <c r="G298" s="476"/>
      <c r="H298" s="475"/>
      <c r="I298" s="476"/>
    </row>
    <row r="299" spans="2:9" x14ac:dyDescent="0.25">
      <c r="B299" s="476"/>
      <c r="C299" s="476"/>
      <c r="D299" s="475"/>
      <c r="E299" s="476"/>
      <c r="F299" s="475"/>
      <c r="G299" s="476"/>
      <c r="H299" s="475"/>
      <c r="I299" s="476"/>
    </row>
    <row r="300" spans="2:9" x14ac:dyDescent="0.25">
      <c r="B300" s="476"/>
      <c r="C300" s="476"/>
      <c r="D300" s="475"/>
      <c r="E300" s="476"/>
      <c r="F300" s="475"/>
      <c r="G300" s="476"/>
      <c r="H300" s="475"/>
      <c r="I300" s="476"/>
    </row>
    <row r="301" spans="2:9" x14ac:dyDescent="0.25">
      <c r="B301" s="476"/>
      <c r="C301" s="476"/>
      <c r="D301" s="475"/>
      <c r="E301" s="476"/>
      <c r="F301" s="475"/>
      <c r="G301" s="476"/>
      <c r="H301" s="475"/>
      <c r="I301" s="476"/>
    </row>
    <row r="302" spans="2:9" x14ac:dyDescent="0.25">
      <c r="B302" s="476"/>
      <c r="C302" s="476"/>
      <c r="D302" s="475"/>
      <c r="E302" s="476"/>
      <c r="F302" s="475"/>
      <c r="G302" s="476"/>
      <c r="H302" s="475"/>
      <c r="I302" s="476"/>
    </row>
    <row r="303" spans="2:9" x14ac:dyDescent="0.25">
      <c r="B303" s="476"/>
      <c r="C303" s="476"/>
      <c r="D303" s="475"/>
      <c r="E303" s="476"/>
      <c r="F303" s="475"/>
      <c r="G303" s="476"/>
      <c r="H303" s="475"/>
      <c r="I303" s="476"/>
    </row>
    <row r="304" spans="2:9" x14ac:dyDescent="0.25">
      <c r="B304" s="476"/>
      <c r="C304" s="476"/>
      <c r="D304" s="475"/>
      <c r="E304" s="476"/>
      <c r="F304" s="475"/>
      <c r="G304" s="476"/>
      <c r="H304" s="475"/>
      <c r="I304" s="476"/>
    </row>
    <row r="305" spans="2:9" x14ac:dyDescent="0.25">
      <c r="B305" s="476"/>
      <c r="C305" s="476"/>
      <c r="D305" s="475"/>
      <c r="E305" s="476"/>
      <c r="F305" s="475"/>
      <c r="G305" s="476"/>
      <c r="H305" s="475"/>
      <c r="I305" s="476"/>
    </row>
    <row r="306" spans="2:9" x14ac:dyDescent="0.25">
      <c r="B306" s="476"/>
      <c r="C306" s="476"/>
      <c r="D306" s="475"/>
      <c r="E306" s="476"/>
      <c r="F306" s="475"/>
      <c r="G306" s="476"/>
      <c r="H306" s="475"/>
      <c r="I306" s="476"/>
    </row>
    <row r="307" spans="2:9" x14ac:dyDescent="0.25">
      <c r="B307" s="476"/>
      <c r="C307" s="476"/>
      <c r="D307" s="475"/>
      <c r="E307" s="476"/>
      <c r="F307" s="475"/>
      <c r="G307" s="476"/>
      <c r="H307" s="475"/>
      <c r="I307" s="476"/>
    </row>
    <row r="308" spans="2:9" x14ac:dyDescent="0.25">
      <c r="B308" s="476"/>
      <c r="C308" s="476"/>
      <c r="D308" s="475"/>
      <c r="E308" s="476"/>
      <c r="F308" s="475"/>
      <c r="G308" s="476"/>
      <c r="H308" s="475"/>
      <c r="I308" s="476"/>
    </row>
    <row r="309" spans="2:9" x14ac:dyDescent="0.25">
      <c r="B309" s="476"/>
      <c r="C309" s="476"/>
      <c r="D309" s="475"/>
      <c r="E309" s="476"/>
      <c r="F309" s="475"/>
      <c r="G309" s="476"/>
      <c r="H309" s="475"/>
      <c r="I309" s="476"/>
    </row>
    <row r="310" spans="2:9" x14ac:dyDescent="0.25">
      <c r="B310" s="476"/>
      <c r="C310" s="476"/>
      <c r="D310" s="475"/>
      <c r="E310" s="476"/>
      <c r="F310" s="475"/>
      <c r="G310" s="476"/>
      <c r="H310" s="475"/>
      <c r="I310" s="476"/>
    </row>
    <row r="311" spans="2:9" x14ac:dyDescent="0.25">
      <c r="B311" s="476"/>
      <c r="C311" s="476"/>
      <c r="D311" s="475"/>
      <c r="E311" s="476"/>
      <c r="F311" s="475"/>
      <c r="G311" s="476"/>
      <c r="H311" s="475"/>
      <c r="I311" s="476"/>
    </row>
    <row r="312" spans="2:9" x14ac:dyDescent="0.25">
      <c r="B312" s="476"/>
      <c r="C312" s="476"/>
      <c r="D312" s="475"/>
      <c r="E312" s="476"/>
      <c r="F312" s="475"/>
      <c r="G312" s="476"/>
      <c r="H312" s="475"/>
      <c r="I312" s="476"/>
    </row>
    <row r="313" spans="2:9" x14ac:dyDescent="0.25">
      <c r="B313" s="476"/>
      <c r="C313" s="476"/>
      <c r="D313" s="475"/>
      <c r="E313" s="476"/>
      <c r="F313" s="475"/>
      <c r="G313" s="476"/>
      <c r="H313" s="475"/>
      <c r="I313" s="476"/>
    </row>
    <row r="314" spans="2:9" x14ac:dyDescent="0.25">
      <c r="B314" s="476"/>
      <c r="C314" s="476"/>
      <c r="D314" s="475"/>
      <c r="E314" s="476"/>
      <c r="F314" s="475"/>
      <c r="G314" s="476"/>
      <c r="H314" s="475"/>
      <c r="I314" s="476"/>
    </row>
    <row r="315" spans="2:9" x14ac:dyDescent="0.25">
      <c r="B315" s="476"/>
      <c r="C315" s="476"/>
      <c r="D315" s="475"/>
      <c r="E315" s="476"/>
      <c r="F315" s="475"/>
      <c r="G315" s="476"/>
      <c r="H315" s="475"/>
      <c r="I315" s="476"/>
    </row>
    <row r="316" spans="2:9" x14ac:dyDescent="0.25">
      <c r="B316" s="476"/>
      <c r="C316" s="476"/>
      <c r="D316" s="475"/>
      <c r="E316" s="476"/>
      <c r="F316" s="475"/>
      <c r="G316" s="476"/>
      <c r="H316" s="475"/>
      <c r="I316" s="476"/>
    </row>
    <row r="317" spans="2:9" x14ac:dyDescent="0.25">
      <c r="B317" s="476"/>
      <c r="C317" s="476"/>
      <c r="D317" s="475"/>
      <c r="E317" s="476"/>
      <c r="F317" s="475"/>
      <c r="G317" s="476"/>
      <c r="H317" s="475"/>
      <c r="I317" s="476"/>
    </row>
    <row r="318" spans="2:9" x14ac:dyDescent="0.25">
      <c r="B318" s="476"/>
      <c r="C318" s="476"/>
      <c r="D318" s="475"/>
      <c r="E318" s="476"/>
      <c r="F318" s="475"/>
      <c r="G318" s="476"/>
      <c r="H318" s="475"/>
      <c r="I318" s="476"/>
    </row>
    <row r="319" spans="2:9" x14ac:dyDescent="0.25">
      <c r="B319" s="476"/>
      <c r="C319" s="476"/>
      <c r="D319" s="475"/>
      <c r="E319" s="476"/>
      <c r="F319" s="475"/>
      <c r="G319" s="476"/>
      <c r="H319" s="475"/>
      <c r="I319" s="476"/>
    </row>
    <row r="320" spans="2:9" x14ac:dyDescent="0.25">
      <c r="B320" s="476"/>
      <c r="C320" s="476"/>
      <c r="D320" s="475"/>
      <c r="E320" s="476"/>
      <c r="F320" s="475"/>
      <c r="G320" s="476"/>
      <c r="H320" s="475"/>
      <c r="I320" s="476"/>
    </row>
    <row r="321" spans="2:9" x14ac:dyDescent="0.25">
      <c r="B321" s="476"/>
      <c r="C321" s="476"/>
      <c r="D321" s="475"/>
      <c r="E321" s="476"/>
      <c r="F321" s="475"/>
      <c r="G321" s="476"/>
      <c r="H321" s="475"/>
      <c r="I321" s="476"/>
    </row>
    <row r="322" spans="2:9" x14ac:dyDescent="0.25">
      <c r="B322" s="476"/>
      <c r="C322" s="476"/>
      <c r="D322" s="475"/>
      <c r="E322" s="476"/>
      <c r="F322" s="475"/>
      <c r="G322" s="476"/>
      <c r="H322" s="475"/>
      <c r="I322" s="476"/>
    </row>
    <row r="323" spans="2:9" x14ac:dyDescent="0.25">
      <c r="B323" s="476"/>
      <c r="C323" s="476"/>
      <c r="D323" s="475"/>
      <c r="E323" s="476"/>
      <c r="F323" s="475"/>
      <c r="G323" s="476"/>
      <c r="H323" s="475"/>
      <c r="I323" s="476"/>
    </row>
    <row r="324" spans="2:9" x14ac:dyDescent="0.25">
      <c r="B324" s="476"/>
      <c r="C324" s="476"/>
      <c r="D324" s="475"/>
      <c r="E324" s="476"/>
      <c r="F324" s="475"/>
      <c r="G324" s="476"/>
      <c r="H324" s="475"/>
      <c r="I324" s="476"/>
    </row>
    <row r="325" spans="2:9" x14ac:dyDescent="0.25">
      <c r="B325" s="476"/>
      <c r="C325" s="476"/>
      <c r="D325" s="475"/>
      <c r="E325" s="476"/>
      <c r="F325" s="475"/>
      <c r="G325" s="476"/>
      <c r="H325" s="475"/>
      <c r="I325" s="476"/>
    </row>
    <row r="326" spans="2:9" x14ac:dyDescent="0.25">
      <c r="B326" s="476"/>
      <c r="C326" s="476"/>
      <c r="D326" s="475"/>
      <c r="E326" s="476"/>
      <c r="F326" s="475"/>
      <c r="G326" s="476"/>
      <c r="H326" s="475"/>
      <c r="I326" s="476"/>
    </row>
    <row r="327" spans="2:9" x14ac:dyDescent="0.25">
      <c r="B327" s="476"/>
      <c r="C327" s="476"/>
      <c r="D327" s="475"/>
      <c r="E327" s="476"/>
      <c r="F327" s="475"/>
      <c r="G327" s="476"/>
      <c r="H327" s="475"/>
      <c r="I327" s="476"/>
    </row>
    <row r="328" spans="2:9" x14ac:dyDescent="0.25">
      <c r="B328" s="476"/>
      <c r="C328" s="476"/>
      <c r="D328" s="475"/>
      <c r="E328" s="476"/>
      <c r="F328" s="475"/>
      <c r="G328" s="476"/>
      <c r="H328" s="475"/>
      <c r="I328" s="476"/>
    </row>
    <row r="329" spans="2:9" x14ac:dyDescent="0.25">
      <c r="B329" s="476"/>
      <c r="C329" s="476"/>
      <c r="D329" s="475"/>
      <c r="E329" s="476"/>
      <c r="F329" s="475"/>
      <c r="G329" s="476"/>
      <c r="H329" s="475"/>
      <c r="I329" s="476"/>
    </row>
    <row r="330" spans="2:9" x14ac:dyDescent="0.25">
      <c r="B330" s="476"/>
      <c r="C330" s="476"/>
      <c r="D330" s="475"/>
      <c r="E330" s="476"/>
      <c r="F330" s="475"/>
      <c r="G330" s="476"/>
      <c r="H330" s="475"/>
      <c r="I330" s="476"/>
    </row>
    <row r="331" spans="2:9" x14ac:dyDescent="0.25">
      <c r="B331" s="476"/>
      <c r="C331" s="476"/>
      <c r="D331" s="475"/>
      <c r="E331" s="476"/>
      <c r="F331" s="475"/>
      <c r="G331" s="476"/>
      <c r="H331" s="475"/>
      <c r="I331" s="476"/>
    </row>
    <row r="332" spans="2:9" x14ac:dyDescent="0.25">
      <c r="B332" s="476"/>
      <c r="C332" s="476"/>
      <c r="D332" s="475"/>
      <c r="E332" s="476"/>
      <c r="F332" s="475"/>
      <c r="G332" s="476"/>
      <c r="H332" s="475"/>
      <c r="I332" s="476"/>
    </row>
    <row r="333" spans="2:9" x14ac:dyDescent="0.25">
      <c r="B333" s="476"/>
      <c r="C333" s="476"/>
      <c r="D333" s="475"/>
      <c r="E333" s="476"/>
      <c r="F333" s="475"/>
      <c r="G333" s="476"/>
      <c r="H333" s="475"/>
      <c r="I333" s="476"/>
    </row>
    <row r="334" spans="2:9" x14ac:dyDescent="0.25">
      <c r="B334" s="476"/>
      <c r="C334" s="476"/>
      <c r="D334" s="475"/>
      <c r="E334" s="476"/>
      <c r="F334" s="475"/>
      <c r="G334" s="476"/>
      <c r="H334" s="475"/>
      <c r="I334" s="476"/>
    </row>
    <row r="335" spans="2:9" x14ac:dyDescent="0.25">
      <c r="B335" s="476"/>
      <c r="C335" s="476"/>
      <c r="D335" s="475"/>
      <c r="E335" s="476"/>
      <c r="F335" s="475"/>
      <c r="G335" s="476"/>
      <c r="H335" s="475"/>
      <c r="I335" s="476"/>
    </row>
    <row r="336" spans="2:9" x14ac:dyDescent="0.25">
      <c r="B336" s="476"/>
      <c r="C336" s="476"/>
      <c r="D336" s="475"/>
      <c r="E336" s="476"/>
      <c r="F336" s="475"/>
      <c r="G336" s="476"/>
      <c r="H336" s="475"/>
      <c r="I336" s="476"/>
    </row>
    <row r="337" spans="2:9" x14ac:dyDescent="0.25">
      <c r="B337" s="476"/>
      <c r="C337" s="476"/>
      <c r="D337" s="475"/>
      <c r="E337" s="476"/>
      <c r="F337" s="475"/>
      <c r="G337" s="476"/>
      <c r="H337" s="475"/>
      <c r="I337" s="476"/>
    </row>
    <row r="338" spans="2:9" x14ac:dyDescent="0.25">
      <c r="B338" s="476"/>
      <c r="C338" s="476"/>
      <c r="D338" s="475"/>
      <c r="E338" s="476"/>
      <c r="F338" s="475"/>
      <c r="G338" s="476"/>
      <c r="H338" s="475"/>
      <c r="I338" s="476"/>
    </row>
    <row r="339" spans="2:9" x14ac:dyDescent="0.25">
      <c r="B339" s="476"/>
      <c r="C339" s="476"/>
      <c r="D339" s="475"/>
      <c r="E339" s="476"/>
      <c r="F339" s="475"/>
      <c r="G339" s="476"/>
      <c r="H339" s="475"/>
      <c r="I339" s="476"/>
    </row>
    <row r="340" spans="2:9" x14ac:dyDescent="0.25">
      <c r="B340" s="476"/>
      <c r="C340" s="476"/>
      <c r="D340" s="475"/>
      <c r="E340" s="476"/>
      <c r="F340" s="475"/>
      <c r="G340" s="476"/>
      <c r="H340" s="475"/>
      <c r="I340" s="476"/>
    </row>
    <row r="341" spans="2:9" x14ac:dyDescent="0.25">
      <c r="B341" s="476"/>
      <c r="C341" s="476"/>
      <c r="D341" s="475"/>
      <c r="E341" s="476"/>
      <c r="F341" s="475"/>
      <c r="G341" s="476"/>
      <c r="H341" s="475"/>
      <c r="I341" s="476"/>
    </row>
    <row r="342" spans="2:9" x14ac:dyDescent="0.25">
      <c r="B342" s="476"/>
      <c r="C342" s="476"/>
      <c r="D342" s="475"/>
      <c r="E342" s="476"/>
      <c r="F342" s="475"/>
      <c r="G342" s="476"/>
      <c r="H342" s="475"/>
      <c r="I342" s="476"/>
    </row>
    <row r="343" spans="2:9" x14ac:dyDescent="0.25">
      <c r="B343" s="476"/>
      <c r="C343" s="476"/>
      <c r="D343" s="475"/>
      <c r="E343" s="476"/>
      <c r="F343" s="475"/>
      <c r="G343" s="476"/>
      <c r="H343" s="475"/>
      <c r="I343" s="476"/>
    </row>
    <row r="344" spans="2:9" x14ac:dyDescent="0.25">
      <c r="B344" s="476"/>
      <c r="C344" s="476"/>
      <c r="D344" s="475"/>
      <c r="E344" s="476"/>
      <c r="F344" s="475"/>
      <c r="G344" s="476"/>
      <c r="H344" s="475"/>
      <c r="I344" s="476"/>
    </row>
    <row r="345" spans="2:9" x14ac:dyDescent="0.25">
      <c r="B345" s="476"/>
      <c r="C345" s="476"/>
      <c r="D345" s="475"/>
      <c r="E345" s="476"/>
      <c r="F345" s="475"/>
      <c r="G345" s="476"/>
      <c r="H345" s="475"/>
      <c r="I345" s="476"/>
    </row>
    <row r="346" spans="2:9" x14ac:dyDescent="0.25">
      <c r="B346" s="476"/>
      <c r="C346" s="476"/>
      <c r="D346" s="475"/>
      <c r="E346" s="476"/>
      <c r="F346" s="475"/>
      <c r="G346" s="476"/>
      <c r="H346" s="475"/>
      <c r="I346" s="476"/>
    </row>
    <row r="347" spans="2:9" x14ac:dyDescent="0.25">
      <c r="B347" s="476"/>
      <c r="C347" s="476"/>
      <c r="D347" s="475"/>
      <c r="E347" s="476"/>
      <c r="F347" s="475"/>
      <c r="G347" s="476"/>
      <c r="H347" s="475"/>
      <c r="I347" s="476"/>
    </row>
    <row r="348" spans="2:9" x14ac:dyDescent="0.25">
      <c r="B348" s="476"/>
      <c r="C348" s="476"/>
      <c r="D348" s="475"/>
      <c r="E348" s="476"/>
      <c r="F348" s="475"/>
      <c r="G348" s="476"/>
      <c r="H348" s="475"/>
      <c r="I348" s="476"/>
    </row>
    <row r="349" spans="2:9" x14ac:dyDescent="0.25">
      <c r="B349" s="476"/>
      <c r="C349" s="476"/>
      <c r="D349" s="475"/>
      <c r="E349" s="476"/>
      <c r="F349" s="475"/>
      <c r="G349" s="476"/>
      <c r="H349" s="475"/>
      <c r="I349" s="476"/>
    </row>
    <row r="350" spans="2:9" x14ac:dyDescent="0.25">
      <c r="B350" s="476"/>
      <c r="C350" s="476"/>
      <c r="D350" s="475"/>
      <c r="E350" s="476"/>
      <c r="F350" s="475"/>
      <c r="G350" s="476"/>
      <c r="H350" s="475"/>
      <c r="I350" s="476"/>
    </row>
    <row r="351" spans="2:9" x14ac:dyDescent="0.25">
      <c r="B351" s="476"/>
      <c r="C351" s="476"/>
      <c r="D351" s="475"/>
      <c r="E351" s="476"/>
      <c r="F351" s="475"/>
      <c r="G351" s="476"/>
      <c r="H351" s="475"/>
      <c r="I351" s="476"/>
    </row>
    <row r="352" spans="2:9" x14ac:dyDescent="0.25">
      <c r="B352" s="476"/>
      <c r="C352" s="476"/>
      <c r="D352" s="475"/>
      <c r="E352" s="476"/>
      <c r="F352" s="475"/>
      <c r="G352" s="476"/>
      <c r="H352" s="475"/>
      <c r="I352" s="476"/>
    </row>
    <row r="353" spans="2:9" x14ac:dyDescent="0.25">
      <c r="B353" s="476"/>
      <c r="C353" s="476"/>
      <c r="D353" s="475"/>
      <c r="E353" s="476"/>
      <c r="F353" s="475"/>
      <c r="G353" s="476"/>
      <c r="H353" s="475"/>
      <c r="I353" s="476"/>
    </row>
    <row r="354" spans="2:9" x14ac:dyDescent="0.25">
      <c r="B354" s="476"/>
      <c r="C354" s="476"/>
      <c r="D354" s="475"/>
      <c r="E354" s="476"/>
      <c r="F354" s="475"/>
      <c r="G354" s="476"/>
      <c r="H354" s="475"/>
      <c r="I354" s="476"/>
    </row>
    <row r="355" spans="2:9" x14ac:dyDescent="0.25">
      <c r="B355" s="476"/>
      <c r="C355" s="476"/>
      <c r="D355" s="475"/>
      <c r="E355" s="476"/>
      <c r="F355" s="475"/>
      <c r="G355" s="476"/>
      <c r="H355" s="475"/>
      <c r="I355" s="476"/>
    </row>
    <row r="356" spans="2:9" x14ac:dyDescent="0.25">
      <c r="B356" s="476"/>
      <c r="C356" s="476"/>
      <c r="D356" s="475"/>
      <c r="E356" s="476"/>
      <c r="F356" s="475"/>
      <c r="G356" s="476"/>
      <c r="H356" s="475"/>
      <c r="I356" s="476"/>
    </row>
    <row r="357" spans="2:9" x14ac:dyDescent="0.25">
      <c r="B357" s="476"/>
      <c r="C357" s="476"/>
      <c r="D357" s="475"/>
      <c r="E357" s="476"/>
      <c r="F357" s="475"/>
      <c r="G357" s="476"/>
      <c r="H357" s="475"/>
      <c r="I357" s="476"/>
    </row>
    <row r="358" spans="2:9" x14ac:dyDescent="0.25">
      <c r="B358" s="476"/>
      <c r="C358" s="476"/>
      <c r="D358" s="475"/>
      <c r="E358" s="476"/>
      <c r="F358" s="475"/>
      <c r="G358" s="476"/>
      <c r="H358" s="475"/>
      <c r="I358" s="476"/>
    </row>
    <row r="359" spans="2:9" x14ac:dyDescent="0.25">
      <c r="B359" s="476"/>
      <c r="C359" s="476"/>
      <c r="D359" s="475"/>
      <c r="E359" s="476"/>
      <c r="F359" s="475"/>
      <c r="G359" s="476"/>
      <c r="H359" s="475"/>
      <c r="I359" s="476"/>
    </row>
    <row r="360" spans="2:9" x14ac:dyDescent="0.25">
      <c r="B360" s="476"/>
      <c r="C360" s="476"/>
      <c r="D360" s="475"/>
      <c r="E360" s="476"/>
      <c r="F360" s="475"/>
      <c r="G360" s="476"/>
      <c r="H360" s="475"/>
      <c r="I360" s="476"/>
    </row>
    <row r="361" spans="2:9" x14ac:dyDescent="0.25">
      <c r="B361" s="476"/>
      <c r="C361" s="476"/>
      <c r="D361" s="475"/>
      <c r="E361" s="476"/>
      <c r="F361" s="475"/>
      <c r="G361" s="476"/>
      <c r="H361" s="475"/>
      <c r="I361" s="476"/>
    </row>
    <row r="362" spans="2:9" x14ac:dyDescent="0.25">
      <c r="B362" s="476"/>
      <c r="C362" s="476"/>
      <c r="D362" s="475"/>
      <c r="E362" s="476"/>
      <c r="F362" s="475"/>
      <c r="G362" s="476"/>
      <c r="H362" s="475"/>
      <c r="I362" s="476"/>
    </row>
    <row r="363" spans="2:9" x14ac:dyDescent="0.25">
      <c r="B363" s="476"/>
      <c r="C363" s="476"/>
      <c r="D363" s="475"/>
      <c r="E363" s="476"/>
      <c r="F363" s="475"/>
      <c r="G363" s="476"/>
      <c r="H363" s="475"/>
      <c r="I363" s="476"/>
    </row>
    <row r="364" spans="2:9" x14ac:dyDescent="0.25">
      <c r="B364" s="476"/>
      <c r="C364" s="476"/>
      <c r="D364" s="475"/>
      <c r="E364" s="476"/>
      <c r="F364" s="475"/>
      <c r="G364" s="476"/>
      <c r="H364" s="475"/>
      <c r="I364" s="476"/>
    </row>
    <row r="365" spans="2:9" x14ac:dyDescent="0.25">
      <c r="B365" s="476"/>
      <c r="C365" s="476"/>
      <c r="D365" s="475"/>
      <c r="E365" s="476"/>
      <c r="F365" s="475"/>
      <c r="G365" s="476"/>
      <c r="H365" s="475"/>
      <c r="I365" s="476"/>
    </row>
    <row r="366" spans="2:9" x14ac:dyDescent="0.25">
      <c r="B366" s="476"/>
      <c r="C366" s="476"/>
      <c r="D366" s="475"/>
      <c r="E366" s="476"/>
      <c r="F366" s="475"/>
      <c r="G366" s="476"/>
      <c r="H366" s="475"/>
      <c r="I366" s="476"/>
    </row>
    <row r="367" spans="2:9" x14ac:dyDescent="0.25">
      <c r="B367" s="476"/>
      <c r="C367" s="476"/>
      <c r="D367" s="475"/>
      <c r="E367" s="476"/>
      <c r="F367" s="475"/>
      <c r="G367" s="476"/>
      <c r="H367" s="475"/>
      <c r="I367" s="476"/>
    </row>
    <row r="368" spans="2:9" x14ac:dyDescent="0.25">
      <c r="B368" s="476"/>
      <c r="C368" s="476"/>
      <c r="D368" s="475"/>
      <c r="E368" s="476"/>
      <c r="F368" s="475"/>
      <c r="G368" s="476"/>
      <c r="H368" s="475"/>
      <c r="I368" s="476"/>
    </row>
    <row r="369" spans="2:9" x14ac:dyDescent="0.25">
      <c r="B369" s="476"/>
      <c r="C369" s="476"/>
      <c r="D369" s="475"/>
      <c r="E369" s="476"/>
      <c r="F369" s="475"/>
      <c r="G369" s="476"/>
      <c r="H369" s="475"/>
      <c r="I369" s="476"/>
    </row>
    <row r="370" spans="2:9" x14ac:dyDescent="0.25">
      <c r="B370" s="476"/>
      <c r="C370" s="476"/>
      <c r="D370" s="475"/>
      <c r="E370" s="476"/>
      <c r="F370" s="475"/>
      <c r="G370" s="476"/>
      <c r="H370" s="475"/>
      <c r="I370" s="476"/>
    </row>
    <row r="371" spans="2:9" x14ac:dyDescent="0.25">
      <c r="B371" s="476"/>
      <c r="C371" s="476"/>
      <c r="D371" s="475"/>
      <c r="E371" s="476"/>
      <c r="F371" s="475"/>
      <c r="G371" s="476"/>
      <c r="H371" s="475"/>
      <c r="I371" s="476"/>
    </row>
    <row r="372" spans="2:9" x14ac:dyDescent="0.25">
      <c r="B372" s="476"/>
      <c r="C372" s="476"/>
      <c r="D372" s="475"/>
      <c r="E372" s="476"/>
      <c r="F372" s="475"/>
      <c r="G372" s="476"/>
      <c r="H372" s="475"/>
      <c r="I372" s="476"/>
    </row>
    <row r="373" spans="2:9" x14ac:dyDescent="0.25">
      <c r="B373" s="476"/>
      <c r="C373" s="476"/>
      <c r="D373" s="475"/>
      <c r="E373" s="476"/>
      <c r="F373" s="475"/>
      <c r="G373" s="476"/>
      <c r="H373" s="475"/>
      <c r="I373" s="476"/>
    </row>
    <row r="374" spans="2:9" x14ac:dyDescent="0.25">
      <c r="B374" s="476"/>
      <c r="C374" s="476"/>
      <c r="D374" s="475"/>
      <c r="E374" s="476"/>
      <c r="F374" s="475"/>
      <c r="G374" s="476"/>
      <c r="H374" s="475"/>
      <c r="I374" s="476"/>
    </row>
    <row r="375" spans="2:9" x14ac:dyDescent="0.25">
      <c r="B375" s="476"/>
      <c r="C375" s="476"/>
      <c r="D375" s="475"/>
      <c r="E375" s="476"/>
      <c r="F375" s="475"/>
      <c r="G375" s="476"/>
      <c r="H375" s="475"/>
      <c r="I375" s="476"/>
    </row>
    <row r="376" spans="2:9" x14ac:dyDescent="0.25">
      <c r="B376" s="476"/>
      <c r="C376" s="476"/>
      <c r="D376" s="475"/>
      <c r="E376" s="476"/>
      <c r="F376" s="475"/>
      <c r="G376" s="476"/>
      <c r="H376" s="475"/>
      <c r="I376" s="476"/>
    </row>
    <row r="377" spans="2:9" x14ac:dyDescent="0.25">
      <c r="B377" s="476"/>
      <c r="C377" s="476"/>
      <c r="D377" s="475"/>
      <c r="E377" s="476"/>
      <c r="F377" s="475"/>
      <c r="G377" s="476"/>
      <c r="H377" s="475"/>
      <c r="I377" s="476"/>
    </row>
    <row r="378" spans="2:9" x14ac:dyDescent="0.25">
      <c r="B378" s="476"/>
      <c r="C378" s="476"/>
      <c r="D378" s="475"/>
      <c r="E378" s="476"/>
      <c r="F378" s="475"/>
      <c r="G378" s="476"/>
      <c r="H378" s="475"/>
      <c r="I378" s="476"/>
    </row>
    <row r="379" spans="2:9" x14ac:dyDescent="0.25">
      <c r="B379" s="476"/>
      <c r="C379" s="476"/>
      <c r="D379" s="475"/>
      <c r="E379" s="476"/>
      <c r="F379" s="475"/>
      <c r="G379" s="476"/>
      <c r="H379" s="475"/>
      <c r="I379" s="476"/>
    </row>
    <row r="380" spans="2:9" x14ac:dyDescent="0.25">
      <c r="B380" s="476"/>
      <c r="C380" s="476"/>
      <c r="D380" s="475"/>
      <c r="E380" s="476"/>
      <c r="F380" s="475"/>
      <c r="G380" s="476"/>
      <c r="H380" s="475"/>
      <c r="I380" s="476"/>
    </row>
    <row r="381" spans="2:9" x14ac:dyDescent="0.25">
      <c r="B381" s="476"/>
      <c r="C381" s="476"/>
      <c r="D381" s="475"/>
      <c r="E381" s="476"/>
      <c r="F381" s="475"/>
      <c r="G381" s="476"/>
      <c r="H381" s="475"/>
      <c r="I381" s="476"/>
    </row>
    <row r="382" spans="2:9" x14ac:dyDescent="0.25">
      <c r="B382" s="476"/>
      <c r="C382" s="476"/>
      <c r="D382" s="475"/>
      <c r="E382" s="476"/>
      <c r="F382" s="475"/>
      <c r="G382" s="476"/>
      <c r="H382" s="475"/>
      <c r="I382" s="476"/>
    </row>
    <row r="383" spans="2:9" x14ac:dyDescent="0.25">
      <c r="B383" s="476"/>
      <c r="C383" s="476"/>
      <c r="D383" s="475"/>
      <c r="E383" s="476"/>
      <c r="F383" s="475"/>
      <c r="G383" s="476"/>
      <c r="H383" s="475"/>
      <c r="I383" s="476"/>
    </row>
    <row r="384" spans="2:9" x14ac:dyDescent="0.25">
      <c r="B384" s="476"/>
      <c r="C384" s="476"/>
      <c r="D384" s="475"/>
      <c r="E384" s="476"/>
      <c r="F384" s="475"/>
      <c r="G384" s="476"/>
      <c r="H384" s="475"/>
      <c r="I384" s="476"/>
    </row>
    <row r="385" spans="2:9" x14ac:dyDescent="0.25">
      <c r="B385" s="476"/>
      <c r="C385" s="476"/>
      <c r="D385" s="475"/>
      <c r="E385" s="476"/>
      <c r="F385" s="475"/>
      <c r="G385" s="476"/>
      <c r="H385" s="475"/>
      <c r="I385" s="476"/>
    </row>
    <row r="386" spans="2:9" x14ac:dyDescent="0.25">
      <c r="B386" s="476"/>
      <c r="C386" s="476"/>
      <c r="D386" s="475"/>
      <c r="E386" s="476"/>
      <c r="F386" s="475"/>
      <c r="G386" s="476"/>
      <c r="H386" s="475"/>
      <c r="I386" s="476"/>
    </row>
    <row r="387" spans="2:9" x14ac:dyDescent="0.25">
      <c r="B387" s="476"/>
      <c r="C387" s="476"/>
      <c r="D387" s="475"/>
      <c r="E387" s="476"/>
      <c r="F387" s="475"/>
      <c r="G387" s="476"/>
      <c r="H387" s="475"/>
      <c r="I387" s="476"/>
    </row>
    <row r="388" spans="2:9" x14ac:dyDescent="0.25">
      <c r="B388" s="476"/>
      <c r="C388" s="476"/>
      <c r="D388" s="475"/>
      <c r="E388" s="476"/>
      <c r="F388" s="475"/>
      <c r="G388" s="476"/>
      <c r="H388" s="475"/>
      <c r="I388" s="476"/>
    </row>
    <row r="389" spans="2:9" x14ac:dyDescent="0.25">
      <c r="B389" s="476"/>
      <c r="C389" s="476"/>
      <c r="D389" s="475"/>
      <c r="E389" s="476"/>
      <c r="F389" s="475"/>
      <c r="G389" s="476"/>
      <c r="H389" s="475"/>
      <c r="I389" s="476"/>
    </row>
    <row r="390" spans="2:9" x14ac:dyDescent="0.25">
      <c r="B390" s="476"/>
      <c r="C390" s="476"/>
      <c r="D390" s="475"/>
      <c r="E390" s="476"/>
      <c r="F390" s="475"/>
      <c r="G390" s="476"/>
      <c r="H390" s="475"/>
      <c r="I390" s="476"/>
    </row>
    <row r="391" spans="2:9" x14ac:dyDescent="0.25">
      <c r="B391" s="476"/>
      <c r="C391" s="476"/>
      <c r="D391" s="475"/>
      <c r="E391" s="476"/>
      <c r="F391" s="475"/>
      <c r="G391" s="476"/>
      <c r="H391" s="475"/>
      <c r="I391" s="476"/>
    </row>
    <row r="392" spans="2:9" x14ac:dyDescent="0.25">
      <c r="B392" s="476"/>
      <c r="C392" s="476"/>
      <c r="D392" s="475"/>
      <c r="E392" s="476"/>
      <c r="F392" s="475"/>
      <c r="G392" s="476"/>
      <c r="H392" s="475"/>
      <c r="I392" s="476"/>
    </row>
    <row r="393" spans="2:9" x14ac:dyDescent="0.25">
      <c r="B393" s="476"/>
      <c r="C393" s="476"/>
      <c r="D393" s="475"/>
      <c r="E393" s="476"/>
      <c r="F393" s="475"/>
      <c r="G393" s="476"/>
      <c r="H393" s="475"/>
      <c r="I393" s="476"/>
    </row>
    <row r="394" spans="2:9" x14ac:dyDescent="0.25">
      <c r="B394" s="476"/>
      <c r="C394" s="476"/>
      <c r="D394" s="475"/>
      <c r="E394" s="476"/>
      <c r="F394" s="475"/>
      <c r="G394" s="476"/>
      <c r="H394" s="475"/>
      <c r="I394" s="476"/>
    </row>
    <row r="395" spans="2:9" x14ac:dyDescent="0.25">
      <c r="B395" s="476"/>
      <c r="C395" s="476"/>
      <c r="D395" s="475"/>
      <c r="E395" s="476"/>
      <c r="F395" s="475"/>
      <c r="G395" s="476"/>
      <c r="H395" s="475"/>
      <c r="I395" s="476"/>
    </row>
    <row r="396" spans="2:9" x14ac:dyDescent="0.25">
      <c r="B396" s="476"/>
      <c r="C396" s="476"/>
      <c r="D396" s="475"/>
      <c r="E396" s="476"/>
      <c r="F396" s="475"/>
      <c r="G396" s="476"/>
      <c r="H396" s="475"/>
      <c r="I396" s="476"/>
    </row>
    <row r="397" spans="2:9" x14ac:dyDescent="0.25">
      <c r="B397" s="476"/>
      <c r="C397" s="476"/>
      <c r="D397" s="475"/>
      <c r="E397" s="476"/>
      <c r="F397" s="475"/>
      <c r="G397" s="476"/>
      <c r="H397" s="475"/>
      <c r="I397" s="476"/>
    </row>
    <row r="398" spans="2:9" x14ac:dyDescent="0.25">
      <c r="B398" s="476"/>
      <c r="C398" s="476"/>
      <c r="D398" s="475"/>
      <c r="E398" s="476"/>
      <c r="F398" s="475"/>
      <c r="G398" s="476"/>
      <c r="H398" s="475"/>
      <c r="I398" s="476"/>
    </row>
    <row r="399" spans="2:9" x14ac:dyDescent="0.25">
      <c r="B399" s="476"/>
      <c r="C399" s="476"/>
      <c r="D399" s="475"/>
      <c r="E399" s="476"/>
      <c r="F399" s="475"/>
      <c r="G399" s="476"/>
      <c r="H399" s="475"/>
      <c r="I399" s="476"/>
    </row>
    <row r="400" spans="2:9" x14ac:dyDescent="0.25">
      <c r="B400" s="476"/>
      <c r="C400" s="476"/>
      <c r="D400" s="475"/>
      <c r="E400" s="476"/>
      <c r="F400" s="475"/>
      <c r="G400" s="476"/>
      <c r="H400" s="475"/>
      <c r="I400" s="476"/>
    </row>
    <row r="401" spans="2:9" x14ac:dyDescent="0.25">
      <c r="B401" s="476"/>
      <c r="C401" s="476"/>
      <c r="D401" s="475"/>
      <c r="E401" s="476"/>
      <c r="F401" s="475"/>
      <c r="G401" s="476"/>
      <c r="H401" s="475"/>
      <c r="I401" s="476"/>
    </row>
    <row r="402" spans="2:9" x14ac:dyDescent="0.25">
      <c r="B402" s="476"/>
      <c r="C402" s="476"/>
      <c r="D402" s="475"/>
      <c r="E402" s="476"/>
      <c r="F402" s="475"/>
      <c r="G402" s="476"/>
      <c r="H402" s="475"/>
      <c r="I402" s="476"/>
    </row>
    <row r="403" spans="2:9" x14ac:dyDescent="0.25">
      <c r="B403" s="476"/>
      <c r="C403" s="476"/>
      <c r="D403" s="475"/>
      <c r="E403" s="476"/>
      <c r="F403" s="475"/>
      <c r="G403" s="476"/>
      <c r="H403" s="475"/>
      <c r="I403" s="476"/>
    </row>
    <row r="404" spans="2:9" x14ac:dyDescent="0.25">
      <c r="B404" s="476"/>
      <c r="C404" s="476"/>
      <c r="D404" s="475"/>
      <c r="E404" s="476"/>
      <c r="F404" s="475"/>
      <c r="G404" s="476"/>
      <c r="H404" s="475"/>
      <c r="I404" s="476"/>
    </row>
    <row r="405" spans="2:9" x14ac:dyDescent="0.25">
      <c r="B405" s="476"/>
      <c r="C405" s="476"/>
      <c r="D405" s="475"/>
      <c r="E405" s="476"/>
      <c r="F405" s="475"/>
      <c r="G405" s="476"/>
      <c r="H405" s="475"/>
      <c r="I405" s="476"/>
    </row>
    <row r="406" spans="2:9" x14ac:dyDescent="0.25">
      <c r="B406" s="476"/>
      <c r="C406" s="476"/>
      <c r="D406" s="475"/>
      <c r="E406" s="476"/>
      <c r="F406" s="475"/>
      <c r="G406" s="476"/>
      <c r="H406" s="475"/>
      <c r="I406" s="476"/>
    </row>
    <row r="407" spans="2:9" x14ac:dyDescent="0.25">
      <c r="B407" s="476"/>
      <c r="C407" s="476"/>
      <c r="D407" s="475"/>
      <c r="E407" s="476"/>
      <c r="F407" s="475"/>
      <c r="G407" s="476"/>
      <c r="H407" s="475"/>
      <c r="I407" s="476"/>
    </row>
    <row r="408" spans="2:9" x14ac:dyDescent="0.25">
      <c r="B408" s="476"/>
      <c r="C408" s="476"/>
      <c r="D408" s="475"/>
      <c r="E408" s="476"/>
      <c r="F408" s="475"/>
      <c r="G408" s="476"/>
      <c r="H408" s="475"/>
      <c r="I408" s="476"/>
    </row>
    <row r="409" spans="2:9" x14ac:dyDescent="0.25">
      <c r="B409" s="476"/>
      <c r="C409" s="476"/>
      <c r="D409" s="475"/>
      <c r="E409" s="476"/>
      <c r="F409" s="475"/>
      <c r="G409" s="476"/>
      <c r="H409" s="475"/>
      <c r="I409" s="476"/>
    </row>
    <row r="410" spans="2:9" x14ac:dyDescent="0.25">
      <c r="B410" s="476"/>
      <c r="C410" s="476"/>
      <c r="D410" s="475"/>
      <c r="E410" s="476"/>
      <c r="F410" s="475"/>
      <c r="G410" s="476"/>
      <c r="H410" s="475"/>
      <c r="I410" s="476"/>
    </row>
    <row r="411" spans="2:9" x14ac:dyDescent="0.25">
      <c r="B411" s="476"/>
      <c r="C411" s="476"/>
      <c r="D411" s="475"/>
      <c r="E411" s="476"/>
      <c r="F411" s="475"/>
      <c r="G411" s="476"/>
      <c r="H411" s="475"/>
      <c r="I411" s="476"/>
    </row>
    <row r="412" spans="2:9" x14ac:dyDescent="0.25">
      <c r="B412" s="476"/>
      <c r="C412" s="476"/>
      <c r="D412" s="475"/>
      <c r="E412" s="476"/>
      <c r="F412" s="475"/>
      <c r="G412" s="476"/>
      <c r="H412" s="475"/>
      <c r="I412" s="476"/>
    </row>
    <row r="413" spans="2:9" x14ac:dyDescent="0.25">
      <c r="B413" s="476"/>
      <c r="C413" s="476"/>
      <c r="D413" s="475"/>
      <c r="E413" s="476"/>
      <c r="F413" s="475"/>
      <c r="G413" s="476"/>
      <c r="H413" s="475"/>
      <c r="I413" s="476"/>
    </row>
    <row r="414" spans="2:9" x14ac:dyDescent="0.25">
      <c r="B414" s="476"/>
      <c r="C414" s="476"/>
      <c r="D414" s="475"/>
      <c r="E414" s="476"/>
      <c r="F414" s="475"/>
      <c r="G414" s="476"/>
      <c r="H414" s="475"/>
      <c r="I414" s="476"/>
    </row>
    <row r="415" spans="2:9" x14ac:dyDescent="0.25">
      <c r="B415" s="476"/>
      <c r="C415" s="476"/>
      <c r="D415" s="475"/>
      <c r="E415" s="476"/>
      <c r="F415" s="475"/>
      <c r="G415" s="476"/>
      <c r="H415" s="475"/>
      <c r="I415" s="476"/>
    </row>
    <row r="416" spans="2:9" x14ac:dyDescent="0.25">
      <c r="B416" s="476"/>
      <c r="C416" s="476"/>
      <c r="D416" s="475"/>
      <c r="E416" s="476"/>
      <c r="F416" s="475"/>
      <c r="G416" s="476"/>
      <c r="H416" s="475"/>
      <c r="I416" s="476"/>
    </row>
    <row r="417" spans="2:9" x14ac:dyDescent="0.25">
      <c r="B417" s="476"/>
      <c r="C417" s="476"/>
      <c r="D417" s="475"/>
      <c r="E417" s="476"/>
      <c r="F417" s="475"/>
      <c r="G417" s="476"/>
      <c r="H417" s="475"/>
      <c r="I417" s="476"/>
    </row>
    <row r="418" spans="2:9" x14ac:dyDescent="0.25">
      <c r="B418" s="476"/>
      <c r="C418" s="476"/>
      <c r="D418" s="475"/>
      <c r="E418" s="476"/>
      <c r="F418" s="475"/>
      <c r="G418" s="476"/>
      <c r="H418" s="475"/>
      <c r="I418" s="476"/>
    </row>
    <row r="419" spans="2:9" x14ac:dyDescent="0.25">
      <c r="B419" s="476"/>
      <c r="C419" s="476"/>
      <c r="D419" s="475"/>
      <c r="E419" s="476"/>
      <c r="F419" s="475"/>
      <c r="G419" s="476"/>
      <c r="H419" s="475"/>
      <c r="I419" s="476"/>
    </row>
    <row r="420" spans="2:9" x14ac:dyDescent="0.25">
      <c r="B420" s="476"/>
      <c r="C420" s="476"/>
      <c r="D420" s="475"/>
      <c r="E420" s="476"/>
      <c r="F420" s="475"/>
      <c r="G420" s="476"/>
      <c r="H420" s="475"/>
      <c r="I420" s="476"/>
    </row>
    <row r="421" spans="2:9" x14ac:dyDescent="0.25">
      <c r="B421" s="476"/>
      <c r="C421" s="476"/>
      <c r="D421" s="475"/>
      <c r="E421" s="476"/>
      <c r="F421" s="475"/>
      <c r="G421" s="476"/>
      <c r="H421" s="475"/>
      <c r="I421" s="476"/>
    </row>
    <row r="422" spans="2:9" x14ac:dyDescent="0.25">
      <c r="B422" s="476"/>
      <c r="C422" s="476"/>
      <c r="D422" s="475"/>
      <c r="E422" s="476"/>
      <c r="F422" s="475"/>
      <c r="G422" s="476"/>
      <c r="H422" s="475"/>
      <c r="I422" s="476"/>
    </row>
    <row r="423" spans="2:9" x14ac:dyDescent="0.25">
      <c r="B423" s="476"/>
      <c r="C423" s="476"/>
      <c r="D423" s="475"/>
      <c r="E423" s="476"/>
      <c r="F423" s="475"/>
      <c r="G423" s="476"/>
      <c r="H423" s="475"/>
      <c r="I423" s="476"/>
    </row>
    <row r="424" spans="2:9" x14ac:dyDescent="0.25">
      <c r="B424" s="476"/>
      <c r="C424" s="476"/>
      <c r="D424" s="475"/>
      <c r="E424" s="476"/>
      <c r="F424" s="475"/>
      <c r="G424" s="476"/>
      <c r="H424" s="475"/>
      <c r="I424" s="476"/>
    </row>
    <row r="425" spans="2:9" x14ac:dyDescent="0.25">
      <c r="B425" s="476"/>
      <c r="C425" s="476"/>
      <c r="D425" s="475"/>
      <c r="E425" s="476"/>
      <c r="F425" s="475"/>
      <c r="G425" s="476"/>
      <c r="H425" s="475"/>
      <c r="I425" s="476"/>
    </row>
    <row r="426" spans="2:9" x14ac:dyDescent="0.25">
      <c r="B426" s="476"/>
      <c r="C426" s="476"/>
      <c r="D426" s="475"/>
      <c r="E426" s="476"/>
      <c r="F426" s="475"/>
      <c r="G426" s="476"/>
      <c r="H426" s="475"/>
      <c r="I426" s="476"/>
    </row>
    <row r="427" spans="2:9" x14ac:dyDescent="0.25">
      <c r="B427" s="476"/>
      <c r="C427" s="476"/>
      <c r="D427" s="475"/>
      <c r="E427" s="476"/>
      <c r="F427" s="475"/>
      <c r="G427" s="476"/>
      <c r="H427" s="475"/>
      <c r="I427" s="476"/>
    </row>
    <row r="428" spans="2:9" x14ac:dyDescent="0.25">
      <c r="B428" s="476"/>
      <c r="C428" s="476"/>
      <c r="D428" s="475"/>
      <c r="E428" s="476"/>
      <c r="F428" s="475"/>
      <c r="G428" s="476"/>
      <c r="H428" s="475"/>
      <c r="I428" s="476"/>
    </row>
    <row r="429" spans="2:9" x14ac:dyDescent="0.25">
      <c r="B429" s="476"/>
      <c r="C429" s="476"/>
      <c r="D429" s="475"/>
      <c r="E429" s="476"/>
      <c r="F429" s="475"/>
      <c r="G429" s="476"/>
      <c r="H429" s="475"/>
      <c r="I429" s="476"/>
    </row>
    <row r="430" spans="2:9" x14ac:dyDescent="0.25">
      <c r="B430" s="476"/>
      <c r="C430" s="476"/>
      <c r="D430" s="475"/>
      <c r="E430" s="476"/>
      <c r="F430" s="475"/>
      <c r="G430" s="476"/>
      <c r="H430" s="475"/>
      <c r="I430" s="476"/>
    </row>
    <row r="431" spans="2:9" x14ac:dyDescent="0.25">
      <c r="B431" s="476"/>
      <c r="C431" s="476"/>
      <c r="D431" s="475"/>
      <c r="E431" s="476"/>
      <c r="F431" s="475"/>
      <c r="G431" s="476"/>
      <c r="H431" s="475"/>
      <c r="I431" s="476"/>
    </row>
    <row r="432" spans="2:9" x14ac:dyDescent="0.25">
      <c r="B432" s="476"/>
      <c r="C432" s="476"/>
      <c r="D432" s="475"/>
      <c r="E432" s="476"/>
      <c r="F432" s="475"/>
      <c r="G432" s="476"/>
      <c r="H432" s="475"/>
      <c r="I432" s="476"/>
    </row>
    <row r="433" spans="2:9" x14ac:dyDescent="0.25">
      <c r="B433" s="476"/>
      <c r="C433" s="476"/>
      <c r="D433" s="475"/>
      <c r="E433" s="476"/>
      <c r="F433" s="475"/>
      <c r="G433" s="476"/>
      <c r="H433" s="475"/>
      <c r="I433" s="476"/>
    </row>
    <row r="434" spans="2:9" x14ac:dyDescent="0.25">
      <c r="B434" s="476"/>
      <c r="C434" s="476"/>
      <c r="D434" s="475"/>
      <c r="E434" s="476"/>
      <c r="F434" s="475"/>
      <c r="G434" s="476"/>
      <c r="H434" s="475"/>
      <c r="I434" s="476"/>
    </row>
    <row r="435" spans="2:9" x14ac:dyDescent="0.25">
      <c r="B435" s="476"/>
      <c r="C435" s="476"/>
      <c r="D435" s="475"/>
      <c r="E435" s="476"/>
      <c r="F435" s="475"/>
      <c r="G435" s="476"/>
      <c r="H435" s="475"/>
      <c r="I435" s="476"/>
    </row>
    <row r="436" spans="2:9" x14ac:dyDescent="0.25">
      <c r="B436" s="476"/>
      <c r="C436" s="476"/>
      <c r="D436" s="475"/>
      <c r="E436" s="476"/>
      <c r="F436" s="475"/>
      <c r="G436" s="476"/>
      <c r="H436" s="475"/>
      <c r="I436" s="476"/>
    </row>
    <row r="437" spans="2:9" x14ac:dyDescent="0.25">
      <c r="B437" s="476"/>
      <c r="C437" s="476"/>
      <c r="D437" s="475"/>
      <c r="E437" s="476"/>
      <c r="F437" s="475"/>
      <c r="G437" s="476"/>
      <c r="H437" s="475"/>
      <c r="I437" s="476"/>
    </row>
    <row r="438" spans="2:9" x14ac:dyDescent="0.25">
      <c r="B438" s="476"/>
      <c r="C438" s="476"/>
      <c r="D438" s="475"/>
      <c r="E438" s="476"/>
      <c r="F438" s="475"/>
      <c r="G438" s="476"/>
      <c r="H438" s="475"/>
      <c r="I438" s="476"/>
    </row>
    <row r="439" spans="2:9" x14ac:dyDescent="0.25">
      <c r="B439" s="476"/>
      <c r="C439" s="476"/>
      <c r="D439" s="475"/>
      <c r="E439" s="476"/>
      <c r="F439" s="475"/>
      <c r="G439" s="476"/>
      <c r="H439" s="475"/>
      <c r="I439" s="476"/>
    </row>
    <row r="440" spans="2:9" x14ac:dyDescent="0.25">
      <c r="B440" s="476"/>
      <c r="C440" s="476"/>
      <c r="D440" s="475"/>
      <c r="E440" s="476"/>
      <c r="F440" s="475"/>
      <c r="G440" s="476"/>
      <c r="H440" s="475"/>
      <c r="I440" s="476"/>
    </row>
    <row r="441" spans="2:9" x14ac:dyDescent="0.25">
      <c r="B441" s="476"/>
      <c r="C441" s="476"/>
      <c r="D441" s="475"/>
      <c r="E441" s="476"/>
      <c r="F441" s="475"/>
      <c r="G441" s="476"/>
      <c r="H441" s="475"/>
      <c r="I441" s="476"/>
    </row>
    <row r="442" spans="2:9" x14ac:dyDescent="0.25">
      <c r="B442" s="476"/>
      <c r="C442" s="476"/>
      <c r="D442" s="475"/>
      <c r="E442" s="476"/>
      <c r="F442" s="475"/>
      <c r="G442" s="476"/>
      <c r="H442" s="475"/>
      <c r="I442" s="476"/>
    </row>
    <row r="443" spans="2:9" x14ac:dyDescent="0.25">
      <c r="B443" s="476"/>
      <c r="C443" s="476"/>
      <c r="D443" s="475"/>
      <c r="E443" s="476"/>
      <c r="F443" s="475"/>
      <c r="G443" s="476"/>
      <c r="H443" s="475"/>
      <c r="I443" s="476"/>
    </row>
    <row r="444" spans="2:9" x14ac:dyDescent="0.25">
      <c r="B444" s="476"/>
      <c r="C444" s="476"/>
      <c r="D444" s="475"/>
      <c r="E444" s="476"/>
      <c r="F444" s="475"/>
      <c r="G444" s="476"/>
      <c r="H444" s="475"/>
      <c r="I444" s="476"/>
    </row>
    <row r="445" spans="2:9" x14ac:dyDescent="0.25">
      <c r="B445" s="476"/>
      <c r="C445" s="476"/>
      <c r="D445" s="475"/>
      <c r="E445" s="476"/>
      <c r="F445" s="475"/>
      <c r="G445" s="476"/>
      <c r="H445" s="475"/>
      <c r="I445" s="476"/>
    </row>
    <row r="446" spans="2:9" x14ac:dyDescent="0.25">
      <c r="B446" s="476"/>
      <c r="C446" s="476"/>
      <c r="D446" s="475"/>
      <c r="E446" s="476"/>
      <c r="F446" s="475"/>
      <c r="G446" s="476"/>
      <c r="H446" s="475"/>
      <c r="I446" s="476"/>
    </row>
    <row r="447" spans="2:9" x14ac:dyDescent="0.25">
      <c r="B447" s="476"/>
      <c r="C447" s="476"/>
      <c r="D447" s="475"/>
      <c r="E447" s="476"/>
      <c r="F447" s="475"/>
      <c r="G447" s="476"/>
      <c r="H447" s="475"/>
      <c r="I447" s="476"/>
    </row>
    <row r="448" spans="2:9" x14ac:dyDescent="0.25">
      <c r="B448" s="476"/>
      <c r="C448" s="476"/>
      <c r="D448" s="475"/>
      <c r="E448" s="476"/>
      <c r="F448" s="475"/>
      <c r="G448" s="476"/>
      <c r="H448" s="475"/>
      <c r="I448" s="476"/>
    </row>
    <row r="449" spans="2:9" x14ac:dyDescent="0.25">
      <c r="B449" s="476"/>
      <c r="C449" s="476"/>
      <c r="D449" s="475"/>
      <c r="E449" s="476"/>
      <c r="F449" s="475"/>
      <c r="G449" s="476"/>
      <c r="H449" s="475"/>
      <c r="I449" s="476"/>
    </row>
    <row r="450" spans="2:9" x14ac:dyDescent="0.25">
      <c r="B450" s="476"/>
      <c r="C450" s="476"/>
      <c r="D450" s="475"/>
      <c r="E450" s="476"/>
      <c r="F450" s="475"/>
      <c r="G450" s="476"/>
      <c r="H450" s="475"/>
      <c r="I450" s="476"/>
    </row>
    <row r="451" spans="2:9" x14ac:dyDescent="0.25">
      <c r="B451" s="476"/>
      <c r="C451" s="476"/>
      <c r="D451" s="475"/>
      <c r="E451" s="476"/>
      <c r="F451" s="475"/>
      <c r="G451" s="476"/>
      <c r="H451" s="475"/>
      <c r="I451" s="476"/>
    </row>
    <row r="452" spans="2:9" x14ac:dyDescent="0.25">
      <c r="B452" s="476"/>
      <c r="C452" s="476"/>
      <c r="D452" s="475"/>
      <c r="E452" s="476"/>
      <c r="F452" s="475"/>
      <c r="G452" s="476"/>
      <c r="H452" s="475"/>
      <c r="I452" s="476"/>
    </row>
    <row r="453" spans="2:9" x14ac:dyDescent="0.25">
      <c r="B453" s="476"/>
      <c r="C453" s="476"/>
      <c r="D453" s="475"/>
      <c r="E453" s="476"/>
      <c r="F453" s="475"/>
      <c r="G453" s="476"/>
      <c r="H453" s="475"/>
      <c r="I453" s="476"/>
    </row>
    <row r="454" spans="2:9" x14ac:dyDescent="0.25">
      <c r="B454" s="476"/>
      <c r="C454" s="476"/>
      <c r="D454" s="475"/>
      <c r="E454" s="476"/>
      <c r="F454" s="475"/>
      <c r="G454" s="476"/>
      <c r="H454" s="475"/>
      <c r="I454" s="476"/>
    </row>
    <row r="455" spans="2:9" x14ac:dyDescent="0.25">
      <c r="B455" s="476"/>
      <c r="C455" s="476"/>
      <c r="D455" s="475"/>
      <c r="E455" s="476"/>
      <c r="F455" s="475"/>
      <c r="G455" s="476"/>
      <c r="H455" s="475"/>
      <c r="I455" s="476"/>
    </row>
    <row r="456" spans="2:9" x14ac:dyDescent="0.25">
      <c r="B456" s="476"/>
      <c r="C456" s="476"/>
      <c r="D456" s="475"/>
      <c r="E456" s="476"/>
      <c r="F456" s="475"/>
      <c r="G456" s="476"/>
      <c r="H456" s="475"/>
      <c r="I456" s="476"/>
    </row>
    <row r="457" spans="2:9" x14ac:dyDescent="0.25">
      <c r="B457" s="476"/>
      <c r="C457" s="476"/>
      <c r="D457" s="475"/>
      <c r="E457" s="476"/>
      <c r="F457" s="475"/>
      <c r="G457" s="476"/>
      <c r="H457" s="475"/>
      <c r="I457" s="476"/>
    </row>
    <row r="458" spans="2:9" x14ac:dyDescent="0.25">
      <c r="B458" s="476"/>
      <c r="C458" s="476"/>
      <c r="D458" s="475"/>
      <c r="E458" s="476"/>
      <c r="F458" s="475"/>
      <c r="G458" s="476"/>
      <c r="H458" s="475"/>
      <c r="I458" s="476"/>
    </row>
    <row r="459" spans="2:9" x14ac:dyDescent="0.25">
      <c r="B459" s="476"/>
      <c r="C459" s="476"/>
      <c r="D459" s="475"/>
      <c r="E459" s="476"/>
      <c r="F459" s="475"/>
      <c r="G459" s="476"/>
      <c r="H459" s="475"/>
      <c r="I459" s="476"/>
    </row>
    <row r="460" spans="2:9" x14ac:dyDescent="0.25">
      <c r="B460" s="476"/>
      <c r="C460" s="476"/>
      <c r="D460" s="475"/>
      <c r="E460" s="476"/>
      <c r="F460" s="475"/>
      <c r="G460" s="476"/>
      <c r="H460" s="475"/>
      <c r="I460" s="476"/>
    </row>
    <row r="461" spans="2:9" x14ac:dyDescent="0.25">
      <c r="B461" s="476"/>
      <c r="C461" s="476"/>
      <c r="D461" s="475"/>
      <c r="E461" s="476"/>
      <c r="F461" s="475"/>
      <c r="G461" s="476"/>
      <c r="H461" s="475"/>
      <c r="I461" s="476"/>
    </row>
    <row r="462" spans="2:9" x14ac:dyDescent="0.25">
      <c r="B462" s="476"/>
      <c r="C462" s="476"/>
      <c r="D462" s="475"/>
      <c r="E462" s="476"/>
      <c r="F462" s="475"/>
      <c r="G462" s="476"/>
      <c r="H462" s="475"/>
      <c r="I462" s="476"/>
    </row>
    <row r="463" spans="2:9" x14ac:dyDescent="0.25">
      <c r="B463" s="476"/>
      <c r="C463" s="476"/>
      <c r="D463" s="475"/>
      <c r="E463" s="476"/>
      <c r="F463" s="475"/>
      <c r="G463" s="476"/>
      <c r="H463" s="475"/>
      <c r="I463" s="476"/>
    </row>
    <row r="464" spans="2:9" x14ac:dyDescent="0.25">
      <c r="B464" s="476"/>
      <c r="C464" s="476"/>
      <c r="D464" s="475"/>
      <c r="E464" s="476"/>
      <c r="F464" s="475"/>
      <c r="G464" s="476"/>
      <c r="H464" s="475"/>
      <c r="I464" s="476"/>
    </row>
    <row r="465" spans="2:9" x14ac:dyDescent="0.25">
      <c r="B465" s="476"/>
      <c r="C465" s="476"/>
      <c r="D465" s="475"/>
      <c r="E465" s="476"/>
      <c r="F465" s="475"/>
      <c r="G465" s="476"/>
      <c r="H465" s="475"/>
      <c r="I465" s="476"/>
    </row>
    <row r="466" spans="2:9" x14ac:dyDescent="0.25">
      <c r="B466" s="476"/>
      <c r="C466" s="476"/>
      <c r="D466" s="475"/>
      <c r="E466" s="476"/>
      <c r="F466" s="475"/>
      <c r="G466" s="476"/>
      <c r="H466" s="475"/>
      <c r="I466" s="476"/>
    </row>
    <row r="467" spans="2:9" x14ac:dyDescent="0.25">
      <c r="B467" s="476"/>
      <c r="C467" s="476"/>
      <c r="D467" s="475"/>
      <c r="E467" s="476"/>
      <c r="F467" s="475"/>
      <c r="G467" s="476"/>
      <c r="H467" s="475"/>
      <c r="I467" s="476"/>
    </row>
    <row r="468" spans="2:9" x14ac:dyDescent="0.25">
      <c r="B468" s="476"/>
      <c r="C468" s="476"/>
      <c r="D468" s="475"/>
      <c r="E468" s="476"/>
      <c r="F468" s="475"/>
      <c r="G468" s="476"/>
      <c r="H468" s="475"/>
      <c r="I468" s="476"/>
    </row>
    <row r="469" spans="2:9" x14ac:dyDescent="0.25">
      <c r="B469" s="476"/>
      <c r="C469" s="476"/>
      <c r="D469" s="475"/>
      <c r="E469" s="476"/>
      <c r="F469" s="475"/>
      <c r="G469" s="476"/>
      <c r="H469" s="475"/>
      <c r="I469" s="476"/>
    </row>
    <row r="470" spans="2:9" x14ac:dyDescent="0.25">
      <c r="B470" s="476"/>
      <c r="C470" s="476"/>
      <c r="D470" s="475"/>
      <c r="E470" s="476"/>
      <c r="F470" s="475"/>
      <c r="G470" s="476"/>
      <c r="H470" s="475"/>
      <c r="I470" s="476"/>
    </row>
    <row r="471" spans="2:9" x14ac:dyDescent="0.25">
      <c r="B471" s="476"/>
      <c r="C471" s="476"/>
      <c r="D471" s="475"/>
      <c r="E471" s="476"/>
      <c r="F471" s="475"/>
      <c r="G471" s="476"/>
      <c r="H471" s="475"/>
      <c r="I471" s="476"/>
    </row>
    <row r="472" spans="2:9" x14ac:dyDescent="0.25">
      <c r="B472" s="476"/>
      <c r="C472" s="476"/>
      <c r="D472" s="475"/>
      <c r="E472" s="476"/>
      <c r="F472" s="475"/>
      <c r="G472" s="476"/>
      <c r="H472" s="475"/>
      <c r="I472" s="476"/>
    </row>
    <row r="473" spans="2:9" x14ac:dyDescent="0.25">
      <c r="B473" s="476"/>
      <c r="C473" s="476"/>
      <c r="D473" s="475"/>
      <c r="E473" s="476"/>
      <c r="F473" s="475"/>
      <c r="G473" s="476"/>
      <c r="H473" s="475"/>
      <c r="I473" s="476"/>
    </row>
    <row r="474" spans="2:9" x14ac:dyDescent="0.25">
      <c r="B474" s="476"/>
      <c r="C474" s="476"/>
      <c r="D474" s="475"/>
      <c r="E474" s="476"/>
      <c r="F474" s="475"/>
      <c r="G474" s="476"/>
      <c r="H474" s="475"/>
      <c r="I474" s="476"/>
    </row>
    <row r="475" spans="2:9" x14ac:dyDescent="0.25">
      <c r="B475" s="476"/>
      <c r="C475" s="476"/>
      <c r="D475" s="475"/>
      <c r="E475" s="476"/>
      <c r="F475" s="475"/>
      <c r="G475" s="476"/>
      <c r="H475" s="475"/>
      <c r="I475" s="476"/>
    </row>
    <row r="476" spans="2:9" x14ac:dyDescent="0.25">
      <c r="B476" s="476"/>
      <c r="C476" s="476"/>
      <c r="D476" s="475"/>
      <c r="E476" s="476"/>
      <c r="F476" s="475"/>
      <c r="G476" s="476"/>
      <c r="H476" s="475"/>
      <c r="I476" s="476"/>
    </row>
    <row r="477" spans="2:9" x14ac:dyDescent="0.25">
      <c r="B477" s="476"/>
      <c r="C477" s="476"/>
      <c r="D477" s="475"/>
      <c r="E477" s="476"/>
      <c r="F477" s="475"/>
      <c r="G477" s="476"/>
      <c r="H477" s="475"/>
      <c r="I477" s="476"/>
    </row>
    <row r="478" spans="2:9" x14ac:dyDescent="0.25">
      <c r="B478" s="476"/>
      <c r="C478" s="476"/>
      <c r="D478" s="475"/>
      <c r="E478" s="476"/>
      <c r="F478" s="475"/>
      <c r="G478" s="476"/>
      <c r="H478" s="475"/>
      <c r="I478" s="476"/>
    </row>
    <row r="479" spans="2:9" x14ac:dyDescent="0.25">
      <c r="B479" s="476"/>
      <c r="C479" s="476"/>
      <c r="D479" s="475"/>
      <c r="E479" s="476"/>
      <c r="F479" s="475"/>
      <c r="G479" s="476"/>
      <c r="H479" s="475"/>
      <c r="I479" s="476"/>
    </row>
    <row r="480" spans="2:9" x14ac:dyDescent="0.25">
      <c r="B480" s="476"/>
      <c r="C480" s="476"/>
      <c r="D480" s="475"/>
      <c r="E480" s="476"/>
      <c r="F480" s="475"/>
      <c r="G480" s="476"/>
      <c r="H480" s="475"/>
      <c r="I480" s="476"/>
    </row>
    <row r="481" spans="2:9" x14ac:dyDescent="0.25">
      <c r="B481" s="476"/>
      <c r="C481" s="476"/>
      <c r="D481" s="475"/>
      <c r="E481" s="476"/>
      <c r="F481" s="475"/>
      <c r="G481" s="476"/>
      <c r="H481" s="475"/>
      <c r="I481" s="476"/>
    </row>
    <row r="482" spans="2:9" x14ac:dyDescent="0.25">
      <c r="B482" s="476"/>
      <c r="C482" s="476"/>
      <c r="D482" s="475"/>
      <c r="E482" s="476"/>
      <c r="F482" s="475"/>
      <c r="G482" s="476"/>
      <c r="H482" s="475"/>
      <c r="I482" s="476"/>
    </row>
    <row r="483" spans="2:9" x14ac:dyDescent="0.25">
      <c r="B483" s="476"/>
      <c r="C483" s="476"/>
      <c r="D483" s="475"/>
      <c r="E483" s="476"/>
      <c r="F483" s="475"/>
      <c r="G483" s="476"/>
      <c r="H483" s="475"/>
      <c r="I483" s="476"/>
    </row>
    <row r="484" spans="2:9" x14ac:dyDescent="0.25">
      <c r="B484" s="476"/>
      <c r="C484" s="476"/>
      <c r="D484" s="475"/>
      <c r="E484" s="476"/>
      <c r="F484" s="475"/>
      <c r="G484" s="476"/>
      <c r="H484" s="475"/>
      <c r="I484" s="476"/>
    </row>
    <row r="485" spans="2:9" x14ac:dyDescent="0.25">
      <c r="B485" s="476"/>
      <c r="C485" s="476"/>
      <c r="D485" s="475"/>
      <c r="E485" s="476"/>
      <c r="F485" s="475"/>
      <c r="G485" s="476"/>
      <c r="H485" s="475"/>
      <c r="I485" s="476"/>
    </row>
    <row r="486" spans="2:9" x14ac:dyDescent="0.25">
      <c r="B486" s="476"/>
      <c r="C486" s="476"/>
      <c r="D486" s="475"/>
      <c r="E486" s="476"/>
      <c r="F486" s="475"/>
      <c r="G486" s="476"/>
      <c r="H486" s="475"/>
      <c r="I486" s="476"/>
    </row>
    <row r="487" spans="2:9" x14ac:dyDescent="0.25">
      <c r="B487" s="476"/>
      <c r="C487" s="476"/>
      <c r="D487" s="475"/>
      <c r="E487" s="476"/>
      <c r="F487" s="475"/>
      <c r="G487" s="476"/>
      <c r="H487" s="475"/>
      <c r="I487" s="476"/>
    </row>
    <row r="488" spans="2:9" x14ac:dyDescent="0.25">
      <c r="B488" s="476"/>
      <c r="C488" s="476"/>
      <c r="D488" s="475"/>
      <c r="E488" s="476"/>
      <c r="F488" s="475"/>
      <c r="G488" s="476"/>
      <c r="H488" s="475"/>
      <c r="I488" s="476"/>
    </row>
    <row r="489" spans="2:9" x14ac:dyDescent="0.25">
      <c r="B489" s="476"/>
      <c r="C489" s="476"/>
      <c r="D489" s="475"/>
      <c r="E489" s="476"/>
      <c r="F489" s="475"/>
      <c r="G489" s="476"/>
      <c r="H489" s="475"/>
      <c r="I489" s="476"/>
    </row>
    <row r="490" spans="2:9" x14ac:dyDescent="0.25">
      <c r="B490" s="476"/>
      <c r="C490" s="476"/>
      <c r="D490" s="475"/>
      <c r="E490" s="476"/>
      <c r="F490" s="475"/>
      <c r="G490" s="476"/>
      <c r="H490" s="475"/>
      <c r="I490" s="476"/>
    </row>
    <row r="491" spans="2:9" x14ac:dyDescent="0.25">
      <c r="B491" s="476"/>
      <c r="C491" s="476"/>
      <c r="D491" s="475"/>
      <c r="E491" s="476"/>
      <c r="F491" s="475"/>
      <c r="G491" s="476"/>
      <c r="H491" s="475"/>
      <c r="I491" s="476"/>
    </row>
    <row r="492" spans="2:9" x14ac:dyDescent="0.25">
      <c r="B492" s="476"/>
      <c r="C492" s="476"/>
      <c r="D492" s="475"/>
      <c r="E492" s="476"/>
      <c r="F492" s="475"/>
      <c r="G492" s="476"/>
      <c r="H492" s="475"/>
      <c r="I492" s="476"/>
    </row>
    <row r="493" spans="2:9" x14ac:dyDescent="0.25">
      <c r="B493" s="476"/>
      <c r="C493" s="476"/>
      <c r="D493" s="475"/>
      <c r="E493" s="476"/>
      <c r="F493" s="475"/>
      <c r="G493" s="476"/>
      <c r="H493" s="475"/>
      <c r="I493" s="476"/>
    </row>
    <row r="494" spans="2:9" x14ac:dyDescent="0.25">
      <c r="B494" s="476"/>
      <c r="C494" s="476"/>
      <c r="D494" s="475"/>
      <c r="E494" s="476"/>
      <c r="F494" s="475"/>
      <c r="G494" s="476"/>
      <c r="H494" s="475"/>
      <c r="I494" s="476"/>
    </row>
    <row r="495" spans="2:9" x14ac:dyDescent="0.25">
      <c r="B495" s="476"/>
      <c r="C495" s="476"/>
      <c r="D495" s="475"/>
      <c r="E495" s="476"/>
      <c r="F495" s="475"/>
      <c r="G495" s="476"/>
      <c r="H495" s="475"/>
      <c r="I495" s="476"/>
    </row>
    <row r="496" spans="2:9" x14ac:dyDescent="0.25">
      <c r="B496" s="476"/>
      <c r="C496" s="476"/>
      <c r="D496" s="475"/>
      <c r="E496" s="476"/>
      <c r="F496" s="475"/>
      <c r="G496" s="476"/>
      <c r="H496" s="475"/>
      <c r="I496" s="476"/>
    </row>
    <row r="497" spans="2:9" x14ac:dyDescent="0.25">
      <c r="B497" s="476"/>
      <c r="C497" s="476"/>
      <c r="D497" s="475"/>
      <c r="E497" s="476"/>
      <c r="F497" s="475"/>
      <c r="G497" s="476"/>
      <c r="H497" s="475"/>
      <c r="I497" s="476"/>
    </row>
    <row r="498" spans="2:9" x14ac:dyDescent="0.25">
      <c r="B498" s="476"/>
      <c r="C498" s="476"/>
      <c r="D498" s="475"/>
      <c r="E498" s="476"/>
      <c r="F498" s="475"/>
      <c r="G498" s="476"/>
      <c r="H498" s="475"/>
      <c r="I498" s="476"/>
    </row>
    <row r="499" spans="2:9" x14ac:dyDescent="0.25">
      <c r="B499" s="476"/>
      <c r="C499" s="476"/>
      <c r="D499" s="475"/>
      <c r="E499" s="476"/>
      <c r="F499" s="475"/>
      <c r="G499" s="476"/>
      <c r="H499" s="475"/>
      <c r="I499" s="476"/>
    </row>
    <row r="500" spans="2:9" x14ac:dyDescent="0.25">
      <c r="B500" s="476"/>
      <c r="C500" s="476"/>
      <c r="D500" s="475"/>
      <c r="E500" s="476"/>
      <c r="F500" s="475"/>
      <c r="G500" s="476"/>
      <c r="H500" s="475"/>
      <c r="I500" s="476"/>
    </row>
    <row r="501" spans="2:9" x14ac:dyDescent="0.25">
      <c r="B501" s="476"/>
      <c r="C501" s="476"/>
      <c r="D501" s="475"/>
      <c r="E501" s="476"/>
      <c r="F501" s="475"/>
      <c r="G501" s="476"/>
      <c r="H501" s="475"/>
      <c r="I501" s="476"/>
    </row>
    <row r="502" spans="2:9" x14ac:dyDescent="0.25">
      <c r="B502" s="476"/>
      <c r="C502" s="476"/>
      <c r="D502" s="475"/>
      <c r="E502" s="476"/>
      <c r="F502" s="475"/>
      <c r="G502" s="476"/>
      <c r="H502" s="475"/>
      <c r="I502" s="476"/>
    </row>
    <row r="503" spans="2:9" x14ac:dyDescent="0.25">
      <c r="B503" s="476"/>
      <c r="C503" s="476"/>
      <c r="D503" s="475"/>
      <c r="E503" s="476"/>
      <c r="F503" s="475"/>
      <c r="G503" s="476"/>
      <c r="H503" s="475"/>
      <c r="I503" s="476"/>
    </row>
    <row r="504" spans="2:9" x14ac:dyDescent="0.25">
      <c r="B504" s="476"/>
      <c r="C504" s="476"/>
      <c r="D504" s="475"/>
      <c r="E504" s="476"/>
      <c r="F504" s="475"/>
      <c r="G504" s="476"/>
      <c r="H504" s="475"/>
      <c r="I504" s="476"/>
    </row>
    <row r="505" spans="2:9" x14ac:dyDescent="0.25">
      <c r="B505" s="476"/>
      <c r="C505" s="476"/>
      <c r="D505" s="475"/>
      <c r="E505" s="476"/>
      <c r="F505" s="475"/>
      <c r="G505" s="476"/>
      <c r="H505" s="475"/>
      <c r="I505" s="476"/>
    </row>
    <row r="506" spans="2:9" x14ac:dyDescent="0.25">
      <c r="B506" s="476"/>
      <c r="C506" s="476"/>
      <c r="D506" s="475"/>
      <c r="E506" s="476"/>
      <c r="F506" s="475"/>
      <c r="G506" s="476"/>
      <c r="H506" s="475"/>
      <c r="I506" s="476"/>
    </row>
    <row r="507" spans="2:9" x14ac:dyDescent="0.25">
      <c r="B507" s="476"/>
      <c r="C507" s="476"/>
      <c r="D507" s="475"/>
      <c r="E507" s="476"/>
      <c r="F507" s="475"/>
      <c r="G507" s="476"/>
      <c r="H507" s="475"/>
      <c r="I507" s="476"/>
    </row>
    <row r="508" spans="2:9" x14ac:dyDescent="0.25">
      <c r="B508" s="476"/>
      <c r="C508" s="476"/>
      <c r="D508" s="475"/>
      <c r="E508" s="476"/>
      <c r="F508" s="475"/>
      <c r="G508" s="476"/>
      <c r="H508" s="475"/>
      <c r="I508" s="476"/>
    </row>
    <row r="509" spans="2:9" x14ac:dyDescent="0.25">
      <c r="B509" s="476"/>
      <c r="C509" s="476"/>
      <c r="D509" s="475"/>
      <c r="E509" s="476"/>
      <c r="F509" s="475"/>
      <c r="G509" s="476"/>
      <c r="H509" s="475"/>
      <c r="I509" s="476"/>
    </row>
    <row r="510" spans="2:9" x14ac:dyDescent="0.25">
      <c r="B510" s="476"/>
      <c r="C510" s="476"/>
      <c r="D510" s="475"/>
      <c r="E510" s="476"/>
      <c r="F510" s="475"/>
      <c r="G510" s="476"/>
      <c r="H510" s="475"/>
      <c r="I510" s="476"/>
    </row>
    <row r="511" spans="2:9" x14ac:dyDescent="0.25">
      <c r="B511" s="476"/>
      <c r="C511" s="476"/>
      <c r="D511" s="475"/>
      <c r="E511" s="476"/>
      <c r="F511" s="475"/>
      <c r="G511" s="476"/>
      <c r="H511" s="475"/>
      <c r="I511" s="476"/>
    </row>
    <row r="512" spans="2:9" x14ac:dyDescent="0.25">
      <c r="B512" s="476"/>
      <c r="C512" s="476"/>
      <c r="D512" s="475"/>
      <c r="E512" s="476"/>
      <c r="F512" s="475"/>
      <c r="G512" s="476"/>
      <c r="H512" s="475"/>
      <c r="I512" s="476"/>
    </row>
    <row r="513" spans="2:9" x14ac:dyDescent="0.25">
      <c r="B513" s="476"/>
      <c r="C513" s="476"/>
      <c r="D513" s="475"/>
      <c r="E513" s="476"/>
      <c r="F513" s="475"/>
      <c r="G513" s="476"/>
      <c r="H513" s="475"/>
      <c r="I513" s="476"/>
    </row>
    <row r="514" spans="2:9" x14ac:dyDescent="0.25">
      <c r="B514" s="476"/>
      <c r="C514" s="476"/>
      <c r="D514" s="475"/>
      <c r="E514" s="476"/>
      <c r="F514" s="475"/>
      <c r="G514" s="476"/>
      <c r="H514" s="475"/>
      <c r="I514" s="476"/>
    </row>
    <row r="515" spans="2:9" x14ac:dyDescent="0.25">
      <c r="B515" s="476"/>
      <c r="C515" s="476"/>
      <c r="D515" s="475"/>
      <c r="E515" s="476"/>
      <c r="F515" s="475"/>
      <c r="G515" s="476"/>
      <c r="H515" s="475"/>
      <c r="I515" s="476"/>
    </row>
    <row r="516" spans="2:9" x14ac:dyDescent="0.25">
      <c r="B516" s="476"/>
      <c r="C516" s="476"/>
      <c r="D516" s="475"/>
      <c r="E516" s="476"/>
      <c r="F516" s="475"/>
      <c r="G516" s="476"/>
      <c r="H516" s="475"/>
      <c r="I516" s="476"/>
    </row>
    <row r="517" spans="2:9" x14ac:dyDescent="0.25">
      <c r="B517" s="476"/>
      <c r="C517" s="476"/>
      <c r="D517" s="475"/>
      <c r="E517" s="476"/>
      <c r="F517" s="475"/>
      <c r="G517" s="476"/>
      <c r="H517" s="475"/>
      <c r="I517" s="476"/>
    </row>
    <row r="518" spans="2:9" x14ac:dyDescent="0.25">
      <c r="B518" s="476"/>
      <c r="C518" s="476"/>
      <c r="D518" s="475"/>
      <c r="E518" s="476"/>
      <c r="F518" s="475"/>
      <c r="G518" s="476"/>
      <c r="H518" s="475"/>
      <c r="I518" s="476"/>
    </row>
    <row r="519" spans="2:9" x14ac:dyDescent="0.25">
      <c r="B519" s="476"/>
      <c r="C519" s="476"/>
      <c r="D519" s="475"/>
      <c r="E519" s="476"/>
      <c r="F519" s="475"/>
      <c r="G519" s="476"/>
      <c r="H519" s="475"/>
      <c r="I519" s="476"/>
    </row>
    <row r="520" spans="2:9" x14ac:dyDescent="0.25">
      <c r="B520" s="476"/>
      <c r="C520" s="476"/>
      <c r="D520" s="475"/>
      <c r="E520" s="476"/>
      <c r="F520" s="475"/>
      <c r="G520" s="476"/>
      <c r="H520" s="475"/>
      <c r="I520" s="476"/>
    </row>
    <row r="521" spans="2:9" x14ac:dyDescent="0.25">
      <c r="B521" s="476"/>
      <c r="C521" s="476"/>
      <c r="D521" s="475"/>
      <c r="E521" s="476"/>
      <c r="F521" s="475"/>
      <c r="G521" s="476"/>
      <c r="H521" s="475"/>
      <c r="I521" s="476"/>
    </row>
    <row r="522" spans="2:9" x14ac:dyDescent="0.25">
      <c r="B522" s="476"/>
      <c r="C522" s="476"/>
      <c r="D522" s="475"/>
      <c r="E522" s="476"/>
      <c r="F522" s="475"/>
      <c r="G522" s="476"/>
      <c r="H522" s="475"/>
      <c r="I522" s="476"/>
    </row>
    <row r="523" spans="2:9" x14ac:dyDescent="0.25">
      <c r="B523" s="476"/>
      <c r="C523" s="476"/>
      <c r="D523" s="475"/>
      <c r="E523" s="476"/>
      <c r="F523" s="475"/>
      <c r="G523" s="476"/>
      <c r="H523" s="475"/>
      <c r="I523" s="476"/>
    </row>
    <row r="524" spans="2:9" x14ac:dyDescent="0.25">
      <c r="B524" s="476"/>
      <c r="C524" s="476"/>
      <c r="D524" s="475"/>
      <c r="E524" s="476"/>
      <c r="F524" s="475"/>
      <c r="G524" s="476"/>
      <c r="H524" s="475"/>
      <c r="I524" s="476"/>
    </row>
    <row r="525" spans="2:9" x14ac:dyDescent="0.25">
      <c r="B525" s="476"/>
      <c r="C525" s="476"/>
      <c r="D525" s="475"/>
      <c r="E525" s="476"/>
      <c r="F525" s="475"/>
      <c r="G525" s="476"/>
      <c r="H525" s="475"/>
      <c r="I525" s="476"/>
    </row>
    <row r="526" spans="2:9" x14ac:dyDescent="0.25">
      <c r="B526" s="476"/>
      <c r="C526" s="476"/>
      <c r="D526" s="475"/>
      <c r="E526" s="476"/>
      <c r="F526" s="475"/>
      <c r="G526" s="476"/>
      <c r="H526" s="475"/>
      <c r="I526" s="476"/>
    </row>
    <row r="527" spans="2:9" x14ac:dyDescent="0.25">
      <c r="B527" s="476"/>
      <c r="C527" s="476"/>
      <c r="D527" s="475"/>
      <c r="E527" s="476"/>
      <c r="F527" s="475"/>
      <c r="G527" s="476"/>
      <c r="H527" s="475"/>
      <c r="I527" s="476"/>
    </row>
    <row r="528" spans="2:9" x14ac:dyDescent="0.25">
      <c r="B528" s="476"/>
      <c r="C528" s="476"/>
      <c r="D528" s="475"/>
      <c r="E528" s="476"/>
      <c r="F528" s="475"/>
      <c r="G528" s="476"/>
      <c r="H528" s="475"/>
      <c r="I528" s="476"/>
    </row>
    <row r="529" spans="2:9" x14ac:dyDescent="0.25">
      <c r="B529" s="476"/>
      <c r="C529" s="476"/>
      <c r="D529" s="475"/>
      <c r="E529" s="476"/>
      <c r="F529" s="475"/>
      <c r="G529" s="476"/>
      <c r="H529" s="475"/>
      <c r="I529" s="476"/>
    </row>
    <row r="530" spans="2:9" x14ac:dyDescent="0.25">
      <c r="B530" s="476"/>
      <c r="C530" s="476"/>
      <c r="D530" s="475"/>
      <c r="E530" s="476"/>
      <c r="F530" s="475"/>
      <c r="G530" s="476"/>
      <c r="H530" s="475"/>
      <c r="I530" s="476"/>
    </row>
    <row r="531" spans="2:9" x14ac:dyDescent="0.25">
      <c r="B531" s="476"/>
      <c r="C531" s="476"/>
      <c r="D531" s="475"/>
      <c r="E531" s="476"/>
      <c r="F531" s="475"/>
      <c r="G531" s="476"/>
      <c r="H531" s="475"/>
      <c r="I531" s="476"/>
    </row>
    <row r="532" spans="2:9" x14ac:dyDescent="0.25">
      <c r="B532" s="476"/>
      <c r="C532" s="476"/>
      <c r="D532" s="475"/>
      <c r="E532" s="476"/>
      <c r="F532" s="475"/>
      <c r="G532" s="476"/>
      <c r="H532" s="475"/>
      <c r="I532" s="476"/>
    </row>
    <row r="533" spans="2:9" x14ac:dyDescent="0.25">
      <c r="B533" s="476"/>
      <c r="C533" s="476"/>
      <c r="D533" s="475"/>
      <c r="E533" s="476"/>
      <c r="F533" s="475"/>
      <c r="G533" s="476"/>
      <c r="H533" s="475"/>
      <c r="I533" s="476"/>
    </row>
    <row r="534" spans="2:9" x14ac:dyDescent="0.25">
      <c r="B534" s="476"/>
      <c r="C534" s="476"/>
      <c r="D534" s="475"/>
      <c r="E534" s="476"/>
      <c r="F534" s="475"/>
      <c r="G534" s="476"/>
      <c r="H534" s="475"/>
      <c r="I534" s="476"/>
    </row>
    <row r="535" spans="2:9" x14ac:dyDescent="0.25">
      <c r="B535" s="476"/>
      <c r="C535" s="476"/>
      <c r="D535" s="475"/>
      <c r="E535" s="476"/>
      <c r="F535" s="475"/>
      <c r="G535" s="476"/>
      <c r="H535" s="475"/>
      <c r="I535" s="476"/>
    </row>
    <row r="536" spans="2:9" x14ac:dyDescent="0.25">
      <c r="B536" s="476"/>
      <c r="C536" s="476"/>
      <c r="D536" s="475"/>
      <c r="E536" s="476"/>
      <c r="F536" s="475"/>
      <c r="G536" s="476"/>
      <c r="H536" s="475"/>
      <c r="I536" s="476"/>
    </row>
    <row r="537" spans="2:9" x14ac:dyDescent="0.25">
      <c r="B537" s="476"/>
      <c r="C537" s="476"/>
      <c r="D537" s="475"/>
      <c r="E537" s="476"/>
      <c r="F537" s="475"/>
      <c r="G537" s="476"/>
      <c r="H537" s="475"/>
      <c r="I537" s="476"/>
    </row>
    <row r="538" spans="2:9" x14ac:dyDescent="0.25">
      <c r="B538" s="476"/>
      <c r="C538" s="476"/>
      <c r="D538" s="475"/>
      <c r="E538" s="476"/>
      <c r="F538" s="475"/>
      <c r="G538" s="476"/>
      <c r="H538" s="475"/>
      <c r="I538" s="476"/>
    </row>
    <row r="539" spans="2:9" x14ac:dyDescent="0.25">
      <c r="B539" s="476"/>
      <c r="C539" s="476"/>
      <c r="D539" s="475"/>
      <c r="E539" s="476"/>
      <c r="F539" s="475"/>
      <c r="G539" s="476"/>
      <c r="H539" s="475"/>
      <c r="I539" s="476"/>
    </row>
    <row r="540" spans="2:9" x14ac:dyDescent="0.25">
      <c r="B540" s="476"/>
      <c r="C540" s="476"/>
      <c r="D540" s="475"/>
      <c r="E540" s="476"/>
      <c r="F540" s="475"/>
      <c r="G540" s="476"/>
      <c r="H540" s="475"/>
      <c r="I540" s="476"/>
    </row>
    <row r="541" spans="2:9" x14ac:dyDescent="0.25">
      <c r="B541" s="476"/>
      <c r="C541" s="476"/>
      <c r="D541" s="475"/>
      <c r="E541" s="476"/>
      <c r="F541" s="475"/>
      <c r="G541" s="476"/>
      <c r="H541" s="475"/>
      <c r="I541" s="476"/>
    </row>
    <row r="542" spans="2:9" x14ac:dyDescent="0.25">
      <c r="B542" s="476"/>
      <c r="C542" s="476"/>
      <c r="D542" s="475"/>
      <c r="E542" s="476"/>
      <c r="F542" s="475"/>
      <c r="G542" s="476"/>
      <c r="H542" s="475"/>
      <c r="I542" s="476"/>
    </row>
    <row r="543" spans="2:9" x14ac:dyDescent="0.25">
      <c r="B543" s="476"/>
      <c r="C543" s="476"/>
      <c r="D543" s="475"/>
      <c r="E543" s="476"/>
      <c r="F543" s="475"/>
      <c r="G543" s="476"/>
      <c r="H543" s="475"/>
      <c r="I543" s="476"/>
    </row>
    <row r="544" spans="2:9" x14ac:dyDescent="0.25">
      <c r="B544" s="476"/>
      <c r="C544" s="476"/>
      <c r="D544" s="475"/>
      <c r="E544" s="476"/>
      <c r="F544" s="475"/>
      <c r="G544" s="476"/>
      <c r="H544" s="475"/>
      <c r="I544" s="476"/>
    </row>
    <row r="545" spans="2:9" x14ac:dyDescent="0.25">
      <c r="B545" s="476"/>
      <c r="C545" s="476"/>
      <c r="D545" s="475"/>
      <c r="E545" s="476"/>
      <c r="F545" s="475"/>
      <c r="G545" s="476"/>
      <c r="H545" s="475"/>
      <c r="I545" s="476"/>
    </row>
    <row r="546" spans="2:9" x14ac:dyDescent="0.25">
      <c r="B546" s="476"/>
      <c r="C546" s="476"/>
      <c r="D546" s="475"/>
      <c r="E546" s="476"/>
      <c r="F546" s="475"/>
      <c r="G546" s="476"/>
      <c r="H546" s="475"/>
      <c r="I546" s="476"/>
    </row>
    <row r="547" spans="2:9" x14ac:dyDescent="0.25">
      <c r="B547" s="476"/>
      <c r="C547" s="476"/>
      <c r="D547" s="475"/>
      <c r="E547" s="476"/>
      <c r="F547" s="475"/>
      <c r="G547" s="476"/>
      <c r="H547" s="475"/>
      <c r="I547" s="476"/>
    </row>
    <row r="548" spans="2:9" x14ac:dyDescent="0.25">
      <c r="B548" s="476"/>
      <c r="C548" s="476"/>
      <c r="D548" s="475"/>
      <c r="E548" s="476"/>
      <c r="F548" s="475"/>
      <c r="G548" s="476"/>
      <c r="H548" s="475"/>
      <c r="I548" s="476"/>
    </row>
    <row r="549" spans="2:9" x14ac:dyDescent="0.25">
      <c r="B549" s="476"/>
      <c r="C549" s="476"/>
      <c r="D549" s="475"/>
      <c r="E549" s="476"/>
      <c r="F549" s="475"/>
      <c r="G549" s="476"/>
      <c r="H549" s="475"/>
      <c r="I549" s="476"/>
    </row>
    <row r="550" spans="2:9" x14ac:dyDescent="0.25">
      <c r="B550" s="476"/>
      <c r="C550" s="476"/>
      <c r="D550" s="475"/>
      <c r="E550" s="476"/>
      <c r="F550" s="475"/>
      <c r="G550" s="476"/>
      <c r="H550" s="475"/>
      <c r="I550" s="476"/>
    </row>
    <row r="551" spans="2:9" x14ac:dyDescent="0.25">
      <c r="B551" s="476"/>
      <c r="C551" s="476"/>
      <c r="D551" s="475"/>
      <c r="E551" s="476"/>
      <c r="F551" s="475"/>
      <c r="G551" s="476"/>
      <c r="H551" s="475"/>
      <c r="I551" s="476"/>
    </row>
    <row r="552" spans="2:9" x14ac:dyDescent="0.25">
      <c r="B552" s="476"/>
      <c r="C552" s="476"/>
      <c r="D552" s="475"/>
      <c r="E552" s="476"/>
      <c r="F552" s="475"/>
      <c r="G552" s="476"/>
      <c r="H552" s="475"/>
      <c r="I552" s="476"/>
    </row>
    <row r="553" spans="2:9" x14ac:dyDescent="0.25">
      <c r="B553" s="476"/>
      <c r="C553" s="476"/>
      <c r="D553" s="475"/>
      <c r="E553" s="476"/>
      <c r="F553" s="475"/>
      <c r="G553" s="476"/>
      <c r="H553" s="475"/>
      <c r="I553" s="476"/>
    </row>
    <row r="554" spans="2:9" x14ac:dyDescent="0.25">
      <c r="B554" s="476"/>
      <c r="C554" s="476"/>
      <c r="D554" s="475"/>
      <c r="E554" s="476"/>
      <c r="F554" s="475"/>
      <c r="G554" s="476"/>
      <c r="H554" s="475"/>
      <c r="I554" s="476"/>
    </row>
    <row r="555" spans="2:9" x14ac:dyDescent="0.25">
      <c r="B555" s="476"/>
      <c r="C555" s="476"/>
      <c r="D555" s="475"/>
      <c r="E555" s="476"/>
      <c r="F555" s="475"/>
      <c r="G555" s="476"/>
      <c r="H555" s="475"/>
      <c r="I555" s="476"/>
    </row>
    <row r="556" spans="2:9" x14ac:dyDescent="0.25">
      <c r="B556" s="476"/>
      <c r="C556" s="476"/>
      <c r="D556" s="475"/>
      <c r="E556" s="476"/>
      <c r="F556" s="475"/>
      <c r="G556" s="476"/>
      <c r="H556" s="475"/>
      <c r="I556" s="476"/>
    </row>
    <row r="557" spans="2:9" x14ac:dyDescent="0.25">
      <c r="B557" s="476"/>
      <c r="C557" s="476"/>
      <c r="D557" s="475"/>
      <c r="E557" s="476"/>
      <c r="F557" s="475"/>
      <c r="G557" s="476"/>
      <c r="H557" s="475"/>
      <c r="I557" s="476"/>
    </row>
    <row r="558" spans="2:9" x14ac:dyDescent="0.25">
      <c r="B558" s="476"/>
      <c r="C558" s="476"/>
      <c r="D558" s="475"/>
      <c r="E558" s="476"/>
      <c r="F558" s="475"/>
      <c r="G558" s="476"/>
      <c r="H558" s="475"/>
      <c r="I558" s="476"/>
    </row>
    <row r="559" spans="2:9" x14ac:dyDescent="0.25">
      <c r="B559" s="476"/>
      <c r="C559" s="476"/>
      <c r="D559" s="475"/>
      <c r="E559" s="476"/>
      <c r="F559" s="475"/>
      <c r="G559" s="476"/>
      <c r="H559" s="475"/>
      <c r="I559" s="476"/>
    </row>
    <row r="560" spans="2:9" x14ac:dyDescent="0.25">
      <c r="B560" s="476"/>
      <c r="C560" s="476"/>
      <c r="D560" s="475"/>
      <c r="E560" s="476"/>
      <c r="F560" s="475"/>
      <c r="G560" s="476"/>
      <c r="H560" s="475"/>
      <c r="I560" s="476"/>
    </row>
    <row r="561" spans="2:9" x14ac:dyDescent="0.25">
      <c r="B561" s="476"/>
      <c r="C561" s="476"/>
      <c r="D561" s="475"/>
      <c r="E561" s="476"/>
      <c r="F561" s="475"/>
      <c r="G561" s="476"/>
      <c r="H561" s="475"/>
      <c r="I561" s="476"/>
    </row>
    <row r="562" spans="2:9" x14ac:dyDescent="0.25">
      <c r="B562" s="476"/>
      <c r="C562" s="476"/>
      <c r="D562" s="475"/>
      <c r="E562" s="476"/>
      <c r="F562" s="475"/>
      <c r="G562" s="476"/>
      <c r="H562" s="475"/>
      <c r="I562" s="476"/>
    </row>
    <row r="563" spans="2:9" x14ac:dyDescent="0.25">
      <c r="B563" s="476"/>
      <c r="C563" s="476"/>
      <c r="D563" s="475"/>
      <c r="E563" s="476"/>
      <c r="F563" s="475"/>
      <c r="G563" s="476"/>
      <c r="H563" s="475"/>
      <c r="I563" s="476"/>
    </row>
    <row r="564" spans="2:9" x14ac:dyDescent="0.25">
      <c r="B564" s="476"/>
      <c r="C564" s="476"/>
      <c r="D564" s="475"/>
      <c r="E564" s="476"/>
      <c r="F564" s="475"/>
      <c r="G564" s="476"/>
      <c r="H564" s="475"/>
      <c r="I564" s="476"/>
    </row>
    <row r="565" spans="2:9" x14ac:dyDescent="0.25">
      <c r="B565" s="476"/>
      <c r="C565" s="476"/>
      <c r="D565" s="475"/>
      <c r="E565" s="476"/>
      <c r="F565" s="475"/>
      <c r="G565" s="476"/>
      <c r="H565" s="475"/>
      <c r="I565" s="476"/>
    </row>
    <row r="566" spans="2:9" x14ac:dyDescent="0.25">
      <c r="B566" s="476"/>
      <c r="C566" s="476"/>
      <c r="D566" s="475"/>
      <c r="E566" s="476"/>
      <c r="F566" s="475"/>
      <c r="G566" s="476"/>
      <c r="H566" s="475"/>
      <c r="I566" s="476"/>
    </row>
    <row r="567" spans="2:9" x14ac:dyDescent="0.25">
      <c r="B567" s="476"/>
      <c r="C567" s="476"/>
      <c r="D567" s="475"/>
      <c r="E567" s="476"/>
      <c r="F567" s="475"/>
      <c r="G567" s="476"/>
      <c r="H567" s="475"/>
      <c r="I567" s="476"/>
    </row>
    <row r="568" spans="2:9" x14ac:dyDescent="0.25">
      <c r="B568" s="476"/>
      <c r="C568" s="476"/>
      <c r="D568" s="475"/>
      <c r="E568" s="476"/>
      <c r="F568" s="475"/>
      <c r="G568" s="476"/>
      <c r="H568" s="475"/>
      <c r="I568" s="476"/>
    </row>
    <row r="569" spans="2:9" x14ac:dyDescent="0.25">
      <c r="B569" s="476"/>
      <c r="C569" s="476"/>
      <c r="D569" s="475"/>
      <c r="E569" s="476"/>
      <c r="F569" s="475"/>
      <c r="G569" s="476"/>
      <c r="H569" s="475"/>
      <c r="I569" s="476"/>
    </row>
    <row r="570" spans="2:9" x14ac:dyDescent="0.25">
      <c r="B570" s="476"/>
      <c r="C570" s="476"/>
      <c r="D570" s="475"/>
      <c r="E570" s="476"/>
      <c r="F570" s="475"/>
      <c r="G570" s="476"/>
      <c r="H570" s="475"/>
      <c r="I570" s="476"/>
    </row>
    <row r="571" spans="2:9" x14ac:dyDescent="0.25">
      <c r="B571" s="476"/>
      <c r="C571" s="476"/>
      <c r="D571" s="475"/>
      <c r="E571" s="476"/>
      <c r="F571" s="475"/>
      <c r="G571" s="476"/>
      <c r="H571" s="475"/>
      <c r="I571" s="476"/>
    </row>
    <row r="572" spans="2:9" x14ac:dyDescent="0.25">
      <c r="B572" s="476"/>
      <c r="C572" s="476"/>
      <c r="D572" s="475"/>
      <c r="E572" s="476"/>
      <c r="F572" s="475"/>
      <c r="G572" s="476"/>
      <c r="H572" s="475"/>
      <c r="I572" s="476"/>
    </row>
    <row r="573" spans="2:9" x14ac:dyDescent="0.25">
      <c r="B573" s="476"/>
      <c r="C573" s="476"/>
      <c r="D573" s="475"/>
      <c r="E573" s="476"/>
      <c r="F573" s="475"/>
      <c r="G573" s="476"/>
      <c r="H573" s="475"/>
      <c r="I573" s="476"/>
    </row>
    <row r="574" spans="2:9" x14ac:dyDescent="0.25">
      <c r="B574" s="476"/>
      <c r="C574" s="476"/>
      <c r="D574" s="475"/>
      <c r="E574" s="476"/>
      <c r="F574" s="475"/>
      <c r="G574" s="476"/>
      <c r="H574" s="475"/>
      <c r="I574" s="476"/>
    </row>
    <row r="575" spans="2:9" x14ac:dyDescent="0.25">
      <c r="B575" s="476"/>
      <c r="C575" s="476"/>
      <c r="D575" s="475"/>
      <c r="E575" s="476"/>
      <c r="F575" s="475"/>
      <c r="G575" s="476"/>
      <c r="H575" s="475"/>
      <c r="I575" s="476"/>
    </row>
    <row r="576" spans="2:9" x14ac:dyDescent="0.25">
      <c r="B576" s="476"/>
      <c r="C576" s="476"/>
      <c r="D576" s="475"/>
      <c r="E576" s="476"/>
      <c r="F576" s="475"/>
      <c r="G576" s="476"/>
      <c r="H576" s="475"/>
      <c r="I576" s="476"/>
    </row>
    <row r="577" spans="2:9" x14ac:dyDescent="0.25">
      <c r="B577" s="476"/>
      <c r="C577" s="476"/>
      <c r="D577" s="475"/>
      <c r="E577" s="476"/>
      <c r="F577" s="475"/>
      <c r="G577" s="476"/>
      <c r="H577" s="475"/>
      <c r="I577" s="476"/>
    </row>
    <row r="578" spans="2:9" x14ac:dyDescent="0.25">
      <c r="B578" s="476"/>
      <c r="C578" s="476"/>
      <c r="D578" s="475"/>
      <c r="E578" s="476"/>
      <c r="F578" s="475"/>
      <c r="G578" s="476"/>
      <c r="H578" s="475"/>
      <c r="I578" s="476"/>
    </row>
    <row r="579" spans="2:9" x14ac:dyDescent="0.25">
      <c r="B579" s="476"/>
      <c r="C579" s="476"/>
      <c r="D579" s="475"/>
      <c r="E579" s="476"/>
      <c r="F579" s="475"/>
      <c r="G579" s="476"/>
      <c r="H579" s="475"/>
      <c r="I579" s="476"/>
    </row>
    <row r="580" spans="2:9" x14ac:dyDescent="0.25">
      <c r="B580" s="476"/>
      <c r="C580" s="476"/>
      <c r="D580" s="475"/>
      <c r="E580" s="476"/>
      <c r="F580" s="475"/>
      <c r="G580" s="476"/>
      <c r="H580" s="475"/>
      <c r="I580" s="476"/>
    </row>
    <row r="581" spans="2:9" x14ac:dyDescent="0.25">
      <c r="B581" s="476"/>
      <c r="C581" s="476"/>
      <c r="D581" s="475"/>
      <c r="E581" s="476"/>
      <c r="F581" s="475"/>
      <c r="G581" s="476"/>
      <c r="H581" s="475"/>
      <c r="I581" s="476"/>
    </row>
    <row r="582" spans="2:9" x14ac:dyDescent="0.25">
      <c r="B582" s="476"/>
      <c r="C582" s="476"/>
      <c r="D582" s="475"/>
      <c r="E582" s="476"/>
      <c r="F582" s="475"/>
      <c r="G582" s="476"/>
      <c r="H582" s="475"/>
      <c r="I582" s="476"/>
    </row>
    <row r="583" spans="2:9" x14ac:dyDescent="0.25">
      <c r="B583" s="476"/>
      <c r="C583" s="476"/>
      <c r="D583" s="475"/>
      <c r="E583" s="476"/>
      <c r="F583" s="475"/>
      <c r="G583" s="476"/>
      <c r="H583" s="475"/>
      <c r="I583" s="476"/>
    </row>
    <row r="584" spans="2:9" x14ac:dyDescent="0.25">
      <c r="B584" s="476"/>
      <c r="C584" s="476"/>
      <c r="D584" s="475"/>
      <c r="E584" s="476"/>
      <c r="F584" s="475"/>
      <c r="G584" s="476"/>
      <c r="H584" s="475"/>
      <c r="I584" s="476"/>
    </row>
    <row r="585" spans="2:9" x14ac:dyDescent="0.25">
      <c r="B585" s="476"/>
      <c r="C585" s="476"/>
      <c r="D585" s="475"/>
      <c r="E585" s="476"/>
      <c r="F585" s="475"/>
      <c r="G585" s="476"/>
      <c r="H585" s="475"/>
      <c r="I585" s="476"/>
    </row>
    <row r="586" spans="2:9" x14ac:dyDescent="0.25">
      <c r="B586" s="476"/>
      <c r="C586" s="476"/>
      <c r="D586" s="475"/>
      <c r="E586" s="476"/>
      <c r="F586" s="475"/>
      <c r="G586" s="476"/>
      <c r="H586" s="475"/>
      <c r="I586" s="476"/>
    </row>
    <row r="587" spans="2:9" x14ac:dyDescent="0.25">
      <c r="B587" s="476"/>
      <c r="C587" s="476"/>
      <c r="D587" s="475"/>
      <c r="E587" s="476"/>
      <c r="F587" s="475"/>
      <c r="G587" s="476"/>
      <c r="H587" s="475"/>
      <c r="I587" s="476"/>
    </row>
    <row r="588" spans="2:9" x14ac:dyDescent="0.25">
      <c r="B588" s="476"/>
      <c r="C588" s="476"/>
      <c r="D588" s="475"/>
      <c r="E588" s="476"/>
      <c r="F588" s="475"/>
      <c r="G588" s="476"/>
      <c r="H588" s="475"/>
      <c r="I588" s="476"/>
    </row>
    <row r="589" spans="2:9" x14ac:dyDescent="0.25">
      <c r="B589" s="476"/>
      <c r="C589" s="476"/>
      <c r="D589" s="475"/>
      <c r="E589" s="476"/>
      <c r="F589" s="475"/>
      <c r="G589" s="476"/>
      <c r="H589" s="475"/>
      <c r="I589" s="476"/>
    </row>
    <row r="590" spans="2:9" x14ac:dyDescent="0.25">
      <c r="B590" s="476"/>
      <c r="C590" s="476"/>
      <c r="D590" s="475"/>
      <c r="E590" s="476"/>
      <c r="F590" s="475"/>
      <c r="G590" s="476"/>
      <c r="H590" s="475"/>
      <c r="I590" s="476"/>
    </row>
    <row r="591" spans="2:9" x14ac:dyDescent="0.25">
      <c r="B591" s="476"/>
      <c r="C591" s="476"/>
      <c r="D591" s="475"/>
      <c r="E591" s="476"/>
      <c r="F591" s="475"/>
      <c r="G591" s="476"/>
      <c r="H591" s="475"/>
      <c r="I591" s="476"/>
    </row>
    <row r="592" spans="2:9" x14ac:dyDescent="0.25">
      <c r="B592" s="476"/>
      <c r="C592" s="476"/>
      <c r="D592" s="475"/>
      <c r="E592" s="476"/>
      <c r="F592" s="475"/>
      <c r="G592" s="476"/>
      <c r="H592" s="475"/>
      <c r="I592" s="476"/>
    </row>
    <row r="593" spans="2:9" x14ac:dyDescent="0.25">
      <c r="B593" s="476"/>
      <c r="C593" s="476"/>
      <c r="D593" s="475"/>
      <c r="E593" s="476"/>
      <c r="F593" s="475"/>
      <c r="G593" s="476"/>
      <c r="H593" s="475"/>
      <c r="I593" s="476"/>
    </row>
    <row r="594" spans="2:9" x14ac:dyDescent="0.25">
      <c r="B594" s="476"/>
      <c r="C594" s="476"/>
      <c r="D594" s="475"/>
      <c r="E594" s="476"/>
      <c r="F594" s="475"/>
      <c r="G594" s="476"/>
      <c r="H594" s="475"/>
      <c r="I594" s="476"/>
    </row>
    <row r="595" spans="2:9" x14ac:dyDescent="0.25">
      <c r="B595" s="476"/>
      <c r="C595" s="476"/>
      <c r="D595" s="475"/>
      <c r="E595" s="476"/>
      <c r="F595" s="475"/>
      <c r="G595" s="476"/>
      <c r="H595" s="475"/>
      <c r="I595" s="476"/>
    </row>
    <row r="596" spans="2:9" x14ac:dyDescent="0.25">
      <c r="B596" s="476"/>
      <c r="C596" s="476"/>
      <c r="D596" s="475"/>
      <c r="E596" s="476"/>
      <c r="F596" s="475"/>
      <c r="G596" s="476"/>
      <c r="H596" s="475"/>
      <c r="I596" s="476"/>
    </row>
    <row r="597" spans="2:9" x14ac:dyDescent="0.25">
      <c r="B597" s="476"/>
      <c r="C597" s="476"/>
      <c r="D597" s="475"/>
      <c r="E597" s="476"/>
      <c r="F597" s="475"/>
      <c r="G597" s="476"/>
      <c r="H597" s="475"/>
      <c r="I597" s="476"/>
    </row>
    <row r="598" spans="2:9" x14ac:dyDescent="0.25">
      <c r="B598" s="476"/>
      <c r="C598" s="476"/>
      <c r="D598" s="475"/>
      <c r="E598" s="476"/>
      <c r="F598" s="475"/>
      <c r="G598" s="476"/>
      <c r="H598" s="475"/>
      <c r="I598" s="476"/>
    </row>
    <row r="599" spans="2:9" x14ac:dyDescent="0.25">
      <c r="B599" s="476"/>
      <c r="C599" s="476"/>
      <c r="D599" s="475"/>
      <c r="E599" s="476"/>
      <c r="F599" s="475"/>
      <c r="G599" s="476"/>
      <c r="H599" s="475"/>
      <c r="I599" s="476"/>
    </row>
    <row r="600" spans="2:9" x14ac:dyDescent="0.25">
      <c r="B600" s="476"/>
      <c r="C600" s="476"/>
      <c r="D600" s="475"/>
      <c r="E600" s="476"/>
      <c r="F600" s="475"/>
      <c r="G600" s="476"/>
      <c r="H600" s="475"/>
      <c r="I600" s="476"/>
    </row>
    <row r="601" spans="2:9" x14ac:dyDescent="0.25">
      <c r="B601" s="476"/>
      <c r="C601" s="476"/>
      <c r="D601" s="475"/>
      <c r="E601" s="476"/>
      <c r="F601" s="475"/>
      <c r="G601" s="476"/>
      <c r="H601" s="475"/>
      <c r="I601" s="476"/>
    </row>
    <row r="602" spans="2:9" x14ac:dyDescent="0.25">
      <c r="B602" s="476"/>
      <c r="C602" s="476"/>
      <c r="D602" s="475"/>
      <c r="E602" s="476"/>
      <c r="F602" s="475"/>
      <c r="G602" s="476"/>
      <c r="H602" s="475"/>
      <c r="I602" s="476"/>
    </row>
    <row r="603" spans="2:9" x14ac:dyDescent="0.25">
      <c r="B603" s="476"/>
      <c r="C603" s="476"/>
      <c r="D603" s="475"/>
      <c r="E603" s="476"/>
      <c r="F603" s="475"/>
      <c r="G603" s="476"/>
      <c r="H603" s="475"/>
      <c r="I603" s="476"/>
    </row>
    <row r="604" spans="2:9" x14ac:dyDescent="0.25">
      <c r="B604" s="476"/>
      <c r="C604" s="476"/>
      <c r="D604" s="475"/>
      <c r="E604" s="476"/>
      <c r="F604" s="475"/>
      <c r="G604" s="476"/>
      <c r="H604" s="475"/>
      <c r="I604" s="476"/>
    </row>
    <row r="605" spans="2:9" x14ac:dyDescent="0.25">
      <c r="B605" s="476"/>
      <c r="C605" s="476"/>
      <c r="D605" s="475"/>
      <c r="E605" s="476"/>
      <c r="F605" s="475"/>
      <c r="G605" s="476"/>
      <c r="H605" s="475"/>
      <c r="I605" s="476"/>
    </row>
    <row r="606" spans="2:9" x14ac:dyDescent="0.25">
      <c r="B606" s="476"/>
      <c r="C606" s="476"/>
      <c r="D606" s="475"/>
      <c r="E606" s="476"/>
      <c r="F606" s="475"/>
      <c r="G606" s="476"/>
      <c r="H606" s="475"/>
      <c r="I606" s="476"/>
    </row>
    <row r="607" spans="2:9" x14ac:dyDescent="0.25">
      <c r="B607" s="476"/>
      <c r="C607" s="476"/>
      <c r="D607" s="475"/>
      <c r="E607" s="476"/>
      <c r="F607" s="475"/>
      <c r="G607" s="476"/>
      <c r="H607" s="475"/>
      <c r="I607" s="476"/>
    </row>
    <row r="608" spans="2:9" x14ac:dyDescent="0.25">
      <c r="B608" s="476"/>
      <c r="C608" s="476"/>
      <c r="D608" s="475"/>
      <c r="E608" s="476"/>
      <c r="F608" s="475"/>
      <c r="G608" s="476"/>
      <c r="H608" s="475"/>
      <c r="I608" s="476"/>
    </row>
    <row r="609" spans="2:9" x14ac:dyDescent="0.25">
      <c r="B609" s="476"/>
      <c r="C609" s="476"/>
      <c r="D609" s="475"/>
      <c r="E609" s="476"/>
      <c r="F609" s="475"/>
      <c r="G609" s="476"/>
      <c r="H609" s="475"/>
      <c r="I609" s="476"/>
    </row>
    <row r="610" spans="2:9" x14ac:dyDescent="0.25">
      <c r="B610" s="476"/>
      <c r="C610" s="476"/>
      <c r="D610" s="475"/>
      <c r="E610" s="476"/>
      <c r="F610" s="475"/>
      <c r="G610" s="476"/>
      <c r="H610" s="475"/>
      <c r="I610" s="476"/>
    </row>
    <row r="611" spans="2:9" x14ac:dyDescent="0.25">
      <c r="B611" s="476"/>
      <c r="C611" s="476"/>
      <c r="D611" s="475"/>
      <c r="E611" s="476"/>
      <c r="F611" s="475"/>
      <c r="G611" s="476"/>
      <c r="H611" s="475"/>
      <c r="I611" s="476"/>
    </row>
    <row r="612" spans="2:9" x14ac:dyDescent="0.25">
      <c r="B612" s="476"/>
      <c r="C612" s="476"/>
      <c r="D612" s="475"/>
      <c r="E612" s="476"/>
      <c r="F612" s="475"/>
      <c r="G612" s="476"/>
      <c r="H612" s="475"/>
      <c r="I612" s="476"/>
    </row>
    <row r="613" spans="2:9" x14ac:dyDescent="0.25">
      <c r="B613" s="476"/>
      <c r="C613" s="476"/>
      <c r="D613" s="475"/>
      <c r="E613" s="476"/>
      <c r="F613" s="475"/>
      <c r="G613" s="476"/>
      <c r="H613" s="475"/>
      <c r="I613" s="476"/>
    </row>
    <row r="614" spans="2:9" x14ac:dyDescent="0.25">
      <c r="B614" s="476"/>
      <c r="C614" s="476"/>
      <c r="D614" s="475"/>
      <c r="E614" s="476"/>
      <c r="F614" s="475"/>
      <c r="G614" s="476"/>
      <c r="H614" s="475"/>
      <c r="I614" s="476"/>
    </row>
    <row r="615" spans="2:9" x14ac:dyDescent="0.25">
      <c r="B615" s="476"/>
      <c r="C615" s="476"/>
      <c r="D615" s="475"/>
      <c r="E615" s="476"/>
      <c r="F615" s="475"/>
      <c r="G615" s="476"/>
      <c r="H615" s="475"/>
      <c r="I615" s="476"/>
    </row>
    <row r="616" spans="2:9" x14ac:dyDescent="0.25">
      <c r="B616" s="476"/>
      <c r="C616" s="476"/>
      <c r="D616" s="475"/>
      <c r="E616" s="476"/>
      <c r="F616" s="475"/>
      <c r="G616" s="476"/>
      <c r="H616" s="475"/>
      <c r="I616" s="476"/>
    </row>
    <row r="617" spans="2:9" x14ac:dyDescent="0.25">
      <c r="B617" s="476"/>
      <c r="C617" s="476"/>
      <c r="D617" s="475"/>
      <c r="E617" s="476"/>
      <c r="F617" s="475"/>
      <c r="G617" s="476"/>
      <c r="H617" s="475"/>
      <c r="I617" s="476"/>
    </row>
    <row r="618" spans="2:9" x14ac:dyDescent="0.25">
      <c r="B618" s="476"/>
      <c r="C618" s="476"/>
      <c r="D618" s="475"/>
      <c r="E618" s="476"/>
      <c r="F618" s="475"/>
      <c r="G618" s="476"/>
      <c r="H618" s="475"/>
      <c r="I618" s="476"/>
    </row>
    <row r="619" spans="2:9" x14ac:dyDescent="0.25">
      <c r="B619" s="476"/>
      <c r="C619" s="476"/>
      <c r="D619" s="475"/>
      <c r="E619" s="476"/>
      <c r="F619" s="475"/>
      <c r="G619" s="476"/>
      <c r="H619" s="475"/>
      <c r="I619" s="476"/>
    </row>
    <row r="620" spans="2:9" x14ac:dyDescent="0.25">
      <c r="B620" s="476"/>
      <c r="C620" s="476"/>
      <c r="D620" s="475"/>
      <c r="E620" s="476"/>
      <c r="F620" s="475"/>
      <c r="G620" s="476"/>
      <c r="H620" s="475"/>
      <c r="I620" s="476"/>
    </row>
    <row r="621" spans="2:9" x14ac:dyDescent="0.25">
      <c r="B621" s="476"/>
      <c r="C621" s="476"/>
      <c r="D621" s="475"/>
      <c r="E621" s="476"/>
      <c r="F621" s="475"/>
      <c r="G621" s="476"/>
      <c r="H621" s="475"/>
      <c r="I621" s="476"/>
    </row>
    <row r="622" spans="2:9" x14ac:dyDescent="0.25">
      <c r="B622" s="476"/>
      <c r="C622" s="476"/>
      <c r="D622" s="475"/>
      <c r="E622" s="476"/>
      <c r="F622" s="475"/>
      <c r="G622" s="476"/>
      <c r="H622" s="475"/>
      <c r="I622" s="476"/>
    </row>
    <row r="623" spans="2:9" x14ac:dyDescent="0.25">
      <c r="B623" s="476"/>
      <c r="C623" s="476"/>
      <c r="D623" s="475"/>
      <c r="E623" s="476"/>
      <c r="F623" s="475"/>
      <c r="G623" s="476"/>
      <c r="H623" s="475"/>
      <c r="I623" s="476"/>
    </row>
    <row r="624" spans="2:9" x14ac:dyDescent="0.25">
      <c r="B624" s="476"/>
      <c r="C624" s="476"/>
      <c r="D624" s="475"/>
      <c r="E624" s="476"/>
      <c r="F624" s="475"/>
      <c r="G624" s="476"/>
      <c r="H624" s="475"/>
      <c r="I624" s="476"/>
    </row>
    <row r="625" spans="2:9" x14ac:dyDescent="0.25">
      <c r="B625" s="476"/>
      <c r="C625" s="476"/>
      <c r="D625" s="475"/>
      <c r="E625" s="476"/>
      <c r="F625" s="475"/>
      <c r="G625" s="476"/>
      <c r="H625" s="475"/>
      <c r="I625" s="476"/>
    </row>
    <row r="626" spans="2:9" x14ac:dyDescent="0.25">
      <c r="B626" s="476"/>
      <c r="C626" s="476"/>
      <c r="D626" s="475"/>
      <c r="E626" s="476"/>
      <c r="F626" s="475"/>
      <c r="G626" s="476"/>
      <c r="H626" s="475"/>
      <c r="I626" s="476"/>
    </row>
    <row r="627" spans="2:9" x14ac:dyDescent="0.25">
      <c r="B627" s="476"/>
      <c r="C627" s="476"/>
      <c r="D627" s="475"/>
      <c r="E627" s="476"/>
      <c r="F627" s="475"/>
      <c r="G627" s="476"/>
      <c r="H627" s="475"/>
      <c r="I627" s="476"/>
    </row>
    <row r="628" spans="2:9" x14ac:dyDescent="0.25">
      <c r="B628" s="476"/>
      <c r="C628" s="476"/>
      <c r="D628" s="475"/>
      <c r="E628" s="476"/>
      <c r="F628" s="475"/>
      <c r="G628" s="476"/>
      <c r="H628" s="475"/>
      <c r="I628" s="476"/>
    </row>
    <row r="629" spans="2:9" x14ac:dyDescent="0.25">
      <c r="B629" s="476"/>
      <c r="C629" s="476"/>
      <c r="D629" s="475"/>
      <c r="E629" s="476"/>
      <c r="F629" s="475"/>
      <c r="G629" s="476"/>
      <c r="H629" s="475"/>
      <c r="I629" s="476"/>
    </row>
    <row r="630" spans="2:9" x14ac:dyDescent="0.25">
      <c r="B630" s="476"/>
      <c r="C630" s="476"/>
      <c r="D630" s="475"/>
      <c r="E630" s="476"/>
      <c r="F630" s="475"/>
      <c r="G630" s="476"/>
      <c r="H630" s="475"/>
      <c r="I630" s="476"/>
    </row>
    <row r="631" spans="2:9" x14ac:dyDescent="0.25">
      <c r="B631" s="476"/>
      <c r="C631" s="476"/>
      <c r="D631" s="475"/>
      <c r="E631" s="476"/>
      <c r="F631" s="475"/>
      <c r="G631" s="476"/>
      <c r="H631" s="475"/>
      <c r="I631" s="476"/>
    </row>
    <row r="632" spans="2:9" x14ac:dyDescent="0.25">
      <c r="B632" s="476"/>
      <c r="C632" s="476"/>
      <c r="D632" s="475"/>
      <c r="E632" s="476"/>
      <c r="F632" s="475"/>
      <c r="G632" s="476"/>
      <c r="H632" s="475"/>
      <c r="I632" s="476"/>
    </row>
    <row r="633" spans="2:9" x14ac:dyDescent="0.25">
      <c r="B633" s="476"/>
      <c r="C633" s="476"/>
      <c r="D633" s="475"/>
      <c r="E633" s="476"/>
      <c r="F633" s="475"/>
      <c r="G633" s="476"/>
      <c r="H633" s="475"/>
      <c r="I633" s="476"/>
    </row>
    <row r="634" spans="2:9" x14ac:dyDescent="0.25">
      <c r="B634" s="476"/>
      <c r="C634" s="476"/>
      <c r="D634" s="475"/>
      <c r="E634" s="476"/>
      <c r="F634" s="475"/>
      <c r="G634" s="476"/>
      <c r="H634" s="475"/>
      <c r="I634" s="476"/>
    </row>
    <row r="635" spans="2:9" x14ac:dyDescent="0.25">
      <c r="B635" s="476"/>
      <c r="C635" s="476"/>
      <c r="D635" s="475"/>
      <c r="E635" s="476"/>
      <c r="F635" s="475"/>
      <c r="G635" s="476"/>
      <c r="H635" s="475"/>
      <c r="I635" s="476"/>
    </row>
    <row r="636" spans="2:9" x14ac:dyDescent="0.25">
      <c r="B636" s="476"/>
      <c r="C636" s="476"/>
      <c r="D636" s="475"/>
      <c r="E636" s="476"/>
      <c r="F636" s="475"/>
      <c r="G636" s="476"/>
      <c r="H636" s="475"/>
      <c r="I636" s="476"/>
    </row>
    <row r="637" spans="2:9" x14ac:dyDescent="0.25">
      <c r="B637" s="476"/>
      <c r="C637" s="476"/>
      <c r="D637" s="475"/>
      <c r="E637" s="476"/>
      <c r="F637" s="475"/>
      <c r="G637" s="476"/>
      <c r="H637" s="475"/>
      <c r="I637" s="476"/>
    </row>
    <row r="638" spans="2:9" x14ac:dyDescent="0.25">
      <c r="B638" s="476"/>
      <c r="C638" s="476"/>
      <c r="D638" s="475"/>
      <c r="E638" s="476"/>
      <c r="F638" s="475"/>
      <c r="G638" s="476"/>
      <c r="H638" s="475"/>
      <c r="I638" s="476"/>
    </row>
    <row r="639" spans="2:9" x14ac:dyDescent="0.25">
      <c r="B639" s="476"/>
      <c r="C639" s="476"/>
      <c r="D639" s="475"/>
      <c r="E639" s="476"/>
      <c r="F639" s="475"/>
      <c r="G639" s="476"/>
      <c r="H639" s="475"/>
      <c r="I639" s="476"/>
    </row>
    <row r="640" spans="2:9" x14ac:dyDescent="0.25">
      <c r="B640" s="476"/>
      <c r="C640" s="476"/>
      <c r="D640" s="475"/>
      <c r="E640" s="476"/>
      <c r="F640" s="475"/>
      <c r="G640" s="476"/>
      <c r="H640" s="475"/>
      <c r="I640" s="476"/>
    </row>
    <row r="641" spans="2:9" x14ac:dyDescent="0.25">
      <c r="B641" s="476"/>
      <c r="C641" s="476"/>
      <c r="D641" s="475"/>
      <c r="E641" s="476"/>
      <c r="F641" s="475"/>
      <c r="G641" s="476"/>
      <c r="H641" s="475"/>
      <c r="I641" s="476"/>
    </row>
    <row r="642" spans="2:9" x14ac:dyDescent="0.25">
      <c r="B642" s="476"/>
      <c r="C642" s="476"/>
      <c r="D642" s="475"/>
      <c r="E642" s="476"/>
      <c r="F642" s="475"/>
      <c r="G642" s="476"/>
      <c r="H642" s="475"/>
      <c r="I642" s="476"/>
    </row>
    <row r="643" spans="2:9" x14ac:dyDescent="0.25">
      <c r="B643" s="476"/>
      <c r="C643" s="476"/>
      <c r="D643" s="475"/>
      <c r="E643" s="476"/>
      <c r="F643" s="475"/>
      <c r="G643" s="476"/>
      <c r="H643" s="475"/>
      <c r="I643" s="476"/>
    </row>
    <row r="644" spans="2:9" x14ac:dyDescent="0.25">
      <c r="B644" s="476"/>
      <c r="C644" s="476"/>
      <c r="D644" s="475"/>
      <c r="E644" s="476"/>
      <c r="F644" s="475"/>
      <c r="G644" s="476"/>
      <c r="H644" s="475"/>
      <c r="I644" s="476"/>
    </row>
    <row r="645" spans="2:9" x14ac:dyDescent="0.25">
      <c r="B645" s="476"/>
      <c r="C645" s="476"/>
      <c r="D645" s="475"/>
      <c r="E645" s="476"/>
      <c r="F645" s="475"/>
      <c r="G645" s="476"/>
      <c r="H645" s="475"/>
      <c r="I645" s="476"/>
    </row>
    <row r="646" spans="2:9" x14ac:dyDescent="0.25">
      <c r="B646" s="476"/>
      <c r="C646" s="476"/>
      <c r="D646" s="475"/>
      <c r="E646" s="476"/>
      <c r="F646" s="475"/>
      <c r="G646" s="476"/>
      <c r="H646" s="475"/>
      <c r="I646" s="476"/>
    </row>
    <row r="647" spans="2:9" x14ac:dyDescent="0.25">
      <c r="B647" s="476"/>
      <c r="C647" s="476"/>
      <c r="D647" s="475"/>
      <c r="E647" s="476"/>
      <c r="F647" s="475"/>
      <c r="G647" s="476"/>
      <c r="H647" s="475"/>
      <c r="I647" s="476"/>
    </row>
    <row r="648" spans="2:9" x14ac:dyDescent="0.25">
      <c r="B648" s="476"/>
      <c r="C648" s="476"/>
      <c r="D648" s="475"/>
      <c r="E648" s="476"/>
      <c r="F648" s="475"/>
      <c r="G648" s="476"/>
      <c r="H648" s="475"/>
      <c r="I648" s="476"/>
    </row>
    <row r="649" spans="2:9" x14ac:dyDescent="0.25">
      <c r="B649" s="476"/>
      <c r="C649" s="476"/>
      <c r="D649" s="475"/>
      <c r="E649" s="476"/>
      <c r="F649" s="475"/>
      <c r="G649" s="476"/>
      <c r="H649" s="475"/>
      <c r="I649" s="476"/>
    </row>
    <row r="650" spans="2:9" x14ac:dyDescent="0.25">
      <c r="B650" s="476"/>
      <c r="C650" s="476"/>
      <c r="D650" s="475"/>
      <c r="E650" s="476"/>
      <c r="F650" s="475"/>
      <c r="G650" s="476"/>
      <c r="H650" s="475"/>
      <c r="I650" s="476"/>
    </row>
    <row r="651" spans="2:9" x14ac:dyDescent="0.25">
      <c r="B651" s="476"/>
      <c r="C651" s="476"/>
      <c r="D651" s="475"/>
      <c r="E651" s="476"/>
      <c r="F651" s="475"/>
      <c r="G651" s="476"/>
      <c r="H651" s="475"/>
      <c r="I651" s="476"/>
    </row>
    <row r="652" spans="2:9" x14ac:dyDescent="0.25">
      <c r="B652" s="476"/>
      <c r="C652" s="476"/>
      <c r="D652" s="475"/>
      <c r="E652" s="476"/>
      <c r="F652" s="475"/>
      <c r="G652" s="476"/>
      <c r="H652" s="475"/>
      <c r="I652" s="476"/>
    </row>
    <row r="653" spans="2:9" x14ac:dyDescent="0.25">
      <c r="B653" s="476"/>
      <c r="C653" s="476"/>
      <c r="D653" s="475"/>
      <c r="E653" s="476"/>
      <c r="F653" s="475"/>
      <c r="G653" s="476"/>
      <c r="H653" s="475"/>
      <c r="I653" s="476"/>
    </row>
    <row r="654" spans="2:9" x14ac:dyDescent="0.25">
      <c r="B654" s="476"/>
      <c r="C654" s="476"/>
      <c r="D654" s="475"/>
      <c r="E654" s="476"/>
      <c r="F654" s="475"/>
      <c r="G654" s="476"/>
      <c r="H654" s="475"/>
      <c r="I654" s="476"/>
    </row>
    <row r="655" spans="2:9" x14ac:dyDescent="0.25">
      <c r="B655" s="476"/>
      <c r="C655" s="476"/>
      <c r="D655" s="475"/>
      <c r="E655" s="476"/>
      <c r="F655" s="475"/>
      <c r="G655" s="476"/>
      <c r="H655" s="475"/>
      <c r="I655" s="476"/>
    </row>
    <row r="656" spans="2:9" x14ac:dyDescent="0.25">
      <c r="B656" s="476"/>
      <c r="C656" s="476"/>
      <c r="D656" s="475"/>
      <c r="E656" s="476"/>
      <c r="F656" s="475"/>
      <c r="G656" s="476"/>
      <c r="H656" s="475"/>
      <c r="I656" s="476"/>
    </row>
    <row r="657" spans="2:9" x14ac:dyDescent="0.25">
      <c r="B657" s="476"/>
      <c r="C657" s="476"/>
      <c r="D657" s="475"/>
      <c r="E657" s="476"/>
      <c r="F657" s="475"/>
      <c r="G657" s="476"/>
      <c r="H657" s="475"/>
      <c r="I657" s="476"/>
    </row>
    <row r="658" spans="2:9" x14ac:dyDescent="0.25">
      <c r="B658" s="476"/>
      <c r="C658" s="476"/>
      <c r="D658" s="475"/>
      <c r="E658" s="476"/>
      <c r="F658" s="475"/>
      <c r="G658" s="476"/>
      <c r="H658" s="475"/>
      <c r="I658" s="476"/>
    </row>
    <row r="659" spans="2:9" x14ac:dyDescent="0.25">
      <c r="B659" s="476"/>
      <c r="C659" s="476"/>
      <c r="D659" s="475"/>
      <c r="E659" s="476"/>
      <c r="F659" s="475"/>
      <c r="G659" s="476"/>
      <c r="H659" s="475"/>
      <c r="I659" s="476"/>
    </row>
    <row r="660" spans="2:9" x14ac:dyDescent="0.25">
      <c r="B660" s="476"/>
      <c r="C660" s="476"/>
      <c r="D660" s="475"/>
      <c r="E660" s="476"/>
      <c r="F660" s="475"/>
      <c r="G660" s="476"/>
      <c r="H660" s="475"/>
      <c r="I660" s="476"/>
    </row>
    <row r="661" spans="2:9" x14ac:dyDescent="0.25">
      <c r="B661" s="476"/>
      <c r="C661" s="476"/>
      <c r="D661" s="475"/>
      <c r="E661" s="476"/>
      <c r="F661" s="475"/>
      <c r="G661" s="476"/>
      <c r="H661" s="475"/>
      <c r="I661" s="476"/>
    </row>
    <row r="662" spans="2:9" x14ac:dyDescent="0.25">
      <c r="B662" s="476"/>
      <c r="C662" s="476"/>
      <c r="D662" s="475"/>
      <c r="E662" s="476"/>
      <c r="F662" s="475"/>
      <c r="G662" s="476"/>
      <c r="H662" s="475"/>
      <c r="I662" s="476"/>
    </row>
    <row r="663" spans="2:9" x14ac:dyDescent="0.25">
      <c r="B663" s="476"/>
      <c r="C663" s="476"/>
      <c r="D663" s="475"/>
      <c r="E663" s="476"/>
      <c r="F663" s="475"/>
      <c r="G663" s="476"/>
      <c r="H663" s="475"/>
      <c r="I663" s="476"/>
    </row>
    <row r="664" spans="2:9" x14ac:dyDescent="0.25">
      <c r="B664" s="476"/>
      <c r="C664" s="476"/>
      <c r="D664" s="475"/>
      <c r="E664" s="476"/>
      <c r="F664" s="475"/>
      <c r="G664" s="476"/>
      <c r="H664" s="475"/>
      <c r="I664" s="476"/>
    </row>
    <row r="665" spans="2:9" x14ac:dyDescent="0.25">
      <c r="B665" s="476"/>
      <c r="C665" s="476"/>
      <c r="D665" s="475"/>
      <c r="E665" s="476"/>
      <c r="F665" s="475"/>
      <c r="G665" s="476"/>
      <c r="H665" s="475"/>
      <c r="I665" s="476"/>
    </row>
    <row r="666" spans="2:9" x14ac:dyDescent="0.25">
      <c r="B666" s="476"/>
      <c r="C666" s="476"/>
      <c r="D666" s="475"/>
      <c r="E666" s="476"/>
      <c r="F666" s="475"/>
      <c r="G666" s="476"/>
      <c r="H666" s="475"/>
      <c r="I666" s="476"/>
    </row>
    <row r="667" spans="2:9" x14ac:dyDescent="0.25">
      <c r="B667" s="476"/>
      <c r="C667" s="476"/>
      <c r="D667" s="475"/>
      <c r="E667" s="476"/>
      <c r="F667" s="475"/>
      <c r="G667" s="476"/>
      <c r="H667" s="475"/>
      <c r="I667" s="476"/>
    </row>
    <row r="668" spans="2:9" x14ac:dyDescent="0.25">
      <c r="B668" s="476"/>
      <c r="C668" s="476"/>
      <c r="D668" s="475"/>
      <c r="E668" s="476"/>
      <c r="F668" s="475"/>
      <c r="G668" s="476"/>
      <c r="H668" s="475"/>
      <c r="I668" s="476"/>
    </row>
    <row r="669" spans="2:9" x14ac:dyDescent="0.25">
      <c r="B669" s="476"/>
      <c r="C669" s="476"/>
      <c r="D669" s="475"/>
      <c r="E669" s="476"/>
      <c r="F669" s="475"/>
      <c r="G669" s="476"/>
      <c r="H669" s="475"/>
      <c r="I669" s="476"/>
    </row>
    <row r="670" spans="2:9" x14ac:dyDescent="0.25">
      <c r="B670" s="476"/>
      <c r="C670" s="476"/>
      <c r="D670" s="475"/>
      <c r="E670" s="476"/>
      <c r="F670" s="475"/>
      <c r="G670" s="476"/>
      <c r="H670" s="475"/>
      <c r="I670" s="476"/>
    </row>
    <row r="671" spans="2:9" x14ac:dyDescent="0.25">
      <c r="B671" s="476"/>
      <c r="C671" s="476"/>
      <c r="D671" s="475"/>
      <c r="E671" s="476"/>
      <c r="F671" s="475"/>
      <c r="G671" s="476"/>
      <c r="H671" s="475"/>
      <c r="I671" s="476"/>
    </row>
    <row r="672" spans="2:9" x14ac:dyDescent="0.25">
      <c r="B672" s="476"/>
      <c r="C672" s="476"/>
      <c r="D672" s="475"/>
      <c r="E672" s="476"/>
      <c r="F672" s="475"/>
      <c r="G672" s="476"/>
      <c r="H672" s="475"/>
      <c r="I672" s="476"/>
    </row>
    <row r="673" spans="2:9" x14ac:dyDescent="0.25">
      <c r="B673" s="476"/>
      <c r="C673" s="476"/>
      <c r="D673" s="475"/>
      <c r="E673" s="476"/>
      <c r="F673" s="475"/>
      <c r="G673" s="476"/>
      <c r="H673" s="475"/>
      <c r="I673" s="476"/>
    </row>
    <row r="674" spans="2:9" x14ac:dyDescent="0.25">
      <c r="B674" s="476"/>
      <c r="C674" s="476"/>
      <c r="D674" s="475"/>
      <c r="E674" s="476"/>
      <c r="F674" s="475"/>
      <c r="G674" s="476"/>
      <c r="H674" s="475"/>
      <c r="I674" s="476"/>
    </row>
    <row r="675" spans="2:9" x14ac:dyDescent="0.25">
      <c r="B675" s="476"/>
      <c r="C675" s="476"/>
      <c r="D675" s="475"/>
      <c r="E675" s="476"/>
      <c r="F675" s="475"/>
      <c r="G675" s="476"/>
      <c r="H675" s="475"/>
      <c r="I675" s="476"/>
    </row>
    <row r="676" spans="2:9" x14ac:dyDescent="0.25">
      <c r="B676" s="476"/>
      <c r="C676" s="476"/>
      <c r="D676" s="475"/>
      <c r="E676" s="476"/>
      <c r="F676" s="475"/>
      <c r="G676" s="476"/>
      <c r="H676" s="475"/>
      <c r="I676" s="476"/>
    </row>
    <row r="677" spans="2:9" x14ac:dyDescent="0.25">
      <c r="B677" s="476"/>
      <c r="C677" s="476"/>
      <c r="D677" s="475"/>
      <c r="E677" s="476"/>
      <c r="F677" s="475"/>
      <c r="G677" s="476"/>
      <c r="H677" s="475"/>
      <c r="I677" s="476"/>
    </row>
    <row r="678" spans="2:9" x14ac:dyDescent="0.25">
      <c r="B678" s="476"/>
      <c r="C678" s="476"/>
      <c r="D678" s="475"/>
      <c r="E678" s="476"/>
      <c r="F678" s="475"/>
      <c r="G678" s="476"/>
      <c r="H678" s="475"/>
      <c r="I678" s="476"/>
    </row>
    <row r="679" spans="2:9" x14ac:dyDescent="0.25">
      <c r="B679" s="476"/>
      <c r="C679" s="476"/>
      <c r="D679" s="475"/>
      <c r="E679" s="476"/>
      <c r="F679" s="475"/>
      <c r="G679" s="476"/>
      <c r="H679" s="475"/>
      <c r="I679" s="476"/>
    </row>
    <row r="680" spans="2:9" x14ac:dyDescent="0.25">
      <c r="B680" s="476"/>
      <c r="C680" s="476"/>
      <c r="D680" s="475"/>
      <c r="E680" s="476"/>
      <c r="F680" s="475"/>
      <c r="G680" s="476"/>
      <c r="H680" s="475"/>
      <c r="I680" s="476"/>
    </row>
    <row r="681" spans="2:9" x14ac:dyDescent="0.25">
      <c r="B681" s="476"/>
      <c r="C681" s="476"/>
      <c r="D681" s="475"/>
      <c r="E681" s="476"/>
      <c r="F681" s="475"/>
      <c r="G681" s="476"/>
      <c r="H681" s="475"/>
      <c r="I681" s="476"/>
    </row>
    <row r="682" spans="2:9" x14ac:dyDescent="0.25">
      <c r="B682" s="476"/>
      <c r="C682" s="476"/>
      <c r="D682" s="475"/>
      <c r="E682" s="476"/>
      <c r="F682" s="475"/>
      <c r="G682" s="476"/>
      <c r="H682" s="475"/>
      <c r="I682" s="476"/>
    </row>
    <row r="683" spans="2:9" x14ac:dyDescent="0.25">
      <c r="B683" s="476"/>
      <c r="C683" s="476"/>
      <c r="D683" s="475"/>
      <c r="E683" s="476"/>
      <c r="F683" s="475"/>
      <c r="G683" s="476"/>
      <c r="H683" s="475"/>
      <c r="I683" s="476"/>
    </row>
    <row r="684" spans="2:9" x14ac:dyDescent="0.25">
      <c r="B684" s="476"/>
      <c r="C684" s="476"/>
      <c r="D684" s="475"/>
      <c r="E684" s="476"/>
      <c r="F684" s="475"/>
      <c r="G684" s="476"/>
      <c r="H684" s="475"/>
      <c r="I684" s="476"/>
    </row>
    <row r="685" spans="2:9" x14ac:dyDescent="0.25">
      <c r="B685" s="476"/>
      <c r="C685" s="476"/>
      <c r="D685" s="475"/>
      <c r="E685" s="476"/>
      <c r="F685" s="475"/>
      <c r="G685" s="476"/>
      <c r="H685" s="475"/>
      <c r="I685" s="476"/>
    </row>
    <row r="686" spans="2:9" x14ac:dyDescent="0.25">
      <c r="B686" s="476"/>
      <c r="C686" s="476"/>
      <c r="D686" s="475"/>
      <c r="E686" s="476"/>
      <c r="F686" s="475"/>
      <c r="G686" s="476"/>
      <c r="H686" s="475"/>
      <c r="I686" s="476"/>
    </row>
    <row r="687" spans="2:9" x14ac:dyDescent="0.25">
      <c r="B687" s="476"/>
      <c r="C687" s="476"/>
      <c r="D687" s="475"/>
      <c r="E687" s="476"/>
      <c r="F687" s="475"/>
      <c r="G687" s="476"/>
      <c r="H687" s="475"/>
      <c r="I687" s="476"/>
    </row>
    <row r="688" spans="2:9" x14ac:dyDescent="0.25">
      <c r="B688" s="476"/>
      <c r="C688" s="476"/>
      <c r="D688" s="475"/>
      <c r="E688" s="476"/>
      <c r="F688" s="475"/>
      <c r="G688" s="476"/>
      <c r="H688" s="475"/>
      <c r="I688" s="476"/>
    </row>
    <row r="689" spans="2:9" x14ac:dyDescent="0.25">
      <c r="B689" s="476"/>
      <c r="C689" s="476"/>
      <c r="D689" s="475"/>
      <c r="E689" s="476"/>
      <c r="F689" s="475"/>
      <c r="G689" s="476"/>
      <c r="H689" s="475"/>
      <c r="I689" s="476"/>
    </row>
    <row r="690" spans="2:9" x14ac:dyDescent="0.25">
      <c r="B690" s="476"/>
      <c r="C690" s="476"/>
      <c r="D690" s="475"/>
      <c r="E690" s="476"/>
      <c r="F690" s="475"/>
      <c r="G690" s="476"/>
      <c r="H690" s="475"/>
      <c r="I690" s="476"/>
    </row>
    <row r="691" spans="2:9" x14ac:dyDescent="0.25">
      <c r="B691" s="476"/>
      <c r="C691" s="476"/>
      <c r="D691" s="475"/>
      <c r="E691" s="476"/>
      <c r="F691" s="475"/>
      <c r="G691" s="476"/>
      <c r="H691" s="475"/>
      <c r="I691" s="476"/>
    </row>
    <row r="692" spans="2:9" x14ac:dyDescent="0.25">
      <c r="B692" s="476"/>
      <c r="C692" s="476"/>
      <c r="D692" s="475"/>
      <c r="E692" s="476"/>
      <c r="F692" s="475"/>
      <c r="G692" s="476"/>
      <c r="H692" s="475"/>
      <c r="I692" s="476"/>
    </row>
    <row r="693" spans="2:9" x14ac:dyDescent="0.25">
      <c r="B693" s="476"/>
      <c r="C693" s="476"/>
      <c r="D693" s="475"/>
      <c r="E693" s="476"/>
      <c r="F693" s="475"/>
      <c r="G693" s="476"/>
      <c r="H693" s="475"/>
      <c r="I693" s="476"/>
    </row>
    <row r="694" spans="2:9" x14ac:dyDescent="0.25">
      <c r="B694" s="476"/>
      <c r="C694" s="476"/>
      <c r="D694" s="475"/>
      <c r="E694" s="476"/>
      <c r="F694" s="475"/>
      <c r="G694" s="476"/>
      <c r="H694" s="475"/>
      <c r="I694" s="476"/>
    </row>
    <row r="695" spans="2:9" x14ac:dyDescent="0.25">
      <c r="B695" s="476"/>
      <c r="C695" s="476"/>
      <c r="D695" s="475"/>
      <c r="E695" s="476"/>
      <c r="F695" s="475"/>
      <c r="G695" s="476"/>
      <c r="H695" s="475"/>
      <c r="I695" s="476"/>
    </row>
    <row r="696" spans="2:9" x14ac:dyDescent="0.25">
      <c r="B696" s="476"/>
      <c r="C696" s="476"/>
      <c r="D696" s="475"/>
      <c r="E696" s="476"/>
      <c r="F696" s="475"/>
      <c r="G696" s="476"/>
      <c r="H696" s="475"/>
      <c r="I696" s="476"/>
    </row>
    <row r="697" spans="2:9" x14ac:dyDescent="0.25">
      <c r="B697" s="476"/>
      <c r="C697" s="476"/>
      <c r="D697" s="475"/>
      <c r="E697" s="476"/>
      <c r="F697" s="475"/>
      <c r="G697" s="476"/>
      <c r="H697" s="475"/>
      <c r="I697" s="476"/>
    </row>
    <row r="698" spans="2:9" x14ac:dyDescent="0.25">
      <c r="B698" s="476"/>
      <c r="C698" s="476"/>
      <c r="D698" s="475"/>
      <c r="E698" s="476"/>
      <c r="F698" s="475"/>
      <c r="G698" s="476"/>
      <c r="H698" s="475"/>
      <c r="I698" s="476"/>
    </row>
    <row r="699" spans="2:9" x14ac:dyDescent="0.25">
      <c r="B699" s="476"/>
      <c r="C699" s="476"/>
      <c r="D699" s="475"/>
      <c r="E699" s="476"/>
      <c r="F699" s="475"/>
      <c r="G699" s="476"/>
      <c r="H699" s="475"/>
      <c r="I699" s="476"/>
    </row>
    <row r="700" spans="2:9" x14ac:dyDescent="0.25">
      <c r="B700" s="476"/>
      <c r="C700" s="476"/>
      <c r="D700" s="475"/>
      <c r="E700" s="476"/>
      <c r="F700" s="475"/>
      <c r="G700" s="476"/>
      <c r="H700" s="475"/>
      <c r="I700" s="476"/>
    </row>
    <row r="701" spans="2:9" x14ac:dyDescent="0.25">
      <c r="B701" s="476"/>
      <c r="C701" s="476"/>
      <c r="D701" s="475"/>
      <c r="E701" s="476"/>
      <c r="F701" s="475"/>
      <c r="G701" s="476"/>
      <c r="H701" s="475"/>
      <c r="I701" s="476"/>
    </row>
    <row r="702" spans="2:9" x14ac:dyDescent="0.25">
      <c r="B702" s="476"/>
      <c r="C702" s="476"/>
      <c r="D702" s="475"/>
      <c r="E702" s="476"/>
      <c r="F702" s="475"/>
      <c r="G702" s="476"/>
      <c r="H702" s="475"/>
      <c r="I702" s="476"/>
    </row>
    <row r="703" spans="2:9" x14ac:dyDescent="0.25">
      <c r="B703" s="476"/>
      <c r="C703" s="476"/>
      <c r="D703" s="475"/>
      <c r="E703" s="476"/>
      <c r="F703" s="475"/>
      <c r="G703" s="476"/>
      <c r="H703" s="475"/>
      <c r="I703" s="476"/>
    </row>
    <row r="704" spans="2:9" x14ac:dyDescent="0.25">
      <c r="B704" s="476"/>
      <c r="C704" s="476"/>
      <c r="D704" s="475"/>
      <c r="E704" s="476"/>
      <c r="F704" s="475"/>
      <c r="G704" s="476"/>
      <c r="H704" s="475"/>
      <c r="I704" s="476"/>
    </row>
    <row r="705" spans="2:9" x14ac:dyDescent="0.25">
      <c r="B705" s="476"/>
      <c r="C705" s="476"/>
      <c r="D705" s="475"/>
      <c r="E705" s="476"/>
      <c r="F705" s="475"/>
      <c r="G705" s="476"/>
      <c r="H705" s="475"/>
      <c r="I705" s="476"/>
    </row>
    <row r="706" spans="2:9" x14ac:dyDescent="0.25">
      <c r="B706" s="476"/>
      <c r="C706" s="476"/>
      <c r="D706" s="475"/>
      <c r="E706" s="476"/>
      <c r="F706" s="475"/>
      <c r="G706" s="476"/>
      <c r="H706" s="475"/>
      <c r="I706" s="476"/>
    </row>
    <row r="707" spans="2:9" x14ac:dyDescent="0.25">
      <c r="B707" s="476"/>
      <c r="C707" s="476"/>
      <c r="D707" s="475"/>
      <c r="E707" s="476"/>
      <c r="F707" s="475"/>
      <c r="G707" s="476"/>
      <c r="H707" s="475"/>
      <c r="I707" s="476"/>
    </row>
    <row r="708" spans="2:9" x14ac:dyDescent="0.25">
      <c r="B708" s="476"/>
      <c r="C708" s="476"/>
      <c r="D708" s="475"/>
      <c r="E708" s="476"/>
      <c r="F708" s="475"/>
      <c r="G708" s="476"/>
      <c r="H708" s="475"/>
      <c r="I708" s="476"/>
    </row>
    <row r="709" spans="2:9" x14ac:dyDescent="0.25">
      <c r="B709" s="476"/>
      <c r="C709" s="476"/>
      <c r="D709" s="475"/>
      <c r="E709" s="476"/>
      <c r="F709" s="475"/>
      <c r="G709" s="476"/>
      <c r="H709" s="475"/>
      <c r="I709" s="476"/>
    </row>
    <row r="710" spans="2:9" x14ac:dyDescent="0.25">
      <c r="B710" s="476"/>
      <c r="C710" s="476"/>
      <c r="D710" s="475"/>
      <c r="E710" s="476"/>
      <c r="F710" s="475"/>
      <c r="G710" s="476"/>
      <c r="H710" s="475"/>
      <c r="I710" s="476"/>
    </row>
    <row r="711" spans="2:9" x14ac:dyDescent="0.25">
      <c r="B711" s="476"/>
      <c r="C711" s="476"/>
      <c r="D711" s="475"/>
      <c r="E711" s="476"/>
      <c r="F711" s="475"/>
      <c r="G711" s="476"/>
      <c r="H711" s="475"/>
      <c r="I711" s="476"/>
    </row>
    <row r="712" spans="2:9" x14ac:dyDescent="0.25">
      <c r="B712" s="476"/>
      <c r="C712" s="476"/>
      <c r="D712" s="475"/>
      <c r="E712" s="476"/>
      <c r="F712" s="475"/>
      <c r="G712" s="476"/>
      <c r="H712" s="475"/>
      <c r="I712" s="476"/>
    </row>
    <row r="713" spans="2:9" x14ac:dyDescent="0.25">
      <c r="B713" s="476"/>
      <c r="C713" s="476"/>
      <c r="D713" s="475"/>
      <c r="E713" s="476"/>
      <c r="F713" s="475"/>
      <c r="G713" s="476"/>
      <c r="H713" s="475"/>
      <c r="I713" s="476"/>
    </row>
    <row r="714" spans="2:9" x14ac:dyDescent="0.25">
      <c r="B714" s="476"/>
      <c r="C714" s="476"/>
      <c r="D714" s="475"/>
      <c r="E714" s="476"/>
      <c r="F714" s="475"/>
      <c r="G714" s="476"/>
      <c r="H714" s="475"/>
      <c r="I714" s="476"/>
    </row>
    <row r="715" spans="2:9" x14ac:dyDescent="0.25">
      <c r="B715" s="476"/>
      <c r="C715" s="476"/>
      <c r="D715" s="475"/>
      <c r="E715" s="476"/>
      <c r="F715" s="475"/>
      <c r="G715" s="476"/>
      <c r="H715" s="475"/>
      <c r="I715" s="476"/>
    </row>
    <row r="716" spans="2:9" x14ac:dyDescent="0.25">
      <c r="B716" s="476"/>
      <c r="C716" s="476"/>
      <c r="D716" s="475"/>
      <c r="E716" s="476"/>
      <c r="F716" s="475"/>
      <c r="G716" s="476"/>
      <c r="H716" s="475"/>
      <c r="I716" s="476"/>
    </row>
    <row r="717" spans="2:9" x14ac:dyDescent="0.25">
      <c r="B717" s="476"/>
      <c r="C717" s="476"/>
      <c r="D717" s="475"/>
      <c r="E717" s="476"/>
      <c r="F717" s="475"/>
      <c r="G717" s="476"/>
      <c r="H717" s="475"/>
      <c r="I717" s="476"/>
    </row>
    <row r="718" spans="2:9" x14ac:dyDescent="0.25">
      <c r="B718" s="476"/>
      <c r="C718" s="476"/>
      <c r="D718" s="475"/>
      <c r="E718" s="476"/>
      <c r="F718" s="475"/>
      <c r="G718" s="476"/>
      <c r="H718" s="475"/>
      <c r="I718" s="476"/>
    </row>
    <row r="719" spans="2:9" x14ac:dyDescent="0.25">
      <c r="B719" s="476"/>
      <c r="C719" s="476"/>
      <c r="D719" s="475"/>
      <c r="E719" s="476"/>
      <c r="F719" s="475"/>
      <c r="G719" s="476"/>
      <c r="H719" s="475"/>
      <c r="I719" s="476"/>
    </row>
    <row r="720" spans="2:9" x14ac:dyDescent="0.25">
      <c r="B720" s="476"/>
      <c r="C720" s="476"/>
      <c r="D720" s="475"/>
      <c r="E720" s="476"/>
      <c r="F720" s="475"/>
      <c r="G720" s="476"/>
      <c r="H720" s="475"/>
      <c r="I720" s="476"/>
    </row>
    <row r="721" spans="2:9" x14ac:dyDescent="0.25">
      <c r="B721" s="476"/>
      <c r="C721" s="476"/>
      <c r="D721" s="475"/>
      <c r="E721" s="476"/>
      <c r="F721" s="475"/>
      <c r="G721" s="476"/>
      <c r="H721" s="475"/>
      <c r="I721" s="476"/>
    </row>
    <row r="722" spans="2:9" x14ac:dyDescent="0.25">
      <c r="B722" s="476"/>
      <c r="C722" s="476"/>
      <c r="D722" s="475"/>
      <c r="E722" s="476"/>
      <c r="F722" s="475"/>
      <c r="G722" s="476"/>
      <c r="H722" s="475"/>
      <c r="I722" s="476"/>
    </row>
    <row r="723" spans="2:9" x14ac:dyDescent="0.25">
      <c r="B723" s="476"/>
      <c r="C723" s="476"/>
      <c r="D723" s="475"/>
      <c r="E723" s="476"/>
      <c r="F723" s="475"/>
      <c r="G723" s="476"/>
      <c r="H723" s="475"/>
      <c r="I723" s="476"/>
    </row>
    <row r="724" spans="2:9" x14ac:dyDescent="0.25">
      <c r="B724" s="476"/>
      <c r="C724" s="476"/>
      <c r="D724" s="475"/>
      <c r="E724" s="476"/>
      <c r="F724" s="475"/>
      <c r="G724" s="476"/>
      <c r="H724" s="475"/>
      <c r="I724" s="476"/>
    </row>
    <row r="725" spans="2:9" x14ac:dyDescent="0.25">
      <c r="B725" s="476"/>
      <c r="C725" s="476"/>
      <c r="D725" s="475"/>
      <c r="E725" s="476"/>
      <c r="F725" s="475"/>
      <c r="G725" s="476"/>
      <c r="H725" s="475"/>
      <c r="I725" s="476"/>
    </row>
    <row r="726" spans="2:9" x14ac:dyDescent="0.25">
      <c r="B726" s="476"/>
      <c r="C726" s="476"/>
      <c r="D726" s="475"/>
      <c r="E726" s="476"/>
      <c r="F726" s="475"/>
      <c r="G726" s="476"/>
      <c r="H726" s="475"/>
      <c r="I726" s="476"/>
    </row>
    <row r="727" spans="2:9" x14ac:dyDescent="0.25">
      <c r="B727" s="476"/>
      <c r="C727" s="476"/>
      <c r="D727" s="475"/>
      <c r="E727" s="476"/>
      <c r="F727" s="475"/>
      <c r="G727" s="476"/>
      <c r="H727" s="475"/>
      <c r="I727" s="476"/>
    </row>
    <row r="728" spans="2:9" x14ac:dyDescent="0.25">
      <c r="B728" s="476"/>
      <c r="C728" s="476"/>
      <c r="D728" s="475"/>
      <c r="E728" s="476"/>
      <c r="F728" s="475"/>
      <c r="G728" s="476"/>
      <c r="H728" s="475"/>
      <c r="I728" s="476"/>
    </row>
    <row r="729" spans="2:9" x14ac:dyDescent="0.25">
      <c r="B729" s="476"/>
      <c r="C729" s="476"/>
      <c r="D729" s="475"/>
      <c r="E729" s="476"/>
      <c r="F729" s="475"/>
      <c r="G729" s="476"/>
      <c r="H729" s="475"/>
      <c r="I729" s="476"/>
    </row>
    <row r="730" spans="2:9" x14ac:dyDescent="0.25">
      <c r="B730" s="476"/>
      <c r="C730" s="476"/>
      <c r="D730" s="475"/>
      <c r="E730" s="476"/>
      <c r="F730" s="475"/>
      <c r="G730" s="476"/>
      <c r="H730" s="475"/>
      <c r="I730" s="476"/>
    </row>
    <row r="731" spans="2:9" x14ac:dyDescent="0.25">
      <c r="B731" s="476"/>
      <c r="C731" s="476"/>
      <c r="D731" s="475"/>
      <c r="E731" s="476"/>
      <c r="F731" s="475"/>
      <c r="G731" s="476"/>
      <c r="H731" s="475"/>
      <c r="I731" s="476"/>
    </row>
    <row r="732" spans="2:9" x14ac:dyDescent="0.25">
      <c r="B732" s="476"/>
      <c r="C732" s="476"/>
      <c r="D732" s="475"/>
      <c r="E732" s="476"/>
      <c r="F732" s="475"/>
      <c r="G732" s="476"/>
      <c r="H732" s="475"/>
      <c r="I732" s="476"/>
    </row>
    <row r="733" spans="2:9" x14ac:dyDescent="0.25">
      <c r="B733" s="476"/>
      <c r="C733" s="476"/>
      <c r="D733" s="475"/>
      <c r="E733" s="476"/>
      <c r="F733" s="475"/>
      <c r="G733" s="476"/>
      <c r="H733" s="475"/>
      <c r="I733" s="476"/>
    </row>
    <row r="734" spans="2:9" x14ac:dyDescent="0.25">
      <c r="B734" s="476"/>
      <c r="C734" s="476"/>
      <c r="D734" s="475"/>
      <c r="E734" s="476"/>
      <c r="F734" s="475"/>
      <c r="G734" s="476"/>
      <c r="H734" s="475"/>
      <c r="I734" s="476"/>
    </row>
    <row r="735" spans="2:9" x14ac:dyDescent="0.25">
      <c r="B735" s="476"/>
      <c r="C735" s="476"/>
      <c r="D735" s="475"/>
      <c r="E735" s="476"/>
      <c r="F735" s="475"/>
      <c r="G735" s="476"/>
      <c r="H735" s="475"/>
      <c r="I735" s="476"/>
    </row>
    <row r="736" spans="2:9" x14ac:dyDescent="0.25">
      <c r="B736" s="476"/>
      <c r="C736" s="476"/>
      <c r="D736" s="475"/>
      <c r="E736" s="476"/>
      <c r="F736" s="475"/>
      <c r="G736" s="476"/>
      <c r="H736" s="475"/>
      <c r="I736" s="476"/>
    </row>
    <row r="737" spans="2:9" x14ac:dyDescent="0.25">
      <c r="B737" s="476"/>
      <c r="C737" s="476"/>
      <c r="D737" s="475"/>
      <c r="E737" s="476"/>
      <c r="F737" s="475"/>
      <c r="G737" s="476"/>
      <c r="H737" s="475"/>
      <c r="I737" s="476"/>
    </row>
    <row r="738" spans="2:9" x14ac:dyDescent="0.25">
      <c r="B738" s="476"/>
      <c r="C738" s="476"/>
      <c r="D738" s="475"/>
      <c r="E738" s="476"/>
      <c r="F738" s="475"/>
      <c r="G738" s="476"/>
      <c r="H738" s="475"/>
      <c r="I738" s="476"/>
    </row>
    <row r="739" spans="2:9" x14ac:dyDescent="0.25">
      <c r="B739" s="476"/>
      <c r="C739" s="476"/>
      <c r="D739" s="475"/>
      <c r="E739" s="476"/>
      <c r="F739" s="475"/>
      <c r="G739" s="476"/>
      <c r="H739" s="475"/>
      <c r="I739" s="476"/>
    </row>
    <row r="740" spans="2:9" x14ac:dyDescent="0.25">
      <c r="B740" s="476"/>
      <c r="C740" s="476"/>
      <c r="D740" s="475"/>
      <c r="E740" s="476"/>
      <c r="F740" s="475"/>
      <c r="G740" s="476"/>
      <c r="H740" s="475"/>
      <c r="I740" s="476"/>
    </row>
    <row r="741" spans="2:9" x14ac:dyDescent="0.25">
      <c r="B741" s="476"/>
      <c r="C741" s="476"/>
      <c r="D741" s="475"/>
      <c r="E741" s="476"/>
      <c r="F741" s="475"/>
      <c r="G741" s="476"/>
      <c r="H741" s="475"/>
      <c r="I741" s="476"/>
    </row>
    <row r="742" spans="2:9" x14ac:dyDescent="0.25">
      <c r="B742" s="476"/>
      <c r="C742" s="476"/>
      <c r="D742" s="475"/>
      <c r="E742" s="476"/>
      <c r="F742" s="475"/>
      <c r="G742" s="476"/>
      <c r="H742" s="475"/>
      <c r="I742" s="476"/>
    </row>
    <row r="743" spans="2:9" x14ac:dyDescent="0.25">
      <c r="B743" s="476"/>
      <c r="C743" s="476"/>
      <c r="D743" s="475"/>
      <c r="E743" s="476"/>
      <c r="F743" s="475"/>
      <c r="G743" s="476"/>
      <c r="H743" s="475"/>
      <c r="I743" s="476"/>
    </row>
    <row r="744" spans="2:9" x14ac:dyDescent="0.25">
      <c r="B744" s="476"/>
      <c r="C744" s="476"/>
      <c r="D744" s="475"/>
      <c r="E744" s="476"/>
      <c r="F744" s="475"/>
      <c r="G744" s="476"/>
      <c r="H744" s="475"/>
      <c r="I744" s="476"/>
    </row>
    <row r="745" spans="2:9" x14ac:dyDescent="0.25">
      <c r="B745" s="476"/>
      <c r="C745" s="476"/>
      <c r="D745" s="475"/>
      <c r="E745" s="476"/>
      <c r="F745" s="475"/>
      <c r="G745" s="476"/>
      <c r="H745" s="475"/>
      <c r="I745" s="476"/>
    </row>
    <row r="746" spans="2:9" x14ac:dyDescent="0.25">
      <c r="B746" s="476"/>
      <c r="C746" s="476"/>
      <c r="D746" s="475"/>
      <c r="E746" s="476"/>
      <c r="F746" s="475"/>
      <c r="G746" s="476"/>
      <c r="H746" s="475"/>
      <c r="I746" s="476"/>
    </row>
    <row r="747" spans="2:9" x14ac:dyDescent="0.25">
      <c r="B747" s="476"/>
      <c r="C747" s="476"/>
      <c r="D747" s="475"/>
      <c r="E747" s="476"/>
      <c r="F747" s="475"/>
      <c r="G747" s="476"/>
      <c r="H747" s="475"/>
      <c r="I747" s="476"/>
    </row>
    <row r="748" spans="2:9" x14ac:dyDescent="0.25">
      <c r="B748" s="476"/>
      <c r="C748" s="476"/>
      <c r="D748" s="475"/>
      <c r="E748" s="476"/>
      <c r="F748" s="475"/>
      <c r="G748" s="476"/>
      <c r="H748" s="475"/>
      <c r="I748" s="476"/>
    </row>
    <row r="749" spans="2:9" x14ac:dyDescent="0.25">
      <c r="B749" s="476"/>
      <c r="C749" s="476"/>
      <c r="D749" s="475"/>
      <c r="E749" s="476"/>
      <c r="F749" s="475"/>
      <c r="G749" s="476"/>
      <c r="H749" s="475"/>
      <c r="I749" s="476"/>
    </row>
    <row r="750" spans="2:9" x14ac:dyDescent="0.25">
      <c r="B750" s="476"/>
      <c r="C750" s="476"/>
      <c r="D750" s="475"/>
      <c r="E750" s="476"/>
      <c r="F750" s="475"/>
      <c r="G750" s="476"/>
      <c r="H750" s="475"/>
      <c r="I750" s="476"/>
    </row>
    <row r="751" spans="2:9" x14ac:dyDescent="0.25">
      <c r="B751" s="476"/>
      <c r="C751" s="476"/>
      <c r="D751" s="475"/>
      <c r="E751" s="476"/>
      <c r="F751" s="475"/>
      <c r="G751" s="476"/>
      <c r="H751" s="475"/>
      <c r="I751" s="476"/>
    </row>
    <row r="752" spans="2:9" x14ac:dyDescent="0.25">
      <c r="B752" s="476"/>
      <c r="C752" s="476"/>
      <c r="D752" s="475"/>
      <c r="E752" s="476"/>
      <c r="F752" s="475"/>
      <c r="G752" s="476"/>
      <c r="H752" s="475"/>
      <c r="I752" s="476"/>
    </row>
    <row r="753" spans="2:9" x14ac:dyDescent="0.25">
      <c r="B753" s="476"/>
      <c r="C753" s="476"/>
      <c r="D753" s="475"/>
      <c r="E753" s="476"/>
      <c r="F753" s="475"/>
      <c r="G753" s="476"/>
      <c r="H753" s="475"/>
      <c r="I753" s="476"/>
    </row>
    <row r="754" spans="2:9" x14ac:dyDescent="0.25">
      <c r="B754" s="476"/>
      <c r="C754" s="476"/>
      <c r="D754" s="475"/>
      <c r="E754" s="476"/>
      <c r="F754" s="475"/>
      <c r="G754" s="476"/>
      <c r="H754" s="475"/>
      <c r="I754" s="476"/>
    </row>
    <row r="755" spans="2:9" x14ac:dyDescent="0.25">
      <c r="B755" s="476"/>
      <c r="C755" s="476"/>
      <c r="D755" s="475"/>
      <c r="E755" s="476"/>
      <c r="F755" s="475"/>
      <c r="G755" s="476"/>
      <c r="H755" s="475"/>
      <c r="I755" s="476"/>
    </row>
    <row r="756" spans="2:9" x14ac:dyDescent="0.25">
      <c r="B756" s="476"/>
      <c r="C756" s="476"/>
      <c r="D756" s="475"/>
      <c r="E756" s="476"/>
      <c r="F756" s="475"/>
      <c r="G756" s="476"/>
      <c r="H756" s="475"/>
      <c r="I756" s="476"/>
    </row>
    <row r="757" spans="2:9" x14ac:dyDescent="0.25">
      <c r="B757" s="476"/>
      <c r="C757" s="476"/>
      <c r="D757" s="475"/>
      <c r="E757" s="476"/>
      <c r="F757" s="475"/>
      <c r="G757" s="476"/>
      <c r="H757" s="475"/>
      <c r="I757" s="476"/>
    </row>
    <row r="758" spans="2:9" x14ac:dyDescent="0.25">
      <c r="B758" s="476"/>
      <c r="C758" s="476"/>
      <c r="D758" s="475"/>
      <c r="E758" s="476"/>
      <c r="F758" s="475"/>
      <c r="G758" s="476"/>
      <c r="H758" s="475"/>
      <c r="I758" s="476"/>
    </row>
    <row r="759" spans="2:9" x14ac:dyDescent="0.25">
      <c r="B759" s="476"/>
      <c r="C759" s="476"/>
      <c r="D759" s="475"/>
      <c r="E759" s="476"/>
      <c r="F759" s="475"/>
      <c r="G759" s="476"/>
      <c r="H759" s="475"/>
      <c r="I759" s="476"/>
    </row>
    <row r="760" spans="2:9" x14ac:dyDescent="0.25">
      <c r="B760" s="476"/>
      <c r="C760" s="476"/>
      <c r="D760" s="475"/>
      <c r="E760" s="476"/>
      <c r="F760" s="475"/>
      <c r="G760" s="476"/>
      <c r="H760" s="475"/>
      <c r="I760" s="476"/>
    </row>
    <row r="761" spans="2:9" x14ac:dyDescent="0.25">
      <c r="B761" s="476"/>
      <c r="C761" s="476"/>
      <c r="D761" s="475"/>
      <c r="E761" s="476"/>
      <c r="F761" s="475"/>
      <c r="G761" s="476"/>
      <c r="H761" s="475"/>
      <c r="I761" s="476"/>
    </row>
    <row r="762" spans="2:9" x14ac:dyDescent="0.25">
      <c r="B762" s="476"/>
      <c r="C762" s="476"/>
      <c r="D762" s="475"/>
      <c r="E762" s="476"/>
      <c r="F762" s="475"/>
      <c r="G762" s="476"/>
      <c r="H762" s="475"/>
      <c r="I762" s="476"/>
    </row>
    <row r="763" spans="2:9" x14ac:dyDescent="0.25">
      <c r="B763" s="476"/>
      <c r="C763" s="476"/>
      <c r="D763" s="475"/>
      <c r="E763" s="476"/>
      <c r="F763" s="475"/>
      <c r="G763" s="476"/>
      <c r="H763" s="475"/>
      <c r="I763" s="476"/>
    </row>
    <row r="764" spans="2:9" x14ac:dyDescent="0.25">
      <c r="B764" s="476"/>
      <c r="C764" s="476"/>
      <c r="D764" s="475"/>
      <c r="E764" s="476"/>
      <c r="F764" s="475"/>
      <c r="G764" s="476"/>
      <c r="H764" s="475"/>
      <c r="I764" s="476"/>
    </row>
    <row r="765" spans="2:9" x14ac:dyDescent="0.25">
      <c r="B765" s="476"/>
      <c r="C765" s="476"/>
      <c r="D765" s="475"/>
      <c r="E765" s="476"/>
      <c r="F765" s="475"/>
      <c r="G765" s="476"/>
      <c r="H765" s="475"/>
      <c r="I765" s="476"/>
    </row>
    <row r="766" spans="2:9" x14ac:dyDescent="0.25">
      <c r="B766" s="476"/>
      <c r="C766" s="476"/>
      <c r="D766" s="475"/>
      <c r="E766" s="476"/>
      <c r="F766" s="475"/>
      <c r="G766" s="476"/>
      <c r="H766" s="475"/>
      <c r="I766" s="476"/>
    </row>
    <row r="767" spans="2:9" x14ac:dyDescent="0.25">
      <c r="B767" s="476"/>
      <c r="C767" s="476"/>
      <c r="D767" s="475"/>
      <c r="E767" s="476"/>
      <c r="F767" s="475"/>
      <c r="G767" s="476"/>
      <c r="H767" s="475"/>
      <c r="I767" s="476"/>
    </row>
    <row r="768" spans="2:9" x14ac:dyDescent="0.25">
      <c r="B768" s="476"/>
      <c r="C768" s="476"/>
      <c r="D768" s="475"/>
      <c r="E768" s="476"/>
      <c r="F768" s="475"/>
      <c r="G768" s="476"/>
      <c r="H768" s="475"/>
      <c r="I768" s="476"/>
    </row>
    <row r="769" spans="2:9" x14ac:dyDescent="0.25">
      <c r="B769" s="476"/>
      <c r="C769" s="476"/>
      <c r="D769" s="475"/>
      <c r="E769" s="476"/>
      <c r="F769" s="475"/>
      <c r="G769" s="476"/>
      <c r="H769" s="475"/>
      <c r="I769" s="476"/>
    </row>
    <row r="770" spans="2:9" x14ac:dyDescent="0.25">
      <c r="B770" s="476"/>
      <c r="C770" s="476"/>
      <c r="D770" s="475"/>
      <c r="E770" s="476"/>
      <c r="F770" s="475"/>
      <c r="G770" s="476"/>
      <c r="H770" s="475"/>
      <c r="I770" s="476"/>
    </row>
    <row r="771" spans="2:9" x14ac:dyDescent="0.25">
      <c r="B771" s="476"/>
      <c r="C771" s="476"/>
      <c r="D771" s="475"/>
      <c r="E771" s="476"/>
      <c r="F771" s="475"/>
      <c r="G771" s="476"/>
      <c r="H771" s="475"/>
      <c r="I771" s="476"/>
    </row>
    <row r="772" spans="2:9" x14ac:dyDescent="0.25">
      <c r="B772" s="476"/>
      <c r="C772" s="476"/>
      <c r="D772" s="475"/>
      <c r="E772" s="476"/>
      <c r="F772" s="475"/>
      <c r="G772" s="476"/>
      <c r="H772" s="475"/>
      <c r="I772" s="476"/>
    </row>
    <row r="773" spans="2:9" x14ac:dyDescent="0.25">
      <c r="B773" s="476"/>
      <c r="C773" s="476"/>
      <c r="D773" s="475"/>
      <c r="E773" s="476"/>
      <c r="F773" s="475"/>
      <c r="G773" s="476"/>
      <c r="H773" s="475"/>
      <c r="I773" s="476"/>
    </row>
    <row r="774" spans="2:9" x14ac:dyDescent="0.25">
      <c r="B774" s="476"/>
      <c r="C774" s="476"/>
      <c r="D774" s="475"/>
      <c r="E774" s="476"/>
      <c r="F774" s="475"/>
      <c r="G774" s="476"/>
      <c r="H774" s="475"/>
      <c r="I774" s="476"/>
    </row>
    <row r="775" spans="2:9" x14ac:dyDescent="0.25">
      <c r="B775" s="476"/>
      <c r="C775" s="476"/>
      <c r="D775" s="475"/>
      <c r="E775" s="476"/>
      <c r="F775" s="475"/>
      <c r="G775" s="476"/>
      <c r="H775" s="475"/>
      <c r="I775" s="476"/>
    </row>
    <row r="776" spans="2:9" x14ac:dyDescent="0.25">
      <c r="B776" s="476"/>
      <c r="C776" s="476"/>
      <c r="D776" s="475"/>
      <c r="E776" s="476"/>
      <c r="F776" s="475"/>
      <c r="G776" s="476"/>
      <c r="H776" s="475"/>
      <c r="I776" s="476"/>
    </row>
    <row r="777" spans="2:9" x14ac:dyDescent="0.25">
      <c r="B777" s="476"/>
      <c r="C777" s="476"/>
      <c r="D777" s="475"/>
      <c r="E777" s="476"/>
      <c r="F777" s="475"/>
      <c r="G777" s="476"/>
      <c r="H777" s="475"/>
      <c r="I777" s="476"/>
    </row>
    <row r="778" spans="2:9" x14ac:dyDescent="0.25">
      <c r="B778" s="476"/>
      <c r="C778" s="476"/>
      <c r="D778" s="475"/>
      <c r="E778" s="476"/>
      <c r="F778" s="475"/>
      <c r="G778" s="476"/>
      <c r="H778" s="475"/>
      <c r="I778" s="476"/>
    </row>
    <row r="779" spans="2:9" x14ac:dyDescent="0.25">
      <c r="B779" s="476"/>
      <c r="C779" s="476"/>
      <c r="D779" s="475"/>
      <c r="E779" s="476"/>
      <c r="F779" s="475"/>
      <c r="G779" s="476"/>
      <c r="H779" s="475"/>
      <c r="I779" s="476"/>
    </row>
    <row r="780" spans="2:9" x14ac:dyDescent="0.25">
      <c r="B780" s="476"/>
      <c r="C780" s="476"/>
      <c r="D780" s="475"/>
      <c r="E780" s="476"/>
      <c r="F780" s="475"/>
      <c r="G780" s="476"/>
      <c r="H780" s="475"/>
      <c r="I780" s="476"/>
    </row>
    <row r="781" spans="2:9" x14ac:dyDescent="0.25">
      <c r="B781" s="476"/>
      <c r="C781" s="476"/>
      <c r="D781" s="475"/>
      <c r="E781" s="476"/>
      <c r="F781" s="475"/>
      <c r="G781" s="476"/>
      <c r="H781" s="475"/>
      <c r="I781" s="476"/>
    </row>
    <row r="782" spans="2:9" x14ac:dyDescent="0.25">
      <c r="B782" s="476"/>
      <c r="C782" s="476"/>
      <c r="D782" s="475"/>
      <c r="E782" s="476"/>
      <c r="F782" s="475"/>
      <c r="G782" s="476"/>
      <c r="H782" s="475"/>
      <c r="I782" s="476"/>
    </row>
    <row r="783" spans="2:9" x14ac:dyDescent="0.25">
      <c r="B783" s="476"/>
      <c r="C783" s="476"/>
      <c r="D783" s="475"/>
      <c r="E783" s="476"/>
      <c r="F783" s="475"/>
      <c r="G783" s="476"/>
      <c r="H783" s="475"/>
      <c r="I783" s="476"/>
    </row>
    <row r="784" spans="2:9" x14ac:dyDescent="0.25">
      <c r="B784" s="476"/>
      <c r="C784" s="476"/>
      <c r="D784" s="475"/>
      <c r="E784" s="476"/>
      <c r="F784" s="475"/>
      <c r="G784" s="476"/>
      <c r="H784" s="475"/>
      <c r="I784" s="476"/>
    </row>
    <row r="785" spans="2:9" x14ac:dyDescent="0.25">
      <c r="B785" s="476"/>
      <c r="C785" s="476"/>
      <c r="D785" s="475"/>
      <c r="E785" s="476"/>
      <c r="F785" s="475"/>
      <c r="G785" s="476"/>
      <c r="H785" s="475"/>
      <c r="I785" s="476"/>
    </row>
    <row r="786" spans="2:9" x14ac:dyDescent="0.25">
      <c r="B786" s="476"/>
      <c r="C786" s="476"/>
      <c r="D786" s="475"/>
      <c r="E786" s="476"/>
      <c r="F786" s="475"/>
      <c r="G786" s="476"/>
      <c r="H786" s="475"/>
      <c r="I786" s="476"/>
    </row>
    <row r="787" spans="2:9" x14ac:dyDescent="0.25">
      <c r="B787" s="476"/>
      <c r="C787" s="476"/>
      <c r="D787" s="475"/>
      <c r="E787" s="476"/>
      <c r="F787" s="475"/>
      <c r="G787" s="476"/>
      <c r="H787" s="475"/>
      <c r="I787" s="476"/>
    </row>
    <row r="788" spans="2:9" x14ac:dyDescent="0.25">
      <c r="B788" s="476"/>
      <c r="C788" s="476"/>
      <c r="D788" s="475"/>
      <c r="E788" s="476"/>
      <c r="F788" s="475"/>
      <c r="G788" s="476"/>
      <c r="H788" s="475"/>
      <c r="I788" s="476"/>
    </row>
    <row r="789" spans="2:9" x14ac:dyDescent="0.25">
      <c r="B789" s="476"/>
      <c r="C789" s="476"/>
      <c r="D789" s="475"/>
      <c r="E789" s="476"/>
      <c r="F789" s="475"/>
      <c r="G789" s="476"/>
      <c r="H789" s="475"/>
      <c r="I789" s="476"/>
    </row>
    <row r="790" spans="2:9" x14ac:dyDescent="0.25">
      <c r="B790" s="476"/>
      <c r="C790" s="476"/>
      <c r="D790" s="475"/>
      <c r="E790" s="476"/>
      <c r="F790" s="475"/>
      <c r="G790" s="476"/>
      <c r="H790" s="475"/>
      <c r="I790" s="476"/>
    </row>
    <row r="791" spans="2:9" x14ac:dyDescent="0.25">
      <c r="B791" s="476"/>
      <c r="C791" s="476"/>
      <c r="D791" s="475"/>
      <c r="E791" s="476"/>
      <c r="F791" s="475"/>
      <c r="G791" s="476"/>
      <c r="H791" s="475"/>
      <c r="I791" s="476"/>
    </row>
    <row r="792" spans="2:9" x14ac:dyDescent="0.25">
      <c r="B792" s="476"/>
      <c r="C792" s="476"/>
      <c r="D792" s="475"/>
      <c r="E792" s="476"/>
      <c r="F792" s="475"/>
      <c r="G792" s="476"/>
      <c r="H792" s="475"/>
      <c r="I792" s="476"/>
    </row>
    <row r="793" spans="2:9" x14ac:dyDescent="0.25">
      <c r="B793" s="476"/>
      <c r="C793" s="476"/>
      <c r="D793" s="475"/>
      <c r="E793" s="476"/>
      <c r="F793" s="475"/>
      <c r="G793" s="476"/>
      <c r="H793" s="475"/>
      <c r="I793" s="476"/>
    </row>
    <row r="794" spans="2:9" x14ac:dyDescent="0.25">
      <c r="B794" s="476"/>
      <c r="C794" s="476"/>
      <c r="D794" s="475"/>
      <c r="E794" s="476"/>
      <c r="F794" s="475"/>
      <c r="G794" s="476"/>
      <c r="H794" s="475"/>
      <c r="I794" s="476"/>
    </row>
    <row r="795" spans="2:9" x14ac:dyDescent="0.25">
      <c r="B795" s="476"/>
      <c r="C795" s="476"/>
      <c r="D795" s="475"/>
      <c r="E795" s="476"/>
      <c r="F795" s="475"/>
      <c r="G795" s="476"/>
      <c r="H795" s="475"/>
      <c r="I795" s="476"/>
    </row>
    <row r="796" spans="2:9" x14ac:dyDescent="0.25">
      <c r="B796" s="476"/>
      <c r="C796" s="476"/>
      <c r="D796" s="475"/>
      <c r="E796" s="476"/>
      <c r="F796" s="475"/>
      <c r="G796" s="476"/>
      <c r="H796" s="475"/>
      <c r="I796" s="476"/>
    </row>
    <row r="797" spans="2:9" x14ac:dyDescent="0.25">
      <c r="B797" s="476"/>
      <c r="C797" s="476"/>
      <c r="D797" s="475"/>
      <c r="E797" s="476"/>
      <c r="F797" s="475"/>
      <c r="G797" s="476"/>
      <c r="H797" s="475"/>
      <c r="I797" s="476"/>
    </row>
    <row r="798" spans="2:9" x14ac:dyDescent="0.25">
      <c r="B798" s="476"/>
      <c r="C798" s="476"/>
      <c r="D798" s="475"/>
      <c r="E798" s="476"/>
      <c r="F798" s="475"/>
      <c r="G798" s="476"/>
      <c r="H798" s="475"/>
      <c r="I798" s="476"/>
    </row>
    <row r="799" spans="2:9" x14ac:dyDescent="0.25">
      <c r="B799" s="476"/>
      <c r="C799" s="476"/>
      <c r="D799" s="475"/>
      <c r="E799" s="476"/>
      <c r="F799" s="475"/>
      <c r="G799" s="476"/>
      <c r="H799" s="475"/>
      <c r="I799" s="476"/>
    </row>
    <row r="800" spans="2:9" x14ac:dyDescent="0.25">
      <c r="B800" s="476"/>
      <c r="C800" s="476"/>
      <c r="D800" s="475"/>
      <c r="E800" s="476"/>
      <c r="F800" s="475"/>
      <c r="G800" s="476"/>
      <c r="H800" s="475"/>
      <c r="I800" s="476"/>
    </row>
    <row r="801" spans="2:9" x14ac:dyDescent="0.25">
      <c r="B801" s="476"/>
      <c r="C801" s="476"/>
      <c r="D801" s="475"/>
      <c r="E801" s="476"/>
      <c r="F801" s="475"/>
      <c r="G801" s="476"/>
      <c r="H801" s="475"/>
      <c r="I801" s="476"/>
    </row>
    <row r="802" spans="2:9" x14ac:dyDescent="0.25">
      <c r="B802" s="476"/>
      <c r="C802" s="476"/>
      <c r="D802" s="475"/>
      <c r="E802" s="476"/>
      <c r="F802" s="475"/>
      <c r="G802" s="476"/>
      <c r="H802" s="475"/>
      <c r="I802" s="476"/>
    </row>
    <row r="803" spans="2:9" x14ac:dyDescent="0.25">
      <c r="B803" s="476"/>
      <c r="C803" s="476"/>
      <c r="D803" s="475"/>
      <c r="E803" s="476"/>
      <c r="F803" s="475"/>
      <c r="G803" s="476"/>
      <c r="H803" s="475"/>
      <c r="I803" s="476"/>
    </row>
    <row r="804" spans="2:9" x14ac:dyDescent="0.25">
      <c r="B804" s="476"/>
      <c r="C804" s="476"/>
      <c r="D804" s="475"/>
      <c r="E804" s="476"/>
      <c r="F804" s="475"/>
      <c r="G804" s="476"/>
      <c r="H804" s="475"/>
      <c r="I804" s="476"/>
    </row>
    <row r="805" spans="2:9" x14ac:dyDescent="0.25">
      <c r="B805" s="476"/>
      <c r="C805" s="476"/>
      <c r="D805" s="475"/>
      <c r="E805" s="476"/>
      <c r="F805" s="475"/>
      <c r="G805" s="476"/>
      <c r="H805" s="475"/>
      <c r="I805" s="476"/>
    </row>
    <row r="806" spans="2:9" x14ac:dyDescent="0.25">
      <c r="B806" s="476"/>
      <c r="C806" s="476"/>
      <c r="D806" s="475"/>
      <c r="E806" s="476"/>
      <c r="F806" s="475"/>
      <c r="G806" s="476"/>
      <c r="H806" s="475"/>
      <c r="I806" s="476"/>
    </row>
    <row r="807" spans="2:9" x14ac:dyDescent="0.25">
      <c r="B807" s="476"/>
      <c r="C807" s="476"/>
      <c r="D807" s="475"/>
      <c r="E807" s="476"/>
      <c r="F807" s="475"/>
      <c r="G807" s="476"/>
      <c r="H807" s="475"/>
      <c r="I807" s="476"/>
    </row>
    <row r="808" spans="2:9" x14ac:dyDescent="0.25">
      <c r="B808" s="476"/>
      <c r="C808" s="476"/>
      <c r="D808" s="475"/>
      <c r="E808" s="476"/>
      <c r="F808" s="475"/>
      <c r="G808" s="476"/>
      <c r="H808" s="475"/>
      <c r="I808" s="476"/>
    </row>
    <row r="809" spans="2:9" x14ac:dyDescent="0.25">
      <c r="B809" s="476"/>
      <c r="C809" s="476"/>
      <c r="D809" s="475"/>
      <c r="E809" s="476"/>
      <c r="F809" s="475"/>
      <c r="G809" s="476"/>
      <c r="H809" s="475"/>
      <c r="I809" s="476"/>
    </row>
    <row r="810" spans="2:9" x14ac:dyDescent="0.25">
      <c r="B810" s="476"/>
      <c r="C810" s="476"/>
      <c r="D810" s="475"/>
      <c r="E810" s="476"/>
      <c r="F810" s="475"/>
      <c r="G810" s="476"/>
      <c r="H810" s="475"/>
      <c r="I810" s="476"/>
    </row>
    <row r="811" spans="2:9" x14ac:dyDescent="0.25">
      <c r="B811" s="476"/>
      <c r="C811" s="476"/>
      <c r="D811" s="475"/>
      <c r="E811" s="476"/>
      <c r="F811" s="475"/>
      <c r="G811" s="476"/>
      <c r="H811" s="475"/>
      <c r="I811" s="476"/>
    </row>
    <row r="812" spans="2:9" x14ac:dyDescent="0.25">
      <c r="B812" s="476"/>
      <c r="C812" s="476"/>
      <c r="D812" s="475"/>
      <c r="E812" s="476"/>
      <c r="F812" s="475"/>
      <c r="G812" s="476"/>
      <c r="H812" s="475"/>
      <c r="I812" s="476"/>
    </row>
    <row r="813" spans="2:9" x14ac:dyDescent="0.25">
      <c r="B813" s="476"/>
      <c r="C813" s="476"/>
      <c r="D813" s="475"/>
      <c r="E813" s="476"/>
      <c r="F813" s="475"/>
      <c r="G813" s="476"/>
      <c r="H813" s="475"/>
      <c r="I813" s="476"/>
    </row>
    <row r="814" spans="2:9" x14ac:dyDescent="0.25">
      <c r="B814" s="476"/>
      <c r="C814" s="476"/>
      <c r="D814" s="475"/>
      <c r="E814" s="476"/>
      <c r="F814" s="475"/>
      <c r="G814" s="476"/>
      <c r="H814" s="475"/>
      <c r="I814" s="476"/>
    </row>
    <row r="815" spans="2:9" x14ac:dyDescent="0.25">
      <c r="B815" s="476"/>
      <c r="C815" s="476"/>
      <c r="D815" s="475"/>
      <c r="E815" s="476"/>
      <c r="F815" s="475"/>
      <c r="G815" s="476"/>
      <c r="H815" s="475"/>
      <c r="I815" s="476"/>
    </row>
    <row r="816" spans="2:9" x14ac:dyDescent="0.25">
      <c r="B816" s="476"/>
      <c r="C816" s="476"/>
      <c r="D816" s="475"/>
      <c r="E816" s="476"/>
      <c r="F816" s="475"/>
      <c r="G816" s="476"/>
      <c r="H816" s="475"/>
      <c r="I816" s="476"/>
    </row>
    <row r="817" spans="2:9" x14ac:dyDescent="0.25">
      <c r="B817" s="476"/>
      <c r="C817" s="476"/>
      <c r="D817" s="475"/>
      <c r="E817" s="476"/>
      <c r="F817" s="475"/>
      <c r="G817" s="476"/>
      <c r="H817" s="475"/>
      <c r="I817" s="476"/>
    </row>
    <row r="818" spans="2:9" x14ac:dyDescent="0.25">
      <c r="B818" s="476"/>
      <c r="C818" s="476"/>
      <c r="D818" s="475"/>
      <c r="E818" s="476"/>
      <c r="F818" s="475"/>
      <c r="G818" s="476"/>
      <c r="H818" s="475"/>
      <c r="I818" s="476"/>
    </row>
    <row r="819" spans="2:9" x14ac:dyDescent="0.25">
      <c r="B819" s="476"/>
      <c r="C819" s="476"/>
      <c r="D819" s="475"/>
      <c r="E819" s="476"/>
      <c r="F819" s="475"/>
      <c r="G819" s="476"/>
      <c r="H819" s="475"/>
      <c r="I819" s="476"/>
    </row>
    <row r="820" spans="2:9" x14ac:dyDescent="0.25">
      <c r="B820" s="476"/>
      <c r="C820" s="476"/>
      <c r="D820" s="475"/>
      <c r="E820" s="476"/>
      <c r="F820" s="475"/>
      <c r="G820" s="476"/>
      <c r="H820" s="475"/>
      <c r="I820" s="476"/>
    </row>
    <row r="821" spans="2:9" x14ac:dyDescent="0.25">
      <c r="B821" s="476"/>
      <c r="C821" s="476"/>
      <c r="D821" s="475"/>
      <c r="E821" s="476"/>
      <c r="F821" s="475"/>
      <c r="G821" s="476"/>
      <c r="H821" s="475"/>
      <c r="I821" s="476"/>
    </row>
    <row r="822" spans="2:9" x14ac:dyDescent="0.25">
      <c r="B822" s="476"/>
      <c r="C822" s="476"/>
      <c r="D822" s="475"/>
      <c r="E822" s="476"/>
      <c r="F822" s="475"/>
      <c r="G822" s="476"/>
      <c r="H822" s="475"/>
      <c r="I822" s="476"/>
    </row>
    <row r="823" spans="2:9" x14ac:dyDescent="0.25">
      <c r="B823" s="476"/>
      <c r="C823" s="476"/>
      <c r="D823" s="475"/>
      <c r="E823" s="476"/>
      <c r="F823" s="475"/>
      <c r="G823" s="476"/>
      <c r="H823" s="475"/>
      <c r="I823" s="476"/>
    </row>
    <row r="824" spans="2:9" x14ac:dyDescent="0.25">
      <c r="B824" s="476"/>
      <c r="C824" s="476"/>
      <c r="D824" s="475"/>
      <c r="E824" s="476"/>
      <c r="F824" s="475"/>
      <c r="G824" s="476"/>
      <c r="H824" s="475"/>
      <c r="I824" s="476"/>
    </row>
    <row r="825" spans="2:9" x14ac:dyDescent="0.25">
      <c r="B825" s="476"/>
      <c r="C825" s="476"/>
      <c r="D825" s="475"/>
      <c r="E825" s="476"/>
      <c r="F825" s="475"/>
      <c r="G825" s="476"/>
      <c r="H825" s="475"/>
      <c r="I825" s="476"/>
    </row>
    <row r="826" spans="2:9" x14ac:dyDescent="0.25">
      <c r="B826" s="476"/>
      <c r="C826" s="476"/>
      <c r="D826" s="475"/>
      <c r="E826" s="476"/>
      <c r="F826" s="475"/>
      <c r="G826" s="476"/>
      <c r="H826" s="475"/>
      <c r="I826" s="476"/>
    </row>
    <row r="827" spans="2:9" x14ac:dyDescent="0.25">
      <c r="B827" s="476"/>
      <c r="C827" s="476"/>
      <c r="D827" s="475"/>
      <c r="E827" s="476"/>
      <c r="F827" s="475"/>
      <c r="G827" s="476"/>
      <c r="H827" s="475"/>
      <c r="I827" s="476"/>
    </row>
    <row r="828" spans="2:9" x14ac:dyDescent="0.25">
      <c r="B828" s="476"/>
      <c r="C828" s="476"/>
      <c r="D828" s="475"/>
      <c r="E828" s="476"/>
      <c r="F828" s="475"/>
      <c r="G828" s="476"/>
      <c r="H828" s="475"/>
      <c r="I828" s="476"/>
    </row>
    <row r="829" spans="2:9" x14ac:dyDescent="0.25">
      <c r="B829" s="476"/>
      <c r="C829" s="476"/>
      <c r="D829" s="475"/>
      <c r="E829" s="476"/>
      <c r="F829" s="475"/>
      <c r="G829" s="476"/>
      <c r="H829" s="475"/>
      <c r="I829" s="476"/>
    </row>
    <row r="830" spans="2:9" x14ac:dyDescent="0.25">
      <c r="B830" s="476"/>
      <c r="C830" s="476"/>
      <c r="D830" s="475"/>
      <c r="E830" s="476"/>
      <c r="F830" s="475"/>
      <c r="G830" s="476"/>
      <c r="H830" s="475"/>
      <c r="I830" s="476"/>
    </row>
    <row r="831" spans="2:9" x14ac:dyDescent="0.25">
      <c r="B831" s="476"/>
      <c r="C831" s="476"/>
      <c r="D831" s="475"/>
      <c r="E831" s="476"/>
      <c r="F831" s="475"/>
      <c r="G831" s="476"/>
      <c r="H831" s="475"/>
      <c r="I831" s="476"/>
    </row>
    <row r="832" spans="2:9" x14ac:dyDescent="0.25">
      <c r="B832" s="476"/>
      <c r="C832" s="476"/>
      <c r="D832" s="475"/>
      <c r="E832" s="476"/>
      <c r="F832" s="475"/>
      <c r="G832" s="476"/>
      <c r="H832" s="475"/>
      <c r="I832" s="476"/>
    </row>
    <row r="833" spans="2:9" x14ac:dyDescent="0.25">
      <c r="B833" s="476"/>
      <c r="C833" s="476"/>
      <c r="D833" s="475"/>
      <c r="E833" s="476"/>
      <c r="F833" s="475"/>
      <c r="G833" s="476"/>
      <c r="H833" s="475"/>
      <c r="I833" s="476"/>
    </row>
    <row r="834" spans="2:9" x14ac:dyDescent="0.25">
      <c r="B834" s="476"/>
      <c r="C834" s="476"/>
      <c r="D834" s="475"/>
      <c r="E834" s="476"/>
      <c r="F834" s="475"/>
      <c r="G834" s="476"/>
      <c r="H834" s="475"/>
      <c r="I834" s="476"/>
    </row>
    <row r="835" spans="2:9" x14ac:dyDescent="0.25">
      <c r="B835" s="476"/>
      <c r="C835" s="476"/>
      <c r="D835" s="475"/>
      <c r="E835" s="476"/>
      <c r="F835" s="475"/>
      <c r="G835" s="476"/>
      <c r="H835" s="475"/>
      <c r="I835" s="476"/>
    </row>
    <row r="836" spans="2:9" x14ac:dyDescent="0.25">
      <c r="B836" s="476"/>
      <c r="C836" s="476"/>
      <c r="D836" s="475"/>
      <c r="E836" s="476"/>
      <c r="F836" s="475"/>
      <c r="G836" s="476"/>
      <c r="H836" s="475"/>
      <c r="I836" s="476"/>
    </row>
    <row r="837" spans="2:9" x14ac:dyDescent="0.25">
      <c r="B837" s="476"/>
      <c r="C837" s="476"/>
      <c r="D837" s="475"/>
      <c r="E837" s="476"/>
      <c r="F837" s="475"/>
      <c r="G837" s="476"/>
      <c r="H837" s="475"/>
      <c r="I837" s="476"/>
    </row>
    <row r="838" spans="2:9" x14ac:dyDescent="0.25">
      <c r="B838" s="476"/>
      <c r="C838" s="476"/>
      <c r="D838" s="475"/>
      <c r="E838" s="476"/>
      <c r="F838" s="475"/>
      <c r="G838" s="476"/>
      <c r="H838" s="475"/>
      <c r="I838" s="476"/>
    </row>
    <row r="839" spans="2:9" x14ac:dyDescent="0.25">
      <c r="B839" s="476"/>
      <c r="C839" s="476"/>
      <c r="D839" s="475"/>
      <c r="E839" s="476"/>
      <c r="F839" s="475"/>
      <c r="G839" s="476"/>
      <c r="H839" s="475"/>
      <c r="I839" s="476"/>
    </row>
    <row r="840" spans="2:9" x14ac:dyDescent="0.25">
      <c r="B840" s="476"/>
      <c r="C840" s="476"/>
      <c r="D840" s="475"/>
      <c r="E840" s="476"/>
      <c r="F840" s="475"/>
      <c r="G840" s="476"/>
      <c r="H840" s="475"/>
      <c r="I840" s="476"/>
    </row>
    <row r="841" spans="2:9" x14ac:dyDescent="0.25">
      <c r="B841" s="476"/>
      <c r="C841" s="476"/>
      <c r="D841" s="475"/>
      <c r="E841" s="476"/>
      <c r="F841" s="475"/>
      <c r="G841" s="476"/>
      <c r="H841" s="475"/>
      <c r="I841" s="476"/>
    </row>
    <row r="842" spans="2:9" x14ac:dyDescent="0.25">
      <c r="B842" s="476"/>
      <c r="C842" s="476"/>
      <c r="D842" s="475"/>
      <c r="E842" s="476"/>
      <c r="F842" s="475"/>
      <c r="G842" s="476"/>
      <c r="H842" s="475"/>
      <c r="I842" s="476"/>
    </row>
    <row r="843" spans="2:9" x14ac:dyDescent="0.25">
      <c r="B843" s="476"/>
      <c r="C843" s="476"/>
      <c r="D843" s="475"/>
      <c r="E843" s="476"/>
      <c r="F843" s="475"/>
      <c r="G843" s="476"/>
      <c r="H843" s="475"/>
      <c r="I843" s="476"/>
    </row>
    <row r="844" spans="2:9" x14ac:dyDescent="0.25">
      <c r="B844" s="476"/>
      <c r="C844" s="476"/>
      <c r="D844" s="475"/>
      <c r="E844" s="476"/>
      <c r="F844" s="475"/>
      <c r="G844" s="476"/>
      <c r="H844" s="475"/>
      <c r="I844" s="476"/>
    </row>
    <row r="845" spans="2:9" x14ac:dyDescent="0.25">
      <c r="B845" s="476"/>
      <c r="C845" s="476"/>
      <c r="D845" s="475"/>
      <c r="E845" s="476"/>
      <c r="F845" s="475"/>
      <c r="G845" s="476"/>
      <c r="H845" s="475"/>
      <c r="I845" s="476"/>
    </row>
    <row r="846" spans="2:9" x14ac:dyDescent="0.25">
      <c r="B846" s="476"/>
      <c r="C846" s="476"/>
      <c r="D846" s="475"/>
      <c r="E846" s="476"/>
      <c r="F846" s="475"/>
      <c r="G846" s="476"/>
      <c r="H846" s="475"/>
      <c r="I846" s="476"/>
    </row>
    <row r="847" spans="2:9" x14ac:dyDescent="0.25">
      <c r="B847" s="476"/>
      <c r="C847" s="476"/>
      <c r="D847" s="475"/>
      <c r="E847" s="476"/>
      <c r="F847" s="475"/>
      <c r="G847" s="476"/>
      <c r="H847" s="475"/>
      <c r="I847" s="476"/>
    </row>
    <row r="848" spans="2:9" x14ac:dyDescent="0.25">
      <c r="B848" s="476"/>
      <c r="C848" s="476"/>
      <c r="D848" s="475"/>
      <c r="E848" s="476"/>
      <c r="F848" s="475"/>
      <c r="G848" s="476"/>
      <c r="H848" s="475"/>
      <c r="I848" s="476"/>
    </row>
    <row r="849" spans="2:9" x14ac:dyDescent="0.25">
      <c r="B849" s="476"/>
      <c r="C849" s="476"/>
      <c r="D849" s="475"/>
      <c r="E849" s="476"/>
      <c r="F849" s="475"/>
      <c r="G849" s="476"/>
      <c r="H849" s="475"/>
      <c r="I849" s="476"/>
    </row>
    <row r="850" spans="2:9" x14ac:dyDescent="0.25">
      <c r="B850" s="476"/>
      <c r="C850" s="476"/>
      <c r="D850" s="475"/>
      <c r="E850" s="476"/>
      <c r="F850" s="475"/>
      <c r="G850" s="476"/>
      <c r="H850" s="475"/>
      <c r="I850" s="476"/>
    </row>
    <row r="851" spans="2:9" x14ac:dyDescent="0.25">
      <c r="B851" s="476"/>
      <c r="C851" s="476"/>
      <c r="D851" s="475"/>
      <c r="E851" s="476"/>
      <c r="F851" s="475"/>
      <c r="G851" s="476"/>
      <c r="H851" s="475"/>
      <c r="I851" s="476"/>
    </row>
    <row r="852" spans="2:9" x14ac:dyDescent="0.25">
      <c r="B852" s="476"/>
      <c r="C852" s="476"/>
      <c r="D852" s="475"/>
      <c r="E852" s="476"/>
      <c r="F852" s="475"/>
      <c r="G852" s="476"/>
      <c r="H852" s="475"/>
      <c r="I852" s="476"/>
    </row>
    <row r="853" spans="2:9" x14ac:dyDescent="0.25">
      <c r="B853" s="476"/>
      <c r="C853" s="476"/>
      <c r="D853" s="475"/>
      <c r="E853" s="476"/>
      <c r="F853" s="475"/>
      <c r="G853" s="476"/>
      <c r="H853" s="475"/>
      <c r="I853" s="476"/>
    </row>
    <row r="854" spans="2:9" x14ac:dyDescent="0.25">
      <c r="B854" s="476"/>
      <c r="C854" s="476"/>
      <c r="D854" s="475"/>
      <c r="E854" s="476"/>
      <c r="F854" s="475"/>
      <c r="G854" s="476"/>
      <c r="H854" s="475"/>
      <c r="I854" s="476"/>
    </row>
    <row r="855" spans="2:9" x14ac:dyDescent="0.25">
      <c r="B855" s="476"/>
      <c r="C855" s="476"/>
      <c r="D855" s="475"/>
      <c r="E855" s="476"/>
      <c r="F855" s="475"/>
      <c r="G855" s="476"/>
      <c r="H855" s="475"/>
      <c r="I855" s="476"/>
    </row>
    <row r="856" spans="2:9" x14ac:dyDescent="0.25">
      <c r="B856" s="476"/>
      <c r="C856" s="476"/>
      <c r="D856" s="475"/>
      <c r="E856" s="476"/>
      <c r="F856" s="475"/>
      <c r="G856" s="476"/>
      <c r="H856" s="475"/>
      <c r="I856" s="476"/>
    </row>
    <row r="857" spans="2:9" x14ac:dyDescent="0.25">
      <c r="B857" s="476"/>
      <c r="C857" s="476"/>
      <c r="D857" s="475"/>
      <c r="E857" s="476"/>
      <c r="F857" s="475"/>
      <c r="G857" s="476"/>
      <c r="H857" s="475"/>
      <c r="I857" s="476"/>
    </row>
    <row r="858" spans="2:9" x14ac:dyDescent="0.25">
      <c r="B858" s="476"/>
      <c r="C858" s="476"/>
      <c r="D858" s="475"/>
      <c r="E858" s="476"/>
      <c r="F858" s="475"/>
      <c r="G858" s="476"/>
      <c r="H858" s="475"/>
      <c r="I858" s="476"/>
    </row>
    <row r="859" spans="2:9" x14ac:dyDescent="0.25">
      <c r="B859" s="476"/>
      <c r="C859" s="476"/>
      <c r="D859" s="475"/>
      <c r="E859" s="476"/>
      <c r="F859" s="475"/>
      <c r="G859" s="476"/>
      <c r="H859" s="475"/>
      <c r="I859" s="476"/>
    </row>
    <row r="860" spans="2:9" x14ac:dyDescent="0.25">
      <c r="B860" s="476"/>
      <c r="C860" s="476"/>
      <c r="D860" s="475"/>
      <c r="E860" s="476"/>
      <c r="F860" s="475"/>
      <c r="G860" s="476"/>
      <c r="H860" s="475"/>
      <c r="I860" s="476"/>
    </row>
    <row r="861" spans="2:9" x14ac:dyDescent="0.25">
      <c r="B861" s="476"/>
      <c r="C861" s="476"/>
      <c r="D861" s="475"/>
      <c r="E861" s="476"/>
      <c r="F861" s="475"/>
      <c r="G861" s="476"/>
      <c r="H861" s="475"/>
      <c r="I861" s="476"/>
    </row>
    <row r="862" spans="2:9" x14ac:dyDescent="0.25">
      <c r="B862" s="476"/>
      <c r="C862" s="476"/>
      <c r="D862" s="475"/>
      <c r="E862" s="476"/>
      <c r="F862" s="475"/>
      <c r="G862" s="476"/>
      <c r="H862" s="475"/>
      <c r="I862" s="476"/>
    </row>
    <row r="863" spans="2:9" x14ac:dyDescent="0.25">
      <c r="B863" s="476"/>
      <c r="C863" s="476"/>
      <c r="D863" s="475"/>
      <c r="E863" s="476"/>
      <c r="F863" s="475"/>
      <c r="G863" s="476"/>
      <c r="H863" s="475"/>
      <c r="I863" s="476"/>
    </row>
    <row r="864" spans="2:9" x14ac:dyDescent="0.25">
      <c r="B864" s="476"/>
      <c r="C864" s="476"/>
      <c r="D864" s="475"/>
      <c r="E864" s="476"/>
      <c r="F864" s="475"/>
      <c r="G864" s="476"/>
      <c r="H864" s="475"/>
      <c r="I864" s="476"/>
    </row>
    <row r="865" spans="2:9" x14ac:dyDescent="0.25">
      <c r="B865" s="476"/>
      <c r="C865" s="476"/>
      <c r="D865" s="475"/>
      <c r="E865" s="476"/>
      <c r="F865" s="475"/>
      <c r="G865" s="476"/>
      <c r="H865" s="475"/>
      <c r="I865" s="476"/>
    </row>
    <row r="866" spans="2:9" x14ac:dyDescent="0.25">
      <c r="B866" s="476"/>
      <c r="C866" s="476"/>
      <c r="D866" s="475"/>
      <c r="E866" s="476"/>
      <c r="F866" s="475"/>
      <c r="G866" s="476"/>
      <c r="H866" s="475"/>
      <c r="I866" s="476"/>
    </row>
    <row r="867" spans="2:9" x14ac:dyDescent="0.25">
      <c r="B867" s="476"/>
      <c r="C867" s="476"/>
      <c r="D867" s="475"/>
      <c r="E867" s="476"/>
      <c r="F867" s="475"/>
      <c r="G867" s="476"/>
      <c r="H867" s="475"/>
      <c r="I867" s="476"/>
    </row>
    <row r="868" spans="2:9" x14ac:dyDescent="0.25">
      <c r="B868" s="476"/>
      <c r="C868" s="476"/>
      <c r="D868" s="475"/>
      <c r="E868" s="476"/>
      <c r="F868" s="475"/>
      <c r="G868" s="476"/>
      <c r="H868" s="475"/>
      <c r="I868" s="476"/>
    </row>
    <row r="869" spans="2:9" x14ac:dyDescent="0.25">
      <c r="B869" s="476"/>
      <c r="C869" s="476"/>
      <c r="D869" s="475"/>
      <c r="E869" s="476"/>
      <c r="F869" s="475"/>
      <c r="G869" s="476"/>
      <c r="H869" s="475"/>
      <c r="I869" s="476"/>
    </row>
    <row r="870" spans="2:9" x14ac:dyDescent="0.25">
      <c r="B870" s="476"/>
      <c r="C870" s="476"/>
      <c r="D870" s="475"/>
      <c r="E870" s="476"/>
      <c r="F870" s="475"/>
      <c r="G870" s="476"/>
      <c r="H870" s="475"/>
      <c r="I870" s="476"/>
    </row>
    <row r="871" spans="2:9" x14ac:dyDescent="0.25">
      <c r="B871" s="476"/>
      <c r="C871" s="476"/>
      <c r="D871" s="475"/>
      <c r="E871" s="476"/>
      <c r="F871" s="475"/>
      <c r="G871" s="476"/>
      <c r="H871" s="475"/>
      <c r="I871" s="476"/>
    </row>
    <row r="872" spans="2:9" x14ac:dyDescent="0.25">
      <c r="B872" s="476"/>
      <c r="C872" s="476"/>
      <c r="D872" s="475"/>
      <c r="E872" s="476"/>
      <c r="F872" s="475"/>
      <c r="G872" s="476"/>
      <c r="H872" s="475"/>
      <c r="I872" s="476"/>
    </row>
    <row r="873" spans="2:9" x14ac:dyDescent="0.25">
      <c r="B873" s="476"/>
      <c r="C873" s="476"/>
      <c r="D873" s="475"/>
      <c r="E873" s="476"/>
      <c r="F873" s="475"/>
      <c r="G873" s="476"/>
      <c r="H873" s="475"/>
      <c r="I873" s="476"/>
    </row>
    <row r="874" spans="2:9" x14ac:dyDescent="0.25">
      <c r="B874" s="476"/>
      <c r="C874" s="476"/>
      <c r="D874" s="475"/>
      <c r="E874" s="476"/>
      <c r="F874" s="475"/>
      <c r="G874" s="476"/>
      <c r="H874" s="475"/>
      <c r="I874" s="476"/>
    </row>
    <row r="875" spans="2:9" x14ac:dyDescent="0.25">
      <c r="B875" s="476"/>
      <c r="C875" s="476"/>
      <c r="D875" s="475"/>
      <c r="E875" s="476"/>
      <c r="F875" s="475"/>
      <c r="G875" s="476"/>
      <c r="H875" s="475"/>
      <c r="I875" s="476"/>
    </row>
    <row r="876" spans="2:9" x14ac:dyDescent="0.25">
      <c r="B876" s="476"/>
      <c r="C876" s="476"/>
      <c r="D876" s="475"/>
      <c r="E876" s="476"/>
      <c r="F876" s="475"/>
      <c r="G876" s="476"/>
      <c r="H876" s="475"/>
      <c r="I876" s="476"/>
    </row>
    <row r="877" spans="2:9" x14ac:dyDescent="0.25">
      <c r="B877" s="476"/>
      <c r="C877" s="476"/>
      <c r="D877" s="475"/>
      <c r="E877" s="476"/>
      <c r="F877" s="475"/>
      <c r="G877" s="476"/>
      <c r="H877" s="475"/>
      <c r="I877" s="476"/>
    </row>
    <row r="878" spans="2:9" x14ac:dyDescent="0.25">
      <c r="B878" s="476"/>
      <c r="C878" s="476"/>
      <c r="D878" s="475"/>
      <c r="E878" s="476"/>
      <c r="F878" s="475"/>
      <c r="G878" s="476"/>
      <c r="H878" s="475"/>
      <c r="I878" s="476"/>
    </row>
    <row r="879" spans="2:9" x14ac:dyDescent="0.25">
      <c r="B879" s="476"/>
      <c r="C879" s="476"/>
      <c r="D879" s="475"/>
      <c r="E879" s="476"/>
      <c r="F879" s="475"/>
      <c r="G879" s="476"/>
      <c r="H879" s="475"/>
      <c r="I879" s="476"/>
    </row>
    <row r="880" spans="2:9" x14ac:dyDescent="0.25">
      <c r="B880" s="476"/>
      <c r="C880" s="476"/>
      <c r="D880" s="475"/>
      <c r="E880" s="476"/>
      <c r="F880" s="475"/>
      <c r="G880" s="476"/>
      <c r="H880" s="475"/>
      <c r="I880" s="476"/>
    </row>
    <row r="881" spans="2:9" x14ac:dyDescent="0.25">
      <c r="B881" s="476"/>
      <c r="C881" s="476"/>
      <c r="D881" s="475"/>
      <c r="E881" s="476"/>
      <c r="F881" s="475"/>
      <c r="G881" s="476"/>
      <c r="H881" s="475"/>
      <c r="I881" s="476"/>
    </row>
    <row r="882" spans="2:9" x14ac:dyDescent="0.25">
      <c r="B882" s="476"/>
      <c r="C882" s="476"/>
      <c r="D882" s="475"/>
      <c r="E882" s="476"/>
      <c r="F882" s="475"/>
      <c r="G882" s="476"/>
      <c r="H882" s="475"/>
      <c r="I882" s="476"/>
    </row>
    <row r="883" spans="2:9" x14ac:dyDescent="0.25">
      <c r="B883" s="476"/>
      <c r="C883" s="476"/>
      <c r="D883" s="475"/>
      <c r="E883" s="476"/>
      <c r="F883" s="475"/>
      <c r="G883" s="476"/>
      <c r="H883" s="475"/>
      <c r="I883" s="476"/>
    </row>
    <row r="884" spans="2:9" x14ac:dyDescent="0.25">
      <c r="B884" s="476"/>
      <c r="C884" s="476"/>
      <c r="D884" s="475"/>
      <c r="E884" s="476"/>
      <c r="F884" s="475"/>
      <c r="G884" s="476"/>
      <c r="H884" s="475"/>
      <c r="I884" s="476"/>
    </row>
    <row r="885" spans="2:9" x14ac:dyDescent="0.25">
      <c r="B885" s="476"/>
      <c r="C885" s="476"/>
      <c r="D885" s="475"/>
      <c r="E885" s="476"/>
      <c r="F885" s="475"/>
      <c r="G885" s="476"/>
      <c r="H885" s="475"/>
      <c r="I885" s="476"/>
    </row>
    <row r="886" spans="2:9" x14ac:dyDescent="0.25">
      <c r="B886" s="476"/>
      <c r="C886" s="476"/>
      <c r="D886" s="475"/>
      <c r="E886" s="476"/>
      <c r="F886" s="475"/>
      <c r="G886" s="476"/>
      <c r="H886" s="475"/>
      <c r="I886" s="476"/>
    </row>
    <row r="887" spans="2:9" x14ac:dyDescent="0.25">
      <c r="B887" s="476"/>
      <c r="C887" s="476"/>
      <c r="D887" s="475"/>
      <c r="E887" s="476"/>
      <c r="F887" s="475"/>
      <c r="G887" s="476"/>
      <c r="H887" s="475"/>
      <c r="I887" s="476"/>
    </row>
    <row r="888" spans="2:9" x14ac:dyDescent="0.25">
      <c r="B888" s="476"/>
      <c r="C888" s="476"/>
      <c r="D888" s="475"/>
      <c r="E888" s="476"/>
      <c r="F888" s="475"/>
      <c r="G888" s="476"/>
      <c r="H888" s="475"/>
      <c r="I888" s="476"/>
    </row>
    <row r="889" spans="2:9" x14ac:dyDescent="0.25">
      <c r="B889" s="476"/>
      <c r="C889" s="476"/>
      <c r="D889" s="475"/>
      <c r="E889" s="476"/>
      <c r="F889" s="475"/>
      <c r="G889" s="476"/>
      <c r="H889" s="475"/>
      <c r="I889" s="476"/>
    </row>
    <row r="890" spans="2:9" x14ac:dyDescent="0.25">
      <c r="B890" s="476"/>
      <c r="C890" s="476"/>
      <c r="D890" s="475"/>
      <c r="E890" s="476"/>
      <c r="F890" s="475"/>
      <c r="G890" s="476"/>
      <c r="H890" s="475"/>
      <c r="I890" s="476"/>
    </row>
    <row r="891" spans="2:9" x14ac:dyDescent="0.25">
      <c r="B891" s="476"/>
      <c r="C891" s="476"/>
      <c r="D891" s="475"/>
      <c r="E891" s="476"/>
      <c r="F891" s="475"/>
      <c r="G891" s="476"/>
      <c r="H891" s="475"/>
      <c r="I891" s="476"/>
    </row>
    <row r="892" spans="2:9" x14ac:dyDescent="0.25">
      <c r="B892" s="476"/>
      <c r="C892" s="476"/>
      <c r="D892" s="475"/>
      <c r="E892" s="476"/>
      <c r="F892" s="475"/>
      <c r="G892" s="476"/>
      <c r="H892" s="475"/>
      <c r="I892" s="476"/>
    </row>
    <row r="893" spans="2:9" x14ac:dyDescent="0.25">
      <c r="B893" s="476"/>
      <c r="C893" s="476"/>
      <c r="D893" s="475"/>
      <c r="E893" s="476"/>
      <c r="F893" s="475"/>
      <c r="G893" s="476"/>
      <c r="H893" s="475"/>
      <c r="I893" s="476"/>
    </row>
    <row r="894" spans="2:9" x14ac:dyDescent="0.25">
      <c r="B894" s="476"/>
      <c r="C894" s="476"/>
      <c r="D894" s="475"/>
      <c r="E894" s="476"/>
      <c r="F894" s="475"/>
      <c r="G894" s="476"/>
      <c r="H894" s="475"/>
      <c r="I894" s="476"/>
    </row>
    <row r="895" spans="2:9" x14ac:dyDescent="0.25">
      <c r="B895" s="476"/>
      <c r="C895" s="476"/>
      <c r="D895" s="475"/>
      <c r="E895" s="476"/>
      <c r="F895" s="475"/>
      <c r="G895" s="476"/>
      <c r="H895" s="475"/>
      <c r="I895" s="476"/>
    </row>
    <row r="896" spans="2:9" x14ac:dyDescent="0.25">
      <c r="B896" s="476"/>
      <c r="C896" s="476"/>
      <c r="D896" s="475"/>
      <c r="E896" s="476"/>
      <c r="F896" s="475"/>
      <c r="G896" s="476"/>
      <c r="H896" s="475"/>
      <c r="I896" s="476"/>
    </row>
    <row r="897" spans="2:9" x14ac:dyDescent="0.25">
      <c r="B897" s="476"/>
      <c r="C897" s="476"/>
      <c r="D897" s="475"/>
      <c r="E897" s="476"/>
      <c r="F897" s="475"/>
      <c r="G897" s="476"/>
      <c r="H897" s="475"/>
      <c r="I897" s="476"/>
    </row>
    <row r="898" spans="2:9" x14ac:dyDescent="0.25">
      <c r="B898" s="476"/>
      <c r="C898" s="476"/>
      <c r="D898" s="475"/>
      <c r="E898" s="476"/>
      <c r="F898" s="475"/>
      <c r="G898" s="476"/>
      <c r="H898" s="475"/>
      <c r="I898" s="476"/>
    </row>
    <row r="899" spans="2:9" x14ac:dyDescent="0.25">
      <c r="B899" s="476"/>
      <c r="C899" s="476"/>
      <c r="D899" s="475"/>
      <c r="E899" s="476"/>
      <c r="F899" s="475"/>
      <c r="G899" s="476"/>
      <c r="H899" s="475"/>
      <c r="I899" s="476"/>
    </row>
    <row r="900" spans="2:9" x14ac:dyDescent="0.25">
      <c r="B900" s="476"/>
      <c r="C900" s="476"/>
      <c r="D900" s="475"/>
      <c r="E900" s="476"/>
      <c r="F900" s="475"/>
      <c r="G900" s="476"/>
      <c r="H900" s="475"/>
      <c r="I900" s="476"/>
    </row>
    <row r="901" spans="2:9" x14ac:dyDescent="0.25">
      <c r="B901" s="476"/>
      <c r="C901" s="476"/>
      <c r="D901" s="475"/>
      <c r="E901" s="476"/>
      <c r="F901" s="475"/>
      <c r="G901" s="476"/>
      <c r="H901" s="475"/>
      <c r="I901" s="476"/>
    </row>
    <row r="902" spans="2:9" x14ac:dyDescent="0.25">
      <c r="B902" s="476"/>
      <c r="C902" s="476"/>
      <c r="D902" s="475"/>
      <c r="E902" s="476"/>
      <c r="F902" s="475"/>
      <c r="G902" s="476"/>
      <c r="H902" s="475"/>
      <c r="I902" s="476"/>
    </row>
    <row r="903" spans="2:9" x14ac:dyDescent="0.25">
      <c r="B903" s="476"/>
      <c r="C903" s="476"/>
      <c r="D903" s="475"/>
      <c r="E903" s="476"/>
      <c r="F903" s="475"/>
      <c r="G903" s="476"/>
      <c r="H903" s="475"/>
      <c r="I903" s="476"/>
    </row>
    <row r="904" spans="2:9" x14ac:dyDescent="0.25">
      <c r="B904" s="476"/>
      <c r="C904" s="476"/>
      <c r="D904" s="475"/>
      <c r="E904" s="476"/>
      <c r="F904" s="475"/>
      <c r="G904" s="476"/>
      <c r="H904" s="475"/>
      <c r="I904" s="476"/>
    </row>
    <row r="905" spans="2:9" x14ac:dyDescent="0.25">
      <c r="B905" s="476"/>
      <c r="C905" s="476"/>
      <c r="D905" s="475"/>
      <c r="E905" s="476"/>
      <c r="F905" s="475"/>
      <c r="G905" s="476"/>
      <c r="H905" s="475"/>
      <c r="I905" s="476"/>
    </row>
    <row r="906" spans="2:9" x14ac:dyDescent="0.25">
      <c r="B906" s="476"/>
      <c r="C906" s="476"/>
      <c r="D906" s="475"/>
      <c r="E906" s="476"/>
      <c r="F906" s="475"/>
      <c r="G906" s="476"/>
      <c r="H906" s="475"/>
      <c r="I906" s="476"/>
    </row>
    <row r="907" spans="2:9" x14ac:dyDescent="0.25">
      <c r="B907" s="476"/>
      <c r="C907" s="476"/>
      <c r="D907" s="475"/>
      <c r="E907" s="476"/>
      <c r="F907" s="475"/>
      <c r="G907" s="476"/>
      <c r="H907" s="475"/>
      <c r="I907" s="476"/>
    </row>
    <row r="908" spans="2:9" x14ac:dyDescent="0.25">
      <c r="B908" s="476"/>
      <c r="C908" s="476"/>
      <c r="D908" s="475"/>
      <c r="E908" s="476"/>
      <c r="F908" s="475"/>
      <c r="G908" s="476"/>
      <c r="H908" s="475"/>
      <c r="I908" s="476"/>
    </row>
    <row r="909" spans="2:9" x14ac:dyDescent="0.25">
      <c r="B909" s="476"/>
      <c r="C909" s="476"/>
      <c r="D909" s="475"/>
      <c r="E909" s="476"/>
      <c r="F909" s="475"/>
      <c r="G909" s="476"/>
      <c r="H909" s="475"/>
      <c r="I909" s="476"/>
    </row>
    <row r="910" spans="2:9" x14ac:dyDescent="0.25">
      <c r="B910" s="476"/>
      <c r="C910" s="476"/>
      <c r="D910" s="475"/>
      <c r="E910" s="476"/>
      <c r="F910" s="475"/>
      <c r="G910" s="476"/>
      <c r="H910" s="475"/>
      <c r="I910" s="476"/>
    </row>
    <row r="911" spans="2:9" x14ac:dyDescent="0.25">
      <c r="B911" s="476"/>
      <c r="C911" s="476"/>
      <c r="D911" s="475"/>
      <c r="E911" s="476"/>
      <c r="F911" s="475"/>
      <c r="G911" s="476"/>
      <c r="H911" s="475"/>
      <c r="I911" s="476"/>
    </row>
    <row r="912" spans="2:9" x14ac:dyDescent="0.25">
      <c r="B912" s="476"/>
      <c r="C912" s="476"/>
      <c r="D912" s="475"/>
      <c r="E912" s="476"/>
      <c r="F912" s="475"/>
      <c r="G912" s="476"/>
      <c r="H912" s="475"/>
      <c r="I912" s="476"/>
    </row>
    <row r="913" spans="2:9" x14ac:dyDescent="0.25">
      <c r="B913" s="476"/>
      <c r="C913" s="476"/>
      <c r="D913" s="475"/>
      <c r="E913" s="476"/>
      <c r="F913" s="475"/>
      <c r="G913" s="476"/>
      <c r="H913" s="475"/>
      <c r="I913" s="476"/>
    </row>
    <row r="914" spans="2:9" x14ac:dyDescent="0.25">
      <c r="B914" s="476"/>
      <c r="C914" s="476"/>
      <c r="D914" s="475"/>
      <c r="E914" s="476"/>
      <c r="F914" s="475"/>
      <c r="G914" s="476"/>
      <c r="H914" s="475"/>
      <c r="I914" s="476"/>
    </row>
    <row r="915" spans="2:9" x14ac:dyDescent="0.25">
      <c r="B915" s="476"/>
      <c r="C915" s="476"/>
      <c r="D915" s="475"/>
      <c r="E915" s="476"/>
      <c r="F915" s="475"/>
      <c r="G915" s="476"/>
      <c r="H915" s="475"/>
      <c r="I915" s="476"/>
    </row>
    <row r="916" spans="2:9" x14ac:dyDescent="0.25">
      <c r="B916" s="476"/>
      <c r="C916" s="476"/>
      <c r="D916" s="475"/>
      <c r="E916" s="476"/>
      <c r="F916" s="475"/>
      <c r="G916" s="476"/>
      <c r="H916" s="475"/>
      <c r="I916" s="476"/>
    </row>
    <row r="917" spans="2:9" x14ac:dyDescent="0.25">
      <c r="B917" s="476"/>
      <c r="C917" s="476"/>
      <c r="D917" s="475"/>
      <c r="E917" s="476"/>
      <c r="F917" s="475"/>
      <c r="G917" s="476"/>
      <c r="H917" s="475"/>
      <c r="I917" s="476"/>
    </row>
    <row r="918" spans="2:9" x14ac:dyDescent="0.25">
      <c r="B918" s="476"/>
      <c r="C918" s="476"/>
      <c r="D918" s="475"/>
      <c r="E918" s="476"/>
      <c r="F918" s="475"/>
      <c r="G918" s="476"/>
      <c r="H918" s="475"/>
      <c r="I918" s="476"/>
    </row>
    <row r="919" spans="2:9" x14ac:dyDescent="0.25">
      <c r="B919" s="476"/>
      <c r="C919" s="476"/>
      <c r="D919" s="475"/>
      <c r="E919" s="476"/>
      <c r="F919" s="475"/>
      <c r="G919" s="476"/>
      <c r="H919" s="475"/>
      <c r="I919" s="476"/>
    </row>
    <row r="920" spans="2:9" x14ac:dyDescent="0.25">
      <c r="B920" s="476"/>
      <c r="C920" s="476"/>
      <c r="D920" s="475"/>
      <c r="E920" s="476"/>
      <c r="F920" s="475"/>
      <c r="G920" s="476"/>
      <c r="H920" s="475"/>
      <c r="I920" s="476"/>
    </row>
    <row r="921" spans="2:9" x14ac:dyDescent="0.25">
      <c r="B921" s="476"/>
      <c r="C921" s="476"/>
      <c r="D921" s="475"/>
      <c r="E921" s="476"/>
      <c r="F921" s="475"/>
      <c r="G921" s="476"/>
      <c r="H921" s="475"/>
      <c r="I921" s="476"/>
    </row>
    <row r="922" spans="2:9" x14ac:dyDescent="0.25">
      <c r="B922" s="476"/>
      <c r="C922" s="476"/>
      <c r="D922" s="475"/>
      <c r="E922" s="476"/>
      <c r="F922" s="475"/>
      <c r="G922" s="476"/>
      <c r="H922" s="475"/>
      <c r="I922" s="476"/>
    </row>
    <row r="923" spans="2:9" x14ac:dyDescent="0.25">
      <c r="B923" s="476"/>
      <c r="C923" s="476"/>
      <c r="D923" s="475"/>
      <c r="E923" s="476"/>
      <c r="F923" s="475"/>
      <c r="G923" s="476"/>
      <c r="H923" s="475"/>
      <c r="I923" s="476"/>
    </row>
    <row r="924" spans="2:9" x14ac:dyDescent="0.25">
      <c r="B924" s="476"/>
      <c r="C924" s="476"/>
      <c r="D924" s="475"/>
      <c r="E924" s="476"/>
      <c r="F924" s="475"/>
      <c r="G924" s="476"/>
      <c r="H924" s="475"/>
      <c r="I924" s="476"/>
    </row>
    <row r="925" spans="2:9" x14ac:dyDescent="0.25">
      <c r="B925" s="476"/>
      <c r="C925" s="476"/>
      <c r="D925" s="475"/>
      <c r="E925" s="476"/>
      <c r="F925" s="475"/>
      <c r="G925" s="476"/>
      <c r="H925" s="475"/>
      <c r="I925" s="476"/>
    </row>
    <row r="926" spans="2:9" x14ac:dyDescent="0.25">
      <c r="B926" s="476"/>
      <c r="C926" s="476"/>
      <c r="D926" s="475"/>
      <c r="E926" s="476"/>
      <c r="F926" s="475"/>
      <c r="G926" s="476"/>
      <c r="H926" s="475"/>
      <c r="I926" s="476"/>
    </row>
    <row r="927" spans="2:9" x14ac:dyDescent="0.25">
      <c r="B927" s="476"/>
      <c r="C927" s="476"/>
      <c r="D927" s="475"/>
      <c r="E927" s="476"/>
      <c r="F927" s="475"/>
      <c r="G927" s="476"/>
      <c r="H927" s="475"/>
      <c r="I927" s="476"/>
    </row>
    <row r="928" spans="2:9" x14ac:dyDescent="0.25">
      <c r="B928" s="476"/>
      <c r="C928" s="476"/>
      <c r="D928" s="475"/>
      <c r="E928" s="476"/>
      <c r="F928" s="475"/>
      <c r="G928" s="476"/>
      <c r="H928" s="475"/>
      <c r="I928" s="476"/>
    </row>
    <row r="929" spans="2:9" x14ac:dyDescent="0.25">
      <c r="B929" s="476"/>
      <c r="C929" s="476"/>
      <c r="D929" s="475"/>
      <c r="E929" s="476"/>
      <c r="F929" s="475"/>
      <c r="G929" s="476"/>
      <c r="H929" s="475"/>
      <c r="I929" s="476"/>
    </row>
    <row r="930" spans="2:9" x14ac:dyDescent="0.25">
      <c r="B930" s="476"/>
      <c r="C930" s="476"/>
      <c r="D930" s="475"/>
      <c r="E930" s="476"/>
      <c r="F930" s="475"/>
      <c r="G930" s="476"/>
      <c r="H930" s="475"/>
      <c r="I930" s="476"/>
    </row>
    <row r="931" spans="2:9" x14ac:dyDescent="0.25">
      <c r="B931" s="476"/>
      <c r="C931" s="476"/>
      <c r="D931" s="475"/>
      <c r="E931" s="476"/>
      <c r="F931" s="475"/>
      <c r="G931" s="476"/>
      <c r="H931" s="475"/>
      <c r="I931" s="476"/>
    </row>
    <row r="932" spans="2:9" x14ac:dyDescent="0.25">
      <c r="B932" s="476"/>
      <c r="C932" s="476"/>
      <c r="D932" s="475"/>
      <c r="E932" s="476"/>
      <c r="F932" s="475"/>
      <c r="G932" s="476"/>
      <c r="H932" s="475"/>
      <c r="I932" s="476"/>
    </row>
    <row r="933" spans="2:9" x14ac:dyDescent="0.25">
      <c r="B933" s="476"/>
      <c r="C933" s="476"/>
      <c r="D933" s="475"/>
      <c r="E933" s="476"/>
      <c r="F933" s="475"/>
      <c r="G933" s="476"/>
      <c r="H933" s="475"/>
      <c r="I933" s="476"/>
    </row>
    <row r="934" spans="2:9" x14ac:dyDescent="0.25">
      <c r="B934" s="476"/>
      <c r="C934" s="476"/>
      <c r="D934" s="475"/>
      <c r="E934" s="476"/>
      <c r="F934" s="475"/>
      <c r="G934" s="476"/>
      <c r="H934" s="475"/>
      <c r="I934" s="476"/>
    </row>
    <row r="935" spans="2:9" x14ac:dyDescent="0.25">
      <c r="B935" s="476"/>
      <c r="C935" s="476"/>
      <c r="D935" s="475"/>
      <c r="E935" s="476"/>
      <c r="F935" s="475"/>
      <c r="G935" s="476"/>
      <c r="H935" s="475"/>
      <c r="I935" s="476"/>
    </row>
    <row r="936" spans="2:9" x14ac:dyDescent="0.25">
      <c r="B936" s="476"/>
      <c r="C936" s="476"/>
      <c r="D936" s="475"/>
      <c r="E936" s="476"/>
      <c r="F936" s="475"/>
      <c r="G936" s="476"/>
      <c r="H936" s="475"/>
      <c r="I936" s="476"/>
    </row>
    <row r="937" spans="2:9" x14ac:dyDescent="0.25">
      <c r="B937" s="476"/>
      <c r="C937" s="476"/>
      <c r="D937" s="475"/>
      <c r="E937" s="476"/>
      <c r="F937" s="475"/>
      <c r="G937" s="476"/>
      <c r="H937" s="475"/>
      <c r="I937" s="476"/>
    </row>
    <row r="938" spans="2:9" x14ac:dyDescent="0.25">
      <c r="B938" s="476"/>
      <c r="C938" s="476"/>
      <c r="D938" s="475"/>
      <c r="E938" s="476"/>
      <c r="F938" s="475"/>
      <c r="G938" s="476"/>
      <c r="H938" s="475"/>
      <c r="I938" s="476"/>
    </row>
    <row r="939" spans="2:9" x14ac:dyDescent="0.25">
      <c r="B939" s="476"/>
      <c r="C939" s="476"/>
      <c r="D939" s="475"/>
      <c r="E939" s="476"/>
      <c r="F939" s="475"/>
      <c r="G939" s="476"/>
      <c r="H939" s="475"/>
      <c r="I939" s="476"/>
    </row>
    <row r="940" spans="2:9" x14ac:dyDescent="0.25">
      <c r="B940" s="476"/>
      <c r="C940" s="476"/>
      <c r="D940" s="475"/>
      <c r="E940" s="476"/>
      <c r="F940" s="475"/>
      <c r="G940" s="476"/>
      <c r="H940" s="475"/>
      <c r="I940" s="476"/>
    </row>
    <row r="941" spans="2:9" x14ac:dyDescent="0.25">
      <c r="B941" s="476"/>
      <c r="C941" s="476"/>
      <c r="D941" s="475"/>
      <c r="E941" s="476"/>
      <c r="F941" s="475"/>
      <c r="G941" s="476"/>
      <c r="H941" s="475"/>
      <c r="I941" s="476"/>
    </row>
    <row r="942" spans="2:9" x14ac:dyDescent="0.25">
      <c r="B942" s="476"/>
      <c r="C942" s="476"/>
      <c r="D942" s="475"/>
      <c r="E942" s="476"/>
      <c r="F942" s="475"/>
      <c r="G942" s="476"/>
      <c r="H942" s="475"/>
      <c r="I942" s="476"/>
    </row>
    <row r="943" spans="2:9" x14ac:dyDescent="0.25">
      <c r="B943" s="476"/>
      <c r="C943" s="476"/>
      <c r="D943" s="475"/>
      <c r="E943" s="476"/>
      <c r="F943" s="475"/>
      <c r="G943" s="476"/>
      <c r="H943" s="475"/>
      <c r="I943" s="476"/>
    </row>
    <row r="944" spans="2:9" x14ac:dyDescent="0.25">
      <c r="B944" s="476"/>
      <c r="C944" s="476"/>
      <c r="D944" s="475"/>
      <c r="E944" s="476"/>
      <c r="F944" s="475"/>
      <c r="G944" s="476"/>
      <c r="H944" s="475"/>
      <c r="I944" s="476"/>
    </row>
    <row r="945" spans="2:9" x14ac:dyDescent="0.25">
      <c r="B945" s="476"/>
      <c r="C945" s="476"/>
      <c r="D945" s="475"/>
      <c r="E945" s="476"/>
      <c r="F945" s="475"/>
      <c r="G945" s="476"/>
      <c r="H945" s="475"/>
      <c r="I945" s="476"/>
    </row>
    <row r="946" spans="2:9" x14ac:dyDescent="0.25">
      <c r="B946" s="476"/>
      <c r="C946" s="476"/>
      <c r="D946" s="475"/>
      <c r="E946" s="476"/>
      <c r="F946" s="475"/>
      <c r="G946" s="476"/>
      <c r="H946" s="475"/>
      <c r="I946" s="476"/>
    </row>
    <row r="947" spans="2:9" x14ac:dyDescent="0.25">
      <c r="B947" s="476"/>
      <c r="C947" s="476"/>
      <c r="D947" s="475"/>
      <c r="E947" s="476"/>
      <c r="F947" s="475"/>
      <c r="G947" s="476"/>
      <c r="H947" s="475"/>
      <c r="I947" s="476"/>
    </row>
    <row r="948" spans="2:9" x14ac:dyDescent="0.25">
      <c r="B948" s="476"/>
      <c r="C948" s="476"/>
      <c r="D948" s="475"/>
      <c r="E948" s="476"/>
      <c r="F948" s="475"/>
      <c r="G948" s="476"/>
      <c r="H948" s="475"/>
      <c r="I948" s="476"/>
    </row>
    <row r="949" spans="2:9" x14ac:dyDescent="0.25">
      <c r="B949" s="476"/>
      <c r="C949" s="476"/>
      <c r="D949" s="475"/>
      <c r="E949" s="476"/>
      <c r="F949" s="475"/>
      <c r="G949" s="476"/>
      <c r="H949" s="475"/>
      <c r="I949" s="476"/>
    </row>
    <row r="950" spans="2:9" x14ac:dyDescent="0.25">
      <c r="B950" s="476"/>
      <c r="C950" s="476"/>
      <c r="D950" s="475"/>
      <c r="E950" s="476"/>
      <c r="F950" s="475"/>
      <c r="G950" s="476"/>
      <c r="H950" s="475"/>
      <c r="I950" s="476"/>
    </row>
    <row r="951" spans="2:9" x14ac:dyDescent="0.25">
      <c r="B951" s="476"/>
      <c r="C951" s="476"/>
      <c r="D951" s="475"/>
      <c r="E951" s="476"/>
      <c r="F951" s="475"/>
      <c r="G951" s="476"/>
      <c r="H951" s="475"/>
      <c r="I951" s="476"/>
    </row>
    <row r="952" spans="2:9" x14ac:dyDescent="0.25">
      <c r="B952" s="476"/>
      <c r="C952" s="476"/>
      <c r="D952" s="475"/>
      <c r="E952" s="476"/>
      <c r="F952" s="475"/>
      <c r="G952" s="476"/>
      <c r="H952" s="475"/>
      <c r="I952" s="476"/>
    </row>
    <row r="953" spans="2:9" x14ac:dyDescent="0.25">
      <c r="B953" s="476"/>
      <c r="C953" s="476"/>
      <c r="D953" s="475"/>
      <c r="E953" s="476"/>
      <c r="F953" s="475"/>
      <c r="G953" s="476"/>
      <c r="H953" s="475"/>
      <c r="I953" s="476"/>
    </row>
    <row r="954" spans="2:9" x14ac:dyDescent="0.25">
      <c r="B954" s="476"/>
      <c r="C954" s="476"/>
      <c r="D954" s="475"/>
      <c r="E954" s="476"/>
      <c r="F954" s="475"/>
      <c r="G954" s="476"/>
      <c r="H954" s="475"/>
      <c r="I954" s="476"/>
    </row>
    <row r="955" spans="2:9" x14ac:dyDescent="0.25">
      <c r="B955" s="476"/>
      <c r="C955" s="476"/>
      <c r="D955" s="475"/>
      <c r="E955" s="476"/>
      <c r="F955" s="475"/>
      <c r="G955" s="476"/>
      <c r="H955" s="475"/>
      <c r="I955" s="476"/>
    </row>
    <row r="956" spans="2:9" x14ac:dyDescent="0.25">
      <c r="B956" s="476"/>
      <c r="C956" s="476"/>
      <c r="D956" s="475"/>
      <c r="E956" s="476"/>
      <c r="F956" s="475"/>
      <c r="G956" s="476"/>
      <c r="H956" s="475"/>
      <c r="I956" s="476"/>
    </row>
    <row r="957" spans="2:9" x14ac:dyDescent="0.25">
      <c r="B957" s="476"/>
      <c r="C957" s="476"/>
      <c r="D957" s="475"/>
      <c r="E957" s="476"/>
      <c r="F957" s="475"/>
      <c r="G957" s="476"/>
      <c r="H957" s="475"/>
      <c r="I957" s="476"/>
    </row>
    <row r="958" spans="2:9" x14ac:dyDescent="0.25">
      <c r="B958" s="476"/>
      <c r="C958" s="476"/>
      <c r="D958" s="475"/>
      <c r="E958" s="476"/>
      <c r="F958" s="475"/>
      <c r="G958" s="476"/>
      <c r="H958" s="475"/>
      <c r="I958" s="476"/>
    </row>
    <row r="959" spans="2:9" x14ac:dyDescent="0.25">
      <c r="B959" s="476"/>
      <c r="C959" s="476"/>
      <c r="D959" s="475"/>
      <c r="E959" s="476"/>
      <c r="F959" s="475"/>
      <c r="G959" s="476"/>
      <c r="H959" s="475"/>
      <c r="I959" s="476"/>
    </row>
    <row r="960" spans="2:9" x14ac:dyDescent="0.25">
      <c r="B960" s="476"/>
      <c r="C960" s="476"/>
      <c r="D960" s="475"/>
      <c r="E960" s="476"/>
      <c r="F960" s="475"/>
      <c r="G960" s="476"/>
      <c r="H960" s="475"/>
      <c r="I960" s="476"/>
    </row>
    <row r="961" spans="2:9" x14ac:dyDescent="0.25">
      <c r="B961" s="476"/>
      <c r="C961" s="476"/>
      <c r="D961" s="475"/>
      <c r="E961" s="476"/>
      <c r="F961" s="475"/>
      <c r="G961" s="476"/>
      <c r="H961" s="475"/>
      <c r="I961" s="476"/>
    </row>
    <row r="962" spans="2:9" x14ac:dyDescent="0.25">
      <c r="B962" s="476"/>
      <c r="C962" s="476"/>
      <c r="D962" s="475"/>
      <c r="E962" s="476"/>
      <c r="F962" s="475"/>
      <c r="G962" s="476"/>
      <c r="H962" s="475"/>
      <c r="I962" s="476"/>
    </row>
    <row r="963" spans="2:9" x14ac:dyDescent="0.25">
      <c r="B963" s="476"/>
      <c r="C963" s="476"/>
      <c r="D963" s="475"/>
      <c r="E963" s="476"/>
      <c r="F963" s="475"/>
      <c r="G963" s="476"/>
      <c r="H963" s="475"/>
      <c r="I963" s="476"/>
    </row>
    <row r="964" spans="2:9" x14ac:dyDescent="0.25">
      <c r="B964" s="476"/>
      <c r="C964" s="476"/>
      <c r="D964" s="475"/>
      <c r="E964" s="476"/>
      <c r="F964" s="475"/>
      <c r="G964" s="476"/>
      <c r="H964" s="475"/>
      <c r="I964" s="476"/>
    </row>
    <row r="965" spans="2:9" x14ac:dyDescent="0.25">
      <c r="B965" s="476"/>
      <c r="C965" s="476"/>
      <c r="D965" s="475"/>
      <c r="E965" s="476"/>
      <c r="F965" s="475"/>
      <c r="G965" s="476"/>
      <c r="H965" s="475"/>
      <c r="I965" s="476"/>
    </row>
    <row r="966" spans="2:9" x14ac:dyDescent="0.25">
      <c r="B966" s="476"/>
      <c r="C966" s="476"/>
      <c r="D966" s="475"/>
      <c r="E966" s="476"/>
      <c r="F966" s="475"/>
      <c r="G966" s="476"/>
      <c r="H966" s="475"/>
      <c r="I966" s="476"/>
    </row>
    <row r="967" spans="2:9" x14ac:dyDescent="0.25">
      <c r="B967" s="476"/>
      <c r="C967" s="476"/>
      <c r="D967" s="475"/>
      <c r="E967" s="476"/>
      <c r="F967" s="475"/>
      <c r="G967" s="476"/>
      <c r="H967" s="475"/>
      <c r="I967" s="476"/>
    </row>
    <row r="968" spans="2:9" x14ac:dyDescent="0.25">
      <c r="B968" s="476"/>
      <c r="C968" s="476"/>
      <c r="D968" s="475"/>
      <c r="E968" s="476"/>
      <c r="F968" s="475"/>
      <c r="G968" s="476"/>
      <c r="H968" s="475"/>
      <c r="I968" s="476"/>
    </row>
    <row r="969" spans="2:9" x14ac:dyDescent="0.25">
      <c r="B969" s="476"/>
      <c r="C969" s="476"/>
      <c r="D969" s="475"/>
      <c r="E969" s="476"/>
      <c r="F969" s="475"/>
      <c r="G969" s="476"/>
      <c r="H969" s="475"/>
      <c r="I969" s="476"/>
    </row>
    <row r="970" spans="2:9" x14ac:dyDescent="0.25">
      <c r="B970" s="476"/>
      <c r="C970" s="476"/>
      <c r="D970" s="475"/>
      <c r="E970" s="476"/>
      <c r="F970" s="475"/>
      <c r="G970" s="476"/>
      <c r="H970" s="475"/>
      <c r="I970" s="476"/>
    </row>
    <row r="971" spans="2:9" x14ac:dyDescent="0.25">
      <c r="B971" s="476"/>
      <c r="C971" s="476"/>
      <c r="D971" s="475"/>
      <c r="E971" s="476"/>
      <c r="F971" s="475"/>
      <c r="G971" s="476"/>
      <c r="H971" s="475"/>
      <c r="I971" s="476"/>
    </row>
    <row r="972" spans="2:9" x14ac:dyDescent="0.25">
      <c r="B972" s="476"/>
      <c r="C972" s="476"/>
      <c r="D972" s="475"/>
      <c r="E972" s="476"/>
      <c r="F972" s="475"/>
      <c r="G972" s="476"/>
      <c r="H972" s="475"/>
      <c r="I972" s="476"/>
    </row>
    <row r="973" spans="2:9" x14ac:dyDescent="0.25">
      <c r="B973" s="476"/>
      <c r="C973" s="476"/>
      <c r="D973" s="475"/>
      <c r="E973" s="476"/>
      <c r="F973" s="475"/>
      <c r="G973" s="476"/>
      <c r="H973" s="475"/>
      <c r="I973" s="476"/>
    </row>
    <row r="974" spans="2:9" x14ac:dyDescent="0.25">
      <c r="B974" s="476"/>
      <c r="C974" s="476"/>
      <c r="D974" s="475"/>
      <c r="E974" s="476"/>
      <c r="F974" s="475"/>
      <c r="G974" s="476"/>
      <c r="H974" s="475"/>
      <c r="I974" s="476"/>
    </row>
    <row r="975" spans="2:9" x14ac:dyDescent="0.25">
      <c r="B975" s="476"/>
      <c r="C975" s="476"/>
      <c r="D975" s="475"/>
      <c r="E975" s="476"/>
      <c r="F975" s="475"/>
      <c r="G975" s="476"/>
      <c r="H975" s="475"/>
      <c r="I975" s="476"/>
    </row>
    <row r="976" spans="2:9" x14ac:dyDescent="0.25">
      <c r="B976" s="476"/>
      <c r="C976" s="476"/>
      <c r="D976" s="475"/>
      <c r="E976" s="476"/>
      <c r="F976" s="475"/>
      <c r="G976" s="476"/>
      <c r="H976" s="475"/>
      <c r="I976" s="476"/>
    </row>
    <row r="977" spans="2:9" x14ac:dyDescent="0.25">
      <c r="B977" s="476"/>
      <c r="C977" s="476"/>
      <c r="D977" s="475"/>
      <c r="E977" s="476"/>
      <c r="F977" s="475"/>
      <c r="G977" s="476"/>
      <c r="H977" s="475"/>
      <c r="I977" s="476"/>
    </row>
    <row r="978" spans="2:9" x14ac:dyDescent="0.25">
      <c r="B978" s="476"/>
      <c r="C978" s="476"/>
      <c r="D978" s="475"/>
      <c r="E978" s="476"/>
      <c r="F978" s="475"/>
      <c r="G978" s="476"/>
      <c r="H978" s="475"/>
      <c r="I978" s="476"/>
    </row>
    <row r="979" spans="2:9" x14ac:dyDescent="0.25">
      <c r="B979" s="476"/>
      <c r="C979" s="476"/>
      <c r="D979" s="475"/>
      <c r="E979" s="476"/>
      <c r="F979" s="475"/>
      <c r="G979" s="476"/>
      <c r="H979" s="475"/>
      <c r="I979" s="476"/>
    </row>
    <row r="980" spans="2:9" x14ac:dyDescent="0.25">
      <c r="B980" s="476"/>
      <c r="C980" s="476"/>
      <c r="D980" s="475"/>
      <c r="E980" s="476"/>
      <c r="F980" s="475"/>
      <c r="G980" s="476"/>
      <c r="H980" s="475"/>
      <c r="I980" s="476"/>
    </row>
    <row r="981" spans="2:9" x14ac:dyDescent="0.25">
      <c r="B981" s="476"/>
      <c r="C981" s="476"/>
      <c r="D981" s="475"/>
      <c r="E981" s="476"/>
      <c r="F981" s="475"/>
      <c r="G981" s="476"/>
      <c r="H981" s="475"/>
      <c r="I981" s="476"/>
    </row>
    <row r="982" spans="2:9" x14ac:dyDescent="0.25">
      <c r="B982" s="476"/>
      <c r="C982" s="476"/>
      <c r="D982" s="475"/>
      <c r="E982" s="476"/>
      <c r="F982" s="475"/>
      <c r="G982" s="476"/>
      <c r="H982" s="475"/>
      <c r="I982" s="476"/>
    </row>
    <row r="983" spans="2:9" x14ac:dyDescent="0.25">
      <c r="B983" s="476"/>
      <c r="C983" s="476"/>
      <c r="D983" s="475"/>
      <c r="E983" s="476"/>
      <c r="F983" s="475"/>
      <c r="G983" s="476"/>
      <c r="H983" s="475"/>
      <c r="I983" s="476"/>
    </row>
    <row r="984" spans="2:9" x14ac:dyDescent="0.25">
      <c r="B984" s="476"/>
      <c r="C984" s="476"/>
      <c r="D984" s="475"/>
      <c r="E984" s="476"/>
      <c r="F984" s="475"/>
      <c r="G984" s="476"/>
      <c r="H984" s="475"/>
      <c r="I984" s="476"/>
    </row>
    <row r="985" spans="2:9" x14ac:dyDescent="0.25">
      <c r="B985" s="476"/>
      <c r="C985" s="476"/>
      <c r="D985" s="475"/>
      <c r="E985" s="476"/>
      <c r="F985" s="475"/>
      <c r="G985" s="476"/>
      <c r="H985" s="475"/>
      <c r="I985" s="476"/>
    </row>
    <row r="986" spans="2:9" x14ac:dyDescent="0.25">
      <c r="B986" s="476"/>
      <c r="C986" s="476"/>
      <c r="D986" s="475"/>
      <c r="E986" s="476"/>
      <c r="F986" s="475"/>
      <c r="G986" s="476"/>
      <c r="H986" s="475"/>
      <c r="I986" s="476"/>
    </row>
    <row r="987" spans="2:9" x14ac:dyDescent="0.25">
      <c r="B987" s="476"/>
      <c r="C987" s="476"/>
      <c r="D987" s="475"/>
      <c r="E987" s="476"/>
      <c r="F987" s="475"/>
      <c r="G987" s="476"/>
      <c r="H987" s="475"/>
      <c r="I987" s="476"/>
    </row>
    <row r="988" spans="2:9" x14ac:dyDescent="0.25">
      <c r="B988" s="476"/>
      <c r="C988" s="476"/>
      <c r="D988" s="475"/>
      <c r="E988" s="476"/>
      <c r="F988" s="475"/>
      <c r="G988" s="476"/>
      <c r="H988" s="475"/>
      <c r="I988" s="476"/>
    </row>
    <row r="989" spans="2:9" x14ac:dyDescent="0.25">
      <c r="B989" s="476"/>
      <c r="C989" s="476"/>
      <c r="D989" s="475"/>
      <c r="E989" s="476"/>
      <c r="F989" s="475"/>
      <c r="G989" s="476"/>
      <c r="H989" s="475"/>
      <c r="I989" s="476"/>
    </row>
    <row r="990" spans="2:9" x14ac:dyDescent="0.25">
      <c r="B990" s="476"/>
      <c r="C990" s="476"/>
      <c r="D990" s="475"/>
      <c r="E990" s="476"/>
      <c r="F990" s="475"/>
      <c r="G990" s="476"/>
      <c r="H990" s="475"/>
      <c r="I990" s="476"/>
    </row>
    <row r="991" spans="2:9" x14ac:dyDescent="0.25">
      <c r="B991" s="476"/>
      <c r="C991" s="476"/>
      <c r="D991" s="475"/>
      <c r="E991" s="476"/>
      <c r="F991" s="475"/>
      <c r="G991" s="476"/>
      <c r="H991" s="475"/>
      <c r="I991" s="476"/>
    </row>
    <row r="992" spans="2:9" x14ac:dyDescent="0.25">
      <c r="B992" s="476"/>
      <c r="C992" s="476"/>
      <c r="D992" s="475"/>
      <c r="E992" s="476"/>
      <c r="F992" s="475"/>
      <c r="G992" s="476"/>
      <c r="H992" s="475"/>
      <c r="I992" s="476"/>
    </row>
    <row r="993" spans="2:9" x14ac:dyDescent="0.25">
      <c r="B993" s="476"/>
      <c r="C993" s="476"/>
      <c r="D993" s="475"/>
      <c r="E993" s="476"/>
      <c r="F993" s="475"/>
      <c r="G993" s="476"/>
      <c r="H993" s="475"/>
      <c r="I993" s="476"/>
    </row>
    <row r="994" spans="2:9" x14ac:dyDescent="0.25">
      <c r="B994" s="476"/>
      <c r="C994" s="476"/>
      <c r="D994" s="475"/>
      <c r="E994" s="476"/>
      <c r="F994" s="475"/>
      <c r="G994" s="476"/>
      <c r="H994" s="475"/>
      <c r="I994" s="476"/>
    </row>
    <row r="995" spans="2:9" x14ac:dyDescent="0.25">
      <c r="B995" s="476"/>
      <c r="C995" s="476"/>
      <c r="D995" s="475"/>
      <c r="E995" s="476"/>
      <c r="F995" s="475"/>
      <c r="G995" s="476"/>
      <c r="H995" s="475"/>
      <c r="I995" s="476"/>
    </row>
    <row r="996" spans="2:9" x14ac:dyDescent="0.25">
      <c r="B996" s="476"/>
      <c r="C996" s="476"/>
      <c r="D996" s="475"/>
      <c r="E996" s="476"/>
      <c r="F996" s="475"/>
      <c r="G996" s="476"/>
      <c r="H996" s="475"/>
      <c r="I996" s="476"/>
    </row>
    <row r="997" spans="2:9" x14ac:dyDescent="0.25">
      <c r="B997" s="476"/>
      <c r="C997" s="476"/>
      <c r="D997" s="475"/>
      <c r="E997" s="476"/>
      <c r="F997" s="475"/>
      <c r="G997" s="476"/>
      <c r="H997" s="475"/>
      <c r="I997" s="476"/>
    </row>
    <row r="998" spans="2:9" x14ac:dyDescent="0.25">
      <c r="B998" s="476"/>
      <c r="C998" s="476"/>
      <c r="D998" s="475"/>
      <c r="E998" s="476"/>
      <c r="F998" s="475"/>
      <c r="G998" s="476"/>
      <c r="H998" s="475"/>
      <c r="I998" s="476"/>
    </row>
    <row r="999" spans="2:9" x14ac:dyDescent="0.25">
      <c r="B999" s="476"/>
      <c r="C999" s="476"/>
      <c r="D999" s="475"/>
      <c r="E999" s="476"/>
      <c r="F999" s="475"/>
      <c r="G999" s="476"/>
      <c r="H999" s="475"/>
      <c r="I999" s="476"/>
    </row>
    <row r="1000" spans="2:9" x14ac:dyDescent="0.25">
      <c r="B1000" s="476"/>
      <c r="C1000" s="476"/>
      <c r="D1000" s="475"/>
      <c r="E1000" s="476"/>
      <c r="F1000" s="475"/>
      <c r="G1000" s="476"/>
      <c r="H1000" s="475"/>
      <c r="I1000" s="476"/>
    </row>
    <row r="1001" spans="2:9" x14ac:dyDescent="0.25">
      <c r="B1001" s="476"/>
      <c r="C1001" s="476"/>
      <c r="D1001" s="475"/>
      <c r="E1001" s="476"/>
      <c r="F1001" s="475"/>
      <c r="G1001" s="476"/>
      <c r="H1001" s="475"/>
      <c r="I1001" s="476"/>
    </row>
    <row r="1002" spans="2:9" x14ac:dyDescent="0.25">
      <c r="B1002" s="476"/>
      <c r="C1002" s="476"/>
      <c r="D1002" s="475"/>
      <c r="E1002" s="476"/>
      <c r="F1002" s="475"/>
      <c r="G1002" s="476"/>
      <c r="H1002" s="475"/>
      <c r="I1002" s="476"/>
    </row>
    <row r="1003" spans="2:9" x14ac:dyDescent="0.25">
      <c r="B1003" s="476"/>
      <c r="C1003" s="476"/>
      <c r="D1003" s="475"/>
      <c r="E1003" s="476"/>
      <c r="F1003" s="475"/>
      <c r="G1003" s="476"/>
      <c r="H1003" s="475"/>
      <c r="I1003" s="476"/>
    </row>
    <row r="1004" spans="2:9" x14ac:dyDescent="0.25">
      <c r="B1004" s="476"/>
      <c r="C1004" s="476"/>
      <c r="D1004" s="475"/>
      <c r="E1004" s="476"/>
      <c r="F1004" s="475"/>
      <c r="G1004" s="476"/>
      <c r="H1004" s="475"/>
      <c r="I1004" s="476"/>
    </row>
    <row r="1005" spans="2:9" x14ac:dyDescent="0.25">
      <c r="B1005" s="476"/>
      <c r="C1005" s="476"/>
      <c r="D1005" s="475"/>
      <c r="E1005" s="476"/>
      <c r="F1005" s="475"/>
      <c r="G1005" s="476"/>
      <c r="H1005" s="475"/>
      <c r="I1005" s="476"/>
    </row>
    <row r="1006" spans="2:9" x14ac:dyDescent="0.25">
      <c r="B1006" s="476"/>
      <c r="C1006" s="476"/>
      <c r="D1006" s="475"/>
      <c r="E1006" s="476"/>
      <c r="F1006" s="475"/>
      <c r="G1006" s="476"/>
      <c r="H1006" s="475"/>
      <c r="I1006" s="476"/>
    </row>
    <row r="1007" spans="2:9" x14ac:dyDescent="0.25">
      <c r="B1007" s="476"/>
      <c r="C1007" s="476"/>
      <c r="D1007" s="475"/>
      <c r="E1007" s="476"/>
      <c r="F1007" s="475"/>
      <c r="G1007" s="476"/>
      <c r="H1007" s="475"/>
      <c r="I1007" s="476"/>
    </row>
    <row r="1008" spans="2:9" x14ac:dyDescent="0.25">
      <c r="B1008" s="476"/>
      <c r="C1008" s="476"/>
      <c r="D1008" s="475"/>
      <c r="E1008" s="476"/>
      <c r="F1008" s="475"/>
      <c r="G1008" s="476"/>
      <c r="H1008" s="475"/>
      <c r="I1008" s="476"/>
    </row>
    <row r="1009" spans="2:9" x14ac:dyDescent="0.25">
      <c r="B1009" s="476"/>
      <c r="C1009" s="476"/>
      <c r="D1009" s="475"/>
      <c r="E1009" s="476"/>
      <c r="F1009" s="475"/>
      <c r="G1009" s="476"/>
      <c r="H1009" s="475"/>
      <c r="I1009" s="476"/>
    </row>
    <row r="1010" spans="2:9" x14ac:dyDescent="0.25">
      <c r="B1010" s="476"/>
      <c r="C1010" s="476"/>
      <c r="D1010" s="475"/>
      <c r="E1010" s="476"/>
      <c r="F1010" s="475"/>
      <c r="G1010" s="476"/>
      <c r="H1010" s="475"/>
      <c r="I1010" s="476"/>
    </row>
    <row r="1011" spans="2:9" x14ac:dyDescent="0.25">
      <c r="B1011" s="476"/>
      <c r="C1011" s="476"/>
      <c r="D1011" s="475"/>
      <c r="E1011" s="476"/>
      <c r="F1011" s="475"/>
      <c r="G1011" s="476"/>
      <c r="H1011" s="475"/>
      <c r="I1011" s="476"/>
    </row>
    <row r="1012" spans="2:9" x14ac:dyDescent="0.25">
      <c r="B1012" s="476"/>
      <c r="C1012" s="476"/>
      <c r="D1012" s="475"/>
      <c r="E1012" s="476"/>
      <c r="F1012" s="475"/>
      <c r="G1012" s="476"/>
      <c r="H1012" s="475"/>
      <c r="I1012" s="476"/>
    </row>
    <row r="1013" spans="2:9" x14ac:dyDescent="0.25">
      <c r="B1013" s="476"/>
      <c r="C1013" s="476"/>
      <c r="D1013" s="475"/>
      <c r="E1013" s="476"/>
      <c r="F1013" s="475"/>
      <c r="G1013" s="476"/>
      <c r="H1013" s="475"/>
      <c r="I1013" s="476"/>
    </row>
    <row r="1014" spans="2:9" x14ac:dyDescent="0.25">
      <c r="B1014" s="476"/>
      <c r="C1014" s="476"/>
      <c r="D1014" s="475"/>
      <c r="E1014" s="476"/>
      <c r="F1014" s="475"/>
      <c r="G1014" s="476"/>
      <c r="H1014" s="475"/>
      <c r="I1014" s="476"/>
    </row>
    <row r="1015" spans="2:9" x14ac:dyDescent="0.25">
      <c r="B1015" s="476"/>
      <c r="C1015" s="476"/>
      <c r="D1015" s="475"/>
      <c r="E1015" s="476"/>
      <c r="F1015" s="475"/>
      <c r="G1015" s="476"/>
      <c r="H1015" s="475"/>
      <c r="I1015" s="476"/>
    </row>
    <row r="1016" spans="2:9" x14ac:dyDescent="0.25">
      <c r="B1016" s="476"/>
      <c r="C1016" s="476"/>
      <c r="D1016" s="475"/>
      <c r="E1016" s="476"/>
      <c r="F1016" s="475"/>
      <c r="G1016" s="476"/>
      <c r="H1016" s="475"/>
      <c r="I1016" s="476"/>
    </row>
    <row r="1017" spans="2:9" x14ac:dyDescent="0.25">
      <c r="B1017" s="476"/>
      <c r="C1017" s="476"/>
      <c r="D1017" s="475"/>
      <c r="E1017" s="476"/>
      <c r="F1017" s="475"/>
      <c r="G1017" s="476"/>
      <c r="H1017" s="475"/>
      <c r="I1017" s="476"/>
    </row>
    <row r="1018" spans="2:9" x14ac:dyDescent="0.25">
      <c r="B1018" s="476"/>
      <c r="C1018" s="476"/>
      <c r="D1018" s="475"/>
      <c r="E1018" s="476"/>
      <c r="F1018" s="475"/>
      <c r="G1018" s="476"/>
      <c r="H1018" s="475"/>
      <c r="I1018" s="476"/>
    </row>
    <row r="1019" spans="2:9" x14ac:dyDescent="0.25">
      <c r="B1019" s="476"/>
      <c r="C1019" s="476"/>
      <c r="D1019" s="475"/>
      <c r="E1019" s="476"/>
      <c r="F1019" s="475"/>
      <c r="G1019" s="476"/>
      <c r="H1019" s="475"/>
      <c r="I1019" s="476"/>
    </row>
    <row r="1020" spans="2:9" x14ac:dyDescent="0.25">
      <c r="B1020" s="476"/>
      <c r="C1020" s="476"/>
      <c r="D1020" s="475"/>
      <c r="E1020" s="476"/>
      <c r="F1020" s="475"/>
      <c r="G1020" s="476"/>
      <c r="H1020" s="475"/>
      <c r="I1020" s="476"/>
    </row>
    <row r="1021" spans="2:9" x14ac:dyDescent="0.25">
      <c r="B1021" s="476"/>
      <c r="C1021" s="476"/>
      <c r="D1021" s="475"/>
      <c r="E1021" s="476"/>
      <c r="F1021" s="475"/>
      <c r="G1021" s="476"/>
      <c r="H1021" s="475"/>
      <c r="I1021" s="476"/>
    </row>
    <row r="1022" spans="2:9" x14ac:dyDescent="0.25">
      <c r="B1022" s="476"/>
      <c r="C1022" s="476"/>
      <c r="D1022" s="475"/>
      <c r="E1022" s="476"/>
      <c r="F1022" s="475"/>
      <c r="G1022" s="476"/>
      <c r="H1022" s="475"/>
      <c r="I1022" s="476"/>
    </row>
    <row r="1023" spans="2:9" x14ac:dyDescent="0.25">
      <c r="B1023" s="476"/>
      <c r="C1023" s="476"/>
      <c r="D1023" s="475"/>
      <c r="E1023" s="476"/>
      <c r="F1023" s="475"/>
      <c r="G1023" s="476"/>
      <c r="H1023" s="475"/>
      <c r="I1023" s="476"/>
    </row>
    <row r="1024" spans="2:9" x14ac:dyDescent="0.25">
      <c r="B1024" s="476"/>
      <c r="C1024" s="476"/>
      <c r="D1024" s="475"/>
      <c r="E1024" s="476"/>
      <c r="F1024" s="475"/>
      <c r="G1024" s="476"/>
      <c r="H1024" s="475"/>
      <c r="I1024" s="476"/>
    </row>
    <row r="1025" spans="2:9" x14ac:dyDescent="0.25">
      <c r="B1025" s="476"/>
      <c r="C1025" s="476"/>
      <c r="D1025" s="475"/>
      <c r="E1025" s="476"/>
      <c r="F1025" s="475"/>
      <c r="G1025" s="476"/>
      <c r="H1025" s="475"/>
      <c r="I1025" s="476"/>
    </row>
    <row r="1026" spans="2:9" x14ac:dyDescent="0.25">
      <c r="B1026" s="476"/>
      <c r="C1026" s="476"/>
      <c r="D1026" s="475"/>
      <c r="E1026" s="476"/>
      <c r="F1026" s="475"/>
      <c r="G1026" s="476"/>
      <c r="H1026" s="475"/>
      <c r="I1026" s="476"/>
    </row>
    <row r="1027" spans="2:9" x14ac:dyDescent="0.25">
      <c r="B1027" s="476"/>
      <c r="C1027" s="476"/>
      <c r="D1027" s="475"/>
      <c r="E1027" s="476"/>
      <c r="F1027" s="475"/>
      <c r="G1027" s="476"/>
      <c r="H1027" s="475"/>
      <c r="I1027" s="476"/>
    </row>
    <row r="1028" spans="2:9" x14ac:dyDescent="0.25">
      <c r="B1028" s="476"/>
      <c r="C1028" s="476"/>
      <c r="D1028" s="475"/>
      <c r="E1028" s="476"/>
      <c r="F1028" s="475"/>
      <c r="G1028" s="476"/>
      <c r="H1028" s="475"/>
      <c r="I1028" s="476"/>
    </row>
    <row r="1029" spans="2:9" x14ac:dyDescent="0.25">
      <c r="B1029" s="476"/>
      <c r="C1029" s="476"/>
      <c r="D1029" s="475"/>
      <c r="E1029" s="476"/>
      <c r="F1029" s="475"/>
      <c r="G1029" s="476"/>
      <c r="H1029" s="475"/>
      <c r="I1029" s="476"/>
    </row>
    <row r="1030" spans="2:9" x14ac:dyDescent="0.25">
      <c r="B1030" s="476"/>
      <c r="C1030" s="476"/>
      <c r="D1030" s="475"/>
      <c r="E1030" s="476"/>
      <c r="F1030" s="475"/>
      <c r="G1030" s="476"/>
      <c r="H1030" s="475"/>
      <c r="I1030" s="476"/>
    </row>
    <row r="1031" spans="2:9" x14ac:dyDescent="0.25">
      <c r="B1031" s="476"/>
      <c r="C1031" s="476"/>
      <c r="D1031" s="475"/>
      <c r="E1031" s="476"/>
      <c r="F1031" s="475"/>
      <c r="G1031" s="476"/>
      <c r="H1031" s="475"/>
      <c r="I1031" s="476"/>
    </row>
    <row r="1032" spans="2:9" x14ac:dyDescent="0.25">
      <c r="B1032" s="476"/>
      <c r="C1032" s="476"/>
      <c r="D1032" s="475"/>
      <c r="E1032" s="476"/>
      <c r="F1032" s="475"/>
      <c r="G1032" s="476"/>
      <c r="H1032" s="475"/>
      <c r="I1032" s="476"/>
    </row>
    <row r="1033" spans="2:9" x14ac:dyDescent="0.25">
      <c r="B1033" s="476"/>
      <c r="C1033" s="476"/>
      <c r="D1033" s="475"/>
      <c r="E1033" s="476"/>
      <c r="F1033" s="475"/>
      <c r="G1033" s="476"/>
      <c r="H1033" s="475"/>
      <c r="I1033" s="476"/>
    </row>
    <row r="1034" spans="2:9" x14ac:dyDescent="0.25">
      <c r="B1034" s="476"/>
      <c r="C1034" s="476"/>
      <c r="D1034" s="475"/>
      <c r="E1034" s="476"/>
      <c r="F1034" s="475"/>
      <c r="G1034" s="476"/>
      <c r="H1034" s="475"/>
      <c r="I1034" s="476"/>
    </row>
    <row r="1035" spans="2:9" x14ac:dyDescent="0.25">
      <c r="B1035" s="476"/>
      <c r="C1035" s="476"/>
      <c r="D1035" s="475"/>
      <c r="E1035" s="476"/>
      <c r="F1035" s="475"/>
      <c r="G1035" s="476"/>
      <c r="H1035" s="475"/>
      <c r="I1035" s="476"/>
    </row>
    <row r="1036" spans="2:9" x14ac:dyDescent="0.25">
      <c r="B1036" s="476"/>
      <c r="C1036" s="476"/>
      <c r="D1036" s="475"/>
      <c r="E1036" s="476"/>
      <c r="F1036" s="475"/>
      <c r="G1036" s="476"/>
      <c r="H1036" s="475"/>
      <c r="I1036" s="476"/>
    </row>
    <row r="1037" spans="2:9" x14ac:dyDescent="0.25">
      <c r="B1037" s="476"/>
      <c r="C1037" s="476"/>
      <c r="D1037" s="475"/>
      <c r="E1037" s="476"/>
      <c r="F1037" s="475"/>
      <c r="G1037" s="476"/>
      <c r="H1037" s="475"/>
      <c r="I1037" s="476"/>
    </row>
    <row r="1038" spans="2:9" x14ac:dyDescent="0.25">
      <c r="B1038" s="476"/>
      <c r="C1038" s="476"/>
      <c r="D1038" s="475"/>
      <c r="E1038" s="476"/>
      <c r="F1038" s="475"/>
      <c r="G1038" s="476"/>
      <c r="H1038" s="475"/>
      <c r="I1038" s="476"/>
    </row>
    <row r="1039" spans="2:9" x14ac:dyDescent="0.25">
      <c r="B1039" s="476"/>
      <c r="C1039" s="476"/>
      <c r="D1039" s="475"/>
      <c r="E1039" s="476"/>
      <c r="F1039" s="475"/>
      <c r="G1039" s="476"/>
      <c r="H1039" s="475"/>
      <c r="I1039" s="476"/>
    </row>
    <row r="1040" spans="2:9" x14ac:dyDescent="0.25">
      <c r="B1040" s="476"/>
      <c r="C1040" s="476"/>
      <c r="D1040" s="475"/>
      <c r="E1040" s="476"/>
      <c r="F1040" s="475"/>
      <c r="G1040" s="476"/>
      <c r="H1040" s="475"/>
      <c r="I1040" s="476"/>
    </row>
    <row r="1041" spans="2:9" x14ac:dyDescent="0.25">
      <c r="B1041" s="476"/>
      <c r="C1041" s="476"/>
      <c r="D1041" s="475"/>
      <c r="E1041" s="476"/>
      <c r="F1041" s="475"/>
      <c r="G1041" s="476"/>
      <c r="H1041" s="475"/>
      <c r="I1041" s="476"/>
    </row>
    <row r="1042" spans="2:9" x14ac:dyDescent="0.25">
      <c r="B1042" s="476"/>
      <c r="C1042" s="476"/>
      <c r="D1042" s="475"/>
      <c r="E1042" s="476"/>
      <c r="F1042" s="475"/>
      <c r="G1042" s="476"/>
      <c r="H1042" s="475"/>
      <c r="I1042" s="476"/>
    </row>
    <row r="1043" spans="2:9" x14ac:dyDescent="0.25">
      <c r="B1043" s="476"/>
      <c r="C1043" s="476"/>
      <c r="D1043" s="475"/>
      <c r="E1043" s="476"/>
      <c r="F1043" s="475"/>
      <c r="G1043" s="476"/>
      <c r="H1043" s="475"/>
      <c r="I1043" s="476"/>
    </row>
    <row r="1044" spans="2:9" x14ac:dyDescent="0.25">
      <c r="B1044" s="476"/>
      <c r="C1044" s="476"/>
      <c r="D1044" s="475"/>
      <c r="E1044" s="476"/>
      <c r="F1044" s="475"/>
      <c r="G1044" s="476"/>
      <c r="H1044" s="475"/>
      <c r="I1044" s="476"/>
    </row>
    <row r="1045" spans="2:9" x14ac:dyDescent="0.25">
      <c r="B1045" s="476"/>
      <c r="C1045" s="476"/>
      <c r="D1045" s="475"/>
      <c r="E1045" s="476"/>
      <c r="F1045" s="475"/>
      <c r="G1045" s="476"/>
      <c r="H1045" s="475"/>
      <c r="I1045" s="476"/>
    </row>
    <row r="1046" spans="2:9" x14ac:dyDescent="0.25">
      <c r="B1046" s="476"/>
      <c r="C1046" s="476"/>
      <c r="D1046" s="475"/>
      <c r="E1046" s="476"/>
      <c r="F1046" s="475"/>
      <c r="G1046" s="476"/>
      <c r="H1046" s="475"/>
      <c r="I1046" s="476"/>
    </row>
    <row r="1047" spans="2:9" x14ac:dyDescent="0.25">
      <c r="B1047" s="476"/>
      <c r="C1047" s="476"/>
      <c r="D1047" s="475"/>
      <c r="E1047" s="476"/>
      <c r="F1047" s="475"/>
      <c r="G1047" s="476"/>
      <c r="H1047" s="475"/>
      <c r="I1047" s="476"/>
    </row>
    <row r="1048" spans="2:9" x14ac:dyDescent="0.25">
      <c r="B1048" s="476"/>
      <c r="C1048" s="476"/>
      <c r="D1048" s="475"/>
      <c r="E1048" s="476"/>
      <c r="F1048" s="475"/>
      <c r="G1048" s="476"/>
      <c r="H1048" s="475"/>
      <c r="I1048" s="476"/>
    </row>
    <row r="1049" spans="2:9" x14ac:dyDescent="0.25">
      <c r="B1049" s="476"/>
      <c r="C1049" s="476"/>
      <c r="D1049" s="475"/>
      <c r="E1049" s="476"/>
      <c r="F1049" s="475"/>
      <c r="G1049" s="476"/>
      <c r="H1049" s="475"/>
      <c r="I1049" s="476"/>
    </row>
    <row r="1050" spans="2:9" x14ac:dyDescent="0.25">
      <c r="B1050" s="476"/>
      <c r="C1050" s="476"/>
      <c r="D1050" s="475"/>
      <c r="E1050" s="476"/>
      <c r="F1050" s="475"/>
      <c r="G1050" s="476"/>
      <c r="H1050" s="475"/>
      <c r="I1050" s="476"/>
    </row>
    <row r="1051" spans="2:9" x14ac:dyDescent="0.25">
      <c r="B1051" s="476"/>
      <c r="C1051" s="476"/>
      <c r="D1051" s="475"/>
      <c r="E1051" s="476"/>
      <c r="F1051" s="475"/>
      <c r="G1051" s="476"/>
      <c r="H1051" s="475"/>
      <c r="I1051" s="476"/>
    </row>
    <row r="1052" spans="2:9" x14ac:dyDescent="0.25">
      <c r="B1052" s="476"/>
      <c r="C1052" s="476"/>
      <c r="D1052" s="475"/>
      <c r="E1052" s="476"/>
      <c r="F1052" s="475"/>
      <c r="G1052" s="476"/>
      <c r="H1052" s="475"/>
      <c r="I1052" s="476"/>
    </row>
    <row r="1053" spans="2:9" x14ac:dyDescent="0.25">
      <c r="B1053" s="476"/>
      <c r="C1053" s="476"/>
      <c r="D1053" s="475"/>
      <c r="E1053" s="476"/>
      <c r="F1053" s="475"/>
      <c r="G1053" s="476"/>
      <c r="H1053" s="475"/>
      <c r="I1053" s="476"/>
    </row>
    <row r="1054" spans="2:9" x14ac:dyDescent="0.25">
      <c r="B1054" s="476"/>
      <c r="C1054" s="476"/>
      <c r="D1054" s="475"/>
      <c r="E1054" s="476"/>
      <c r="F1054" s="475"/>
      <c r="G1054" s="476"/>
      <c r="H1054" s="475"/>
      <c r="I1054" s="476"/>
    </row>
    <row r="1055" spans="2:9" x14ac:dyDescent="0.25">
      <c r="B1055" s="476"/>
      <c r="C1055" s="476"/>
      <c r="D1055" s="475"/>
      <c r="E1055" s="476"/>
      <c r="F1055" s="475"/>
      <c r="G1055" s="476"/>
      <c r="H1055" s="475"/>
      <c r="I1055" s="476"/>
    </row>
    <row r="1056" spans="2:9" x14ac:dyDescent="0.25">
      <c r="B1056" s="476"/>
      <c r="C1056" s="476"/>
      <c r="D1056" s="475"/>
      <c r="E1056" s="476"/>
      <c r="F1056" s="475"/>
      <c r="G1056" s="476"/>
      <c r="H1056" s="475"/>
      <c r="I1056" s="476"/>
    </row>
    <row r="1057" spans="2:9" x14ac:dyDescent="0.25">
      <c r="B1057" s="476"/>
      <c r="C1057" s="476"/>
      <c r="D1057" s="475"/>
      <c r="E1057" s="476"/>
      <c r="F1057" s="475"/>
      <c r="G1057" s="476"/>
      <c r="H1057" s="475"/>
      <c r="I1057" s="476"/>
    </row>
    <row r="1058" spans="2:9" x14ac:dyDescent="0.25">
      <c r="B1058" s="476"/>
      <c r="C1058" s="476"/>
      <c r="D1058" s="475"/>
      <c r="E1058" s="476"/>
      <c r="F1058" s="475"/>
      <c r="G1058" s="476"/>
      <c r="H1058" s="475"/>
      <c r="I1058" s="476"/>
    </row>
    <row r="1059" spans="2:9" x14ac:dyDescent="0.25">
      <c r="B1059" s="476"/>
      <c r="C1059" s="476"/>
      <c r="D1059" s="475"/>
      <c r="E1059" s="476"/>
      <c r="F1059" s="475"/>
      <c r="G1059" s="476"/>
      <c r="H1059" s="475"/>
      <c r="I1059" s="476"/>
    </row>
    <row r="1060" spans="2:9" x14ac:dyDescent="0.25">
      <c r="B1060" s="476"/>
      <c r="C1060" s="476"/>
      <c r="D1060" s="475"/>
      <c r="E1060" s="476"/>
      <c r="F1060" s="475"/>
      <c r="G1060" s="476"/>
      <c r="H1060" s="475"/>
      <c r="I1060" s="476"/>
    </row>
    <row r="1061" spans="2:9" x14ac:dyDescent="0.25">
      <c r="B1061" s="476"/>
      <c r="C1061" s="476"/>
      <c r="D1061" s="475"/>
      <c r="E1061" s="476"/>
      <c r="F1061" s="475"/>
      <c r="G1061" s="476"/>
      <c r="H1061" s="475"/>
      <c r="I1061" s="476"/>
    </row>
    <row r="1062" spans="2:9" x14ac:dyDescent="0.25">
      <c r="B1062" s="476"/>
      <c r="C1062" s="476"/>
      <c r="D1062" s="475"/>
      <c r="E1062" s="476"/>
      <c r="F1062" s="475"/>
      <c r="G1062" s="476"/>
      <c r="H1062" s="475"/>
      <c r="I1062" s="476"/>
    </row>
    <row r="1063" spans="2:9" x14ac:dyDescent="0.25">
      <c r="B1063" s="476"/>
      <c r="C1063" s="476"/>
      <c r="D1063" s="475"/>
      <c r="E1063" s="476"/>
      <c r="F1063" s="475"/>
      <c r="G1063" s="476"/>
      <c r="H1063" s="475"/>
      <c r="I1063" s="476"/>
    </row>
    <row r="1064" spans="2:9" x14ac:dyDescent="0.25">
      <c r="B1064" s="476"/>
      <c r="C1064" s="476"/>
      <c r="D1064" s="475"/>
      <c r="E1064" s="476"/>
      <c r="F1064" s="475"/>
      <c r="G1064" s="476"/>
      <c r="H1064" s="475"/>
      <c r="I1064" s="476"/>
    </row>
    <row r="1065" spans="2:9" x14ac:dyDescent="0.25">
      <c r="B1065" s="476"/>
      <c r="C1065" s="476"/>
      <c r="D1065" s="475"/>
      <c r="E1065" s="476"/>
      <c r="F1065" s="475"/>
      <c r="G1065" s="476"/>
      <c r="H1065" s="475"/>
      <c r="I1065" s="476"/>
    </row>
    <row r="1066" spans="2:9" x14ac:dyDescent="0.25">
      <c r="B1066" s="476"/>
      <c r="C1066" s="476"/>
      <c r="D1066" s="475"/>
      <c r="E1066" s="476"/>
      <c r="F1066" s="475"/>
      <c r="G1066" s="476"/>
      <c r="H1066" s="475"/>
      <c r="I1066" s="476"/>
    </row>
    <row r="1067" spans="2:9" x14ac:dyDescent="0.25">
      <c r="B1067" s="476"/>
      <c r="C1067" s="476"/>
      <c r="D1067" s="475"/>
      <c r="E1067" s="476"/>
      <c r="F1067" s="475"/>
      <c r="G1067" s="476"/>
      <c r="H1067" s="475"/>
      <c r="I1067" s="476"/>
    </row>
    <row r="1068" spans="2:9" x14ac:dyDescent="0.25">
      <c r="B1068" s="476"/>
      <c r="C1068" s="476"/>
      <c r="D1068" s="475"/>
      <c r="E1068" s="476"/>
      <c r="F1068" s="475"/>
      <c r="G1068" s="476"/>
      <c r="H1068" s="475"/>
      <c r="I1068" s="476"/>
    </row>
    <row r="1069" spans="2:9" x14ac:dyDescent="0.25">
      <c r="B1069" s="476"/>
      <c r="C1069" s="476"/>
      <c r="D1069" s="475"/>
      <c r="E1069" s="476"/>
      <c r="F1069" s="475"/>
      <c r="G1069" s="476"/>
      <c r="H1069" s="475"/>
      <c r="I1069" s="476"/>
    </row>
    <row r="1070" spans="2:9" x14ac:dyDescent="0.25">
      <c r="B1070" s="476"/>
      <c r="C1070" s="476"/>
      <c r="D1070" s="475"/>
      <c r="E1070" s="476"/>
      <c r="F1070" s="475"/>
      <c r="G1070" s="476"/>
      <c r="H1070" s="475"/>
      <c r="I1070" s="476"/>
    </row>
    <row r="1071" spans="2:9" x14ac:dyDescent="0.25">
      <c r="B1071" s="476"/>
      <c r="C1071" s="476"/>
      <c r="D1071" s="475"/>
      <c r="E1071" s="476"/>
      <c r="F1071" s="475"/>
      <c r="G1071" s="476"/>
      <c r="H1071" s="475"/>
      <c r="I1071" s="476"/>
    </row>
    <row r="1072" spans="2:9" x14ac:dyDescent="0.25">
      <c r="B1072" s="476"/>
      <c r="C1072" s="476"/>
      <c r="D1072" s="475"/>
      <c r="E1072" s="476"/>
      <c r="F1072" s="475"/>
      <c r="G1072" s="476"/>
      <c r="H1072" s="475"/>
      <c r="I1072" s="476"/>
    </row>
    <row r="1073" spans="2:9" x14ac:dyDescent="0.25">
      <c r="B1073" s="476"/>
      <c r="C1073" s="476"/>
      <c r="D1073" s="475"/>
      <c r="E1073" s="476"/>
      <c r="F1073" s="475"/>
      <c r="G1073" s="476"/>
      <c r="H1073" s="475"/>
      <c r="I1073" s="476"/>
    </row>
    <row r="1074" spans="2:9" x14ac:dyDescent="0.25">
      <c r="B1074" s="476"/>
      <c r="C1074" s="476"/>
      <c r="D1074" s="475"/>
      <c r="E1074" s="476"/>
      <c r="F1074" s="475"/>
      <c r="G1074" s="476"/>
      <c r="H1074" s="475"/>
      <c r="I1074" s="476"/>
    </row>
    <row r="1075" spans="2:9" x14ac:dyDescent="0.25">
      <c r="B1075" s="476"/>
      <c r="C1075" s="476"/>
      <c r="D1075" s="475"/>
      <c r="E1075" s="476"/>
      <c r="F1075" s="475"/>
      <c r="G1075" s="476"/>
      <c r="H1075" s="475"/>
      <c r="I1075" s="476"/>
    </row>
    <row r="1076" spans="2:9" x14ac:dyDescent="0.25">
      <c r="B1076" s="476"/>
      <c r="C1076" s="476"/>
      <c r="D1076" s="475"/>
      <c r="E1076" s="476"/>
      <c r="F1076" s="475"/>
      <c r="G1076" s="476"/>
      <c r="H1076" s="475"/>
      <c r="I1076" s="476"/>
    </row>
    <row r="1077" spans="2:9" x14ac:dyDescent="0.25">
      <c r="B1077" s="476"/>
      <c r="C1077" s="476"/>
      <c r="D1077" s="475"/>
      <c r="E1077" s="476"/>
      <c r="F1077" s="475"/>
      <c r="G1077" s="476"/>
      <c r="H1077" s="475"/>
      <c r="I1077" s="476"/>
    </row>
    <row r="1078" spans="2:9" x14ac:dyDescent="0.25">
      <c r="B1078" s="476"/>
      <c r="C1078" s="476"/>
      <c r="D1078" s="475"/>
      <c r="E1078" s="476"/>
      <c r="F1078" s="475"/>
      <c r="G1078" s="476"/>
      <c r="H1078" s="475"/>
      <c r="I1078" s="476"/>
    </row>
    <row r="1079" spans="2:9" x14ac:dyDescent="0.25">
      <c r="B1079" s="476"/>
      <c r="C1079" s="476"/>
      <c r="D1079" s="475"/>
      <c r="E1079" s="476"/>
      <c r="F1079" s="475"/>
      <c r="G1079" s="476"/>
      <c r="H1079" s="475"/>
      <c r="I1079" s="476"/>
    </row>
    <row r="1080" spans="2:9" x14ac:dyDescent="0.25">
      <c r="B1080" s="476"/>
      <c r="C1080" s="476"/>
      <c r="D1080" s="475"/>
      <c r="E1080" s="476"/>
      <c r="F1080" s="475"/>
      <c r="G1080" s="476"/>
      <c r="H1080" s="475"/>
      <c r="I1080" s="476"/>
    </row>
    <row r="1081" spans="2:9" x14ac:dyDescent="0.25">
      <c r="B1081" s="476"/>
      <c r="C1081" s="476"/>
      <c r="D1081" s="475"/>
      <c r="E1081" s="476"/>
      <c r="F1081" s="475"/>
      <c r="G1081" s="476"/>
      <c r="H1081" s="475"/>
      <c r="I1081" s="476"/>
    </row>
    <row r="1082" spans="2:9" x14ac:dyDescent="0.25">
      <c r="B1082" s="476"/>
      <c r="C1082" s="476"/>
      <c r="D1082" s="475"/>
      <c r="E1082" s="476"/>
      <c r="F1082" s="475"/>
      <c r="G1082" s="476"/>
      <c r="H1082" s="475"/>
      <c r="I1082" s="476"/>
    </row>
    <row r="1083" spans="2:9" x14ac:dyDescent="0.25">
      <c r="B1083" s="476"/>
      <c r="C1083" s="476"/>
      <c r="D1083" s="475"/>
      <c r="E1083" s="476"/>
      <c r="F1083" s="475"/>
      <c r="G1083" s="476"/>
      <c r="H1083" s="475"/>
      <c r="I1083" s="476"/>
    </row>
    <row r="1084" spans="2:9" x14ac:dyDescent="0.25">
      <c r="B1084" s="476"/>
      <c r="C1084" s="476"/>
      <c r="D1084" s="475"/>
      <c r="E1084" s="476"/>
      <c r="F1084" s="475"/>
      <c r="G1084" s="476"/>
      <c r="H1084" s="475"/>
      <c r="I1084" s="476"/>
    </row>
    <row r="1085" spans="2:9" x14ac:dyDescent="0.25">
      <c r="B1085" s="476"/>
      <c r="C1085" s="476"/>
      <c r="D1085" s="475"/>
      <c r="E1085" s="476"/>
      <c r="F1085" s="475"/>
      <c r="G1085" s="476"/>
      <c r="H1085" s="475"/>
      <c r="I1085" s="476"/>
    </row>
    <row r="1086" spans="2:9" x14ac:dyDescent="0.25">
      <c r="B1086" s="476"/>
      <c r="C1086" s="476"/>
      <c r="D1086" s="475"/>
      <c r="E1086" s="476"/>
      <c r="F1086" s="475"/>
      <c r="G1086" s="476"/>
      <c r="H1086" s="475"/>
      <c r="I1086" s="476"/>
    </row>
    <row r="1087" spans="2:9" x14ac:dyDescent="0.25">
      <c r="B1087" s="476"/>
      <c r="C1087" s="476"/>
      <c r="D1087" s="475"/>
      <c r="E1087" s="476"/>
      <c r="F1087" s="475"/>
      <c r="G1087" s="476"/>
      <c r="H1087" s="475"/>
      <c r="I1087" s="476"/>
    </row>
    <row r="1088" spans="2:9" x14ac:dyDescent="0.25">
      <c r="B1088" s="476"/>
      <c r="C1088" s="476"/>
      <c r="D1088" s="475"/>
      <c r="E1088" s="476"/>
      <c r="F1088" s="475"/>
      <c r="G1088" s="476"/>
      <c r="H1088" s="475"/>
      <c r="I1088" s="476"/>
    </row>
    <row r="1089" spans="2:9" x14ac:dyDescent="0.25">
      <c r="B1089" s="476"/>
      <c r="C1089" s="476"/>
      <c r="D1089" s="475"/>
      <c r="E1089" s="476"/>
      <c r="F1089" s="475"/>
      <c r="G1089" s="476"/>
      <c r="H1089" s="475"/>
      <c r="I1089" s="476"/>
    </row>
    <row r="1090" spans="2:9" x14ac:dyDescent="0.25">
      <c r="B1090" s="476"/>
      <c r="C1090" s="476"/>
      <c r="D1090" s="475"/>
      <c r="E1090" s="476"/>
      <c r="F1090" s="475"/>
      <c r="G1090" s="476"/>
      <c r="H1090" s="475"/>
      <c r="I1090" s="476"/>
    </row>
    <row r="1091" spans="2:9" x14ac:dyDescent="0.25">
      <c r="B1091" s="476"/>
      <c r="C1091" s="476"/>
      <c r="D1091" s="475"/>
      <c r="E1091" s="476"/>
      <c r="F1091" s="475"/>
      <c r="G1091" s="476"/>
      <c r="H1091" s="475"/>
      <c r="I1091" s="476"/>
    </row>
    <row r="1092" spans="2:9" x14ac:dyDescent="0.25">
      <c r="B1092" s="476"/>
      <c r="C1092" s="476"/>
      <c r="D1092" s="475"/>
      <c r="E1092" s="476"/>
      <c r="F1092" s="475"/>
      <c r="G1092" s="476"/>
      <c r="H1092" s="475"/>
      <c r="I1092" s="476"/>
    </row>
    <row r="1093" spans="2:9" x14ac:dyDescent="0.25">
      <c r="B1093" s="476"/>
      <c r="C1093" s="476"/>
      <c r="D1093" s="475"/>
      <c r="E1093" s="476"/>
      <c r="F1093" s="475"/>
      <c r="G1093" s="476"/>
      <c r="H1093" s="475"/>
      <c r="I1093" s="476"/>
    </row>
    <row r="1094" spans="2:9" x14ac:dyDescent="0.25">
      <c r="B1094" s="476"/>
      <c r="C1094" s="476"/>
      <c r="D1094" s="475"/>
      <c r="E1094" s="476"/>
      <c r="F1094" s="475"/>
      <c r="G1094" s="476"/>
      <c r="H1094" s="475"/>
      <c r="I1094" s="476"/>
    </row>
    <row r="1095" spans="2:9" x14ac:dyDescent="0.25">
      <c r="B1095" s="476"/>
      <c r="C1095" s="476"/>
      <c r="D1095" s="475"/>
      <c r="E1095" s="476"/>
      <c r="F1095" s="475"/>
      <c r="G1095" s="476"/>
      <c r="H1095" s="475"/>
      <c r="I1095" s="476"/>
    </row>
    <row r="1096" spans="2:9" x14ac:dyDescent="0.25">
      <c r="B1096" s="476"/>
      <c r="C1096" s="476"/>
      <c r="D1096" s="475"/>
      <c r="E1096" s="476"/>
      <c r="F1096" s="475"/>
      <c r="G1096" s="476"/>
      <c r="H1096" s="475"/>
      <c r="I1096" s="476"/>
    </row>
    <row r="1097" spans="2:9" x14ac:dyDescent="0.25">
      <c r="B1097" s="476"/>
      <c r="C1097" s="476"/>
      <c r="D1097" s="475"/>
      <c r="E1097" s="476"/>
      <c r="F1097" s="475"/>
      <c r="G1097" s="476"/>
      <c r="H1097" s="475"/>
      <c r="I1097" s="476"/>
    </row>
    <row r="1098" spans="2:9" x14ac:dyDescent="0.25">
      <c r="B1098" s="476"/>
      <c r="C1098" s="476"/>
      <c r="D1098" s="475"/>
      <c r="E1098" s="476"/>
      <c r="F1098" s="475"/>
      <c r="G1098" s="476"/>
      <c r="H1098" s="475"/>
      <c r="I1098" s="476"/>
    </row>
    <row r="1099" spans="2:9" x14ac:dyDescent="0.25">
      <c r="B1099" s="476"/>
      <c r="C1099" s="476"/>
      <c r="D1099" s="475"/>
      <c r="E1099" s="476"/>
      <c r="F1099" s="475"/>
      <c r="G1099" s="476"/>
      <c r="H1099" s="475"/>
      <c r="I1099" s="476"/>
    </row>
    <row r="1100" spans="2:9" x14ac:dyDescent="0.25">
      <c r="B1100" s="476"/>
      <c r="C1100" s="476"/>
      <c r="D1100" s="475"/>
      <c r="E1100" s="476"/>
      <c r="F1100" s="475"/>
      <c r="G1100" s="476"/>
      <c r="H1100" s="475"/>
      <c r="I1100" s="476"/>
    </row>
    <row r="1101" spans="2:9" x14ac:dyDescent="0.25">
      <c r="B1101" s="476"/>
      <c r="C1101" s="476"/>
      <c r="D1101" s="475"/>
      <c r="E1101" s="476"/>
      <c r="F1101" s="475"/>
      <c r="G1101" s="476"/>
      <c r="H1101" s="475"/>
      <c r="I1101" s="476"/>
    </row>
    <row r="1102" spans="2:9" x14ac:dyDescent="0.25">
      <c r="B1102" s="476"/>
      <c r="C1102" s="476"/>
      <c r="D1102" s="475"/>
      <c r="E1102" s="476"/>
      <c r="F1102" s="475"/>
      <c r="G1102" s="476"/>
      <c r="H1102" s="475"/>
      <c r="I1102" s="476"/>
    </row>
    <row r="1103" spans="2:9" x14ac:dyDescent="0.25">
      <c r="B1103" s="476"/>
      <c r="C1103" s="476"/>
      <c r="D1103" s="475"/>
      <c r="E1103" s="476"/>
      <c r="F1103" s="475"/>
      <c r="G1103" s="476"/>
      <c r="H1103" s="475"/>
      <c r="I1103" s="476"/>
    </row>
    <row r="1104" spans="2:9" x14ac:dyDescent="0.25">
      <c r="B1104" s="476"/>
      <c r="C1104" s="476"/>
      <c r="D1104" s="475"/>
      <c r="E1104" s="476"/>
      <c r="F1104" s="475"/>
      <c r="G1104" s="476"/>
      <c r="H1104" s="475"/>
      <c r="I1104" s="476"/>
    </row>
    <row r="1105" spans="2:9" x14ac:dyDescent="0.25">
      <c r="B1105" s="476"/>
      <c r="C1105" s="476"/>
      <c r="D1105" s="475"/>
      <c r="E1105" s="476"/>
      <c r="F1105" s="475"/>
      <c r="G1105" s="476"/>
      <c r="H1105" s="475"/>
      <c r="I1105" s="476"/>
    </row>
    <row r="1106" spans="2:9" x14ac:dyDescent="0.25">
      <c r="B1106" s="476"/>
      <c r="C1106" s="476"/>
      <c r="D1106" s="475"/>
      <c r="E1106" s="476"/>
      <c r="F1106" s="475"/>
      <c r="G1106" s="476"/>
      <c r="H1106" s="475"/>
      <c r="I1106" s="476"/>
    </row>
    <row r="1107" spans="2:9" x14ac:dyDescent="0.25">
      <c r="B1107" s="476"/>
      <c r="C1107" s="476"/>
      <c r="D1107" s="475"/>
      <c r="E1107" s="476"/>
      <c r="F1107" s="475"/>
      <c r="G1107" s="476"/>
      <c r="H1107" s="475"/>
      <c r="I1107" s="476"/>
    </row>
    <row r="1108" spans="2:9" x14ac:dyDescent="0.25">
      <c r="B1108" s="476"/>
      <c r="C1108" s="476"/>
      <c r="D1108" s="475"/>
      <c r="E1108" s="476"/>
      <c r="F1108" s="475"/>
      <c r="G1108" s="476"/>
      <c r="H1108" s="475"/>
      <c r="I1108" s="476"/>
    </row>
    <row r="1109" spans="2:9" x14ac:dyDescent="0.25">
      <c r="B1109" s="476"/>
      <c r="C1109" s="476"/>
      <c r="D1109" s="475"/>
      <c r="E1109" s="476"/>
      <c r="F1109" s="475"/>
      <c r="G1109" s="476"/>
      <c r="H1109" s="475"/>
      <c r="I1109" s="476"/>
    </row>
    <row r="1110" spans="2:9" x14ac:dyDescent="0.25">
      <c r="B1110" s="476"/>
      <c r="C1110" s="476"/>
      <c r="D1110" s="475"/>
      <c r="E1110" s="476"/>
      <c r="F1110" s="475"/>
      <c r="G1110" s="476"/>
      <c r="H1110" s="475"/>
      <c r="I1110" s="476"/>
    </row>
    <row r="1111" spans="2:9" x14ac:dyDescent="0.25">
      <c r="B1111" s="476"/>
      <c r="C1111" s="476"/>
      <c r="D1111" s="475"/>
      <c r="E1111" s="476"/>
      <c r="F1111" s="475"/>
      <c r="G1111" s="476"/>
      <c r="H1111" s="475"/>
      <c r="I1111" s="476"/>
    </row>
    <row r="1112" spans="2:9" x14ac:dyDescent="0.25">
      <c r="B1112" s="476"/>
      <c r="C1112" s="476"/>
      <c r="D1112" s="475"/>
      <c r="E1112" s="476"/>
      <c r="F1112" s="475"/>
      <c r="G1112" s="476"/>
      <c r="H1112" s="475"/>
      <c r="I1112" s="476"/>
    </row>
    <row r="1113" spans="2:9" x14ac:dyDescent="0.25">
      <c r="B1113" s="476"/>
      <c r="C1113" s="476"/>
      <c r="D1113" s="475"/>
      <c r="E1113" s="476"/>
      <c r="F1113" s="475"/>
      <c r="G1113" s="476"/>
      <c r="H1113" s="475"/>
      <c r="I1113" s="476"/>
    </row>
    <row r="1114" spans="2:9" x14ac:dyDescent="0.25">
      <c r="B1114" s="476"/>
      <c r="C1114" s="476"/>
      <c r="D1114" s="475"/>
      <c r="E1114" s="476"/>
      <c r="F1114" s="475"/>
      <c r="G1114" s="476"/>
      <c r="H1114" s="475"/>
      <c r="I1114" s="476"/>
    </row>
    <row r="1115" spans="2:9" x14ac:dyDescent="0.25">
      <c r="B1115" s="476"/>
      <c r="C1115" s="476"/>
      <c r="D1115" s="475"/>
      <c r="E1115" s="476"/>
      <c r="F1115" s="475"/>
      <c r="G1115" s="476"/>
      <c r="H1115" s="475"/>
      <c r="I1115" s="476"/>
    </row>
    <row r="1116" spans="2:9" x14ac:dyDescent="0.25">
      <c r="B1116" s="476"/>
      <c r="C1116" s="476"/>
      <c r="D1116" s="475"/>
      <c r="E1116" s="476"/>
      <c r="F1116" s="475"/>
      <c r="G1116" s="476"/>
      <c r="H1116" s="475"/>
      <c r="I1116" s="476"/>
    </row>
    <row r="1117" spans="2:9" x14ac:dyDescent="0.25">
      <c r="B1117" s="476"/>
      <c r="C1117" s="476"/>
      <c r="D1117" s="475"/>
      <c r="E1117" s="476"/>
      <c r="F1117" s="475"/>
      <c r="G1117" s="476"/>
      <c r="H1117" s="475"/>
      <c r="I1117" s="476"/>
    </row>
    <row r="1118" spans="2:9" x14ac:dyDescent="0.25">
      <c r="B1118" s="476"/>
      <c r="C1118" s="476"/>
      <c r="D1118" s="475"/>
      <c r="E1118" s="476"/>
      <c r="F1118" s="475"/>
      <c r="G1118" s="476"/>
      <c r="H1118" s="475"/>
      <c r="I1118" s="476"/>
    </row>
    <row r="1119" spans="2:9" x14ac:dyDescent="0.25">
      <c r="B1119" s="476"/>
      <c r="C1119" s="476"/>
      <c r="D1119" s="475"/>
      <c r="E1119" s="476"/>
      <c r="F1119" s="475"/>
      <c r="G1119" s="476"/>
      <c r="H1119" s="475"/>
      <c r="I1119" s="476"/>
    </row>
    <row r="1120" spans="2:9" x14ac:dyDescent="0.25">
      <c r="B1120" s="476"/>
      <c r="C1120" s="476"/>
      <c r="D1120" s="475"/>
      <c r="E1120" s="476"/>
      <c r="F1120" s="475"/>
      <c r="G1120" s="476"/>
      <c r="H1120" s="475"/>
      <c r="I1120" s="476"/>
    </row>
    <row r="1121" spans="2:9" x14ac:dyDescent="0.25">
      <c r="B1121" s="476"/>
      <c r="C1121" s="476"/>
      <c r="D1121" s="475"/>
      <c r="E1121" s="476"/>
      <c r="F1121" s="475"/>
      <c r="G1121" s="476"/>
      <c r="H1121" s="475"/>
      <c r="I1121" s="476"/>
    </row>
    <row r="1122" spans="2:9" x14ac:dyDescent="0.25">
      <c r="B1122" s="476"/>
      <c r="C1122" s="476"/>
      <c r="D1122" s="475"/>
      <c r="E1122" s="476"/>
      <c r="F1122" s="475"/>
      <c r="G1122" s="476"/>
      <c r="H1122" s="475"/>
      <c r="I1122" s="476"/>
    </row>
    <row r="1123" spans="2:9" x14ac:dyDescent="0.25">
      <c r="B1123" s="476"/>
      <c r="C1123" s="476"/>
      <c r="D1123" s="475"/>
      <c r="E1123" s="476"/>
      <c r="F1123" s="475"/>
      <c r="G1123" s="476"/>
      <c r="H1123" s="475"/>
      <c r="I1123" s="476"/>
    </row>
    <row r="1124" spans="2:9" x14ac:dyDescent="0.25">
      <c r="B1124" s="476"/>
      <c r="C1124" s="476"/>
      <c r="D1124" s="475"/>
      <c r="E1124" s="476"/>
      <c r="F1124" s="475"/>
      <c r="G1124" s="476"/>
      <c r="H1124" s="475"/>
      <c r="I1124" s="476"/>
    </row>
    <row r="1125" spans="2:9" x14ac:dyDescent="0.25">
      <c r="B1125" s="476"/>
      <c r="C1125" s="476"/>
      <c r="D1125" s="475"/>
      <c r="E1125" s="476"/>
      <c r="F1125" s="475"/>
      <c r="G1125" s="476"/>
      <c r="H1125" s="475"/>
      <c r="I1125" s="476"/>
    </row>
    <row r="1126" spans="2:9" x14ac:dyDescent="0.25">
      <c r="B1126" s="476"/>
      <c r="C1126" s="476"/>
      <c r="D1126" s="475"/>
      <c r="E1126" s="476"/>
      <c r="F1126" s="475"/>
      <c r="G1126" s="476"/>
      <c r="H1126" s="475"/>
      <c r="I1126" s="476"/>
    </row>
    <row r="1127" spans="2:9" x14ac:dyDescent="0.25">
      <c r="B1127" s="476"/>
      <c r="C1127" s="476"/>
      <c r="D1127" s="475"/>
      <c r="E1127" s="476"/>
      <c r="F1127" s="475"/>
      <c r="G1127" s="476"/>
      <c r="H1127" s="475"/>
      <c r="I1127" s="476"/>
    </row>
    <row r="1128" spans="2:9" x14ac:dyDescent="0.25">
      <c r="B1128" s="476"/>
      <c r="C1128" s="476"/>
      <c r="D1128" s="475"/>
      <c r="E1128" s="476"/>
      <c r="F1128" s="475"/>
      <c r="G1128" s="476"/>
      <c r="H1128" s="475"/>
      <c r="I1128" s="476"/>
    </row>
    <row r="1129" spans="2:9" x14ac:dyDescent="0.25">
      <c r="B1129" s="476"/>
      <c r="C1129" s="476"/>
      <c r="D1129" s="475"/>
      <c r="E1129" s="476"/>
      <c r="F1129" s="475"/>
      <c r="G1129" s="476"/>
      <c r="H1129" s="475"/>
      <c r="I1129" s="476"/>
    </row>
    <row r="1130" spans="2:9" x14ac:dyDescent="0.25">
      <c r="B1130" s="476"/>
      <c r="C1130" s="476"/>
      <c r="D1130" s="475"/>
      <c r="E1130" s="476"/>
      <c r="F1130" s="475"/>
      <c r="G1130" s="476"/>
      <c r="H1130" s="475"/>
      <c r="I1130" s="476"/>
    </row>
    <row r="1131" spans="2:9" x14ac:dyDescent="0.25">
      <c r="B1131" s="476"/>
      <c r="C1131" s="476"/>
      <c r="D1131" s="475"/>
      <c r="E1131" s="476"/>
      <c r="F1131" s="475"/>
      <c r="G1131" s="476"/>
      <c r="H1131" s="475"/>
      <c r="I1131" s="476"/>
    </row>
    <row r="1132" spans="2:9" x14ac:dyDescent="0.25">
      <c r="B1132" s="476"/>
      <c r="C1132" s="476"/>
      <c r="D1132" s="475"/>
      <c r="E1132" s="476"/>
      <c r="F1132" s="475"/>
      <c r="G1132" s="476"/>
      <c r="H1132" s="475"/>
      <c r="I1132" s="476"/>
    </row>
    <row r="1133" spans="2:9" x14ac:dyDescent="0.25">
      <c r="B1133" s="476"/>
      <c r="C1133" s="476"/>
      <c r="D1133" s="475"/>
      <c r="E1133" s="476"/>
      <c r="F1133" s="475"/>
      <c r="G1133" s="476"/>
      <c r="H1133" s="475"/>
      <c r="I1133" s="476"/>
    </row>
    <row r="1134" spans="2:9" x14ac:dyDescent="0.25">
      <c r="B1134" s="476"/>
      <c r="C1134" s="476"/>
      <c r="D1134" s="475"/>
      <c r="E1134" s="476"/>
      <c r="F1134" s="475"/>
      <c r="G1134" s="476"/>
      <c r="H1134" s="475"/>
      <c r="I1134" s="476"/>
    </row>
    <row r="1135" spans="2:9" x14ac:dyDescent="0.25">
      <c r="B1135" s="476"/>
      <c r="C1135" s="476"/>
      <c r="D1135" s="475"/>
      <c r="E1135" s="476"/>
      <c r="F1135" s="475"/>
      <c r="G1135" s="476"/>
      <c r="H1135" s="475"/>
      <c r="I1135" s="476"/>
    </row>
    <row r="1136" spans="2:9" x14ac:dyDescent="0.25">
      <c r="B1136" s="476"/>
      <c r="C1136" s="476"/>
      <c r="D1136" s="475"/>
      <c r="E1136" s="476"/>
      <c r="F1136" s="475"/>
      <c r="G1136" s="476"/>
      <c r="H1136" s="475"/>
      <c r="I1136" s="476"/>
    </row>
    <row r="1137" spans="2:9" x14ac:dyDescent="0.25">
      <c r="B1137" s="476"/>
      <c r="C1137" s="476"/>
      <c r="D1137" s="475"/>
      <c r="E1137" s="476"/>
      <c r="F1137" s="475"/>
      <c r="G1137" s="476"/>
      <c r="H1137" s="475"/>
      <c r="I1137" s="476"/>
    </row>
    <row r="1138" spans="2:9" x14ac:dyDescent="0.25">
      <c r="B1138" s="476"/>
      <c r="C1138" s="476"/>
      <c r="D1138" s="475"/>
      <c r="E1138" s="476"/>
      <c r="F1138" s="475"/>
      <c r="G1138" s="476"/>
      <c r="H1138" s="475"/>
      <c r="I1138" s="476"/>
    </row>
    <row r="1139" spans="2:9" x14ac:dyDescent="0.25">
      <c r="B1139" s="476"/>
      <c r="C1139" s="476"/>
      <c r="D1139" s="475"/>
      <c r="E1139" s="476"/>
      <c r="F1139" s="475"/>
      <c r="G1139" s="476"/>
      <c r="H1139" s="475"/>
      <c r="I1139" s="476"/>
    </row>
    <row r="1140" spans="2:9" x14ac:dyDescent="0.25">
      <c r="B1140" s="476"/>
      <c r="C1140" s="476"/>
      <c r="D1140" s="475"/>
      <c r="E1140" s="476"/>
      <c r="F1140" s="475"/>
      <c r="G1140" s="476"/>
      <c r="H1140" s="475"/>
      <c r="I1140" s="476"/>
    </row>
    <row r="1141" spans="2:9" x14ac:dyDescent="0.25">
      <c r="B1141" s="476"/>
      <c r="C1141" s="476"/>
      <c r="D1141" s="475"/>
      <c r="E1141" s="476"/>
      <c r="F1141" s="475"/>
      <c r="G1141" s="476"/>
      <c r="H1141" s="475"/>
      <c r="I1141" s="476"/>
    </row>
    <row r="1142" spans="2:9" x14ac:dyDescent="0.25">
      <c r="B1142" s="476"/>
      <c r="C1142" s="476"/>
      <c r="D1142" s="475"/>
      <c r="E1142" s="476"/>
      <c r="F1142" s="475"/>
      <c r="G1142" s="476"/>
      <c r="H1142" s="475"/>
      <c r="I1142" s="476"/>
    </row>
    <row r="1143" spans="2:9" x14ac:dyDescent="0.25">
      <c r="B1143" s="476"/>
      <c r="C1143" s="476"/>
      <c r="D1143" s="475"/>
      <c r="E1143" s="476"/>
      <c r="F1143" s="475"/>
      <c r="G1143" s="476"/>
      <c r="H1143" s="475"/>
      <c r="I1143" s="476"/>
    </row>
    <row r="1144" spans="2:9" x14ac:dyDescent="0.25">
      <c r="B1144" s="476"/>
      <c r="C1144" s="476"/>
      <c r="D1144" s="475"/>
      <c r="E1144" s="476"/>
      <c r="F1144" s="475"/>
      <c r="G1144" s="476"/>
      <c r="H1144" s="475"/>
      <c r="I1144" s="476"/>
    </row>
    <row r="1145" spans="2:9" x14ac:dyDescent="0.25">
      <c r="B1145" s="476"/>
      <c r="C1145" s="476"/>
      <c r="D1145" s="475"/>
      <c r="E1145" s="476"/>
      <c r="F1145" s="475"/>
      <c r="G1145" s="476"/>
      <c r="H1145" s="475"/>
      <c r="I1145" s="476"/>
    </row>
    <row r="1146" spans="2:9" x14ac:dyDescent="0.25">
      <c r="B1146" s="476"/>
      <c r="C1146" s="476"/>
      <c r="D1146" s="475"/>
      <c r="E1146" s="476"/>
      <c r="F1146" s="475"/>
      <c r="G1146" s="476"/>
      <c r="H1146" s="475"/>
      <c r="I1146" s="476"/>
    </row>
    <row r="1147" spans="2:9" x14ac:dyDescent="0.25">
      <c r="B1147" s="476"/>
      <c r="C1147" s="476"/>
      <c r="D1147" s="475"/>
      <c r="E1147" s="476"/>
      <c r="F1147" s="475"/>
      <c r="G1147" s="476"/>
      <c r="H1147" s="475"/>
      <c r="I1147" s="476"/>
    </row>
    <row r="1148" spans="2:9" x14ac:dyDescent="0.25">
      <c r="B1148" s="476"/>
      <c r="C1148" s="476"/>
      <c r="D1148" s="475"/>
      <c r="E1148" s="476"/>
      <c r="F1148" s="475"/>
      <c r="G1148" s="476"/>
      <c r="H1148" s="475"/>
      <c r="I1148" s="476"/>
    </row>
    <row r="1149" spans="2:9" x14ac:dyDescent="0.25">
      <c r="B1149" s="476"/>
      <c r="C1149" s="476"/>
      <c r="D1149" s="475"/>
      <c r="E1149" s="476"/>
      <c r="F1149" s="475"/>
      <c r="G1149" s="476"/>
      <c r="H1149" s="475"/>
      <c r="I1149" s="476"/>
    </row>
    <row r="1150" spans="2:9" x14ac:dyDescent="0.25">
      <c r="B1150" s="476"/>
      <c r="C1150" s="476"/>
      <c r="D1150" s="475"/>
      <c r="E1150" s="476"/>
      <c r="F1150" s="475"/>
      <c r="G1150" s="476"/>
      <c r="H1150" s="475"/>
      <c r="I1150" s="476"/>
    </row>
    <row r="1151" spans="2:9" x14ac:dyDescent="0.25">
      <c r="B1151" s="476"/>
      <c r="C1151" s="476"/>
      <c r="D1151" s="475"/>
      <c r="E1151" s="476"/>
      <c r="F1151" s="475"/>
      <c r="G1151" s="476"/>
      <c r="H1151" s="475"/>
      <c r="I1151" s="476"/>
    </row>
    <row r="1152" spans="2:9" x14ac:dyDescent="0.25">
      <c r="B1152" s="476"/>
      <c r="C1152" s="476"/>
      <c r="D1152" s="475"/>
      <c r="E1152" s="476"/>
      <c r="F1152" s="475"/>
      <c r="G1152" s="476"/>
      <c r="H1152" s="475"/>
      <c r="I1152" s="476"/>
    </row>
    <row r="1153" spans="2:9" x14ac:dyDescent="0.25">
      <c r="B1153" s="476"/>
      <c r="C1153" s="476"/>
      <c r="D1153" s="475"/>
      <c r="E1153" s="476"/>
      <c r="F1153" s="475"/>
      <c r="G1153" s="476"/>
      <c r="H1153" s="475"/>
      <c r="I1153" s="476"/>
    </row>
    <row r="1154" spans="2:9" x14ac:dyDescent="0.25">
      <c r="B1154" s="476"/>
      <c r="C1154" s="476"/>
      <c r="D1154" s="475"/>
      <c r="E1154" s="476"/>
      <c r="F1154" s="475"/>
      <c r="G1154" s="476"/>
      <c r="H1154" s="475"/>
      <c r="I1154" s="476"/>
    </row>
    <row r="1155" spans="2:9" x14ac:dyDescent="0.25">
      <c r="B1155" s="476"/>
      <c r="C1155" s="476"/>
      <c r="D1155" s="475"/>
      <c r="E1155" s="476"/>
      <c r="F1155" s="475"/>
      <c r="G1155" s="476"/>
      <c r="H1155" s="475"/>
      <c r="I1155" s="476"/>
    </row>
    <row r="1156" spans="2:9" x14ac:dyDescent="0.25">
      <c r="B1156" s="476"/>
      <c r="C1156" s="476"/>
      <c r="D1156" s="475"/>
      <c r="E1156" s="476"/>
      <c r="F1156" s="475"/>
      <c r="G1156" s="476"/>
      <c r="H1156" s="475"/>
      <c r="I1156" s="476"/>
    </row>
    <row r="1157" spans="2:9" x14ac:dyDescent="0.25">
      <c r="B1157" s="476"/>
      <c r="C1157" s="476"/>
      <c r="D1157" s="475"/>
      <c r="E1157" s="476"/>
      <c r="F1157" s="475"/>
      <c r="G1157" s="476"/>
      <c r="H1157" s="475"/>
      <c r="I1157" s="476"/>
    </row>
    <row r="1158" spans="2:9" x14ac:dyDescent="0.25">
      <c r="B1158" s="476"/>
      <c r="C1158" s="476"/>
      <c r="D1158" s="475"/>
      <c r="E1158" s="476"/>
      <c r="F1158" s="475"/>
      <c r="G1158" s="476"/>
      <c r="H1158" s="475"/>
      <c r="I1158" s="476"/>
    </row>
    <row r="1159" spans="2:9" x14ac:dyDescent="0.25">
      <c r="B1159" s="476"/>
      <c r="C1159" s="476"/>
      <c r="D1159" s="475"/>
      <c r="E1159" s="476"/>
      <c r="F1159" s="475"/>
      <c r="G1159" s="476"/>
      <c r="H1159" s="475"/>
      <c r="I1159" s="476"/>
    </row>
    <row r="1160" spans="2:9" x14ac:dyDescent="0.25">
      <c r="B1160" s="476"/>
      <c r="C1160" s="476"/>
      <c r="D1160" s="475"/>
      <c r="E1160" s="476"/>
      <c r="F1160" s="475"/>
      <c r="G1160" s="476"/>
      <c r="H1160" s="475"/>
      <c r="I1160" s="476"/>
    </row>
    <row r="1161" spans="2:9" x14ac:dyDescent="0.25">
      <c r="B1161" s="476"/>
      <c r="C1161" s="476"/>
      <c r="D1161" s="475"/>
      <c r="E1161" s="476"/>
      <c r="F1161" s="475"/>
      <c r="G1161" s="476"/>
      <c r="H1161" s="475"/>
      <c r="I1161" s="476"/>
    </row>
    <row r="1162" spans="2:9" x14ac:dyDescent="0.25">
      <c r="B1162" s="476"/>
      <c r="C1162" s="476"/>
      <c r="D1162" s="475"/>
      <c r="E1162" s="476"/>
      <c r="F1162" s="475"/>
      <c r="G1162" s="476"/>
      <c r="H1162" s="475"/>
      <c r="I1162" s="476"/>
    </row>
    <row r="1163" spans="2:9" x14ac:dyDescent="0.25">
      <c r="B1163" s="476"/>
      <c r="C1163" s="476"/>
      <c r="D1163" s="475"/>
      <c r="E1163" s="476"/>
      <c r="F1163" s="475"/>
      <c r="G1163" s="476"/>
      <c r="H1163" s="475"/>
      <c r="I1163" s="476"/>
    </row>
    <row r="1164" spans="2:9" x14ac:dyDescent="0.25">
      <c r="B1164" s="476"/>
      <c r="C1164" s="476"/>
      <c r="D1164" s="475"/>
      <c r="E1164" s="476"/>
      <c r="F1164" s="475"/>
      <c r="G1164" s="476"/>
      <c r="H1164" s="475"/>
      <c r="I1164" s="476"/>
    </row>
    <row r="1165" spans="2:9" x14ac:dyDescent="0.25">
      <c r="B1165" s="476"/>
      <c r="C1165" s="476"/>
      <c r="D1165" s="475"/>
      <c r="E1165" s="476"/>
      <c r="F1165" s="475"/>
      <c r="G1165" s="476"/>
      <c r="H1165" s="475"/>
      <c r="I1165" s="476"/>
    </row>
    <row r="1166" spans="2:9" x14ac:dyDescent="0.25">
      <c r="B1166" s="476"/>
      <c r="C1166" s="476"/>
      <c r="D1166" s="475"/>
      <c r="E1166" s="476"/>
      <c r="F1166" s="475"/>
      <c r="G1166" s="476"/>
      <c r="H1166" s="475"/>
      <c r="I1166" s="476"/>
    </row>
    <row r="1167" spans="2:9" x14ac:dyDescent="0.25">
      <c r="B1167" s="476"/>
      <c r="C1167" s="476"/>
      <c r="D1167" s="475"/>
      <c r="E1167" s="476"/>
      <c r="F1167" s="475"/>
      <c r="G1167" s="476"/>
      <c r="H1167" s="475"/>
      <c r="I1167" s="476"/>
    </row>
    <row r="1168" spans="2:9" x14ac:dyDescent="0.25">
      <c r="B1168" s="476"/>
      <c r="C1168" s="476"/>
      <c r="D1168" s="475"/>
      <c r="E1168" s="476"/>
      <c r="F1168" s="475"/>
      <c r="G1168" s="476"/>
      <c r="H1168" s="475"/>
      <c r="I1168" s="476"/>
    </row>
    <row r="1169" spans="2:9" x14ac:dyDescent="0.25">
      <c r="B1169" s="476"/>
      <c r="C1169" s="476"/>
      <c r="D1169" s="475"/>
      <c r="E1169" s="476"/>
      <c r="F1169" s="475"/>
      <c r="G1169" s="476"/>
      <c r="H1169" s="475"/>
      <c r="I1169" s="476"/>
    </row>
    <row r="1170" spans="2:9" x14ac:dyDescent="0.25">
      <c r="B1170" s="476"/>
      <c r="C1170" s="476"/>
      <c r="D1170" s="475"/>
      <c r="E1170" s="476"/>
      <c r="F1170" s="475"/>
      <c r="G1170" s="476"/>
      <c r="H1170" s="475"/>
      <c r="I1170" s="476"/>
    </row>
    <row r="1171" spans="2:9" x14ac:dyDescent="0.25">
      <c r="B1171" s="476"/>
      <c r="C1171" s="476"/>
      <c r="D1171" s="475"/>
      <c r="E1171" s="476"/>
      <c r="F1171" s="475"/>
      <c r="G1171" s="476"/>
      <c r="H1171" s="475"/>
      <c r="I1171" s="476"/>
    </row>
    <row r="1172" spans="2:9" x14ac:dyDescent="0.25">
      <c r="B1172" s="476"/>
      <c r="C1172" s="476"/>
      <c r="D1172" s="475"/>
      <c r="E1172" s="476"/>
      <c r="F1172" s="475"/>
      <c r="G1172" s="476"/>
      <c r="H1172" s="475"/>
      <c r="I1172" s="476"/>
    </row>
    <row r="1173" spans="2:9" x14ac:dyDescent="0.25">
      <c r="B1173" s="476"/>
      <c r="C1173" s="476"/>
      <c r="D1173" s="475"/>
      <c r="E1173" s="476"/>
      <c r="F1173" s="475"/>
      <c r="G1173" s="476"/>
      <c r="H1173" s="475"/>
      <c r="I1173" s="476"/>
    </row>
    <row r="1174" spans="2:9" x14ac:dyDescent="0.25">
      <c r="B1174" s="476"/>
      <c r="C1174" s="476"/>
      <c r="D1174" s="475"/>
      <c r="E1174" s="476"/>
      <c r="F1174" s="475"/>
      <c r="G1174" s="476"/>
      <c r="H1174" s="475"/>
      <c r="I1174" s="476"/>
    </row>
    <row r="1175" spans="2:9" x14ac:dyDescent="0.25">
      <c r="B1175" s="476"/>
      <c r="C1175" s="476"/>
      <c r="D1175" s="475"/>
      <c r="E1175" s="476"/>
      <c r="F1175" s="475"/>
      <c r="G1175" s="476"/>
      <c r="H1175" s="475"/>
      <c r="I1175" s="476"/>
    </row>
    <row r="1176" spans="2:9" x14ac:dyDescent="0.25">
      <c r="B1176" s="476"/>
      <c r="C1176" s="476"/>
      <c r="D1176" s="475"/>
      <c r="E1176" s="476"/>
      <c r="F1176" s="475"/>
      <c r="G1176" s="476"/>
      <c r="H1176" s="475"/>
      <c r="I1176" s="476"/>
    </row>
    <row r="1177" spans="2:9" x14ac:dyDescent="0.25">
      <c r="B1177" s="476"/>
      <c r="C1177" s="476"/>
      <c r="D1177" s="475"/>
      <c r="E1177" s="476"/>
      <c r="F1177" s="475"/>
      <c r="G1177" s="476"/>
      <c r="H1177" s="475"/>
      <c r="I1177" s="476"/>
    </row>
    <row r="1178" spans="2:9" x14ac:dyDescent="0.25">
      <c r="B1178" s="476"/>
      <c r="C1178" s="476"/>
      <c r="D1178" s="475"/>
      <c r="E1178" s="476"/>
      <c r="F1178" s="475"/>
      <c r="G1178" s="476"/>
      <c r="H1178" s="475"/>
      <c r="I1178" s="476"/>
    </row>
    <row r="1179" spans="2:9" x14ac:dyDescent="0.25">
      <c r="B1179" s="476"/>
      <c r="C1179" s="476"/>
      <c r="D1179" s="475"/>
      <c r="E1179" s="476"/>
      <c r="F1179" s="475"/>
      <c r="G1179" s="476"/>
      <c r="H1179" s="475"/>
      <c r="I1179" s="476"/>
    </row>
    <row r="1180" spans="2:9" x14ac:dyDescent="0.25">
      <c r="B1180" s="476"/>
      <c r="C1180" s="476"/>
      <c r="D1180" s="475"/>
      <c r="E1180" s="476"/>
      <c r="F1180" s="475"/>
      <c r="G1180" s="476"/>
      <c r="H1180" s="475"/>
      <c r="I1180" s="476"/>
    </row>
    <row r="1181" spans="2:9" x14ac:dyDescent="0.25">
      <c r="B1181" s="476"/>
      <c r="C1181" s="476"/>
      <c r="D1181" s="475"/>
      <c r="E1181" s="476"/>
      <c r="F1181" s="475"/>
      <c r="G1181" s="476"/>
      <c r="H1181" s="475"/>
      <c r="I1181" s="476"/>
    </row>
    <row r="1182" spans="2:9" x14ac:dyDescent="0.25">
      <c r="B1182" s="476"/>
      <c r="C1182" s="476"/>
      <c r="D1182" s="475"/>
      <c r="E1182" s="476"/>
      <c r="F1182" s="475"/>
      <c r="G1182" s="476"/>
      <c r="H1182" s="475"/>
      <c r="I1182" s="476"/>
    </row>
    <row r="1183" spans="2:9" x14ac:dyDescent="0.25">
      <c r="B1183" s="476"/>
      <c r="C1183" s="476"/>
      <c r="D1183" s="475"/>
      <c r="E1183" s="476"/>
      <c r="F1183" s="475"/>
      <c r="G1183" s="476"/>
      <c r="H1183" s="475"/>
      <c r="I1183" s="476"/>
    </row>
    <row r="1184" spans="2:9" x14ac:dyDescent="0.25">
      <c r="B1184" s="476"/>
      <c r="C1184" s="476"/>
      <c r="D1184" s="475"/>
      <c r="E1184" s="476"/>
      <c r="F1184" s="475"/>
      <c r="G1184" s="476"/>
      <c r="H1184" s="475"/>
      <c r="I1184" s="476"/>
    </row>
    <row r="1185" spans="2:9" x14ac:dyDescent="0.25">
      <c r="B1185" s="476"/>
      <c r="C1185" s="476"/>
      <c r="D1185" s="475"/>
      <c r="E1185" s="476"/>
      <c r="F1185" s="475"/>
      <c r="G1185" s="476"/>
      <c r="H1185" s="475"/>
      <c r="I1185" s="476"/>
    </row>
    <row r="1186" spans="2:9" x14ac:dyDescent="0.25">
      <c r="B1186" s="476"/>
      <c r="C1186" s="476"/>
      <c r="D1186" s="475"/>
      <c r="E1186" s="476"/>
      <c r="F1186" s="475"/>
      <c r="G1186" s="476"/>
      <c r="H1186" s="475"/>
      <c r="I1186" s="476"/>
    </row>
    <row r="1187" spans="2:9" x14ac:dyDescent="0.25">
      <c r="B1187" s="476"/>
      <c r="C1187" s="476"/>
      <c r="D1187" s="475"/>
      <c r="E1187" s="476"/>
      <c r="F1187" s="475"/>
      <c r="G1187" s="476"/>
      <c r="H1187" s="475"/>
      <c r="I1187" s="476"/>
    </row>
    <row r="1188" spans="2:9" x14ac:dyDescent="0.25">
      <c r="B1188" s="476"/>
      <c r="C1188" s="476"/>
      <c r="D1188" s="475"/>
      <c r="E1188" s="476"/>
      <c r="F1188" s="475"/>
      <c r="G1188" s="476"/>
      <c r="H1188" s="475"/>
      <c r="I1188" s="476"/>
    </row>
    <row r="1189" spans="2:9" x14ac:dyDescent="0.25">
      <c r="B1189" s="476"/>
      <c r="C1189" s="476"/>
      <c r="D1189" s="475"/>
      <c r="E1189" s="476"/>
      <c r="F1189" s="475"/>
      <c r="G1189" s="476"/>
      <c r="H1189" s="475"/>
      <c r="I1189" s="476"/>
    </row>
    <row r="1190" spans="2:9" x14ac:dyDescent="0.25">
      <c r="B1190" s="476"/>
      <c r="C1190" s="476"/>
      <c r="D1190" s="475"/>
      <c r="E1190" s="476"/>
      <c r="F1190" s="475"/>
      <c r="G1190" s="476"/>
      <c r="H1190" s="475"/>
      <c r="I1190" s="476"/>
    </row>
    <row r="1191" spans="2:9" x14ac:dyDescent="0.25">
      <c r="B1191" s="476"/>
      <c r="C1191" s="476"/>
      <c r="D1191" s="475"/>
      <c r="E1191" s="476"/>
      <c r="F1191" s="475"/>
      <c r="G1191" s="476"/>
      <c r="H1191" s="475"/>
      <c r="I1191" s="476"/>
    </row>
    <row r="1192" spans="2:9" x14ac:dyDescent="0.25">
      <c r="B1192" s="476"/>
      <c r="C1192" s="476"/>
      <c r="D1192" s="475"/>
      <c r="E1192" s="476"/>
      <c r="F1192" s="475"/>
      <c r="G1192" s="476"/>
      <c r="H1192" s="475"/>
      <c r="I1192" s="476"/>
    </row>
    <row r="1193" spans="2:9" x14ac:dyDescent="0.25">
      <c r="B1193" s="476"/>
      <c r="C1193" s="476"/>
      <c r="D1193" s="475"/>
      <c r="E1193" s="476"/>
      <c r="F1193" s="475"/>
      <c r="G1193" s="476"/>
      <c r="H1193" s="475"/>
      <c r="I1193" s="476"/>
    </row>
    <row r="1194" spans="2:9" x14ac:dyDescent="0.25">
      <c r="B1194" s="476"/>
      <c r="C1194" s="476"/>
      <c r="D1194" s="475"/>
      <c r="E1194" s="476"/>
      <c r="F1194" s="475"/>
      <c r="G1194" s="476"/>
      <c r="H1194" s="475"/>
      <c r="I1194" s="476"/>
    </row>
    <row r="1195" spans="2:9" x14ac:dyDescent="0.25">
      <c r="B1195" s="476"/>
      <c r="C1195" s="476"/>
      <c r="D1195" s="475"/>
      <c r="E1195" s="476"/>
      <c r="F1195" s="475"/>
      <c r="G1195" s="476"/>
      <c r="H1195" s="475"/>
      <c r="I1195" s="476"/>
    </row>
    <row r="1196" spans="2:9" x14ac:dyDescent="0.25">
      <c r="B1196" s="476"/>
      <c r="C1196" s="476"/>
      <c r="D1196" s="475"/>
      <c r="E1196" s="476"/>
      <c r="F1196" s="475"/>
      <c r="G1196" s="476"/>
      <c r="H1196" s="475"/>
      <c r="I1196" s="476"/>
    </row>
    <row r="1197" spans="2:9" x14ac:dyDescent="0.25">
      <c r="B1197" s="476"/>
      <c r="C1197" s="476"/>
      <c r="D1197" s="475"/>
      <c r="E1197" s="476"/>
      <c r="F1197" s="475"/>
      <c r="G1197" s="476"/>
      <c r="H1197" s="475"/>
      <c r="I1197" s="476"/>
    </row>
    <row r="1198" spans="2:9" x14ac:dyDescent="0.25">
      <c r="B1198" s="476"/>
      <c r="C1198" s="476"/>
      <c r="D1198" s="475"/>
      <c r="E1198" s="476"/>
      <c r="F1198" s="475"/>
      <c r="G1198" s="476"/>
      <c r="H1198" s="475"/>
      <c r="I1198" s="476"/>
    </row>
    <row r="1199" spans="2:9" x14ac:dyDescent="0.25">
      <c r="B1199" s="476"/>
      <c r="C1199" s="476"/>
      <c r="D1199" s="475"/>
      <c r="E1199" s="476"/>
      <c r="F1199" s="475"/>
      <c r="G1199" s="476"/>
      <c r="H1199" s="475"/>
      <c r="I1199" s="476"/>
    </row>
    <row r="1200" spans="2:9" x14ac:dyDescent="0.25">
      <c r="B1200" s="476"/>
      <c r="C1200" s="476"/>
      <c r="D1200" s="475"/>
      <c r="E1200" s="476"/>
      <c r="F1200" s="475"/>
      <c r="G1200" s="476"/>
      <c r="H1200" s="475"/>
      <c r="I1200" s="476"/>
    </row>
    <row r="1201" spans="2:9" x14ac:dyDescent="0.25">
      <c r="B1201" s="476"/>
      <c r="C1201" s="476"/>
      <c r="D1201" s="475"/>
      <c r="E1201" s="476"/>
      <c r="F1201" s="475"/>
      <c r="G1201" s="476"/>
      <c r="H1201" s="475"/>
      <c r="I1201" s="476"/>
    </row>
    <row r="1202" spans="2:9" x14ac:dyDescent="0.25">
      <c r="B1202" s="476"/>
      <c r="C1202" s="476"/>
      <c r="D1202" s="475"/>
      <c r="E1202" s="476"/>
      <c r="F1202" s="475"/>
      <c r="G1202" s="476"/>
      <c r="H1202" s="475"/>
      <c r="I1202" s="476"/>
    </row>
    <row r="1203" spans="2:9" x14ac:dyDescent="0.25">
      <c r="B1203" s="476"/>
      <c r="C1203" s="476"/>
      <c r="D1203" s="475"/>
      <c r="E1203" s="476"/>
      <c r="F1203" s="475"/>
      <c r="G1203" s="476"/>
      <c r="H1203" s="475"/>
      <c r="I1203" s="476"/>
    </row>
    <row r="1204" spans="2:9" x14ac:dyDescent="0.25">
      <c r="B1204" s="476"/>
      <c r="C1204" s="476"/>
      <c r="D1204" s="475"/>
      <c r="E1204" s="476"/>
      <c r="F1204" s="475"/>
      <c r="G1204" s="476"/>
      <c r="H1204" s="475"/>
      <c r="I1204" s="476"/>
    </row>
    <row r="1205" spans="2:9" x14ac:dyDescent="0.25">
      <c r="B1205" s="476"/>
      <c r="C1205" s="476"/>
      <c r="D1205" s="475"/>
      <c r="E1205" s="476"/>
      <c r="F1205" s="475"/>
      <c r="G1205" s="476"/>
      <c r="H1205" s="475"/>
      <c r="I1205" s="476"/>
    </row>
    <row r="1206" spans="2:9" x14ac:dyDescent="0.25">
      <c r="B1206" s="476"/>
      <c r="C1206" s="476"/>
      <c r="D1206" s="475"/>
      <c r="E1206" s="476"/>
      <c r="F1206" s="475"/>
      <c r="G1206" s="476"/>
      <c r="H1206" s="475"/>
      <c r="I1206" s="476"/>
    </row>
    <row r="1207" spans="2:9" x14ac:dyDescent="0.25">
      <c r="B1207" s="476"/>
      <c r="C1207" s="476"/>
      <c r="D1207" s="475"/>
      <c r="E1207" s="476"/>
      <c r="F1207" s="475"/>
      <c r="G1207" s="476"/>
      <c r="H1207" s="475"/>
      <c r="I1207" s="476"/>
    </row>
    <row r="1208" spans="2:9" x14ac:dyDescent="0.25">
      <c r="B1208" s="476"/>
      <c r="C1208" s="476"/>
      <c r="D1208" s="475"/>
      <c r="E1208" s="476"/>
      <c r="F1208" s="475"/>
      <c r="G1208" s="476"/>
      <c r="H1208" s="475"/>
      <c r="I1208" s="476"/>
    </row>
    <row r="1209" spans="2:9" x14ac:dyDescent="0.25">
      <c r="B1209" s="476"/>
      <c r="C1209" s="476"/>
      <c r="D1209" s="475"/>
      <c r="E1209" s="476"/>
      <c r="F1209" s="475"/>
      <c r="G1209" s="476"/>
      <c r="H1209" s="475"/>
      <c r="I1209" s="476"/>
    </row>
    <row r="1210" spans="2:9" x14ac:dyDescent="0.25">
      <c r="B1210" s="476"/>
      <c r="C1210" s="476"/>
      <c r="D1210" s="475"/>
      <c r="E1210" s="476"/>
      <c r="F1210" s="475"/>
      <c r="G1210" s="476"/>
      <c r="H1210" s="475"/>
      <c r="I1210" s="476"/>
    </row>
    <row r="1211" spans="2:9" x14ac:dyDescent="0.25">
      <c r="B1211" s="476"/>
      <c r="C1211" s="476"/>
      <c r="D1211" s="475"/>
      <c r="E1211" s="476"/>
      <c r="F1211" s="475"/>
      <c r="G1211" s="476"/>
      <c r="H1211" s="475"/>
      <c r="I1211" s="476"/>
    </row>
    <row r="1212" spans="2:9" x14ac:dyDescent="0.25">
      <c r="B1212" s="476"/>
      <c r="C1212" s="476"/>
      <c r="D1212" s="475"/>
      <c r="E1212" s="476"/>
      <c r="F1212" s="475"/>
      <c r="G1212" s="476"/>
      <c r="H1212" s="475"/>
      <c r="I1212" s="476"/>
    </row>
    <row r="1213" spans="2:9" x14ac:dyDescent="0.25">
      <c r="B1213" s="476"/>
      <c r="C1213" s="476"/>
      <c r="D1213" s="475"/>
      <c r="E1213" s="476"/>
      <c r="F1213" s="475"/>
      <c r="G1213" s="476"/>
      <c r="H1213" s="475"/>
      <c r="I1213" s="476"/>
    </row>
    <row r="1214" spans="2:9" x14ac:dyDescent="0.25">
      <c r="B1214" s="476"/>
      <c r="C1214" s="476"/>
      <c r="D1214" s="475"/>
      <c r="E1214" s="476"/>
      <c r="F1214" s="475"/>
      <c r="G1214" s="476"/>
      <c r="H1214" s="475"/>
      <c r="I1214" s="476"/>
    </row>
    <row r="1215" spans="2:9" x14ac:dyDescent="0.25">
      <c r="B1215" s="476"/>
      <c r="C1215" s="476"/>
      <c r="D1215" s="475"/>
      <c r="E1215" s="476"/>
      <c r="F1215" s="475"/>
      <c r="G1215" s="476"/>
      <c r="H1215" s="475"/>
      <c r="I1215" s="476"/>
    </row>
    <row r="1216" spans="2:9" x14ac:dyDescent="0.25">
      <c r="B1216" s="476"/>
      <c r="C1216" s="476"/>
      <c r="D1216" s="475"/>
      <c r="E1216" s="476"/>
      <c r="F1216" s="475"/>
      <c r="G1216" s="476"/>
      <c r="H1216" s="475"/>
      <c r="I1216" s="476"/>
    </row>
    <row r="1217" spans="2:9" x14ac:dyDescent="0.25">
      <c r="B1217" s="476"/>
      <c r="C1217" s="476"/>
      <c r="D1217" s="475"/>
      <c r="E1217" s="476"/>
      <c r="F1217" s="475"/>
      <c r="G1217" s="476"/>
      <c r="H1217" s="475"/>
      <c r="I1217" s="476"/>
    </row>
    <row r="1218" spans="2:9" x14ac:dyDescent="0.25">
      <c r="B1218" s="476"/>
      <c r="C1218" s="476"/>
      <c r="D1218" s="475"/>
      <c r="E1218" s="476"/>
      <c r="F1218" s="475"/>
      <c r="G1218" s="476"/>
      <c r="H1218" s="475"/>
      <c r="I1218" s="476"/>
    </row>
    <row r="1219" spans="2:9" x14ac:dyDescent="0.25">
      <c r="B1219" s="476"/>
      <c r="C1219" s="476"/>
      <c r="D1219" s="475"/>
      <c r="E1219" s="476"/>
      <c r="F1219" s="475"/>
      <c r="G1219" s="476"/>
      <c r="H1219" s="475"/>
      <c r="I1219" s="476"/>
    </row>
    <row r="1220" spans="2:9" x14ac:dyDescent="0.25">
      <c r="B1220" s="476"/>
      <c r="C1220" s="476"/>
      <c r="D1220" s="475"/>
      <c r="E1220" s="476"/>
      <c r="F1220" s="475"/>
      <c r="G1220" s="476"/>
      <c r="H1220" s="475"/>
      <c r="I1220" s="476"/>
    </row>
    <row r="1221" spans="2:9" x14ac:dyDescent="0.25">
      <c r="B1221" s="476"/>
      <c r="C1221" s="476"/>
      <c r="D1221" s="475"/>
      <c r="E1221" s="476"/>
      <c r="F1221" s="475"/>
      <c r="G1221" s="476"/>
      <c r="H1221" s="475"/>
      <c r="I1221" s="476"/>
    </row>
    <row r="1222" spans="2:9" x14ac:dyDescent="0.25">
      <c r="B1222" s="476"/>
      <c r="C1222" s="476"/>
      <c r="D1222" s="475"/>
      <c r="E1222" s="476"/>
      <c r="F1222" s="475"/>
      <c r="G1222" s="476"/>
      <c r="H1222" s="475"/>
      <c r="I1222" s="476"/>
    </row>
    <row r="1223" spans="2:9" x14ac:dyDescent="0.25">
      <c r="B1223" s="476"/>
      <c r="C1223" s="476"/>
      <c r="D1223" s="475"/>
      <c r="E1223" s="476"/>
      <c r="F1223" s="475"/>
      <c r="G1223" s="476"/>
      <c r="H1223" s="475"/>
      <c r="I1223" s="476"/>
    </row>
    <row r="1224" spans="2:9" x14ac:dyDescent="0.25">
      <c r="B1224" s="476"/>
      <c r="C1224" s="476"/>
      <c r="D1224" s="475"/>
      <c r="E1224" s="476"/>
      <c r="F1224" s="475"/>
      <c r="G1224" s="476"/>
      <c r="H1224" s="475"/>
      <c r="I1224" s="476"/>
    </row>
    <row r="1225" spans="2:9" x14ac:dyDescent="0.25">
      <c r="B1225" s="476"/>
      <c r="C1225" s="476"/>
      <c r="D1225" s="475"/>
      <c r="E1225" s="476"/>
      <c r="F1225" s="475"/>
      <c r="G1225" s="476"/>
      <c r="H1225" s="475"/>
      <c r="I1225" s="476"/>
    </row>
    <row r="1226" spans="2:9" x14ac:dyDescent="0.25">
      <c r="B1226" s="476"/>
      <c r="C1226" s="476"/>
      <c r="D1226" s="475"/>
      <c r="E1226" s="476"/>
      <c r="F1226" s="475"/>
      <c r="G1226" s="476"/>
      <c r="H1226" s="475"/>
      <c r="I1226" s="476"/>
    </row>
    <row r="1227" spans="2:9" x14ac:dyDescent="0.25">
      <c r="B1227" s="476"/>
      <c r="C1227" s="476"/>
      <c r="D1227" s="475"/>
      <c r="E1227" s="476"/>
      <c r="F1227" s="475"/>
      <c r="G1227" s="476"/>
      <c r="H1227" s="475"/>
      <c r="I1227" s="476"/>
    </row>
    <row r="1228" spans="2:9" x14ac:dyDescent="0.25">
      <c r="B1228" s="476"/>
      <c r="C1228" s="476"/>
      <c r="D1228" s="475"/>
      <c r="E1228" s="476"/>
      <c r="F1228" s="475"/>
      <c r="G1228" s="476"/>
      <c r="H1228" s="475"/>
      <c r="I1228" s="476"/>
    </row>
    <row r="1229" spans="2:9" x14ac:dyDescent="0.25">
      <c r="B1229" s="476"/>
      <c r="C1229" s="476"/>
      <c r="D1229" s="475"/>
      <c r="E1229" s="476"/>
      <c r="F1229" s="475"/>
      <c r="G1229" s="476"/>
      <c r="H1229" s="475"/>
      <c r="I1229" s="476"/>
    </row>
    <row r="1230" spans="2:9" x14ac:dyDescent="0.25">
      <c r="B1230" s="476"/>
      <c r="C1230" s="476"/>
      <c r="D1230" s="475"/>
      <c r="E1230" s="476"/>
      <c r="F1230" s="475"/>
      <c r="G1230" s="476"/>
      <c r="H1230" s="475"/>
      <c r="I1230" s="476"/>
    </row>
    <row r="1231" spans="2:9" x14ac:dyDescent="0.25">
      <c r="B1231" s="476"/>
      <c r="C1231" s="476"/>
      <c r="D1231" s="475"/>
      <c r="E1231" s="476"/>
      <c r="F1231" s="475"/>
      <c r="G1231" s="476"/>
      <c r="H1231" s="475"/>
      <c r="I1231" s="476"/>
    </row>
    <row r="1232" spans="2:9" x14ac:dyDescent="0.25">
      <c r="B1232" s="476"/>
      <c r="C1232" s="476"/>
      <c r="D1232" s="475"/>
      <c r="E1232" s="476"/>
      <c r="F1232" s="475"/>
      <c r="G1232" s="476"/>
      <c r="H1232" s="475"/>
      <c r="I1232" s="476"/>
    </row>
    <row r="1233" spans="2:9" x14ac:dyDescent="0.25">
      <c r="B1233" s="476"/>
      <c r="C1233" s="476"/>
      <c r="D1233" s="475"/>
      <c r="E1233" s="476"/>
      <c r="F1233" s="475"/>
      <c r="G1233" s="476"/>
      <c r="H1233" s="475"/>
      <c r="I1233" s="476"/>
    </row>
    <row r="1234" spans="2:9" x14ac:dyDescent="0.25">
      <c r="B1234" s="476"/>
      <c r="C1234" s="476"/>
      <c r="D1234" s="475"/>
      <c r="E1234" s="476"/>
      <c r="F1234" s="475"/>
      <c r="G1234" s="476"/>
      <c r="H1234" s="475"/>
      <c r="I1234" s="476"/>
    </row>
    <row r="1235" spans="2:9" x14ac:dyDescent="0.25">
      <c r="B1235" s="476"/>
      <c r="C1235" s="476"/>
      <c r="D1235" s="475"/>
      <c r="E1235" s="476"/>
      <c r="F1235" s="475"/>
      <c r="G1235" s="476"/>
      <c r="H1235" s="475"/>
      <c r="I1235" s="476"/>
    </row>
    <row r="1236" spans="2:9" x14ac:dyDescent="0.25">
      <c r="B1236" s="476"/>
      <c r="C1236" s="476"/>
      <c r="D1236" s="475"/>
      <c r="E1236" s="476"/>
      <c r="F1236" s="475"/>
      <c r="G1236" s="476"/>
      <c r="H1236" s="475"/>
      <c r="I1236" s="476"/>
    </row>
    <row r="1237" spans="2:9" x14ac:dyDescent="0.25">
      <c r="B1237" s="476"/>
      <c r="C1237" s="476"/>
      <c r="D1237" s="475"/>
      <c r="E1237" s="476"/>
      <c r="F1237" s="475"/>
      <c r="G1237" s="476"/>
      <c r="H1237" s="475"/>
      <c r="I1237" s="476"/>
    </row>
    <row r="1238" spans="2:9" x14ac:dyDescent="0.25">
      <c r="B1238" s="476"/>
      <c r="C1238" s="476"/>
      <c r="D1238" s="475"/>
      <c r="E1238" s="476"/>
      <c r="F1238" s="475"/>
      <c r="G1238" s="476"/>
      <c r="H1238" s="475"/>
      <c r="I1238" s="476"/>
    </row>
    <row r="1239" spans="2:9" x14ac:dyDescent="0.25">
      <c r="B1239" s="476"/>
      <c r="C1239" s="476"/>
      <c r="D1239" s="475"/>
      <c r="E1239" s="476"/>
      <c r="F1239" s="475"/>
      <c r="G1239" s="476"/>
      <c r="H1239" s="475"/>
      <c r="I1239" s="476"/>
    </row>
    <row r="1240" spans="2:9" x14ac:dyDescent="0.25">
      <c r="B1240" s="476"/>
      <c r="C1240" s="476"/>
      <c r="D1240" s="475"/>
      <c r="E1240" s="476"/>
      <c r="F1240" s="475"/>
      <c r="G1240" s="476"/>
      <c r="H1240" s="475"/>
      <c r="I1240" s="476"/>
    </row>
    <row r="1241" spans="2:9" x14ac:dyDescent="0.25">
      <c r="B1241" s="476"/>
      <c r="C1241" s="476"/>
      <c r="D1241" s="475"/>
      <c r="E1241" s="476"/>
      <c r="F1241" s="475"/>
      <c r="G1241" s="476"/>
      <c r="H1241" s="475"/>
      <c r="I1241" s="476"/>
    </row>
    <row r="1242" spans="2:9" x14ac:dyDescent="0.25">
      <c r="B1242" s="476"/>
      <c r="C1242" s="476"/>
      <c r="D1242" s="475"/>
      <c r="E1242" s="476"/>
      <c r="F1242" s="475"/>
      <c r="G1242" s="476"/>
      <c r="H1242" s="475"/>
      <c r="I1242" s="476"/>
    </row>
    <row r="1243" spans="2:9" x14ac:dyDescent="0.25">
      <c r="B1243" s="476"/>
      <c r="C1243" s="476"/>
      <c r="D1243" s="475"/>
      <c r="E1243" s="476"/>
      <c r="F1243" s="475"/>
      <c r="G1243" s="476"/>
      <c r="H1243" s="475"/>
      <c r="I1243" s="476"/>
    </row>
    <row r="1244" spans="2:9" x14ac:dyDescent="0.25">
      <c r="B1244" s="476"/>
      <c r="C1244" s="476"/>
      <c r="D1244" s="475"/>
      <c r="E1244" s="476"/>
      <c r="F1244" s="475"/>
      <c r="G1244" s="476"/>
      <c r="H1244" s="475"/>
      <c r="I1244" s="476"/>
    </row>
    <row r="1245" spans="2:9" x14ac:dyDescent="0.25">
      <c r="B1245" s="476"/>
      <c r="C1245" s="476"/>
      <c r="D1245" s="475"/>
      <c r="E1245" s="476"/>
      <c r="F1245" s="475"/>
      <c r="G1245" s="476"/>
      <c r="H1245" s="475"/>
      <c r="I1245" s="476"/>
    </row>
    <row r="1246" spans="2:9" x14ac:dyDescent="0.25">
      <c r="B1246" s="476"/>
      <c r="C1246" s="476"/>
      <c r="D1246" s="475"/>
      <c r="E1246" s="476"/>
      <c r="F1246" s="475"/>
      <c r="G1246" s="476"/>
      <c r="H1246" s="475"/>
      <c r="I1246" s="476"/>
    </row>
    <row r="1247" spans="2:9" x14ac:dyDescent="0.25">
      <c r="B1247" s="476"/>
      <c r="C1247" s="476"/>
      <c r="D1247" s="475"/>
      <c r="E1247" s="476"/>
      <c r="F1247" s="475"/>
      <c r="G1247" s="476"/>
      <c r="H1247" s="475"/>
      <c r="I1247" s="476"/>
    </row>
    <row r="1248" spans="2:9" x14ac:dyDescent="0.25">
      <c r="B1248" s="476"/>
      <c r="C1248" s="476"/>
      <c r="D1248" s="475"/>
      <c r="E1248" s="476"/>
      <c r="F1248" s="475"/>
      <c r="G1248" s="476"/>
      <c r="H1248" s="475"/>
      <c r="I1248" s="476"/>
    </row>
    <row r="1249" spans="2:9" x14ac:dyDescent="0.25">
      <c r="B1249" s="476"/>
      <c r="C1249" s="476"/>
      <c r="D1249" s="475"/>
      <c r="E1249" s="476"/>
      <c r="F1249" s="475"/>
      <c r="G1249" s="476"/>
      <c r="H1249" s="475"/>
      <c r="I1249" s="476"/>
    </row>
    <row r="1250" spans="2:9" x14ac:dyDescent="0.25">
      <c r="B1250" s="476"/>
      <c r="C1250" s="476"/>
      <c r="D1250" s="475"/>
      <c r="E1250" s="476"/>
      <c r="F1250" s="475"/>
      <c r="G1250" s="476"/>
      <c r="H1250" s="475"/>
      <c r="I1250" s="476"/>
    </row>
    <row r="1251" spans="2:9" x14ac:dyDescent="0.25">
      <c r="B1251" s="476"/>
      <c r="C1251" s="476"/>
      <c r="D1251" s="475"/>
      <c r="E1251" s="476"/>
      <c r="F1251" s="475"/>
      <c r="G1251" s="476"/>
      <c r="H1251" s="475"/>
      <c r="I1251" s="476"/>
    </row>
    <row r="1252" spans="2:9" x14ac:dyDescent="0.25">
      <c r="B1252" s="476"/>
      <c r="C1252" s="476"/>
      <c r="D1252" s="475"/>
      <c r="E1252" s="476"/>
      <c r="F1252" s="475"/>
      <c r="G1252" s="476"/>
      <c r="H1252" s="475"/>
      <c r="I1252" s="476"/>
    </row>
    <row r="1253" spans="2:9" x14ac:dyDescent="0.25">
      <c r="B1253" s="476"/>
      <c r="C1253" s="476"/>
      <c r="D1253" s="475"/>
      <c r="E1253" s="476"/>
      <c r="F1253" s="475"/>
      <c r="G1253" s="476"/>
      <c r="H1253" s="475"/>
      <c r="I1253" s="476"/>
    </row>
    <row r="1254" spans="2:9" x14ac:dyDescent="0.25">
      <c r="B1254" s="476"/>
      <c r="C1254" s="476"/>
      <c r="D1254" s="475"/>
      <c r="E1254" s="476"/>
      <c r="F1254" s="475"/>
      <c r="G1254" s="476"/>
      <c r="H1254" s="475"/>
      <c r="I1254" s="476"/>
    </row>
    <row r="1255" spans="2:9" x14ac:dyDescent="0.25">
      <c r="B1255" s="476"/>
      <c r="C1255" s="476"/>
      <c r="D1255" s="475"/>
      <c r="E1255" s="476"/>
      <c r="F1255" s="475"/>
      <c r="G1255" s="476"/>
      <c r="H1255" s="475"/>
      <c r="I1255" s="476"/>
    </row>
    <row r="1256" spans="2:9" x14ac:dyDescent="0.25">
      <c r="B1256" s="476"/>
      <c r="C1256" s="476"/>
      <c r="D1256" s="475"/>
      <c r="E1256" s="476"/>
      <c r="F1256" s="475"/>
      <c r="G1256" s="476"/>
      <c r="H1256" s="475"/>
      <c r="I1256" s="476"/>
    </row>
    <row r="1257" spans="2:9" x14ac:dyDescent="0.25">
      <c r="B1257" s="476"/>
      <c r="C1257" s="476"/>
      <c r="D1257" s="475"/>
      <c r="E1257" s="476"/>
      <c r="F1257" s="475"/>
      <c r="G1257" s="476"/>
      <c r="H1257" s="475"/>
      <c r="I1257" s="476"/>
    </row>
    <row r="1258" spans="2:9" x14ac:dyDescent="0.25">
      <c r="B1258" s="476"/>
      <c r="C1258" s="476"/>
      <c r="D1258" s="475"/>
      <c r="E1258" s="476"/>
      <c r="F1258" s="475"/>
      <c r="G1258" s="476"/>
      <c r="H1258" s="475"/>
      <c r="I1258" s="476"/>
    </row>
    <row r="1259" spans="2:9" x14ac:dyDescent="0.25">
      <c r="B1259" s="476"/>
      <c r="C1259" s="476"/>
      <c r="D1259" s="475"/>
      <c r="E1259" s="476"/>
      <c r="F1259" s="475"/>
      <c r="G1259" s="476"/>
      <c r="H1259" s="475"/>
      <c r="I1259" s="476"/>
    </row>
    <row r="1260" spans="2:9" x14ac:dyDescent="0.25">
      <c r="B1260" s="476"/>
      <c r="C1260" s="476"/>
      <c r="D1260" s="475"/>
      <c r="E1260" s="476"/>
      <c r="F1260" s="475"/>
      <c r="G1260" s="476"/>
      <c r="H1260" s="475"/>
      <c r="I1260" s="476"/>
    </row>
    <row r="1261" spans="2:9" x14ac:dyDescent="0.25">
      <c r="B1261" s="476"/>
      <c r="C1261" s="476"/>
      <c r="D1261" s="475"/>
      <c r="E1261" s="476"/>
      <c r="F1261" s="475"/>
      <c r="G1261" s="476"/>
      <c r="H1261" s="475"/>
      <c r="I1261" s="476"/>
    </row>
    <row r="1262" spans="2:9" x14ac:dyDescent="0.25">
      <c r="B1262" s="476"/>
      <c r="C1262" s="476"/>
      <c r="D1262" s="475"/>
      <c r="E1262" s="476"/>
      <c r="F1262" s="475"/>
      <c r="G1262" s="476"/>
      <c r="H1262" s="475"/>
      <c r="I1262" s="476"/>
    </row>
    <row r="1263" spans="2:9" x14ac:dyDescent="0.25">
      <c r="B1263" s="476"/>
      <c r="C1263" s="476"/>
      <c r="D1263" s="475"/>
      <c r="E1263" s="476"/>
      <c r="F1263" s="475"/>
      <c r="G1263" s="476"/>
      <c r="H1263" s="475"/>
      <c r="I1263" s="476"/>
    </row>
    <row r="1264" spans="2:9" x14ac:dyDescent="0.25">
      <c r="B1264" s="476"/>
      <c r="C1264" s="476"/>
      <c r="D1264" s="475"/>
      <c r="E1264" s="476"/>
      <c r="F1264" s="475"/>
      <c r="G1264" s="476"/>
      <c r="H1264" s="475"/>
      <c r="I1264" s="476"/>
    </row>
    <row r="1265" spans="2:9" x14ac:dyDescent="0.25">
      <c r="B1265" s="476"/>
      <c r="C1265" s="476"/>
      <c r="D1265" s="475"/>
      <c r="E1265" s="476"/>
      <c r="F1265" s="475"/>
      <c r="G1265" s="476"/>
      <c r="H1265" s="475"/>
      <c r="I1265" s="476"/>
    </row>
    <row r="1266" spans="2:9" x14ac:dyDescent="0.25">
      <c r="B1266" s="476"/>
      <c r="C1266" s="476"/>
      <c r="D1266" s="475"/>
      <c r="E1266" s="476"/>
      <c r="F1266" s="475"/>
      <c r="G1266" s="476"/>
      <c r="H1266" s="475"/>
      <c r="I1266" s="476"/>
    </row>
    <row r="1267" spans="2:9" x14ac:dyDescent="0.25">
      <c r="B1267" s="476"/>
      <c r="C1267" s="476"/>
      <c r="D1267" s="475"/>
      <c r="E1267" s="476"/>
      <c r="F1267" s="475"/>
      <c r="G1267" s="476"/>
      <c r="H1267" s="475"/>
      <c r="I1267" s="476"/>
    </row>
    <row r="1268" spans="2:9" x14ac:dyDescent="0.25">
      <c r="B1268" s="476"/>
      <c r="C1268" s="476"/>
      <c r="D1268" s="475"/>
      <c r="E1268" s="476"/>
      <c r="F1268" s="475"/>
      <c r="G1268" s="476"/>
      <c r="H1268" s="475"/>
      <c r="I1268" s="476"/>
    </row>
    <row r="1269" spans="2:9" x14ac:dyDescent="0.25">
      <c r="B1269" s="476"/>
      <c r="C1269" s="476"/>
      <c r="D1269" s="475"/>
      <c r="E1269" s="476"/>
      <c r="F1269" s="475"/>
      <c r="G1269" s="476"/>
      <c r="H1269" s="475"/>
      <c r="I1269" s="476"/>
    </row>
    <row r="1270" spans="2:9" x14ac:dyDescent="0.25">
      <c r="B1270" s="476"/>
      <c r="C1270" s="476"/>
      <c r="D1270" s="475"/>
      <c r="E1270" s="476"/>
      <c r="F1270" s="475"/>
      <c r="G1270" s="476"/>
      <c r="H1270" s="475"/>
      <c r="I1270" s="476"/>
    </row>
    <row r="1271" spans="2:9" x14ac:dyDescent="0.25">
      <c r="B1271" s="476"/>
      <c r="C1271" s="476"/>
      <c r="D1271" s="475"/>
      <c r="E1271" s="476"/>
      <c r="F1271" s="475"/>
      <c r="G1271" s="476"/>
      <c r="H1271" s="475"/>
      <c r="I1271" s="476"/>
    </row>
    <row r="1272" spans="2:9" x14ac:dyDescent="0.25">
      <c r="B1272" s="476"/>
      <c r="C1272" s="476"/>
      <c r="D1272" s="475"/>
      <c r="E1272" s="476"/>
      <c r="F1272" s="475"/>
      <c r="G1272" s="476"/>
      <c r="H1272" s="475"/>
      <c r="I1272" s="476"/>
    </row>
    <row r="1273" spans="2:9" x14ac:dyDescent="0.25">
      <c r="B1273" s="476"/>
      <c r="C1273" s="476"/>
      <c r="D1273" s="475"/>
      <c r="E1273" s="476"/>
      <c r="F1273" s="475"/>
      <c r="G1273" s="476"/>
      <c r="H1273" s="475"/>
      <c r="I1273" s="476"/>
    </row>
    <row r="1274" spans="2:9" x14ac:dyDescent="0.25">
      <c r="B1274" s="476"/>
      <c r="C1274" s="476"/>
      <c r="D1274" s="475"/>
      <c r="E1274" s="476"/>
      <c r="F1274" s="475"/>
      <c r="G1274" s="476"/>
      <c r="H1274" s="475"/>
      <c r="I1274" s="476"/>
    </row>
    <row r="1275" spans="2:9" x14ac:dyDescent="0.25">
      <c r="B1275" s="476"/>
      <c r="C1275" s="476"/>
      <c r="D1275" s="475"/>
      <c r="E1275" s="476"/>
      <c r="F1275" s="475"/>
      <c r="G1275" s="476"/>
      <c r="H1275" s="475"/>
      <c r="I1275" s="476"/>
    </row>
    <row r="1276" spans="2:9" x14ac:dyDescent="0.25">
      <c r="B1276" s="476"/>
      <c r="C1276" s="476"/>
      <c r="D1276" s="475"/>
      <c r="E1276" s="476"/>
      <c r="F1276" s="475"/>
      <c r="G1276" s="476"/>
      <c r="H1276" s="475"/>
      <c r="I1276" s="476"/>
    </row>
    <row r="1277" spans="2:9" x14ac:dyDescent="0.25">
      <c r="B1277" s="476"/>
      <c r="C1277" s="476"/>
      <c r="D1277" s="475"/>
      <c r="E1277" s="476"/>
      <c r="F1277" s="475"/>
      <c r="G1277" s="476"/>
      <c r="H1277" s="475"/>
      <c r="I1277" s="476"/>
    </row>
    <row r="1278" spans="2:9" x14ac:dyDescent="0.25">
      <c r="B1278" s="476"/>
      <c r="C1278" s="476"/>
      <c r="D1278" s="475"/>
      <c r="E1278" s="476"/>
      <c r="F1278" s="475"/>
      <c r="G1278" s="476"/>
      <c r="H1278" s="475"/>
      <c r="I1278" s="476"/>
    </row>
    <row r="1279" spans="2:9" x14ac:dyDescent="0.25">
      <c r="B1279" s="476"/>
      <c r="C1279" s="476"/>
      <c r="D1279" s="475"/>
      <c r="E1279" s="476"/>
      <c r="F1279" s="475"/>
      <c r="G1279" s="476"/>
      <c r="H1279" s="475"/>
      <c r="I1279" s="476"/>
    </row>
    <row r="1280" spans="2:9" x14ac:dyDescent="0.25">
      <c r="B1280" s="476"/>
      <c r="C1280" s="476"/>
      <c r="D1280" s="475"/>
      <c r="E1280" s="476"/>
      <c r="F1280" s="475"/>
      <c r="G1280" s="476"/>
      <c r="H1280" s="475"/>
      <c r="I1280" s="476"/>
    </row>
    <row r="1281" spans="2:9" x14ac:dyDescent="0.25">
      <c r="B1281" s="476"/>
      <c r="C1281" s="476"/>
      <c r="D1281" s="475"/>
      <c r="E1281" s="476"/>
      <c r="F1281" s="475"/>
      <c r="G1281" s="476"/>
      <c r="H1281" s="475"/>
      <c r="I1281" s="476"/>
    </row>
    <row r="1282" spans="2:9" x14ac:dyDescent="0.25">
      <c r="B1282" s="476"/>
      <c r="C1282" s="476"/>
      <c r="D1282" s="475"/>
      <c r="E1282" s="476"/>
      <c r="F1282" s="475"/>
      <c r="G1282" s="476"/>
      <c r="H1282" s="475"/>
      <c r="I1282" s="476"/>
    </row>
    <row r="1283" spans="2:9" x14ac:dyDescent="0.25">
      <c r="B1283" s="476"/>
      <c r="C1283" s="476"/>
      <c r="D1283" s="475"/>
      <c r="E1283" s="476"/>
      <c r="F1283" s="475"/>
      <c r="G1283" s="476"/>
      <c r="H1283" s="475"/>
      <c r="I1283" s="476"/>
    </row>
    <row r="1284" spans="2:9" x14ac:dyDescent="0.25">
      <c r="B1284" s="476"/>
      <c r="C1284" s="476"/>
      <c r="D1284" s="475"/>
      <c r="E1284" s="476"/>
      <c r="F1284" s="475"/>
      <c r="G1284" s="476"/>
      <c r="H1284" s="475"/>
      <c r="I1284" s="476"/>
    </row>
    <row r="1285" spans="2:9" x14ac:dyDescent="0.25">
      <c r="B1285" s="476"/>
      <c r="C1285" s="476"/>
      <c r="D1285" s="475"/>
      <c r="E1285" s="476"/>
      <c r="F1285" s="475"/>
      <c r="G1285" s="476"/>
      <c r="H1285" s="475"/>
      <c r="I1285" s="476"/>
    </row>
    <row r="1286" spans="2:9" x14ac:dyDescent="0.25">
      <c r="B1286" s="476"/>
      <c r="C1286" s="476"/>
      <c r="D1286" s="475"/>
      <c r="E1286" s="476"/>
      <c r="F1286" s="475"/>
      <c r="G1286" s="476"/>
      <c r="H1286" s="475"/>
      <c r="I1286" s="476"/>
    </row>
    <row r="1287" spans="2:9" x14ac:dyDescent="0.25">
      <c r="B1287" s="476"/>
      <c r="C1287" s="476"/>
      <c r="D1287" s="475"/>
      <c r="E1287" s="476"/>
      <c r="F1287" s="475"/>
      <c r="G1287" s="476"/>
      <c r="H1287" s="475"/>
      <c r="I1287" s="476"/>
    </row>
    <row r="1288" spans="2:9" x14ac:dyDescent="0.25">
      <c r="B1288" s="476"/>
      <c r="C1288" s="476"/>
      <c r="D1288" s="475"/>
      <c r="E1288" s="476"/>
      <c r="F1288" s="475"/>
      <c r="G1288" s="476"/>
      <c r="H1288" s="475"/>
      <c r="I1288" s="476"/>
    </row>
    <row r="1289" spans="2:9" x14ac:dyDescent="0.25">
      <c r="B1289" s="476"/>
      <c r="C1289" s="476"/>
      <c r="D1289" s="475"/>
      <c r="E1289" s="476"/>
      <c r="F1289" s="475"/>
      <c r="G1289" s="476"/>
      <c r="H1289" s="475"/>
      <c r="I1289" s="476"/>
    </row>
    <row r="1290" spans="2:9" x14ac:dyDescent="0.25">
      <c r="B1290" s="476"/>
      <c r="C1290" s="476"/>
      <c r="D1290" s="475"/>
      <c r="E1290" s="476"/>
      <c r="F1290" s="475"/>
      <c r="G1290" s="476"/>
      <c r="H1290" s="475"/>
      <c r="I1290" s="476"/>
    </row>
    <row r="1291" spans="2:9" x14ac:dyDescent="0.25">
      <c r="B1291" s="476"/>
      <c r="C1291" s="476"/>
      <c r="D1291" s="475"/>
      <c r="E1291" s="476"/>
      <c r="F1291" s="475"/>
      <c r="G1291" s="476"/>
      <c r="H1291" s="475"/>
      <c r="I1291" s="476"/>
    </row>
    <row r="1292" spans="2:9" x14ac:dyDescent="0.25">
      <c r="B1292" s="476"/>
      <c r="C1292" s="476"/>
      <c r="D1292" s="475"/>
      <c r="E1292" s="476"/>
      <c r="F1292" s="475"/>
      <c r="G1292" s="476"/>
      <c r="H1292" s="475"/>
      <c r="I1292" s="476"/>
    </row>
    <row r="1293" spans="2:9" x14ac:dyDescent="0.25">
      <c r="B1293" s="476"/>
      <c r="C1293" s="476"/>
      <c r="D1293" s="475"/>
      <c r="E1293" s="476"/>
      <c r="F1293" s="475"/>
      <c r="G1293" s="476"/>
      <c r="H1293" s="475"/>
      <c r="I1293" s="476"/>
    </row>
    <row r="1294" spans="2:9" x14ac:dyDescent="0.25">
      <c r="B1294" s="476"/>
      <c r="C1294" s="476"/>
      <c r="D1294" s="475"/>
      <c r="E1294" s="476"/>
      <c r="F1294" s="475"/>
      <c r="G1294" s="476"/>
      <c r="H1294" s="475"/>
      <c r="I1294" s="476"/>
    </row>
    <row r="1295" spans="2:9" x14ac:dyDescent="0.25">
      <c r="B1295" s="476"/>
      <c r="C1295" s="476"/>
      <c r="D1295" s="475"/>
      <c r="E1295" s="476"/>
      <c r="F1295" s="475"/>
      <c r="G1295" s="476"/>
      <c r="H1295" s="475"/>
      <c r="I1295" s="476"/>
    </row>
    <row r="1296" spans="2:9" x14ac:dyDescent="0.25">
      <c r="B1296" s="476"/>
      <c r="C1296" s="476"/>
      <c r="D1296" s="475"/>
      <c r="E1296" s="476"/>
      <c r="F1296" s="475"/>
      <c r="G1296" s="476"/>
      <c r="H1296" s="475"/>
      <c r="I1296" s="476"/>
    </row>
    <row r="1297" spans="2:9" x14ac:dyDescent="0.25">
      <c r="B1297" s="476"/>
      <c r="C1297" s="476"/>
      <c r="D1297" s="475"/>
      <c r="E1297" s="476"/>
      <c r="F1297" s="475"/>
      <c r="G1297" s="476"/>
      <c r="H1297" s="475"/>
      <c r="I1297" s="476"/>
    </row>
    <row r="1298" spans="2:9" x14ac:dyDescent="0.25">
      <c r="B1298" s="476"/>
      <c r="C1298" s="476"/>
      <c r="D1298" s="475"/>
      <c r="E1298" s="476"/>
      <c r="F1298" s="475"/>
      <c r="G1298" s="476"/>
      <c r="H1298" s="475"/>
      <c r="I1298" s="476"/>
    </row>
    <row r="1299" spans="2:9" x14ac:dyDescent="0.25">
      <c r="B1299" s="476"/>
      <c r="C1299" s="476"/>
      <c r="D1299" s="475"/>
      <c r="E1299" s="476"/>
      <c r="F1299" s="475"/>
      <c r="G1299" s="476"/>
      <c r="H1299" s="475"/>
      <c r="I1299" s="476"/>
    </row>
    <row r="1300" spans="2:9" x14ac:dyDescent="0.25">
      <c r="B1300" s="476"/>
      <c r="C1300" s="476"/>
      <c r="D1300" s="475"/>
      <c r="E1300" s="476"/>
      <c r="F1300" s="475"/>
      <c r="G1300" s="476"/>
      <c r="H1300" s="475"/>
      <c r="I1300" s="476"/>
    </row>
    <row r="1301" spans="2:9" x14ac:dyDescent="0.25">
      <c r="B1301" s="476"/>
      <c r="C1301" s="476"/>
      <c r="D1301" s="475"/>
      <c r="E1301" s="476"/>
      <c r="F1301" s="475"/>
      <c r="G1301" s="476"/>
      <c r="H1301" s="475"/>
      <c r="I1301" s="476"/>
    </row>
    <row r="1302" spans="2:9" x14ac:dyDescent="0.25">
      <c r="B1302" s="476"/>
      <c r="C1302" s="476"/>
      <c r="D1302" s="475"/>
      <c r="E1302" s="476"/>
      <c r="F1302" s="475"/>
      <c r="G1302" s="476"/>
      <c r="H1302" s="475"/>
      <c r="I1302" s="476"/>
    </row>
    <row r="1303" spans="2:9" x14ac:dyDescent="0.25">
      <c r="B1303" s="476"/>
      <c r="C1303" s="476"/>
      <c r="D1303" s="475"/>
      <c r="E1303" s="476"/>
      <c r="F1303" s="475"/>
      <c r="G1303" s="476"/>
      <c r="H1303" s="475"/>
      <c r="I1303" s="476"/>
    </row>
    <row r="1304" spans="2:9" x14ac:dyDescent="0.25">
      <c r="B1304" s="476"/>
      <c r="C1304" s="476"/>
      <c r="D1304" s="475"/>
      <c r="E1304" s="476"/>
      <c r="F1304" s="475"/>
      <c r="G1304" s="476"/>
      <c r="H1304" s="475"/>
      <c r="I1304" s="476"/>
    </row>
    <row r="1305" spans="2:9" x14ac:dyDescent="0.25">
      <c r="B1305" s="476"/>
      <c r="C1305" s="476"/>
      <c r="D1305" s="475"/>
      <c r="E1305" s="476"/>
      <c r="F1305" s="475"/>
      <c r="G1305" s="476"/>
      <c r="H1305" s="475"/>
      <c r="I1305" s="476"/>
    </row>
    <row r="1306" spans="2:9" x14ac:dyDescent="0.25">
      <c r="B1306" s="476"/>
      <c r="C1306" s="476"/>
      <c r="D1306" s="475"/>
      <c r="E1306" s="476"/>
      <c r="F1306" s="475"/>
      <c r="G1306" s="476"/>
      <c r="H1306" s="475"/>
      <c r="I1306" s="476"/>
    </row>
    <row r="1307" spans="2:9" x14ac:dyDescent="0.25">
      <c r="B1307" s="476"/>
      <c r="C1307" s="476"/>
      <c r="D1307" s="475"/>
      <c r="E1307" s="476"/>
      <c r="F1307" s="475"/>
      <c r="G1307" s="476"/>
      <c r="H1307" s="475"/>
      <c r="I1307" s="476"/>
    </row>
    <row r="1308" spans="2:9" x14ac:dyDescent="0.25">
      <c r="B1308" s="476"/>
      <c r="C1308" s="476"/>
      <c r="D1308" s="475"/>
      <c r="E1308" s="476"/>
      <c r="F1308" s="475"/>
      <c r="G1308" s="476"/>
      <c r="H1308" s="475"/>
      <c r="I1308" s="476"/>
    </row>
    <row r="1309" spans="2:9" x14ac:dyDescent="0.25">
      <c r="B1309" s="476"/>
      <c r="C1309" s="476"/>
      <c r="D1309" s="475"/>
      <c r="E1309" s="476"/>
      <c r="F1309" s="475"/>
      <c r="G1309" s="476"/>
      <c r="H1309" s="475"/>
      <c r="I1309" s="476"/>
    </row>
    <row r="1310" spans="2:9" x14ac:dyDescent="0.25">
      <c r="B1310" s="476"/>
      <c r="C1310" s="476"/>
      <c r="D1310" s="475"/>
      <c r="E1310" s="476"/>
      <c r="F1310" s="475"/>
      <c r="G1310" s="476"/>
      <c r="H1310" s="475"/>
      <c r="I1310" s="476"/>
    </row>
    <row r="1311" spans="2:9" x14ac:dyDescent="0.25">
      <c r="B1311" s="476"/>
      <c r="C1311" s="476"/>
      <c r="D1311" s="475"/>
      <c r="E1311" s="476"/>
      <c r="F1311" s="475"/>
      <c r="G1311" s="476"/>
      <c r="H1311" s="475"/>
      <c r="I1311" s="476"/>
    </row>
    <row r="1312" spans="2:9" x14ac:dyDescent="0.25">
      <c r="B1312" s="476"/>
      <c r="C1312" s="476"/>
      <c r="D1312" s="475"/>
      <c r="E1312" s="476"/>
      <c r="F1312" s="475"/>
      <c r="G1312" s="476"/>
      <c r="H1312" s="475"/>
      <c r="I1312" s="476"/>
    </row>
    <row r="1313" spans="2:9" x14ac:dyDescent="0.25">
      <c r="B1313" s="476"/>
      <c r="C1313" s="476"/>
      <c r="D1313" s="475"/>
      <c r="E1313" s="476"/>
      <c r="F1313" s="475"/>
      <c r="G1313" s="476"/>
      <c r="H1313" s="475"/>
      <c r="I1313" s="476"/>
    </row>
    <row r="1314" spans="2:9" x14ac:dyDescent="0.25">
      <c r="B1314" s="476"/>
      <c r="C1314" s="476"/>
      <c r="D1314" s="475"/>
      <c r="E1314" s="476"/>
      <c r="F1314" s="475"/>
      <c r="G1314" s="476"/>
      <c r="H1314" s="475"/>
      <c r="I1314" s="476"/>
    </row>
    <row r="1315" spans="2:9" x14ac:dyDescent="0.25">
      <c r="B1315" s="476"/>
      <c r="C1315" s="476"/>
      <c r="D1315" s="475"/>
      <c r="E1315" s="476"/>
      <c r="F1315" s="475"/>
      <c r="G1315" s="476"/>
      <c r="H1315" s="475"/>
      <c r="I1315" s="476"/>
    </row>
    <row r="1316" spans="2:9" x14ac:dyDescent="0.25">
      <c r="B1316" s="476"/>
      <c r="C1316" s="476"/>
      <c r="D1316" s="475"/>
      <c r="E1316" s="476"/>
      <c r="F1316" s="475"/>
      <c r="G1316" s="476"/>
      <c r="H1316" s="475"/>
      <c r="I1316" s="476"/>
    </row>
    <row r="1317" spans="2:9" x14ac:dyDescent="0.25">
      <c r="B1317" s="476"/>
      <c r="C1317" s="476"/>
      <c r="D1317" s="475"/>
      <c r="E1317" s="476"/>
      <c r="F1317" s="475"/>
      <c r="G1317" s="476"/>
      <c r="H1317" s="475"/>
      <c r="I1317" s="476"/>
    </row>
    <row r="1318" spans="2:9" x14ac:dyDescent="0.25">
      <c r="B1318" s="476"/>
      <c r="C1318" s="476"/>
      <c r="D1318" s="475"/>
      <c r="E1318" s="476"/>
      <c r="F1318" s="475"/>
      <c r="G1318" s="476"/>
      <c r="H1318" s="475"/>
      <c r="I1318" s="476"/>
    </row>
    <row r="1319" spans="2:9" x14ac:dyDescent="0.25">
      <c r="B1319" s="476"/>
      <c r="C1319" s="476"/>
      <c r="D1319" s="475"/>
      <c r="E1319" s="476"/>
      <c r="F1319" s="475"/>
      <c r="G1319" s="476"/>
      <c r="H1319" s="475"/>
      <c r="I1319" s="476"/>
    </row>
    <row r="1320" spans="2:9" x14ac:dyDescent="0.25">
      <c r="B1320" s="476"/>
      <c r="C1320" s="476"/>
      <c r="D1320" s="475"/>
      <c r="E1320" s="476"/>
      <c r="F1320" s="475"/>
      <c r="G1320" s="476"/>
      <c r="H1320" s="475"/>
      <c r="I1320" s="476"/>
    </row>
    <row r="1321" spans="2:9" x14ac:dyDescent="0.25">
      <c r="B1321" s="476"/>
      <c r="C1321" s="476"/>
      <c r="D1321" s="475"/>
      <c r="E1321" s="476"/>
      <c r="F1321" s="475"/>
      <c r="G1321" s="476"/>
      <c r="H1321" s="475"/>
      <c r="I1321" s="476"/>
    </row>
    <row r="1322" spans="2:9" x14ac:dyDescent="0.25">
      <c r="B1322" s="476"/>
      <c r="C1322" s="476"/>
      <c r="D1322" s="475"/>
      <c r="E1322" s="476"/>
      <c r="F1322" s="475"/>
      <c r="G1322" s="476"/>
      <c r="H1322" s="475"/>
      <c r="I1322" s="476"/>
    </row>
    <row r="1323" spans="2:9" x14ac:dyDescent="0.25">
      <c r="B1323" s="476"/>
      <c r="C1323" s="476"/>
      <c r="D1323" s="475"/>
      <c r="E1323" s="476"/>
      <c r="F1323" s="475"/>
      <c r="G1323" s="476"/>
      <c r="H1323" s="475"/>
      <c r="I1323" s="476"/>
    </row>
    <row r="1324" spans="2:9" x14ac:dyDescent="0.25">
      <c r="B1324" s="476"/>
      <c r="C1324" s="476"/>
      <c r="D1324" s="475"/>
      <c r="E1324" s="476"/>
      <c r="F1324" s="475"/>
      <c r="G1324" s="476"/>
      <c r="H1324" s="475"/>
      <c r="I1324" s="476"/>
    </row>
    <row r="1325" spans="2:9" x14ac:dyDescent="0.25">
      <c r="B1325" s="476"/>
      <c r="C1325" s="476"/>
      <c r="D1325" s="475"/>
      <c r="E1325" s="476"/>
      <c r="F1325" s="475"/>
      <c r="G1325" s="476"/>
      <c r="H1325" s="475"/>
      <c r="I1325" s="476"/>
    </row>
    <row r="1326" spans="2:9" x14ac:dyDescent="0.25">
      <c r="B1326" s="476"/>
      <c r="C1326" s="476"/>
      <c r="D1326" s="475"/>
      <c r="E1326" s="476"/>
      <c r="F1326" s="475"/>
      <c r="G1326" s="476"/>
      <c r="H1326" s="475"/>
      <c r="I1326" s="476"/>
    </row>
    <row r="1327" spans="2:9" x14ac:dyDescent="0.25">
      <c r="B1327" s="476"/>
      <c r="C1327" s="476"/>
      <c r="D1327" s="475"/>
      <c r="E1327" s="476"/>
      <c r="F1327" s="475"/>
      <c r="G1327" s="476"/>
      <c r="H1327" s="475"/>
      <c r="I1327" s="476"/>
    </row>
    <row r="1328" spans="2:9" x14ac:dyDescent="0.25">
      <c r="B1328" s="476"/>
      <c r="C1328" s="476"/>
      <c r="D1328" s="475"/>
      <c r="E1328" s="476"/>
      <c r="F1328" s="475"/>
      <c r="G1328" s="476"/>
      <c r="H1328" s="475"/>
      <c r="I1328" s="476"/>
    </row>
    <row r="1329" spans="2:9" x14ac:dyDescent="0.25">
      <c r="B1329" s="476"/>
      <c r="C1329" s="476"/>
      <c r="D1329" s="475"/>
      <c r="E1329" s="476"/>
      <c r="F1329" s="475"/>
      <c r="G1329" s="476"/>
      <c r="H1329" s="475"/>
      <c r="I1329" s="476"/>
    </row>
    <row r="1330" spans="2:9" x14ac:dyDescent="0.25">
      <c r="B1330" s="476"/>
      <c r="C1330" s="476"/>
      <c r="D1330" s="475"/>
      <c r="E1330" s="476"/>
      <c r="F1330" s="475"/>
      <c r="G1330" s="476"/>
      <c r="H1330" s="475"/>
      <c r="I1330" s="476"/>
    </row>
    <row r="1331" spans="2:9" x14ac:dyDescent="0.25">
      <c r="B1331" s="476"/>
      <c r="C1331" s="476"/>
      <c r="D1331" s="475"/>
      <c r="E1331" s="476"/>
      <c r="F1331" s="475"/>
      <c r="G1331" s="476"/>
      <c r="H1331" s="475"/>
      <c r="I1331" s="476"/>
    </row>
    <row r="1332" spans="2:9" x14ac:dyDescent="0.25">
      <c r="B1332" s="476"/>
      <c r="C1332" s="476"/>
      <c r="D1332" s="475"/>
      <c r="E1332" s="476"/>
      <c r="F1332" s="475"/>
      <c r="G1332" s="476"/>
      <c r="H1332" s="475"/>
      <c r="I1332" s="476"/>
    </row>
    <row r="1333" spans="2:9" x14ac:dyDescent="0.25">
      <c r="B1333" s="476"/>
      <c r="C1333" s="476"/>
      <c r="D1333" s="475"/>
      <c r="E1333" s="476"/>
      <c r="F1333" s="475"/>
      <c r="G1333" s="476"/>
      <c r="H1333" s="475"/>
      <c r="I1333" s="476"/>
    </row>
    <row r="1334" spans="2:9" x14ac:dyDescent="0.25">
      <c r="B1334" s="476"/>
      <c r="C1334" s="476"/>
      <c r="D1334" s="475"/>
      <c r="E1334" s="476"/>
      <c r="F1334" s="475"/>
      <c r="G1334" s="476"/>
      <c r="H1334" s="475"/>
      <c r="I1334" s="476"/>
    </row>
    <row r="1335" spans="2:9" x14ac:dyDescent="0.25">
      <c r="B1335" s="476"/>
      <c r="C1335" s="476"/>
      <c r="D1335" s="475"/>
      <c r="E1335" s="476"/>
      <c r="F1335" s="475"/>
      <c r="G1335" s="476"/>
      <c r="H1335" s="475"/>
      <c r="I1335" s="476"/>
    </row>
    <row r="1336" spans="2:9" x14ac:dyDescent="0.25">
      <c r="B1336" s="476"/>
      <c r="C1336" s="476"/>
      <c r="D1336" s="475"/>
      <c r="E1336" s="476"/>
      <c r="F1336" s="475"/>
      <c r="G1336" s="476"/>
      <c r="H1336" s="475"/>
      <c r="I1336" s="476"/>
    </row>
    <row r="1337" spans="2:9" x14ac:dyDescent="0.25">
      <c r="B1337" s="476"/>
      <c r="C1337" s="476"/>
      <c r="D1337" s="475"/>
      <c r="E1337" s="476"/>
      <c r="F1337" s="475"/>
      <c r="G1337" s="476"/>
      <c r="H1337" s="475"/>
      <c r="I1337" s="476"/>
    </row>
    <row r="1338" spans="2:9" x14ac:dyDescent="0.25">
      <c r="B1338" s="476"/>
      <c r="C1338" s="476"/>
      <c r="D1338" s="475"/>
      <c r="E1338" s="476"/>
      <c r="F1338" s="475"/>
      <c r="G1338" s="476"/>
      <c r="H1338" s="475"/>
      <c r="I1338" s="476"/>
    </row>
    <row r="1339" spans="2:9" x14ac:dyDescent="0.25">
      <c r="B1339" s="476"/>
      <c r="C1339" s="476"/>
      <c r="D1339" s="475"/>
      <c r="E1339" s="476"/>
      <c r="F1339" s="475"/>
      <c r="G1339" s="476"/>
      <c r="H1339" s="475"/>
      <c r="I1339" s="476"/>
    </row>
    <row r="1340" spans="2:9" x14ac:dyDescent="0.25">
      <c r="B1340" s="476"/>
      <c r="C1340" s="476"/>
      <c r="D1340" s="475"/>
      <c r="E1340" s="476"/>
      <c r="F1340" s="475"/>
      <c r="G1340" s="476"/>
      <c r="H1340" s="475"/>
      <c r="I1340" s="476"/>
    </row>
    <row r="1341" spans="2:9" x14ac:dyDescent="0.25">
      <c r="B1341" s="476"/>
      <c r="C1341" s="476"/>
      <c r="D1341" s="475"/>
      <c r="E1341" s="476"/>
      <c r="F1341" s="475"/>
      <c r="G1341" s="476"/>
      <c r="H1341" s="475"/>
      <c r="I1341" s="476"/>
    </row>
    <row r="1342" spans="2:9" x14ac:dyDescent="0.25">
      <c r="B1342" s="476"/>
      <c r="C1342" s="476"/>
      <c r="D1342" s="475"/>
      <c r="E1342" s="476"/>
      <c r="F1342" s="475"/>
      <c r="G1342" s="476"/>
      <c r="H1342" s="475"/>
      <c r="I1342" s="476"/>
    </row>
    <row r="1343" spans="2:9" x14ac:dyDescent="0.25">
      <c r="B1343" s="476"/>
      <c r="C1343" s="476"/>
      <c r="D1343" s="475"/>
      <c r="E1343" s="476"/>
      <c r="F1343" s="475"/>
      <c r="G1343" s="476"/>
      <c r="H1343" s="475"/>
      <c r="I1343" s="476"/>
    </row>
    <row r="1344" spans="2:9" x14ac:dyDescent="0.25">
      <c r="B1344" s="476"/>
      <c r="C1344" s="476"/>
      <c r="D1344" s="475"/>
      <c r="E1344" s="476"/>
      <c r="F1344" s="475"/>
      <c r="G1344" s="476"/>
      <c r="H1344" s="475"/>
      <c r="I1344" s="476"/>
    </row>
    <row r="1345" spans="2:9" x14ac:dyDescent="0.25">
      <c r="B1345" s="476"/>
      <c r="C1345" s="476"/>
      <c r="D1345" s="475"/>
      <c r="E1345" s="476"/>
      <c r="F1345" s="475"/>
      <c r="G1345" s="476"/>
      <c r="H1345" s="475"/>
      <c r="I1345" s="476"/>
    </row>
    <row r="1346" spans="2:9" x14ac:dyDescent="0.25">
      <c r="B1346" s="476"/>
      <c r="C1346" s="476"/>
      <c r="D1346" s="475"/>
      <c r="E1346" s="476"/>
      <c r="F1346" s="475"/>
      <c r="G1346" s="476"/>
      <c r="H1346" s="475"/>
      <c r="I1346" s="476"/>
    </row>
    <row r="1347" spans="2:9" x14ac:dyDescent="0.25">
      <c r="B1347" s="476"/>
      <c r="C1347" s="476"/>
      <c r="D1347" s="475"/>
      <c r="E1347" s="476"/>
      <c r="F1347" s="475"/>
      <c r="G1347" s="476"/>
      <c r="H1347" s="475"/>
      <c r="I1347" s="476"/>
    </row>
    <row r="1348" spans="2:9" x14ac:dyDescent="0.25">
      <c r="B1348" s="476"/>
      <c r="C1348" s="476"/>
      <c r="D1348" s="475"/>
      <c r="E1348" s="476"/>
      <c r="F1348" s="475"/>
      <c r="G1348" s="476"/>
      <c r="H1348" s="475"/>
      <c r="I1348" s="476"/>
    </row>
    <row r="1349" spans="2:9" x14ac:dyDescent="0.25">
      <c r="B1349" s="476"/>
      <c r="C1349" s="476"/>
      <c r="D1349" s="475"/>
      <c r="E1349" s="476"/>
      <c r="F1349" s="475"/>
      <c r="G1349" s="476"/>
      <c r="H1349" s="475"/>
      <c r="I1349" s="476"/>
    </row>
    <row r="1350" spans="2:9" x14ac:dyDescent="0.25">
      <c r="B1350" s="476"/>
      <c r="C1350" s="476"/>
      <c r="D1350" s="475"/>
      <c r="E1350" s="476"/>
      <c r="F1350" s="475"/>
      <c r="G1350" s="476"/>
      <c r="H1350" s="475"/>
      <c r="I1350" s="476"/>
    </row>
    <row r="1351" spans="2:9" x14ac:dyDescent="0.25">
      <c r="B1351" s="476"/>
      <c r="C1351" s="476"/>
      <c r="D1351" s="475"/>
      <c r="E1351" s="476"/>
      <c r="F1351" s="475"/>
      <c r="G1351" s="476"/>
      <c r="H1351" s="475"/>
      <c r="I1351" s="476"/>
    </row>
    <row r="1352" spans="2:9" x14ac:dyDescent="0.25">
      <c r="B1352" s="476"/>
      <c r="C1352" s="476"/>
      <c r="D1352" s="475"/>
      <c r="E1352" s="476"/>
      <c r="F1352" s="475"/>
      <c r="G1352" s="476"/>
      <c r="H1352" s="475"/>
      <c r="I1352" s="476"/>
    </row>
    <row r="1353" spans="2:9" x14ac:dyDescent="0.25">
      <c r="B1353" s="476"/>
      <c r="C1353" s="476"/>
      <c r="D1353" s="475"/>
      <c r="E1353" s="476"/>
      <c r="F1353" s="475"/>
      <c r="G1353" s="476"/>
      <c r="H1353" s="475"/>
      <c r="I1353" s="476"/>
    </row>
    <row r="1354" spans="2:9" x14ac:dyDescent="0.25">
      <c r="B1354" s="476"/>
      <c r="C1354" s="476"/>
      <c r="D1354" s="475"/>
      <c r="E1354" s="476"/>
      <c r="F1354" s="475"/>
      <c r="G1354" s="476"/>
      <c r="H1354" s="475"/>
      <c r="I1354" s="476"/>
    </row>
    <row r="1355" spans="2:9" x14ac:dyDescent="0.25">
      <c r="B1355" s="476"/>
      <c r="C1355" s="476"/>
      <c r="D1355" s="475"/>
      <c r="E1355" s="476"/>
      <c r="F1355" s="475"/>
      <c r="G1355" s="476"/>
      <c r="H1355" s="475"/>
      <c r="I1355" s="476"/>
    </row>
    <row r="1356" spans="2:9" x14ac:dyDescent="0.25">
      <c r="B1356" s="476"/>
      <c r="C1356" s="476"/>
      <c r="D1356" s="475"/>
      <c r="E1356" s="476"/>
      <c r="F1356" s="475"/>
      <c r="G1356" s="476"/>
      <c r="H1356" s="475"/>
      <c r="I1356" s="476"/>
    </row>
    <row r="1357" spans="2:9" x14ac:dyDescent="0.25">
      <c r="B1357" s="476"/>
      <c r="C1357" s="476"/>
      <c r="D1357" s="475"/>
      <c r="E1357" s="476"/>
      <c r="F1357" s="475"/>
      <c r="G1357" s="476"/>
      <c r="H1357" s="475"/>
      <c r="I1357" s="476"/>
    </row>
    <row r="1358" spans="2:9" x14ac:dyDescent="0.25">
      <c r="B1358" s="476"/>
      <c r="C1358" s="476"/>
      <c r="D1358" s="475"/>
      <c r="E1358" s="476"/>
      <c r="F1358" s="475"/>
      <c r="G1358" s="476"/>
      <c r="H1358" s="475"/>
      <c r="I1358" s="476"/>
    </row>
    <row r="1359" spans="2:9" x14ac:dyDescent="0.25">
      <c r="B1359" s="476"/>
      <c r="C1359" s="476"/>
      <c r="D1359" s="475"/>
      <c r="E1359" s="476"/>
      <c r="F1359" s="475"/>
      <c r="G1359" s="476"/>
      <c r="H1359" s="475"/>
      <c r="I1359" s="476"/>
    </row>
    <row r="1360" spans="2:9" x14ac:dyDescent="0.25">
      <c r="B1360" s="476"/>
      <c r="C1360" s="476"/>
      <c r="D1360" s="475"/>
      <c r="E1360" s="476"/>
      <c r="F1360" s="475"/>
      <c r="G1360" s="476"/>
      <c r="H1360" s="475"/>
      <c r="I1360" s="476"/>
    </row>
    <row r="1361" spans="2:9" x14ac:dyDescent="0.25">
      <c r="B1361" s="476"/>
      <c r="C1361" s="476"/>
      <c r="D1361" s="475"/>
      <c r="E1361" s="476"/>
      <c r="F1361" s="475"/>
      <c r="G1361" s="476"/>
      <c r="H1361" s="475"/>
      <c r="I1361" s="476"/>
    </row>
    <row r="1362" spans="2:9" x14ac:dyDescent="0.25">
      <c r="B1362" s="476"/>
      <c r="C1362" s="476"/>
      <c r="D1362" s="475"/>
      <c r="E1362" s="476"/>
      <c r="F1362" s="475"/>
      <c r="G1362" s="476"/>
      <c r="H1362" s="475"/>
      <c r="I1362" s="476"/>
    </row>
    <row r="1363" spans="2:9" x14ac:dyDescent="0.25">
      <c r="B1363" s="476"/>
      <c r="C1363" s="476"/>
      <c r="D1363" s="475"/>
      <c r="E1363" s="476"/>
      <c r="F1363" s="475"/>
      <c r="G1363" s="476"/>
      <c r="H1363" s="475"/>
      <c r="I1363" s="476"/>
    </row>
    <row r="1364" spans="2:9" x14ac:dyDescent="0.25">
      <c r="B1364" s="476"/>
      <c r="C1364" s="476"/>
      <c r="D1364" s="475"/>
      <c r="E1364" s="476"/>
      <c r="F1364" s="475"/>
      <c r="G1364" s="476"/>
      <c r="H1364" s="475"/>
      <c r="I1364" s="476"/>
    </row>
    <row r="1365" spans="2:9" x14ac:dyDescent="0.25">
      <c r="B1365" s="476"/>
      <c r="C1365" s="476"/>
      <c r="D1365" s="475"/>
      <c r="E1365" s="476"/>
      <c r="F1365" s="475"/>
      <c r="G1365" s="476"/>
      <c r="H1365" s="475"/>
      <c r="I1365" s="476"/>
    </row>
    <row r="1366" spans="2:9" x14ac:dyDescent="0.25">
      <c r="B1366" s="476"/>
      <c r="C1366" s="476"/>
      <c r="D1366" s="475"/>
      <c r="E1366" s="476"/>
      <c r="F1366" s="475"/>
      <c r="G1366" s="476"/>
      <c r="H1366" s="475"/>
      <c r="I1366" s="476"/>
    </row>
    <row r="1367" spans="2:9" x14ac:dyDescent="0.25">
      <c r="B1367" s="476"/>
      <c r="C1367" s="476"/>
      <c r="D1367" s="475"/>
      <c r="E1367" s="476"/>
      <c r="F1367" s="475"/>
      <c r="G1367" s="476"/>
      <c r="H1367" s="475"/>
      <c r="I1367" s="476"/>
    </row>
    <row r="1368" spans="2:9" x14ac:dyDescent="0.25">
      <c r="B1368" s="476"/>
      <c r="C1368" s="476"/>
      <c r="D1368" s="475"/>
      <c r="E1368" s="476"/>
      <c r="F1368" s="475"/>
      <c r="G1368" s="476"/>
      <c r="H1368" s="475"/>
      <c r="I1368" s="476"/>
    </row>
    <row r="1369" spans="2:9" x14ac:dyDescent="0.25">
      <c r="B1369" s="476"/>
      <c r="C1369" s="476"/>
      <c r="D1369" s="475"/>
      <c r="E1369" s="476"/>
      <c r="F1369" s="475"/>
      <c r="G1369" s="476"/>
      <c r="H1369" s="475"/>
      <c r="I1369" s="476"/>
    </row>
    <row r="1370" spans="2:9" x14ac:dyDescent="0.25">
      <c r="B1370" s="476"/>
      <c r="C1370" s="476"/>
      <c r="D1370" s="475"/>
      <c r="E1370" s="476"/>
      <c r="F1370" s="475"/>
      <c r="G1370" s="476"/>
      <c r="H1370" s="475"/>
      <c r="I1370" s="476"/>
    </row>
    <row r="1371" spans="2:9" x14ac:dyDescent="0.25">
      <c r="B1371" s="476"/>
      <c r="C1371" s="476"/>
      <c r="D1371" s="475"/>
      <c r="E1371" s="476"/>
      <c r="F1371" s="475"/>
      <c r="G1371" s="476"/>
      <c r="H1371" s="475"/>
      <c r="I1371" s="476"/>
    </row>
    <row r="1372" spans="2:9" x14ac:dyDescent="0.25">
      <c r="B1372" s="476"/>
      <c r="C1372" s="476"/>
      <c r="D1372" s="475"/>
      <c r="E1372" s="476"/>
      <c r="F1372" s="475"/>
      <c r="G1372" s="476"/>
      <c r="H1372" s="475"/>
      <c r="I1372" s="476"/>
    </row>
    <row r="1373" spans="2:9" x14ac:dyDescent="0.25">
      <c r="B1373" s="476"/>
      <c r="C1373" s="476"/>
      <c r="D1373" s="475"/>
      <c r="E1373" s="476"/>
      <c r="F1373" s="475"/>
      <c r="G1373" s="476"/>
      <c r="H1373" s="475"/>
      <c r="I1373" s="476"/>
    </row>
    <row r="1374" spans="2:9" x14ac:dyDescent="0.25">
      <c r="B1374" s="476"/>
      <c r="C1374" s="476"/>
      <c r="D1374" s="475"/>
      <c r="E1374" s="476"/>
      <c r="F1374" s="475"/>
      <c r="G1374" s="476"/>
      <c r="H1374" s="475"/>
      <c r="I1374" s="476"/>
    </row>
    <row r="1375" spans="2:9" x14ac:dyDescent="0.25">
      <c r="B1375" s="476"/>
      <c r="C1375" s="476"/>
      <c r="D1375" s="475"/>
      <c r="E1375" s="476"/>
      <c r="F1375" s="475"/>
      <c r="G1375" s="476"/>
      <c r="H1375" s="475"/>
      <c r="I1375" s="476"/>
    </row>
    <row r="1376" spans="2:9" x14ac:dyDescent="0.25">
      <c r="B1376" s="476"/>
      <c r="C1376" s="476"/>
      <c r="D1376" s="475"/>
      <c r="E1376" s="476"/>
      <c r="F1376" s="475"/>
      <c r="G1376" s="476"/>
      <c r="H1376" s="475"/>
      <c r="I1376" s="476"/>
    </row>
    <row r="1377" spans="2:9" x14ac:dyDescent="0.25">
      <c r="B1377" s="476"/>
      <c r="C1377" s="476"/>
      <c r="D1377" s="475"/>
      <c r="E1377" s="476"/>
      <c r="F1377" s="475"/>
      <c r="G1377" s="476"/>
      <c r="H1377" s="475"/>
      <c r="I1377" s="476"/>
    </row>
    <row r="1378" spans="2:9" x14ac:dyDescent="0.25">
      <c r="B1378" s="476"/>
      <c r="C1378" s="476"/>
      <c r="D1378" s="475"/>
      <c r="E1378" s="476"/>
      <c r="F1378" s="475"/>
      <c r="G1378" s="476"/>
      <c r="H1378" s="475"/>
      <c r="I1378" s="476"/>
    </row>
    <row r="1379" spans="2:9" x14ac:dyDescent="0.25">
      <c r="B1379" s="476"/>
      <c r="C1379" s="476"/>
      <c r="D1379" s="475"/>
      <c r="E1379" s="476"/>
      <c r="F1379" s="475"/>
      <c r="G1379" s="476"/>
      <c r="H1379" s="475"/>
      <c r="I1379" s="476"/>
    </row>
    <row r="1380" spans="2:9" x14ac:dyDescent="0.25">
      <c r="B1380" s="476"/>
      <c r="C1380" s="476"/>
      <c r="D1380" s="475"/>
      <c r="E1380" s="476"/>
      <c r="F1380" s="475"/>
      <c r="G1380" s="476"/>
      <c r="H1380" s="475"/>
      <c r="I1380" s="476"/>
    </row>
    <row r="1381" spans="2:9" x14ac:dyDescent="0.25">
      <c r="B1381" s="476"/>
      <c r="C1381" s="476"/>
      <c r="D1381" s="475"/>
      <c r="E1381" s="476"/>
      <c r="F1381" s="475"/>
      <c r="G1381" s="476"/>
      <c r="H1381" s="475"/>
      <c r="I1381" s="476"/>
    </row>
    <row r="1382" spans="2:9" x14ac:dyDescent="0.25">
      <c r="B1382" s="476"/>
      <c r="C1382" s="476"/>
      <c r="D1382" s="475"/>
      <c r="E1382" s="476"/>
      <c r="F1382" s="475"/>
      <c r="G1382" s="476"/>
      <c r="H1382" s="475"/>
      <c r="I1382" s="476"/>
    </row>
    <row r="1383" spans="2:9" x14ac:dyDescent="0.25">
      <c r="B1383" s="476"/>
      <c r="C1383" s="476"/>
      <c r="D1383" s="475"/>
      <c r="E1383" s="476"/>
      <c r="F1383" s="475"/>
      <c r="G1383" s="476"/>
      <c r="H1383" s="475"/>
      <c r="I1383" s="476"/>
    </row>
    <row r="1384" spans="2:9" x14ac:dyDescent="0.25">
      <c r="B1384" s="476"/>
      <c r="C1384" s="476"/>
      <c r="D1384" s="475"/>
      <c r="E1384" s="476"/>
      <c r="F1384" s="475"/>
      <c r="G1384" s="476"/>
      <c r="H1384" s="475"/>
      <c r="I1384" s="476"/>
    </row>
    <row r="1385" spans="2:9" x14ac:dyDescent="0.25">
      <c r="B1385" s="476"/>
      <c r="C1385" s="476"/>
      <c r="D1385" s="475"/>
      <c r="E1385" s="476"/>
      <c r="F1385" s="475"/>
      <c r="G1385" s="476"/>
      <c r="H1385" s="475"/>
      <c r="I1385" s="476"/>
    </row>
    <row r="1386" spans="2:9" x14ac:dyDescent="0.25">
      <c r="B1386" s="476"/>
      <c r="C1386" s="476"/>
      <c r="D1386" s="475"/>
      <c r="E1386" s="476"/>
      <c r="F1386" s="475"/>
      <c r="G1386" s="476"/>
      <c r="H1386" s="475"/>
      <c r="I1386" s="476"/>
    </row>
    <row r="1387" spans="2:9" x14ac:dyDescent="0.25">
      <c r="B1387" s="476"/>
      <c r="C1387" s="476"/>
      <c r="D1387" s="475"/>
      <c r="E1387" s="476"/>
      <c r="F1387" s="475"/>
      <c r="G1387" s="476"/>
      <c r="H1387" s="475"/>
      <c r="I1387" s="476"/>
    </row>
    <row r="1388" spans="2:9" x14ac:dyDescent="0.25">
      <c r="B1388" s="476"/>
      <c r="C1388" s="476"/>
      <c r="D1388" s="475"/>
      <c r="E1388" s="476"/>
      <c r="F1388" s="475"/>
      <c r="G1388" s="476"/>
      <c r="H1388" s="475"/>
      <c r="I1388" s="476"/>
    </row>
    <row r="1389" spans="2:9" x14ac:dyDescent="0.25">
      <c r="B1389" s="476"/>
      <c r="C1389" s="476"/>
      <c r="D1389" s="475"/>
      <c r="E1389" s="476"/>
      <c r="F1389" s="475"/>
      <c r="G1389" s="476"/>
      <c r="H1389" s="475"/>
      <c r="I1389" s="476"/>
    </row>
    <row r="1390" spans="2:9" x14ac:dyDescent="0.25">
      <c r="B1390" s="476"/>
      <c r="C1390" s="476"/>
      <c r="D1390" s="475"/>
      <c r="E1390" s="476"/>
      <c r="F1390" s="475"/>
      <c r="G1390" s="476"/>
      <c r="H1390" s="475"/>
      <c r="I1390" s="476"/>
    </row>
    <row r="1391" spans="2:9" x14ac:dyDescent="0.25">
      <c r="B1391" s="476"/>
      <c r="C1391" s="476"/>
      <c r="D1391" s="475"/>
      <c r="E1391" s="476"/>
      <c r="F1391" s="475"/>
      <c r="G1391" s="476"/>
      <c r="H1391" s="475"/>
      <c r="I1391" s="476"/>
    </row>
    <row r="1392" spans="2:9" x14ac:dyDescent="0.25">
      <c r="B1392" s="476"/>
      <c r="C1392" s="476"/>
      <c r="D1392" s="475"/>
      <c r="E1392" s="476"/>
      <c r="F1392" s="475"/>
      <c r="G1392" s="476"/>
      <c r="H1392" s="475"/>
      <c r="I1392" s="476"/>
    </row>
    <row r="1393" spans="2:9" x14ac:dyDescent="0.25">
      <c r="B1393" s="476"/>
      <c r="C1393" s="476"/>
      <c r="D1393" s="475"/>
      <c r="E1393" s="476"/>
      <c r="F1393" s="475"/>
      <c r="G1393" s="476"/>
      <c r="H1393" s="475"/>
      <c r="I1393" s="476"/>
    </row>
    <row r="1394" spans="2:9" x14ac:dyDescent="0.25">
      <c r="B1394" s="476"/>
      <c r="C1394" s="476"/>
      <c r="D1394" s="475"/>
      <c r="E1394" s="476"/>
      <c r="F1394" s="475"/>
      <c r="G1394" s="476"/>
      <c r="H1394" s="475"/>
      <c r="I1394" s="476"/>
    </row>
    <row r="1395" spans="2:9" x14ac:dyDescent="0.25">
      <c r="B1395" s="476"/>
      <c r="C1395" s="476"/>
      <c r="D1395" s="475"/>
      <c r="E1395" s="476"/>
      <c r="F1395" s="475"/>
      <c r="G1395" s="476"/>
      <c r="H1395" s="475"/>
      <c r="I1395" s="476"/>
    </row>
    <row r="1396" spans="2:9" x14ac:dyDescent="0.25">
      <c r="B1396" s="476"/>
      <c r="C1396" s="476"/>
      <c r="D1396" s="475"/>
      <c r="E1396" s="476"/>
      <c r="F1396" s="475"/>
      <c r="G1396" s="476"/>
      <c r="H1396" s="475"/>
      <c r="I1396" s="476"/>
    </row>
    <row r="1397" spans="2:9" x14ac:dyDescent="0.25">
      <c r="B1397" s="476"/>
      <c r="C1397" s="476"/>
      <c r="D1397" s="475"/>
      <c r="E1397" s="476"/>
      <c r="F1397" s="475"/>
      <c r="G1397" s="476"/>
      <c r="H1397" s="475"/>
      <c r="I1397" s="476"/>
    </row>
    <row r="1398" spans="2:9" x14ac:dyDescent="0.25">
      <c r="B1398" s="476"/>
      <c r="C1398" s="476"/>
      <c r="D1398" s="475"/>
      <c r="E1398" s="476"/>
      <c r="F1398" s="475"/>
      <c r="G1398" s="476"/>
      <c r="H1398" s="475"/>
      <c r="I1398" s="476"/>
    </row>
    <row r="1399" spans="2:9" x14ac:dyDescent="0.25">
      <c r="B1399" s="476"/>
      <c r="C1399" s="476"/>
      <c r="D1399" s="475"/>
      <c r="E1399" s="476"/>
      <c r="F1399" s="475"/>
      <c r="G1399" s="476"/>
      <c r="H1399" s="475"/>
      <c r="I1399" s="476"/>
    </row>
    <row r="1400" spans="2:9" x14ac:dyDescent="0.25">
      <c r="B1400" s="476"/>
      <c r="C1400" s="476"/>
      <c r="D1400" s="475"/>
      <c r="E1400" s="476"/>
      <c r="F1400" s="475"/>
      <c r="G1400" s="476"/>
      <c r="H1400" s="475"/>
      <c r="I1400" s="476"/>
    </row>
    <row r="1401" spans="2:9" x14ac:dyDescent="0.25">
      <c r="B1401" s="476"/>
      <c r="C1401" s="476"/>
      <c r="D1401" s="475"/>
      <c r="E1401" s="476"/>
      <c r="F1401" s="475"/>
      <c r="G1401" s="476"/>
      <c r="H1401" s="475"/>
      <c r="I1401" s="476"/>
    </row>
    <row r="1402" spans="2:9" x14ac:dyDescent="0.25">
      <c r="B1402" s="476"/>
      <c r="C1402" s="476"/>
      <c r="D1402" s="475"/>
      <c r="E1402" s="476"/>
      <c r="F1402" s="475"/>
      <c r="G1402" s="476"/>
      <c r="H1402" s="475"/>
      <c r="I1402" s="476"/>
    </row>
    <row r="1403" spans="2:9" x14ac:dyDescent="0.25">
      <c r="B1403" s="476"/>
      <c r="C1403" s="476"/>
      <c r="D1403" s="475"/>
      <c r="E1403" s="476"/>
      <c r="F1403" s="475"/>
      <c r="G1403" s="476"/>
      <c r="H1403" s="475"/>
      <c r="I1403" s="476"/>
    </row>
    <row r="1404" spans="2:9" x14ac:dyDescent="0.25">
      <c r="B1404" s="476"/>
      <c r="C1404" s="476"/>
      <c r="D1404" s="475"/>
      <c r="E1404" s="476"/>
      <c r="F1404" s="475"/>
      <c r="G1404" s="476"/>
      <c r="H1404" s="475"/>
      <c r="I1404" s="476"/>
    </row>
    <row r="1405" spans="2:9" x14ac:dyDescent="0.25">
      <c r="B1405" s="476"/>
      <c r="C1405" s="476"/>
      <c r="D1405" s="475"/>
      <c r="E1405" s="476"/>
      <c r="F1405" s="475"/>
      <c r="G1405" s="476"/>
      <c r="H1405" s="475"/>
      <c r="I1405" s="476"/>
    </row>
    <row r="1406" spans="2:9" x14ac:dyDescent="0.25">
      <c r="B1406" s="476"/>
      <c r="C1406" s="476"/>
      <c r="D1406" s="475"/>
      <c r="E1406" s="476"/>
      <c r="F1406" s="475"/>
      <c r="G1406" s="476"/>
      <c r="H1406" s="475"/>
      <c r="I1406" s="476"/>
    </row>
    <row r="1407" spans="2:9" x14ac:dyDescent="0.25">
      <c r="B1407" s="476"/>
      <c r="C1407" s="476"/>
      <c r="D1407" s="475"/>
      <c r="E1407" s="476"/>
      <c r="F1407" s="475"/>
      <c r="G1407" s="476"/>
      <c r="H1407" s="475"/>
      <c r="I1407" s="476"/>
    </row>
    <row r="1408" spans="2:9" x14ac:dyDescent="0.25">
      <c r="B1408" s="476"/>
      <c r="C1408" s="476"/>
      <c r="D1408" s="475"/>
      <c r="E1408" s="476"/>
      <c r="F1408" s="475"/>
      <c r="G1408" s="476"/>
      <c r="H1408" s="475"/>
      <c r="I1408" s="476"/>
    </row>
    <row r="1409" spans="2:9" x14ac:dyDescent="0.25">
      <c r="B1409" s="476"/>
      <c r="C1409" s="476"/>
      <c r="D1409" s="475"/>
      <c r="E1409" s="476"/>
      <c r="F1409" s="475"/>
      <c r="G1409" s="476"/>
      <c r="H1409" s="475"/>
      <c r="I1409" s="476"/>
    </row>
    <row r="1410" spans="2:9" x14ac:dyDescent="0.25">
      <c r="B1410" s="476"/>
      <c r="C1410" s="476"/>
      <c r="D1410" s="475"/>
      <c r="E1410" s="476"/>
      <c r="F1410" s="475"/>
      <c r="G1410" s="476"/>
      <c r="H1410" s="475"/>
      <c r="I1410" s="476"/>
    </row>
    <row r="1411" spans="2:9" x14ac:dyDescent="0.25">
      <c r="B1411" s="476"/>
      <c r="C1411" s="476"/>
      <c r="D1411" s="475"/>
      <c r="E1411" s="476"/>
      <c r="F1411" s="475"/>
      <c r="G1411" s="476"/>
      <c r="H1411" s="475"/>
      <c r="I1411" s="476"/>
    </row>
    <row r="1412" spans="2:9" x14ac:dyDescent="0.25">
      <c r="B1412" s="476"/>
      <c r="C1412" s="476"/>
      <c r="D1412" s="475"/>
      <c r="E1412" s="476"/>
      <c r="F1412" s="475"/>
      <c r="G1412" s="476"/>
      <c r="H1412" s="475"/>
      <c r="I1412" s="476"/>
    </row>
    <row r="1413" spans="2:9" x14ac:dyDescent="0.25">
      <c r="B1413" s="476"/>
      <c r="C1413" s="476"/>
      <c r="D1413" s="475"/>
      <c r="E1413" s="476"/>
      <c r="F1413" s="475"/>
      <c r="G1413" s="476"/>
      <c r="H1413" s="475"/>
      <c r="I1413" s="476"/>
    </row>
    <row r="1414" spans="2:9" x14ac:dyDescent="0.25">
      <c r="B1414" s="476"/>
      <c r="C1414" s="476"/>
      <c r="D1414" s="475"/>
      <c r="E1414" s="476"/>
      <c r="F1414" s="475"/>
      <c r="G1414" s="476"/>
      <c r="H1414" s="475"/>
      <c r="I1414" s="476"/>
    </row>
    <row r="1415" spans="2:9" x14ac:dyDescent="0.25">
      <c r="B1415" s="476"/>
      <c r="C1415" s="476"/>
      <c r="D1415" s="475"/>
      <c r="E1415" s="476"/>
      <c r="F1415" s="475"/>
      <c r="G1415" s="476"/>
      <c r="H1415" s="475"/>
      <c r="I1415" s="476"/>
    </row>
    <row r="1416" spans="2:9" x14ac:dyDescent="0.25">
      <c r="B1416" s="476"/>
      <c r="C1416" s="476"/>
      <c r="D1416" s="475"/>
      <c r="E1416" s="476"/>
      <c r="F1416" s="475"/>
      <c r="G1416" s="476"/>
      <c r="H1416" s="475"/>
      <c r="I1416" s="476"/>
    </row>
    <row r="1417" spans="2:9" x14ac:dyDescent="0.25">
      <c r="B1417" s="476"/>
      <c r="C1417" s="476"/>
      <c r="D1417" s="475"/>
      <c r="E1417" s="476"/>
      <c r="F1417" s="475"/>
      <c r="G1417" s="476"/>
      <c r="H1417" s="475"/>
      <c r="I1417" s="476"/>
    </row>
    <row r="1418" spans="2:9" x14ac:dyDescent="0.25">
      <c r="B1418" s="476"/>
      <c r="C1418" s="476"/>
      <c r="D1418" s="475"/>
      <c r="E1418" s="476"/>
      <c r="F1418" s="475"/>
      <c r="G1418" s="476"/>
      <c r="H1418" s="475"/>
      <c r="I1418" s="476"/>
    </row>
    <row r="1419" spans="2:9" x14ac:dyDescent="0.25">
      <c r="B1419" s="476"/>
      <c r="C1419" s="476"/>
      <c r="D1419" s="475"/>
      <c r="E1419" s="476"/>
      <c r="F1419" s="475"/>
      <c r="G1419" s="476"/>
      <c r="H1419" s="475"/>
      <c r="I1419" s="476"/>
    </row>
    <row r="1420" spans="2:9" x14ac:dyDescent="0.25">
      <c r="B1420" s="476"/>
      <c r="C1420" s="476"/>
      <c r="D1420" s="475"/>
      <c r="E1420" s="476"/>
      <c r="F1420" s="475"/>
      <c r="G1420" s="476"/>
      <c r="H1420" s="475"/>
      <c r="I1420" s="476"/>
    </row>
    <row r="1421" spans="2:9" x14ac:dyDescent="0.25">
      <c r="B1421" s="476"/>
      <c r="C1421" s="476"/>
      <c r="D1421" s="475"/>
      <c r="E1421" s="476"/>
      <c r="F1421" s="475"/>
      <c r="G1421" s="476"/>
      <c r="H1421" s="475"/>
      <c r="I1421" s="476"/>
    </row>
    <row r="1422" spans="2:9" x14ac:dyDescent="0.25">
      <c r="B1422" s="476"/>
      <c r="C1422" s="476"/>
      <c r="D1422" s="475"/>
      <c r="E1422" s="476"/>
      <c r="F1422" s="475"/>
      <c r="G1422" s="476"/>
      <c r="H1422" s="475"/>
      <c r="I1422" s="476"/>
    </row>
    <row r="1423" spans="2:9" x14ac:dyDescent="0.25">
      <c r="B1423" s="476"/>
      <c r="C1423" s="476"/>
      <c r="D1423" s="475"/>
      <c r="E1423" s="476"/>
      <c r="F1423" s="475"/>
      <c r="G1423" s="476"/>
      <c r="H1423" s="475"/>
      <c r="I1423" s="476"/>
    </row>
    <row r="1424" spans="2:9" x14ac:dyDescent="0.25">
      <c r="B1424" s="476"/>
      <c r="C1424" s="476"/>
      <c r="D1424" s="475"/>
      <c r="E1424" s="476"/>
      <c r="F1424" s="475"/>
      <c r="G1424" s="476"/>
      <c r="H1424" s="475"/>
      <c r="I1424" s="476"/>
    </row>
    <row r="1425" spans="2:9" x14ac:dyDescent="0.25">
      <c r="B1425" s="476"/>
      <c r="C1425" s="476"/>
      <c r="D1425" s="475"/>
      <c r="E1425" s="476"/>
      <c r="F1425" s="475"/>
      <c r="G1425" s="476"/>
      <c r="H1425" s="475"/>
      <c r="I1425" s="476"/>
    </row>
    <row r="1426" spans="2:9" x14ac:dyDescent="0.25">
      <c r="B1426" s="476"/>
      <c r="C1426" s="476"/>
      <c r="D1426" s="475"/>
      <c r="E1426" s="476"/>
      <c r="F1426" s="475"/>
      <c r="G1426" s="476"/>
      <c r="H1426" s="475"/>
      <c r="I1426" s="476"/>
    </row>
    <row r="1427" spans="2:9" x14ac:dyDescent="0.25">
      <c r="B1427" s="476"/>
      <c r="C1427" s="476"/>
      <c r="D1427" s="475"/>
      <c r="E1427" s="476"/>
      <c r="F1427" s="475"/>
      <c r="G1427" s="476"/>
      <c r="H1427" s="475"/>
      <c r="I1427" s="476"/>
    </row>
    <row r="1428" spans="2:9" x14ac:dyDescent="0.25">
      <c r="B1428" s="476"/>
      <c r="C1428" s="476"/>
      <c r="D1428" s="475"/>
      <c r="E1428" s="476"/>
      <c r="F1428" s="475"/>
      <c r="G1428" s="476"/>
      <c r="H1428" s="475"/>
      <c r="I1428" s="476"/>
    </row>
    <row r="1429" spans="2:9" x14ac:dyDescent="0.25">
      <c r="B1429" s="476"/>
      <c r="C1429" s="476"/>
      <c r="D1429" s="475"/>
      <c r="E1429" s="476"/>
      <c r="F1429" s="475"/>
      <c r="G1429" s="476"/>
      <c r="H1429" s="475"/>
      <c r="I1429" s="476"/>
    </row>
    <row r="1430" spans="2:9" x14ac:dyDescent="0.25">
      <c r="B1430" s="476"/>
      <c r="C1430" s="476"/>
      <c r="D1430" s="475"/>
      <c r="E1430" s="476"/>
      <c r="F1430" s="475"/>
      <c r="G1430" s="476"/>
      <c r="H1430" s="475"/>
      <c r="I1430" s="476"/>
    </row>
    <row r="1431" spans="2:9" x14ac:dyDescent="0.25">
      <c r="B1431" s="476"/>
      <c r="C1431" s="476"/>
      <c r="D1431" s="475"/>
      <c r="E1431" s="476"/>
      <c r="F1431" s="475"/>
      <c r="G1431" s="476"/>
      <c r="H1431" s="475"/>
      <c r="I1431" s="476"/>
    </row>
    <row r="1432" spans="2:9" x14ac:dyDescent="0.25">
      <c r="B1432" s="476"/>
      <c r="C1432" s="476"/>
      <c r="D1432" s="475"/>
      <c r="E1432" s="476"/>
      <c r="F1432" s="475"/>
      <c r="G1432" s="476"/>
      <c r="H1432" s="475"/>
      <c r="I1432" s="476"/>
    </row>
    <row r="1433" spans="2:9" x14ac:dyDescent="0.25">
      <c r="B1433" s="476"/>
      <c r="C1433" s="476"/>
      <c r="D1433" s="475"/>
      <c r="E1433" s="476"/>
      <c r="F1433" s="475"/>
      <c r="G1433" s="476"/>
      <c r="H1433" s="475"/>
      <c r="I1433" s="476"/>
    </row>
    <row r="1434" spans="2:9" x14ac:dyDescent="0.25">
      <c r="B1434" s="476"/>
      <c r="C1434" s="476"/>
      <c r="D1434" s="475"/>
      <c r="E1434" s="476"/>
      <c r="F1434" s="475"/>
      <c r="G1434" s="476"/>
      <c r="H1434" s="475"/>
      <c r="I1434" s="476"/>
    </row>
    <row r="1435" spans="2:9" x14ac:dyDescent="0.25">
      <c r="B1435" s="476"/>
      <c r="C1435" s="476"/>
      <c r="D1435" s="475"/>
      <c r="E1435" s="476"/>
      <c r="F1435" s="475"/>
      <c r="G1435" s="476"/>
      <c r="H1435" s="475"/>
      <c r="I1435" s="476"/>
    </row>
    <row r="1436" spans="2:9" x14ac:dyDescent="0.25">
      <c r="B1436" s="476"/>
      <c r="C1436" s="476"/>
      <c r="D1436" s="475"/>
      <c r="E1436" s="476"/>
      <c r="F1436" s="475"/>
      <c r="G1436" s="476"/>
      <c r="H1436" s="475"/>
      <c r="I1436" s="476"/>
    </row>
    <row r="1437" spans="2:9" x14ac:dyDescent="0.25">
      <c r="B1437" s="476"/>
      <c r="C1437" s="476"/>
      <c r="D1437" s="475"/>
      <c r="E1437" s="476"/>
      <c r="F1437" s="475"/>
      <c r="G1437" s="476"/>
      <c r="H1437" s="475"/>
      <c r="I1437" s="476"/>
    </row>
    <row r="1438" spans="2:9" x14ac:dyDescent="0.25">
      <c r="B1438" s="476"/>
      <c r="C1438" s="476"/>
      <c r="D1438" s="475"/>
      <c r="E1438" s="476"/>
      <c r="F1438" s="475"/>
      <c r="G1438" s="476"/>
      <c r="H1438" s="475"/>
      <c r="I1438" s="476"/>
    </row>
    <row r="1439" spans="2:9" x14ac:dyDescent="0.25">
      <c r="B1439" s="476"/>
      <c r="C1439" s="476"/>
      <c r="D1439" s="475"/>
      <c r="E1439" s="476"/>
      <c r="F1439" s="475"/>
      <c r="G1439" s="476"/>
      <c r="H1439" s="475"/>
      <c r="I1439" s="476"/>
    </row>
    <row r="1440" spans="2:9" x14ac:dyDescent="0.25">
      <c r="B1440" s="476"/>
      <c r="C1440" s="476"/>
      <c r="D1440" s="475"/>
      <c r="E1440" s="476"/>
      <c r="F1440" s="475"/>
      <c r="G1440" s="476"/>
      <c r="H1440" s="475"/>
      <c r="I1440" s="476"/>
    </row>
    <row r="1441" spans="2:9" x14ac:dyDescent="0.25">
      <c r="B1441" s="476"/>
      <c r="C1441" s="476"/>
      <c r="D1441" s="475"/>
      <c r="E1441" s="476"/>
      <c r="F1441" s="475"/>
      <c r="G1441" s="476"/>
      <c r="H1441" s="475"/>
      <c r="I1441" s="476"/>
    </row>
    <row r="1442" spans="2:9" x14ac:dyDescent="0.25">
      <c r="B1442" s="476"/>
      <c r="C1442" s="476"/>
      <c r="D1442" s="475"/>
      <c r="E1442" s="476"/>
      <c r="F1442" s="475"/>
      <c r="G1442" s="476"/>
      <c r="H1442" s="475"/>
      <c r="I1442" s="476"/>
    </row>
    <row r="1443" spans="2:9" x14ac:dyDescent="0.25">
      <c r="B1443" s="476"/>
      <c r="C1443" s="476"/>
      <c r="D1443" s="475"/>
      <c r="E1443" s="476"/>
      <c r="F1443" s="475"/>
      <c r="G1443" s="476"/>
      <c r="H1443" s="475"/>
      <c r="I1443" s="476"/>
    </row>
    <row r="1444" spans="2:9" x14ac:dyDescent="0.25">
      <c r="B1444" s="476"/>
      <c r="C1444" s="476"/>
      <c r="D1444" s="475"/>
      <c r="E1444" s="476"/>
      <c r="F1444" s="475"/>
      <c r="G1444" s="476"/>
      <c r="H1444" s="475"/>
      <c r="I1444" s="476"/>
    </row>
    <row r="1445" spans="2:9" x14ac:dyDescent="0.25">
      <c r="B1445" s="476"/>
      <c r="C1445" s="476"/>
      <c r="D1445" s="475"/>
      <c r="E1445" s="476"/>
      <c r="F1445" s="475"/>
      <c r="G1445" s="476"/>
      <c r="H1445" s="475"/>
      <c r="I1445" s="476"/>
    </row>
    <row r="1446" spans="2:9" x14ac:dyDescent="0.25">
      <c r="B1446" s="476"/>
      <c r="C1446" s="476"/>
      <c r="D1446" s="475"/>
      <c r="E1446" s="476"/>
      <c r="F1446" s="475"/>
      <c r="G1446" s="476"/>
      <c r="H1446" s="475"/>
      <c r="I1446" s="476"/>
    </row>
    <row r="1447" spans="2:9" x14ac:dyDescent="0.25">
      <c r="B1447" s="476"/>
      <c r="C1447" s="476"/>
      <c r="D1447" s="475"/>
      <c r="E1447" s="476"/>
      <c r="F1447" s="475"/>
      <c r="G1447" s="476"/>
      <c r="H1447" s="475"/>
      <c r="I1447" s="476"/>
    </row>
    <row r="1448" spans="2:9" x14ac:dyDescent="0.25">
      <c r="B1448" s="476"/>
      <c r="C1448" s="476"/>
      <c r="D1448" s="475"/>
      <c r="E1448" s="476"/>
      <c r="F1448" s="475"/>
      <c r="G1448" s="476"/>
      <c r="H1448" s="475"/>
      <c r="I1448" s="476"/>
    </row>
    <row r="1449" spans="2:9" x14ac:dyDescent="0.25">
      <c r="B1449" s="476"/>
      <c r="C1449" s="476"/>
      <c r="D1449" s="475"/>
      <c r="E1449" s="476"/>
      <c r="F1449" s="475"/>
      <c r="G1449" s="476"/>
      <c r="H1449" s="475"/>
      <c r="I1449" s="476"/>
    </row>
    <row r="1450" spans="2:9" x14ac:dyDescent="0.25">
      <c r="B1450" s="476"/>
      <c r="C1450" s="476"/>
      <c r="D1450" s="475"/>
      <c r="E1450" s="476"/>
      <c r="F1450" s="475"/>
      <c r="G1450" s="476"/>
      <c r="H1450" s="475"/>
      <c r="I1450" s="476"/>
    </row>
    <row r="1451" spans="2:9" x14ac:dyDescent="0.25">
      <c r="B1451" s="476"/>
      <c r="C1451" s="476"/>
      <c r="D1451" s="475"/>
      <c r="E1451" s="476"/>
      <c r="F1451" s="475"/>
      <c r="G1451" s="476"/>
      <c r="H1451" s="475"/>
      <c r="I1451" s="476"/>
    </row>
    <row r="1452" spans="2:9" x14ac:dyDescent="0.25">
      <c r="B1452" s="476"/>
      <c r="C1452" s="476"/>
      <c r="D1452" s="475"/>
      <c r="E1452" s="476"/>
      <c r="F1452" s="475"/>
      <c r="G1452" s="476"/>
      <c r="H1452" s="475"/>
      <c r="I1452" s="476"/>
    </row>
    <row r="1453" spans="2:9" x14ac:dyDescent="0.25">
      <c r="B1453" s="476"/>
      <c r="C1453" s="476"/>
      <c r="D1453" s="475"/>
      <c r="E1453" s="476"/>
      <c r="F1453" s="475"/>
      <c r="G1453" s="476"/>
      <c r="H1453" s="475"/>
      <c r="I1453" s="476"/>
    </row>
    <row r="1454" spans="2:9" x14ac:dyDescent="0.25">
      <c r="B1454" s="476"/>
      <c r="C1454" s="476"/>
      <c r="D1454" s="475"/>
      <c r="E1454" s="476"/>
      <c r="F1454" s="475"/>
      <c r="G1454" s="476"/>
      <c r="H1454" s="475"/>
      <c r="I1454" s="476"/>
    </row>
    <row r="1455" spans="2:9" x14ac:dyDescent="0.25">
      <c r="B1455" s="476"/>
      <c r="C1455" s="476"/>
      <c r="D1455" s="475"/>
      <c r="E1455" s="476"/>
      <c r="F1455" s="475"/>
      <c r="G1455" s="476"/>
      <c r="H1455" s="475"/>
      <c r="I1455" s="476"/>
    </row>
    <row r="1456" spans="2:9" x14ac:dyDescent="0.25">
      <c r="B1456" s="476"/>
      <c r="C1456" s="476"/>
      <c r="D1456" s="475"/>
      <c r="E1456" s="476"/>
      <c r="F1456" s="475"/>
      <c r="G1456" s="476"/>
      <c r="H1456" s="475"/>
      <c r="I1456" s="476"/>
    </row>
    <row r="1457" spans="2:9" x14ac:dyDescent="0.25">
      <c r="B1457" s="476"/>
      <c r="C1457" s="476"/>
      <c r="D1457" s="475"/>
      <c r="E1457" s="476"/>
      <c r="F1457" s="475"/>
      <c r="G1457" s="476"/>
      <c r="H1457" s="475"/>
      <c r="I1457" s="476"/>
    </row>
    <row r="1458" spans="2:9" x14ac:dyDescent="0.25">
      <c r="B1458" s="476"/>
      <c r="C1458" s="476"/>
      <c r="D1458" s="475"/>
      <c r="E1458" s="476"/>
      <c r="F1458" s="475"/>
      <c r="G1458" s="476"/>
      <c r="H1458" s="475"/>
      <c r="I1458" s="476"/>
    </row>
    <row r="1459" spans="2:9" x14ac:dyDescent="0.25">
      <c r="B1459" s="476"/>
      <c r="C1459" s="476"/>
      <c r="D1459" s="475"/>
      <c r="E1459" s="476"/>
      <c r="F1459" s="475"/>
      <c r="G1459" s="476"/>
      <c r="H1459" s="475"/>
      <c r="I1459" s="476"/>
    </row>
    <row r="1460" spans="2:9" x14ac:dyDescent="0.25">
      <c r="B1460" s="476"/>
      <c r="C1460" s="476"/>
      <c r="D1460" s="475"/>
      <c r="E1460" s="476"/>
      <c r="F1460" s="475"/>
      <c r="G1460" s="476"/>
      <c r="H1460" s="475"/>
      <c r="I1460" s="476"/>
    </row>
    <row r="1461" spans="2:9" x14ac:dyDescent="0.25">
      <c r="B1461" s="476"/>
      <c r="C1461" s="476"/>
      <c r="D1461" s="475"/>
      <c r="E1461" s="476"/>
      <c r="F1461" s="475"/>
      <c r="G1461" s="476"/>
      <c r="H1461" s="475"/>
      <c r="I1461" s="476"/>
    </row>
    <row r="1462" spans="2:9" x14ac:dyDescent="0.25">
      <c r="B1462" s="476"/>
      <c r="C1462" s="476"/>
      <c r="D1462" s="475"/>
      <c r="E1462" s="476"/>
      <c r="F1462" s="475"/>
      <c r="G1462" s="476"/>
      <c r="H1462" s="475"/>
      <c r="I1462" s="476"/>
    </row>
    <row r="1463" spans="2:9" x14ac:dyDescent="0.25">
      <c r="B1463" s="476"/>
      <c r="C1463" s="476"/>
      <c r="D1463" s="475"/>
      <c r="E1463" s="476"/>
      <c r="F1463" s="475"/>
      <c r="G1463" s="476"/>
      <c r="H1463" s="475"/>
      <c r="I1463" s="476"/>
    </row>
    <row r="1464" spans="2:9" x14ac:dyDescent="0.25">
      <c r="B1464" s="476"/>
      <c r="C1464" s="476"/>
      <c r="D1464" s="475"/>
      <c r="E1464" s="476"/>
      <c r="F1464" s="475"/>
      <c r="G1464" s="476"/>
      <c r="H1464" s="475"/>
      <c r="I1464" s="476"/>
    </row>
    <row r="1465" spans="2:9" x14ac:dyDescent="0.25">
      <c r="B1465" s="476"/>
      <c r="C1465" s="476"/>
      <c r="D1465" s="475"/>
      <c r="E1465" s="476"/>
      <c r="F1465" s="475"/>
      <c r="G1465" s="476"/>
      <c r="H1465" s="475"/>
      <c r="I1465" s="476"/>
    </row>
    <row r="1466" spans="2:9" x14ac:dyDescent="0.25">
      <c r="B1466" s="476"/>
      <c r="C1466" s="476"/>
      <c r="D1466" s="475"/>
      <c r="E1466" s="476"/>
      <c r="F1466" s="475"/>
      <c r="G1466" s="476"/>
      <c r="H1466" s="475"/>
      <c r="I1466" s="476"/>
    </row>
    <row r="1467" spans="2:9" x14ac:dyDescent="0.25">
      <c r="B1467" s="476"/>
      <c r="C1467" s="476"/>
      <c r="D1467" s="475"/>
      <c r="E1467" s="476"/>
      <c r="F1467" s="475"/>
      <c r="G1467" s="476"/>
      <c r="H1467" s="475"/>
      <c r="I1467" s="476"/>
    </row>
    <row r="1468" spans="2:9" x14ac:dyDescent="0.25">
      <c r="B1468" s="476"/>
      <c r="C1468" s="476"/>
      <c r="D1468" s="475"/>
      <c r="E1468" s="476"/>
      <c r="F1468" s="475"/>
      <c r="G1468" s="476"/>
      <c r="H1468" s="475"/>
      <c r="I1468" s="476"/>
    </row>
    <row r="1469" spans="2:9" x14ac:dyDescent="0.25">
      <c r="B1469" s="476"/>
      <c r="C1469" s="476"/>
      <c r="D1469" s="475"/>
      <c r="E1469" s="476"/>
      <c r="F1469" s="475"/>
      <c r="G1469" s="476"/>
      <c r="H1469" s="475"/>
      <c r="I1469" s="476"/>
    </row>
    <row r="1470" spans="2:9" x14ac:dyDescent="0.25">
      <c r="B1470" s="476"/>
      <c r="C1470" s="476"/>
      <c r="D1470" s="475"/>
      <c r="E1470" s="476"/>
      <c r="F1470" s="475"/>
      <c r="G1470" s="476"/>
      <c r="H1470" s="475"/>
      <c r="I1470" s="476"/>
    </row>
    <row r="1471" spans="2:9" x14ac:dyDescent="0.25">
      <c r="B1471" s="476"/>
      <c r="C1471" s="476"/>
      <c r="D1471" s="475"/>
      <c r="E1471" s="476"/>
      <c r="F1471" s="475"/>
      <c r="G1471" s="476"/>
      <c r="H1471" s="475"/>
      <c r="I1471" s="476"/>
    </row>
    <row r="1472" spans="2:9" x14ac:dyDescent="0.25">
      <c r="B1472" s="476"/>
      <c r="C1472" s="476"/>
      <c r="D1472" s="475"/>
      <c r="E1472" s="476"/>
      <c r="F1472" s="475"/>
      <c r="G1472" s="476"/>
      <c r="H1472" s="475"/>
      <c r="I1472" s="476"/>
    </row>
    <row r="1473" spans="2:9" x14ac:dyDescent="0.25">
      <c r="B1473" s="476"/>
      <c r="C1473" s="476"/>
      <c r="D1473" s="475"/>
      <c r="E1473" s="476"/>
      <c r="F1473" s="475"/>
      <c r="G1473" s="476"/>
      <c r="H1473" s="475"/>
      <c r="I1473" s="476"/>
    </row>
    <row r="1474" spans="2:9" x14ac:dyDescent="0.25">
      <c r="B1474" s="476"/>
      <c r="C1474" s="476"/>
      <c r="D1474" s="475"/>
      <c r="E1474" s="476"/>
      <c r="F1474" s="475"/>
      <c r="G1474" s="476"/>
      <c r="H1474" s="475"/>
      <c r="I1474" s="476"/>
    </row>
    <row r="1475" spans="2:9" x14ac:dyDescent="0.25">
      <c r="B1475" s="476"/>
      <c r="C1475" s="476"/>
      <c r="D1475" s="475"/>
      <c r="E1475" s="476"/>
      <c r="F1475" s="475"/>
      <c r="G1475" s="476"/>
      <c r="H1475" s="475"/>
      <c r="I1475" s="476"/>
    </row>
    <row r="1476" spans="2:9" x14ac:dyDescent="0.25">
      <c r="B1476" s="476"/>
      <c r="C1476" s="476"/>
      <c r="D1476" s="475"/>
      <c r="E1476" s="476"/>
      <c r="F1476" s="475"/>
      <c r="G1476" s="476"/>
      <c r="H1476" s="475"/>
      <c r="I1476" s="476"/>
    </row>
    <row r="1477" spans="2:9" x14ac:dyDescent="0.25">
      <c r="B1477" s="476"/>
      <c r="C1477" s="476"/>
      <c r="D1477" s="475"/>
      <c r="E1477" s="476"/>
      <c r="F1477" s="475"/>
      <c r="G1477" s="476"/>
      <c r="H1477" s="475"/>
      <c r="I1477" s="476"/>
    </row>
    <row r="1478" spans="2:9" x14ac:dyDescent="0.25">
      <c r="B1478" s="476"/>
      <c r="C1478" s="476"/>
      <c r="D1478" s="475"/>
      <c r="E1478" s="476"/>
      <c r="F1478" s="475"/>
      <c r="G1478" s="476"/>
      <c r="H1478" s="475"/>
      <c r="I1478" s="476"/>
    </row>
    <row r="1479" spans="2:9" x14ac:dyDescent="0.25">
      <c r="B1479" s="476"/>
      <c r="C1479" s="476"/>
      <c r="D1479" s="475"/>
      <c r="E1479" s="476"/>
      <c r="F1479" s="475"/>
      <c r="G1479" s="476"/>
      <c r="H1479" s="475"/>
      <c r="I1479" s="476"/>
    </row>
    <row r="1480" spans="2:9" x14ac:dyDescent="0.25">
      <c r="B1480" s="476"/>
      <c r="C1480" s="476"/>
      <c r="D1480" s="475"/>
      <c r="E1480" s="476"/>
      <c r="F1480" s="475"/>
      <c r="G1480" s="476"/>
      <c r="H1480" s="475"/>
      <c r="I1480" s="476"/>
    </row>
    <row r="1481" spans="2:9" x14ac:dyDescent="0.25">
      <c r="B1481" s="476"/>
      <c r="C1481" s="476"/>
      <c r="D1481" s="475"/>
      <c r="E1481" s="476"/>
      <c r="F1481" s="475"/>
      <c r="G1481" s="476"/>
      <c r="H1481" s="475"/>
      <c r="I1481" s="476"/>
    </row>
    <row r="1482" spans="2:9" x14ac:dyDescent="0.25">
      <c r="B1482" s="476"/>
      <c r="C1482" s="476"/>
      <c r="D1482" s="475"/>
      <c r="E1482" s="476"/>
      <c r="F1482" s="475"/>
      <c r="G1482" s="476"/>
      <c r="H1482" s="475"/>
      <c r="I1482" s="476"/>
    </row>
    <row r="1483" spans="2:9" x14ac:dyDescent="0.25">
      <c r="B1483" s="476"/>
      <c r="C1483" s="476"/>
      <c r="D1483" s="475"/>
      <c r="E1483" s="476"/>
      <c r="F1483" s="475"/>
      <c r="G1483" s="476"/>
      <c r="H1483" s="475"/>
      <c r="I1483" s="476"/>
    </row>
    <row r="1484" spans="2:9" x14ac:dyDescent="0.25">
      <c r="B1484" s="476"/>
      <c r="C1484" s="476"/>
      <c r="D1484" s="475"/>
      <c r="E1484" s="476"/>
      <c r="F1484" s="475"/>
      <c r="G1484" s="476"/>
      <c r="H1484" s="475"/>
      <c r="I1484" s="476"/>
    </row>
    <row r="1485" spans="2:9" x14ac:dyDescent="0.25">
      <c r="B1485" s="476"/>
      <c r="C1485" s="476"/>
      <c r="D1485" s="475"/>
      <c r="E1485" s="476"/>
      <c r="F1485" s="475"/>
      <c r="G1485" s="476"/>
      <c r="H1485" s="475"/>
      <c r="I1485" s="476"/>
    </row>
    <row r="1486" spans="2:9" x14ac:dyDescent="0.25">
      <c r="B1486" s="476"/>
      <c r="C1486" s="476"/>
      <c r="D1486" s="475"/>
      <c r="E1486" s="476"/>
      <c r="F1486" s="475"/>
      <c r="G1486" s="476"/>
      <c r="H1486" s="475"/>
      <c r="I1486" s="476"/>
    </row>
    <row r="1487" spans="2:9" x14ac:dyDescent="0.25">
      <c r="B1487" s="476"/>
      <c r="C1487" s="476"/>
      <c r="D1487" s="475"/>
      <c r="E1487" s="476"/>
      <c r="F1487" s="475"/>
      <c r="G1487" s="476"/>
      <c r="H1487" s="475"/>
      <c r="I1487" s="476"/>
    </row>
    <row r="1488" spans="2:9" x14ac:dyDescent="0.25">
      <c r="B1488" s="476"/>
      <c r="C1488" s="476"/>
      <c r="D1488" s="475"/>
      <c r="E1488" s="476"/>
      <c r="F1488" s="475"/>
      <c r="G1488" s="476"/>
      <c r="H1488" s="475"/>
      <c r="I1488" s="476"/>
    </row>
    <row r="1489" spans="2:9" x14ac:dyDescent="0.25">
      <c r="B1489" s="476"/>
      <c r="C1489" s="476"/>
      <c r="D1489" s="475"/>
      <c r="E1489" s="476"/>
      <c r="F1489" s="475"/>
      <c r="G1489" s="476"/>
      <c r="H1489" s="475"/>
      <c r="I1489" s="476"/>
    </row>
    <row r="1490" spans="2:9" x14ac:dyDescent="0.25">
      <c r="B1490" s="476"/>
      <c r="C1490" s="476"/>
      <c r="D1490" s="475"/>
      <c r="E1490" s="476"/>
      <c r="F1490" s="475"/>
      <c r="G1490" s="476"/>
      <c r="H1490" s="475"/>
      <c r="I1490" s="476"/>
    </row>
    <row r="1491" spans="2:9" x14ac:dyDescent="0.25">
      <c r="B1491" s="476"/>
      <c r="C1491" s="476"/>
      <c r="D1491" s="475"/>
      <c r="E1491" s="476"/>
      <c r="F1491" s="475"/>
      <c r="G1491" s="476"/>
      <c r="H1491" s="475"/>
      <c r="I1491" s="476"/>
    </row>
    <row r="1492" spans="2:9" x14ac:dyDescent="0.25">
      <c r="B1492" s="476"/>
      <c r="C1492" s="476"/>
      <c r="D1492" s="475"/>
      <c r="E1492" s="476"/>
      <c r="F1492" s="475"/>
      <c r="G1492" s="476"/>
      <c r="H1492" s="475"/>
      <c r="I1492" s="476"/>
    </row>
    <row r="1493" spans="2:9" x14ac:dyDescent="0.25">
      <c r="B1493" s="476"/>
      <c r="C1493" s="476"/>
      <c r="D1493" s="475"/>
      <c r="E1493" s="476"/>
      <c r="F1493" s="475"/>
      <c r="G1493" s="476"/>
      <c r="H1493" s="475"/>
      <c r="I1493" s="476"/>
    </row>
    <row r="1494" spans="2:9" x14ac:dyDescent="0.25">
      <c r="B1494" s="476"/>
      <c r="C1494" s="476"/>
      <c r="D1494" s="475"/>
      <c r="E1494" s="476"/>
      <c r="F1494" s="475"/>
      <c r="G1494" s="476"/>
      <c r="H1494" s="475"/>
      <c r="I1494" s="476"/>
    </row>
    <row r="1495" spans="2:9" x14ac:dyDescent="0.25">
      <c r="B1495" s="476"/>
      <c r="C1495" s="476"/>
      <c r="D1495" s="475"/>
      <c r="E1495" s="476"/>
      <c r="F1495" s="475"/>
      <c r="G1495" s="476"/>
      <c r="H1495" s="475"/>
      <c r="I1495" s="476"/>
    </row>
    <row r="1496" spans="2:9" x14ac:dyDescent="0.25">
      <c r="B1496" s="476"/>
      <c r="C1496" s="476"/>
      <c r="D1496" s="475"/>
      <c r="E1496" s="476"/>
      <c r="F1496" s="475"/>
      <c r="G1496" s="476"/>
      <c r="H1496" s="475"/>
      <c r="I1496" s="476"/>
    </row>
    <row r="1497" spans="2:9" x14ac:dyDescent="0.25">
      <c r="B1497" s="476"/>
      <c r="C1497" s="476"/>
      <c r="D1497" s="475"/>
      <c r="E1497" s="476"/>
      <c r="F1497" s="475"/>
      <c r="G1497" s="476"/>
      <c r="H1497" s="475"/>
      <c r="I1497" s="476"/>
    </row>
    <row r="1498" spans="2:9" x14ac:dyDescent="0.25">
      <c r="B1498" s="476"/>
      <c r="C1498" s="476"/>
      <c r="D1498" s="475"/>
      <c r="E1498" s="476"/>
      <c r="F1498" s="475"/>
      <c r="G1498" s="476"/>
      <c r="H1498" s="475"/>
      <c r="I1498" s="476"/>
    </row>
    <row r="1499" spans="2:9" x14ac:dyDescent="0.25">
      <c r="B1499" s="476"/>
      <c r="C1499" s="476"/>
      <c r="D1499" s="475"/>
      <c r="E1499" s="476"/>
      <c r="F1499" s="475"/>
      <c r="G1499" s="476"/>
      <c r="H1499" s="475"/>
      <c r="I1499" s="476"/>
    </row>
    <row r="1500" spans="2:9" x14ac:dyDescent="0.25">
      <c r="B1500" s="476"/>
      <c r="C1500" s="476"/>
      <c r="D1500" s="475"/>
      <c r="E1500" s="476"/>
      <c r="F1500" s="475"/>
      <c r="G1500" s="476"/>
      <c r="H1500" s="475"/>
      <c r="I1500" s="476"/>
    </row>
    <row r="1501" spans="2:9" x14ac:dyDescent="0.25">
      <c r="B1501" s="476"/>
      <c r="C1501" s="476"/>
      <c r="D1501" s="475"/>
      <c r="E1501" s="476"/>
      <c r="F1501" s="475"/>
      <c r="G1501" s="476"/>
      <c r="H1501" s="475"/>
      <c r="I1501" s="476"/>
    </row>
    <row r="1502" spans="2:9" x14ac:dyDescent="0.25">
      <c r="B1502" s="476"/>
      <c r="C1502" s="476"/>
      <c r="D1502" s="475"/>
      <c r="E1502" s="476"/>
      <c r="F1502" s="475"/>
      <c r="G1502" s="476"/>
      <c r="H1502" s="475"/>
      <c r="I1502" s="476"/>
    </row>
    <row r="1503" spans="2:9" x14ac:dyDescent="0.25">
      <c r="B1503" s="476"/>
      <c r="C1503" s="476"/>
      <c r="D1503" s="475"/>
      <c r="E1503" s="476"/>
      <c r="F1503" s="475"/>
      <c r="G1503" s="476"/>
      <c r="H1503" s="475"/>
      <c r="I1503" s="476"/>
    </row>
    <row r="1504" spans="2:9" x14ac:dyDescent="0.25">
      <c r="B1504" s="476"/>
      <c r="C1504" s="476"/>
      <c r="D1504" s="475"/>
      <c r="E1504" s="476"/>
      <c r="F1504" s="475"/>
      <c r="G1504" s="476"/>
      <c r="H1504" s="475"/>
      <c r="I1504" s="476"/>
    </row>
    <row r="1505" spans="2:9" x14ac:dyDescent="0.25">
      <c r="B1505" s="476"/>
      <c r="C1505" s="476"/>
      <c r="D1505" s="475"/>
      <c r="E1505" s="476"/>
      <c r="F1505" s="475"/>
      <c r="G1505" s="476"/>
      <c r="H1505" s="475"/>
      <c r="I1505" s="476"/>
    </row>
    <row r="1506" spans="2:9" x14ac:dyDescent="0.25">
      <c r="B1506" s="476"/>
      <c r="C1506" s="476"/>
      <c r="D1506" s="475"/>
      <c r="E1506" s="476"/>
      <c r="F1506" s="475"/>
      <c r="G1506" s="476"/>
      <c r="H1506" s="475"/>
      <c r="I1506" s="476"/>
    </row>
    <row r="1507" spans="2:9" x14ac:dyDescent="0.25">
      <c r="B1507" s="476"/>
      <c r="C1507" s="476"/>
      <c r="D1507" s="475"/>
      <c r="E1507" s="476"/>
      <c r="F1507" s="475"/>
      <c r="G1507" s="476"/>
      <c r="H1507" s="475"/>
      <c r="I1507" s="476"/>
    </row>
    <row r="1508" spans="2:9" x14ac:dyDescent="0.25">
      <c r="B1508" s="476"/>
      <c r="C1508" s="476"/>
      <c r="D1508" s="475"/>
      <c r="E1508" s="476"/>
      <c r="F1508" s="475"/>
      <c r="G1508" s="476"/>
      <c r="H1508" s="475"/>
      <c r="I1508" s="476"/>
    </row>
    <row r="1509" spans="2:9" x14ac:dyDescent="0.25">
      <c r="B1509" s="476"/>
      <c r="C1509" s="476"/>
      <c r="D1509" s="475"/>
      <c r="E1509" s="476"/>
      <c r="F1509" s="475"/>
      <c r="G1509" s="476"/>
      <c r="H1509" s="475"/>
      <c r="I1509" s="476"/>
    </row>
    <row r="1510" spans="2:9" x14ac:dyDescent="0.25">
      <c r="B1510" s="476"/>
      <c r="C1510" s="476"/>
      <c r="D1510" s="475"/>
      <c r="E1510" s="476"/>
      <c r="F1510" s="475"/>
      <c r="G1510" s="476"/>
      <c r="H1510" s="475"/>
      <c r="I1510" s="476"/>
    </row>
    <row r="1511" spans="2:9" x14ac:dyDescent="0.25">
      <c r="B1511" s="476"/>
      <c r="C1511" s="476"/>
      <c r="D1511" s="475"/>
      <c r="E1511" s="476"/>
      <c r="F1511" s="475"/>
      <c r="G1511" s="476"/>
      <c r="H1511" s="475"/>
      <c r="I1511" s="476"/>
    </row>
    <row r="1512" spans="2:9" x14ac:dyDescent="0.25">
      <c r="B1512" s="476"/>
      <c r="C1512" s="476"/>
      <c r="D1512" s="475"/>
      <c r="E1512" s="476"/>
      <c r="F1512" s="475"/>
      <c r="G1512" s="476"/>
      <c r="H1512" s="475"/>
      <c r="I1512" s="476"/>
    </row>
    <row r="1513" spans="2:9" x14ac:dyDescent="0.25">
      <c r="B1513" s="476"/>
      <c r="C1513" s="476"/>
      <c r="D1513" s="475"/>
      <c r="E1513" s="476"/>
      <c r="F1513" s="475"/>
      <c r="G1513" s="476"/>
      <c r="H1513" s="475"/>
      <c r="I1513" s="476"/>
    </row>
    <row r="1514" spans="2:9" x14ac:dyDescent="0.25">
      <c r="B1514" s="476"/>
      <c r="C1514" s="476"/>
      <c r="D1514" s="475"/>
      <c r="E1514" s="476"/>
      <c r="F1514" s="475"/>
      <c r="G1514" s="476"/>
      <c r="H1514" s="475"/>
      <c r="I1514" s="476"/>
    </row>
    <row r="1515" spans="2:9" x14ac:dyDescent="0.25">
      <c r="B1515" s="476"/>
      <c r="C1515" s="476"/>
      <c r="D1515" s="475"/>
      <c r="E1515" s="476"/>
      <c r="F1515" s="475"/>
      <c r="G1515" s="476"/>
      <c r="H1515" s="475"/>
      <c r="I1515" s="476"/>
    </row>
    <row r="1516" spans="2:9" x14ac:dyDescent="0.25">
      <c r="B1516" s="476"/>
      <c r="C1516" s="476"/>
      <c r="D1516" s="475"/>
      <c r="E1516" s="476"/>
      <c r="F1516" s="475"/>
      <c r="G1516" s="476"/>
      <c r="H1516" s="475"/>
      <c r="I1516" s="476"/>
    </row>
    <row r="1517" spans="2:9" x14ac:dyDescent="0.25">
      <c r="B1517" s="476"/>
      <c r="C1517" s="476"/>
      <c r="D1517" s="475"/>
      <c r="E1517" s="476"/>
      <c r="F1517" s="475"/>
      <c r="G1517" s="476"/>
      <c r="H1517" s="475"/>
      <c r="I1517" s="476"/>
    </row>
    <row r="1518" spans="2:9" x14ac:dyDescent="0.25">
      <c r="B1518" s="476"/>
      <c r="C1518" s="476"/>
      <c r="D1518" s="475"/>
      <c r="E1518" s="476"/>
      <c r="F1518" s="475"/>
      <c r="G1518" s="476"/>
      <c r="H1518" s="475"/>
      <c r="I1518" s="476"/>
    </row>
    <row r="1519" spans="2:9" x14ac:dyDescent="0.25">
      <c r="B1519" s="476"/>
      <c r="C1519" s="476"/>
      <c r="D1519" s="475"/>
      <c r="E1519" s="476"/>
      <c r="F1519" s="475"/>
      <c r="G1519" s="476"/>
      <c r="H1519" s="475"/>
      <c r="I1519" s="476"/>
    </row>
    <row r="1520" spans="2:9" x14ac:dyDescent="0.25">
      <c r="B1520" s="476"/>
      <c r="C1520" s="476"/>
      <c r="D1520" s="475"/>
      <c r="E1520" s="476"/>
      <c r="F1520" s="475"/>
      <c r="G1520" s="476"/>
      <c r="H1520" s="475"/>
      <c r="I1520" s="476"/>
    </row>
    <row r="1521" spans="2:9" x14ac:dyDescent="0.25">
      <c r="B1521" s="476"/>
      <c r="C1521" s="476"/>
      <c r="D1521" s="475"/>
      <c r="E1521" s="476"/>
      <c r="F1521" s="475"/>
      <c r="G1521" s="476"/>
      <c r="H1521" s="475"/>
      <c r="I1521" s="476"/>
    </row>
    <row r="1522" spans="2:9" x14ac:dyDescent="0.25">
      <c r="B1522" s="476"/>
      <c r="C1522" s="476"/>
      <c r="D1522" s="475"/>
      <c r="E1522" s="476"/>
      <c r="F1522" s="475"/>
      <c r="G1522" s="476"/>
      <c r="H1522" s="475"/>
      <c r="I1522" s="476"/>
    </row>
    <row r="1523" spans="2:9" x14ac:dyDescent="0.25">
      <c r="B1523" s="476"/>
      <c r="C1523" s="476"/>
      <c r="D1523" s="475"/>
      <c r="E1523" s="476"/>
      <c r="F1523" s="475"/>
      <c r="G1523" s="476"/>
      <c r="H1523" s="475"/>
      <c r="I1523" s="476"/>
    </row>
    <row r="1524" spans="2:9" x14ac:dyDescent="0.25">
      <c r="B1524" s="476"/>
      <c r="C1524" s="476"/>
      <c r="D1524" s="475"/>
      <c r="E1524" s="476"/>
      <c r="F1524" s="475"/>
      <c r="G1524" s="476"/>
      <c r="H1524" s="475"/>
      <c r="I1524" s="476"/>
    </row>
    <row r="1525" spans="2:9" x14ac:dyDescent="0.25">
      <c r="B1525" s="476"/>
      <c r="C1525" s="476"/>
      <c r="D1525" s="475"/>
      <c r="E1525" s="476"/>
      <c r="F1525" s="475"/>
      <c r="G1525" s="476"/>
      <c r="H1525" s="475"/>
      <c r="I1525" s="476"/>
    </row>
    <row r="1526" spans="2:9" x14ac:dyDescent="0.25">
      <c r="B1526" s="476"/>
      <c r="C1526" s="476"/>
      <c r="D1526" s="475"/>
      <c r="E1526" s="476"/>
      <c r="F1526" s="475"/>
      <c r="G1526" s="476"/>
      <c r="H1526" s="475"/>
      <c r="I1526" s="476"/>
    </row>
    <row r="1527" spans="2:9" x14ac:dyDescent="0.25">
      <c r="B1527" s="476"/>
      <c r="C1527" s="476"/>
      <c r="D1527" s="475"/>
      <c r="E1527" s="476"/>
      <c r="F1527" s="475"/>
      <c r="G1527" s="476"/>
      <c r="H1527" s="475"/>
      <c r="I1527" s="476"/>
    </row>
    <row r="1528" spans="2:9" x14ac:dyDescent="0.25">
      <c r="B1528" s="476"/>
      <c r="C1528" s="476"/>
      <c r="D1528" s="475"/>
      <c r="E1528" s="476"/>
      <c r="F1528" s="475"/>
      <c r="G1528" s="476"/>
      <c r="H1528" s="475"/>
      <c r="I1528" s="476"/>
    </row>
    <row r="1529" spans="2:9" x14ac:dyDescent="0.25">
      <c r="B1529" s="476"/>
      <c r="C1529" s="476"/>
      <c r="D1529" s="475"/>
      <c r="E1529" s="476"/>
      <c r="F1529" s="475"/>
      <c r="G1529" s="476"/>
      <c r="H1529" s="475"/>
      <c r="I1529" s="476"/>
    </row>
    <row r="1530" spans="2:9" x14ac:dyDescent="0.25">
      <c r="B1530" s="476"/>
      <c r="C1530" s="476"/>
      <c r="D1530" s="475"/>
      <c r="E1530" s="476"/>
      <c r="F1530" s="475"/>
      <c r="G1530" s="476"/>
      <c r="H1530" s="475"/>
      <c r="I1530" s="476"/>
    </row>
    <row r="1531" spans="2:9" x14ac:dyDescent="0.25">
      <c r="B1531" s="476"/>
      <c r="C1531" s="476"/>
      <c r="D1531" s="475"/>
      <c r="E1531" s="476"/>
      <c r="F1531" s="475"/>
      <c r="G1531" s="476"/>
      <c r="H1531" s="475"/>
      <c r="I1531" s="476"/>
    </row>
    <row r="1532" spans="2:9" x14ac:dyDescent="0.25">
      <c r="B1532" s="476"/>
      <c r="C1532" s="476"/>
      <c r="D1532" s="475"/>
      <c r="E1532" s="476"/>
      <c r="F1532" s="475"/>
      <c r="G1532" s="476"/>
      <c r="H1532" s="475"/>
      <c r="I1532" s="476"/>
    </row>
    <row r="1533" spans="2:9" x14ac:dyDescent="0.25">
      <c r="B1533" s="476"/>
      <c r="C1533" s="476"/>
      <c r="D1533" s="475"/>
      <c r="E1533" s="476"/>
      <c r="F1533" s="475"/>
      <c r="G1533" s="476"/>
      <c r="H1533" s="475"/>
      <c r="I1533" s="476"/>
    </row>
    <row r="1534" spans="2:9" x14ac:dyDescent="0.25">
      <c r="B1534" s="476"/>
      <c r="C1534" s="476"/>
      <c r="D1534" s="475"/>
      <c r="E1534" s="476"/>
      <c r="F1534" s="475"/>
      <c r="G1534" s="476"/>
      <c r="H1534" s="475"/>
      <c r="I1534" s="476"/>
    </row>
    <row r="1535" spans="2:9" x14ac:dyDescent="0.25">
      <c r="B1535" s="476"/>
      <c r="C1535" s="476"/>
      <c r="D1535" s="475"/>
      <c r="E1535" s="476"/>
      <c r="F1535" s="475"/>
      <c r="G1535" s="476"/>
      <c r="H1535" s="475"/>
      <c r="I1535" s="476"/>
    </row>
    <row r="1536" spans="2:9" x14ac:dyDescent="0.25">
      <c r="B1536" s="476"/>
      <c r="C1536" s="476"/>
      <c r="D1536" s="475"/>
      <c r="E1536" s="476"/>
      <c r="F1536" s="475"/>
      <c r="G1536" s="476"/>
      <c r="H1536" s="475"/>
      <c r="I1536" s="476"/>
    </row>
    <row r="1537" spans="2:9" x14ac:dyDescent="0.25">
      <c r="B1537" s="476"/>
      <c r="C1537" s="476"/>
      <c r="D1537" s="475"/>
      <c r="E1537" s="476"/>
      <c r="F1537" s="475"/>
      <c r="G1537" s="476"/>
      <c r="H1537" s="475"/>
      <c r="I1537" s="476"/>
    </row>
    <row r="1538" spans="2:9" x14ac:dyDescent="0.25">
      <c r="B1538" s="476"/>
      <c r="C1538" s="476"/>
      <c r="D1538" s="475"/>
      <c r="E1538" s="476"/>
      <c r="F1538" s="475"/>
      <c r="G1538" s="476"/>
      <c r="H1538" s="475"/>
      <c r="I1538" s="476"/>
    </row>
    <row r="1539" spans="2:9" x14ac:dyDescent="0.25">
      <c r="B1539" s="476"/>
      <c r="C1539" s="476"/>
      <c r="D1539" s="475"/>
      <c r="E1539" s="476"/>
      <c r="F1539" s="475"/>
      <c r="G1539" s="476"/>
      <c r="H1539" s="475"/>
      <c r="I1539" s="476"/>
    </row>
    <row r="1540" spans="2:9" x14ac:dyDescent="0.25">
      <c r="B1540" s="476"/>
      <c r="C1540" s="476"/>
      <c r="D1540" s="475"/>
      <c r="E1540" s="476"/>
      <c r="F1540" s="475"/>
      <c r="G1540" s="476"/>
      <c r="H1540" s="475"/>
      <c r="I1540" s="476"/>
    </row>
    <row r="1541" spans="2:9" x14ac:dyDescent="0.25">
      <c r="B1541" s="476"/>
      <c r="C1541" s="476"/>
      <c r="D1541" s="475"/>
      <c r="E1541" s="476"/>
      <c r="F1541" s="475"/>
      <c r="G1541" s="476"/>
      <c r="H1541" s="475"/>
      <c r="I1541" s="476"/>
    </row>
    <row r="1542" spans="2:9" x14ac:dyDescent="0.25">
      <c r="B1542" s="476"/>
      <c r="C1542" s="476"/>
      <c r="D1542" s="475"/>
      <c r="E1542" s="476"/>
      <c r="F1542" s="475"/>
      <c r="G1542" s="476"/>
      <c r="H1542" s="475"/>
      <c r="I1542" s="476"/>
    </row>
    <row r="1543" spans="2:9" x14ac:dyDescent="0.25">
      <c r="B1543" s="476"/>
      <c r="C1543" s="476"/>
      <c r="D1543" s="475"/>
      <c r="E1543" s="476"/>
      <c r="F1543" s="475"/>
      <c r="G1543" s="476"/>
      <c r="H1543" s="475"/>
      <c r="I1543" s="476"/>
    </row>
    <row r="1544" spans="2:9" x14ac:dyDescent="0.25">
      <c r="B1544" s="476"/>
      <c r="C1544" s="476"/>
      <c r="D1544" s="475"/>
      <c r="E1544" s="476"/>
      <c r="F1544" s="475"/>
      <c r="G1544" s="476"/>
      <c r="H1544" s="475"/>
      <c r="I1544" s="476"/>
    </row>
    <row r="1545" spans="2:9" x14ac:dyDescent="0.25">
      <c r="B1545" s="476"/>
      <c r="C1545" s="476"/>
      <c r="D1545" s="475"/>
      <c r="E1545" s="476"/>
      <c r="F1545" s="475"/>
      <c r="G1545" s="476"/>
      <c r="H1545" s="475"/>
      <c r="I1545" s="476"/>
    </row>
    <row r="1546" spans="2:9" x14ac:dyDescent="0.25">
      <c r="B1546" s="476"/>
      <c r="C1546" s="476"/>
      <c r="D1546" s="475"/>
      <c r="E1546" s="476"/>
      <c r="F1546" s="475"/>
      <c r="G1546" s="476"/>
      <c r="H1546" s="475"/>
      <c r="I1546" s="476"/>
    </row>
    <row r="1547" spans="2:9" x14ac:dyDescent="0.25">
      <c r="B1547" s="476"/>
      <c r="C1547" s="476"/>
      <c r="D1547" s="475"/>
      <c r="E1547" s="476"/>
      <c r="F1547" s="475"/>
      <c r="G1547" s="476"/>
      <c r="H1547" s="475"/>
      <c r="I1547" s="476"/>
    </row>
    <row r="1548" spans="2:9" x14ac:dyDescent="0.25">
      <c r="B1548" s="476"/>
      <c r="C1548" s="476"/>
      <c r="D1548" s="475"/>
      <c r="E1548" s="476"/>
      <c r="F1548" s="475"/>
      <c r="G1548" s="476"/>
      <c r="H1548" s="475"/>
      <c r="I1548" s="476"/>
    </row>
    <row r="1549" spans="2:9" x14ac:dyDescent="0.25">
      <c r="B1549" s="476"/>
      <c r="C1549" s="476"/>
      <c r="D1549" s="475"/>
      <c r="E1549" s="476"/>
      <c r="F1549" s="475"/>
      <c r="G1549" s="476"/>
      <c r="H1549" s="475"/>
      <c r="I1549" s="476"/>
    </row>
    <row r="1550" spans="2:9" x14ac:dyDescent="0.25">
      <c r="B1550" s="476"/>
      <c r="C1550" s="476"/>
      <c r="D1550" s="475"/>
      <c r="E1550" s="476"/>
      <c r="F1550" s="475"/>
      <c r="G1550" s="476"/>
      <c r="H1550" s="475"/>
      <c r="I1550" s="476"/>
    </row>
    <row r="1551" spans="2:9" x14ac:dyDescent="0.25">
      <c r="B1551" s="476"/>
      <c r="C1551" s="476"/>
      <c r="D1551" s="475"/>
      <c r="E1551" s="476"/>
      <c r="F1551" s="475"/>
      <c r="G1551" s="476"/>
      <c r="H1551" s="475"/>
      <c r="I1551" s="476"/>
    </row>
    <row r="1552" spans="2:9" x14ac:dyDescent="0.25">
      <c r="B1552" s="476"/>
      <c r="C1552" s="476"/>
      <c r="D1552" s="475"/>
      <c r="E1552" s="476"/>
      <c r="F1552" s="475"/>
      <c r="G1552" s="476"/>
      <c r="H1552" s="475"/>
      <c r="I1552" s="476"/>
    </row>
    <row r="1553" spans="2:9" x14ac:dyDescent="0.25">
      <c r="B1553" s="476"/>
      <c r="C1553" s="476"/>
      <c r="D1553" s="475"/>
      <c r="E1553" s="476"/>
      <c r="F1553" s="475"/>
      <c r="G1553" s="476"/>
      <c r="H1553" s="475"/>
      <c r="I1553" s="476"/>
    </row>
    <row r="1554" spans="2:9" x14ac:dyDescent="0.25">
      <c r="B1554" s="476"/>
      <c r="C1554" s="476"/>
      <c r="D1554" s="475"/>
      <c r="E1554" s="476"/>
      <c r="F1554" s="475"/>
      <c r="G1554" s="476"/>
      <c r="H1554" s="475"/>
      <c r="I1554" s="476"/>
    </row>
    <row r="1555" spans="2:9" x14ac:dyDescent="0.25">
      <c r="B1555" s="476"/>
      <c r="C1555" s="476"/>
      <c r="D1555" s="475"/>
      <c r="E1555" s="476"/>
      <c r="F1555" s="475"/>
      <c r="G1555" s="476"/>
      <c r="H1555" s="475"/>
      <c r="I1555" s="476"/>
    </row>
    <row r="1556" spans="2:9" x14ac:dyDescent="0.25">
      <c r="B1556" s="476"/>
      <c r="C1556" s="476"/>
      <c r="D1556" s="475"/>
      <c r="E1556" s="476"/>
      <c r="F1556" s="475"/>
      <c r="G1556" s="476"/>
      <c r="H1556" s="475"/>
      <c r="I1556" s="476"/>
    </row>
    <row r="1557" spans="2:9" x14ac:dyDescent="0.25">
      <c r="B1557" s="476"/>
      <c r="C1557" s="476"/>
      <c r="D1557" s="475"/>
      <c r="E1557" s="476"/>
      <c r="F1557" s="475"/>
      <c r="G1557" s="476"/>
      <c r="H1557" s="475"/>
      <c r="I1557" s="476"/>
    </row>
    <row r="1558" spans="2:9" x14ac:dyDescent="0.25">
      <c r="B1558" s="476"/>
      <c r="C1558" s="476"/>
      <c r="D1558" s="475"/>
      <c r="E1558" s="476"/>
      <c r="F1558" s="475"/>
      <c r="G1558" s="476"/>
      <c r="H1558" s="475"/>
      <c r="I1558" s="476"/>
    </row>
    <row r="1559" spans="2:9" x14ac:dyDescent="0.25">
      <c r="B1559" s="476"/>
      <c r="C1559" s="476"/>
      <c r="D1559" s="475"/>
      <c r="E1559" s="476"/>
      <c r="F1559" s="475"/>
      <c r="G1559" s="476"/>
      <c r="H1559" s="475"/>
      <c r="I1559" s="476"/>
    </row>
    <row r="1560" spans="2:9" x14ac:dyDescent="0.25">
      <c r="B1560" s="476"/>
      <c r="C1560" s="476"/>
      <c r="D1560" s="475"/>
      <c r="E1560" s="476"/>
      <c r="F1560" s="475"/>
      <c r="G1560" s="476"/>
      <c r="H1560" s="475"/>
      <c r="I1560" s="476"/>
    </row>
    <row r="1561" spans="2:9" x14ac:dyDescent="0.25">
      <c r="B1561" s="476"/>
      <c r="C1561" s="476"/>
      <c r="D1561" s="475"/>
      <c r="E1561" s="476"/>
      <c r="F1561" s="475"/>
      <c r="G1561" s="476"/>
      <c r="H1561" s="475"/>
      <c r="I1561" s="476"/>
    </row>
    <row r="1562" spans="2:9" x14ac:dyDescent="0.25">
      <c r="B1562" s="476"/>
      <c r="C1562" s="476"/>
      <c r="D1562" s="475"/>
      <c r="E1562" s="476"/>
      <c r="F1562" s="475"/>
      <c r="G1562" s="476"/>
      <c r="H1562" s="475"/>
      <c r="I1562" s="476"/>
    </row>
    <row r="1563" spans="2:9" x14ac:dyDescent="0.25">
      <c r="B1563" s="476"/>
      <c r="C1563" s="476"/>
      <c r="D1563" s="475"/>
      <c r="E1563" s="476"/>
      <c r="F1563" s="475"/>
      <c r="G1563" s="476"/>
      <c r="H1563" s="475"/>
      <c r="I1563" s="476"/>
    </row>
    <row r="1564" spans="2:9" x14ac:dyDescent="0.25">
      <c r="B1564" s="476"/>
      <c r="C1564" s="476"/>
      <c r="D1564" s="475"/>
      <c r="E1564" s="476"/>
      <c r="F1564" s="475"/>
      <c r="G1564" s="476"/>
      <c r="H1564" s="475"/>
      <c r="I1564" s="476"/>
    </row>
    <row r="1565" spans="2:9" x14ac:dyDescent="0.25">
      <c r="B1565" s="476"/>
      <c r="C1565" s="476"/>
      <c r="D1565" s="475"/>
      <c r="E1565" s="476"/>
      <c r="F1565" s="475"/>
      <c r="G1565" s="476"/>
      <c r="H1565" s="475"/>
      <c r="I1565" s="476"/>
    </row>
    <row r="1566" spans="2:9" x14ac:dyDescent="0.25">
      <c r="B1566" s="476"/>
      <c r="C1566" s="476"/>
      <c r="D1566" s="475"/>
      <c r="E1566" s="476"/>
      <c r="F1566" s="475"/>
      <c r="G1566" s="476"/>
      <c r="H1566" s="475"/>
      <c r="I1566" s="476"/>
    </row>
    <row r="1567" spans="2:9" x14ac:dyDescent="0.25">
      <c r="B1567" s="476"/>
      <c r="C1567" s="476"/>
      <c r="D1567" s="475"/>
      <c r="E1567" s="476"/>
      <c r="F1567" s="475"/>
      <c r="G1567" s="476"/>
      <c r="H1567" s="475"/>
      <c r="I1567" s="476"/>
    </row>
    <row r="1568" spans="2:9" x14ac:dyDescent="0.25">
      <c r="B1568" s="476"/>
      <c r="C1568" s="476"/>
      <c r="D1568" s="475"/>
      <c r="E1568" s="476"/>
      <c r="F1568" s="475"/>
      <c r="G1568" s="476"/>
      <c r="H1568" s="475"/>
      <c r="I1568" s="476"/>
    </row>
    <row r="1569" spans="2:9" x14ac:dyDescent="0.25">
      <c r="B1569" s="476"/>
      <c r="C1569" s="476"/>
      <c r="D1569" s="475"/>
      <c r="E1569" s="476"/>
      <c r="F1569" s="475"/>
      <c r="G1569" s="476"/>
      <c r="H1569" s="475"/>
      <c r="I1569" s="476"/>
    </row>
    <row r="1570" spans="2:9" x14ac:dyDescent="0.25">
      <c r="B1570" s="476"/>
      <c r="C1570" s="476"/>
      <c r="D1570" s="475"/>
      <c r="E1570" s="476"/>
      <c r="F1570" s="475"/>
      <c r="G1570" s="476"/>
      <c r="H1570" s="475"/>
      <c r="I1570" s="476"/>
    </row>
    <row r="1571" spans="2:9" x14ac:dyDescent="0.25">
      <c r="B1571" s="476"/>
      <c r="C1571" s="476"/>
      <c r="D1571" s="475"/>
      <c r="E1571" s="476"/>
      <c r="F1571" s="475"/>
      <c r="G1571" s="476"/>
      <c r="H1571" s="475"/>
      <c r="I1571" s="476"/>
    </row>
    <row r="1572" spans="2:9" x14ac:dyDescent="0.25">
      <c r="B1572" s="476"/>
      <c r="C1572" s="476"/>
      <c r="D1572" s="475"/>
      <c r="E1572" s="476"/>
      <c r="F1572" s="475"/>
      <c r="G1572" s="476"/>
      <c r="H1572" s="475"/>
      <c r="I1572" s="476"/>
    </row>
    <row r="1573" spans="2:9" x14ac:dyDescent="0.25">
      <c r="B1573" s="476"/>
      <c r="C1573" s="476"/>
      <c r="D1573" s="475"/>
      <c r="E1573" s="476"/>
      <c r="F1573" s="475"/>
      <c r="G1573" s="476"/>
      <c r="H1573" s="475"/>
      <c r="I1573" s="476"/>
    </row>
    <row r="1574" spans="2:9" x14ac:dyDescent="0.25">
      <c r="B1574" s="476"/>
      <c r="C1574" s="476"/>
      <c r="D1574" s="475"/>
      <c r="E1574" s="476"/>
      <c r="F1574" s="475"/>
      <c r="G1574" s="476"/>
      <c r="H1574" s="475"/>
      <c r="I1574" s="476"/>
    </row>
    <row r="1575" spans="2:9" x14ac:dyDescent="0.25">
      <c r="B1575" s="476"/>
      <c r="C1575" s="476"/>
      <c r="D1575" s="475"/>
      <c r="E1575" s="476"/>
      <c r="F1575" s="475"/>
      <c r="G1575" s="476"/>
      <c r="H1575" s="475"/>
      <c r="I1575" s="476"/>
    </row>
    <row r="1576" spans="2:9" x14ac:dyDescent="0.25">
      <c r="B1576" s="476"/>
      <c r="C1576" s="476"/>
      <c r="D1576" s="475"/>
      <c r="E1576" s="476"/>
      <c r="F1576" s="475"/>
      <c r="G1576" s="476"/>
      <c r="H1576" s="475"/>
      <c r="I1576" s="476"/>
    </row>
    <row r="1577" spans="2:9" x14ac:dyDescent="0.25">
      <c r="B1577" s="476"/>
      <c r="C1577" s="476"/>
      <c r="D1577" s="475"/>
      <c r="E1577" s="476"/>
      <c r="F1577" s="475"/>
      <c r="G1577" s="476"/>
      <c r="H1577" s="475"/>
      <c r="I1577" s="476"/>
    </row>
    <row r="1578" spans="2:9" x14ac:dyDescent="0.25">
      <c r="B1578" s="476"/>
      <c r="C1578" s="476"/>
      <c r="D1578" s="475"/>
      <c r="E1578" s="476"/>
      <c r="F1578" s="475"/>
      <c r="G1578" s="476"/>
      <c r="H1578" s="475"/>
      <c r="I1578" s="476"/>
    </row>
    <row r="1579" spans="2:9" x14ac:dyDescent="0.25">
      <c r="B1579" s="476"/>
      <c r="C1579" s="476"/>
      <c r="D1579" s="475"/>
      <c r="E1579" s="476"/>
      <c r="F1579" s="475"/>
      <c r="G1579" s="476"/>
      <c r="H1579" s="475"/>
      <c r="I1579" s="476"/>
    </row>
    <row r="1580" spans="2:9" x14ac:dyDescent="0.25">
      <c r="B1580" s="476"/>
      <c r="C1580" s="476"/>
      <c r="D1580" s="475"/>
      <c r="E1580" s="476"/>
      <c r="F1580" s="475"/>
      <c r="G1580" s="476"/>
      <c r="H1580" s="475"/>
      <c r="I1580" s="476"/>
    </row>
    <row r="1581" spans="2:9" x14ac:dyDescent="0.25">
      <c r="B1581" s="476"/>
      <c r="C1581" s="476"/>
      <c r="D1581" s="475"/>
      <c r="E1581" s="476"/>
      <c r="F1581" s="475"/>
      <c r="G1581" s="476"/>
      <c r="H1581" s="475"/>
      <c r="I1581" s="476"/>
    </row>
    <row r="1582" spans="2:9" x14ac:dyDescent="0.25">
      <c r="B1582" s="476"/>
      <c r="C1582" s="476"/>
      <c r="D1582" s="475"/>
      <c r="E1582" s="476"/>
      <c r="F1582" s="475"/>
      <c r="G1582" s="476"/>
      <c r="H1582" s="475"/>
      <c r="I1582" s="476"/>
    </row>
    <row r="1583" spans="2:9" x14ac:dyDescent="0.25">
      <c r="B1583" s="476"/>
      <c r="C1583" s="476"/>
      <c r="D1583" s="475"/>
      <c r="E1583" s="476"/>
      <c r="F1583" s="475"/>
      <c r="G1583" s="476"/>
      <c r="H1583" s="475"/>
      <c r="I1583" s="476"/>
    </row>
    <row r="1584" spans="2:9" x14ac:dyDescent="0.25">
      <c r="B1584" s="476"/>
      <c r="C1584" s="476"/>
      <c r="D1584" s="475"/>
      <c r="E1584" s="476"/>
      <c r="F1584" s="475"/>
      <c r="G1584" s="476"/>
      <c r="H1584" s="475"/>
      <c r="I1584" s="476"/>
    </row>
    <row r="1585" spans="2:9" x14ac:dyDescent="0.25">
      <c r="B1585" s="476"/>
      <c r="C1585" s="476"/>
      <c r="D1585" s="475"/>
      <c r="E1585" s="476"/>
      <c r="F1585" s="475"/>
      <c r="G1585" s="476"/>
      <c r="H1585" s="475"/>
      <c r="I1585" s="476"/>
    </row>
    <row r="1586" spans="2:9" x14ac:dyDescent="0.25">
      <c r="B1586" s="476"/>
      <c r="C1586" s="476"/>
      <c r="D1586" s="475"/>
      <c r="E1586" s="476"/>
      <c r="F1586" s="475"/>
      <c r="G1586" s="476"/>
      <c r="H1586" s="475"/>
      <c r="I1586" s="476"/>
    </row>
    <row r="1587" spans="2:9" x14ac:dyDescent="0.25">
      <c r="B1587" s="476"/>
      <c r="C1587" s="476"/>
      <c r="D1587" s="475"/>
      <c r="E1587" s="476"/>
      <c r="F1587" s="475"/>
      <c r="G1587" s="476"/>
      <c r="H1587" s="475"/>
      <c r="I1587" s="476"/>
    </row>
    <row r="1588" spans="2:9" x14ac:dyDescent="0.25">
      <c r="B1588" s="476"/>
      <c r="C1588" s="476"/>
      <c r="D1588" s="475"/>
      <c r="E1588" s="476"/>
      <c r="F1588" s="475"/>
      <c r="G1588" s="476"/>
      <c r="H1588" s="475"/>
      <c r="I1588" s="476"/>
    </row>
    <row r="1589" spans="2:9" x14ac:dyDescent="0.25">
      <c r="B1589" s="476"/>
      <c r="C1589" s="476"/>
      <c r="D1589" s="475"/>
      <c r="E1589" s="476"/>
      <c r="F1589" s="475"/>
      <c r="G1589" s="476"/>
      <c r="H1589" s="475"/>
      <c r="I1589" s="476"/>
    </row>
    <row r="1590" spans="2:9" x14ac:dyDescent="0.25">
      <c r="B1590" s="476"/>
      <c r="C1590" s="476"/>
      <c r="D1590" s="475"/>
      <c r="E1590" s="476"/>
      <c r="F1590" s="475"/>
      <c r="G1590" s="476"/>
      <c r="H1590" s="475"/>
      <c r="I1590" s="476"/>
    </row>
    <row r="1591" spans="2:9" x14ac:dyDescent="0.25">
      <c r="B1591" s="476"/>
      <c r="C1591" s="476"/>
      <c r="D1591" s="475"/>
      <c r="E1591" s="476"/>
      <c r="F1591" s="475"/>
      <c r="G1591" s="476"/>
      <c r="H1591" s="475"/>
      <c r="I1591" s="476"/>
    </row>
    <row r="1592" spans="2:9" x14ac:dyDescent="0.25">
      <c r="B1592" s="476"/>
      <c r="C1592" s="476"/>
      <c r="D1592" s="475"/>
      <c r="E1592" s="476"/>
      <c r="F1592" s="475"/>
      <c r="G1592" s="476"/>
      <c r="H1592" s="475"/>
      <c r="I1592" s="476"/>
    </row>
    <row r="1593" spans="2:9" x14ac:dyDescent="0.25">
      <c r="B1593" s="476"/>
      <c r="C1593" s="476"/>
      <c r="D1593" s="475"/>
      <c r="E1593" s="476"/>
      <c r="F1593" s="475"/>
      <c r="G1593" s="476"/>
      <c r="H1593" s="475"/>
      <c r="I1593" s="476"/>
    </row>
    <row r="1594" spans="2:9" x14ac:dyDescent="0.25">
      <c r="B1594" s="476"/>
      <c r="C1594" s="476"/>
      <c r="D1594" s="475"/>
      <c r="E1594" s="476"/>
      <c r="F1594" s="475"/>
      <c r="G1594" s="476"/>
      <c r="H1594" s="475"/>
      <c r="I1594" s="476"/>
    </row>
    <row r="1595" spans="2:9" x14ac:dyDescent="0.25">
      <c r="B1595" s="476"/>
      <c r="C1595" s="476"/>
      <c r="D1595" s="475"/>
      <c r="E1595" s="476"/>
      <c r="F1595" s="475"/>
      <c r="G1595" s="476"/>
      <c r="H1595" s="475"/>
      <c r="I1595" s="476"/>
    </row>
    <row r="1596" spans="2:9" x14ac:dyDescent="0.25">
      <c r="B1596" s="476"/>
      <c r="C1596" s="476"/>
      <c r="D1596" s="475"/>
      <c r="E1596" s="476"/>
      <c r="F1596" s="475"/>
      <c r="G1596" s="476"/>
      <c r="H1596" s="475"/>
      <c r="I1596" s="476"/>
    </row>
    <row r="1597" spans="2:9" x14ac:dyDescent="0.25">
      <c r="B1597" s="476"/>
      <c r="C1597" s="476"/>
      <c r="D1597" s="475"/>
      <c r="E1597" s="476"/>
      <c r="F1597" s="475"/>
      <c r="G1597" s="476"/>
      <c r="H1597" s="475"/>
      <c r="I1597" s="476"/>
    </row>
    <row r="1598" spans="2:9" x14ac:dyDescent="0.25">
      <c r="B1598" s="476"/>
      <c r="C1598" s="476"/>
      <c r="D1598" s="475"/>
      <c r="E1598" s="476"/>
      <c r="F1598" s="475"/>
      <c r="G1598" s="476"/>
      <c r="H1598" s="475"/>
      <c r="I1598" s="476"/>
    </row>
    <row r="1599" spans="2:9" x14ac:dyDescent="0.25">
      <c r="B1599" s="476"/>
      <c r="C1599" s="476"/>
      <c r="D1599" s="475"/>
      <c r="E1599" s="476"/>
      <c r="F1599" s="475"/>
      <c r="G1599" s="476"/>
      <c r="H1599" s="475"/>
      <c r="I1599" s="476"/>
    </row>
    <row r="1600" spans="2:9" x14ac:dyDescent="0.25">
      <c r="B1600" s="476"/>
      <c r="C1600" s="476"/>
      <c r="D1600" s="475"/>
      <c r="E1600" s="476"/>
      <c r="F1600" s="475"/>
      <c r="G1600" s="476"/>
      <c r="H1600" s="475"/>
      <c r="I1600" s="476"/>
    </row>
    <row r="1601" spans="2:9" x14ac:dyDescent="0.25">
      <c r="B1601" s="476"/>
      <c r="C1601" s="476"/>
      <c r="D1601" s="475"/>
      <c r="E1601" s="476"/>
      <c r="F1601" s="475"/>
      <c r="G1601" s="476"/>
      <c r="H1601" s="475"/>
      <c r="I1601" s="476"/>
    </row>
    <row r="1602" spans="2:9" x14ac:dyDescent="0.25">
      <c r="B1602" s="476"/>
      <c r="C1602" s="476"/>
      <c r="D1602" s="475"/>
      <c r="E1602" s="476"/>
      <c r="F1602" s="475"/>
      <c r="G1602" s="476"/>
      <c r="H1602" s="475"/>
      <c r="I1602" s="476"/>
    </row>
    <row r="1603" spans="2:9" x14ac:dyDescent="0.25">
      <c r="B1603" s="476"/>
      <c r="C1603" s="476"/>
      <c r="D1603" s="475"/>
      <c r="E1603" s="476"/>
      <c r="F1603" s="475"/>
      <c r="G1603" s="476"/>
      <c r="H1603" s="475"/>
      <c r="I1603" s="476"/>
    </row>
    <row r="1604" spans="2:9" x14ac:dyDescent="0.25">
      <c r="B1604" s="476"/>
      <c r="C1604" s="476"/>
      <c r="D1604" s="475"/>
      <c r="E1604" s="476"/>
      <c r="F1604" s="475"/>
      <c r="G1604" s="476"/>
      <c r="H1604" s="475"/>
      <c r="I1604" s="476"/>
    </row>
    <row r="1605" spans="2:9" x14ac:dyDescent="0.25">
      <c r="B1605" s="476"/>
      <c r="C1605" s="476"/>
      <c r="D1605" s="475"/>
      <c r="E1605" s="476"/>
      <c r="F1605" s="475"/>
      <c r="G1605" s="476"/>
      <c r="H1605" s="475"/>
      <c r="I1605" s="476"/>
    </row>
    <row r="1606" spans="2:9" x14ac:dyDescent="0.25">
      <c r="B1606" s="476"/>
      <c r="C1606" s="476"/>
      <c r="D1606" s="475"/>
      <c r="E1606" s="476"/>
      <c r="F1606" s="475"/>
      <c r="G1606" s="476"/>
      <c r="H1606" s="475"/>
      <c r="I1606" s="476"/>
    </row>
    <row r="1607" spans="2:9" x14ac:dyDescent="0.25">
      <c r="B1607" s="476"/>
      <c r="C1607" s="476"/>
      <c r="D1607" s="475"/>
      <c r="E1607" s="476"/>
      <c r="F1607" s="475"/>
      <c r="G1607" s="476"/>
      <c r="H1607" s="475"/>
      <c r="I1607" s="476"/>
    </row>
    <row r="1608" spans="2:9" x14ac:dyDescent="0.25">
      <c r="B1608" s="476"/>
      <c r="C1608" s="476"/>
      <c r="D1608" s="475"/>
      <c r="E1608" s="476"/>
      <c r="F1608" s="475"/>
      <c r="G1608" s="476"/>
      <c r="H1608" s="475"/>
      <c r="I1608" s="476"/>
    </row>
    <row r="1609" spans="2:9" x14ac:dyDescent="0.25">
      <c r="B1609" s="476"/>
      <c r="C1609" s="476"/>
      <c r="D1609" s="475"/>
      <c r="E1609" s="476"/>
      <c r="F1609" s="475"/>
      <c r="G1609" s="476"/>
      <c r="H1609" s="475"/>
      <c r="I1609" s="476"/>
    </row>
    <row r="1610" spans="2:9" x14ac:dyDescent="0.25">
      <c r="B1610" s="476"/>
      <c r="C1610" s="476"/>
      <c r="D1610" s="475"/>
      <c r="E1610" s="476"/>
      <c r="F1610" s="475"/>
      <c r="G1610" s="476"/>
      <c r="H1610" s="475"/>
      <c r="I1610" s="476"/>
    </row>
    <row r="1611" spans="2:9" x14ac:dyDescent="0.25">
      <c r="B1611" s="476"/>
      <c r="C1611" s="476"/>
      <c r="D1611" s="475"/>
      <c r="E1611" s="476"/>
      <c r="F1611" s="475"/>
      <c r="G1611" s="476"/>
      <c r="H1611" s="475"/>
      <c r="I1611" s="476"/>
    </row>
    <row r="1612" spans="2:9" x14ac:dyDescent="0.25">
      <c r="B1612" s="476"/>
      <c r="C1612" s="476"/>
      <c r="D1612" s="475"/>
      <c r="E1612" s="476"/>
      <c r="F1612" s="475"/>
      <c r="G1612" s="476"/>
      <c r="H1612" s="475"/>
      <c r="I1612" s="476"/>
    </row>
    <row r="1613" spans="2:9" x14ac:dyDescent="0.25">
      <c r="B1613" s="476"/>
      <c r="C1613" s="476"/>
      <c r="D1613" s="475"/>
      <c r="E1613" s="476"/>
      <c r="F1613" s="475"/>
      <c r="G1613" s="476"/>
      <c r="H1613" s="475"/>
      <c r="I1613" s="476"/>
    </row>
    <row r="1614" spans="2:9" x14ac:dyDescent="0.25">
      <c r="B1614" s="476"/>
      <c r="C1614" s="476"/>
      <c r="D1614" s="475"/>
      <c r="E1614" s="476"/>
      <c r="F1614" s="475"/>
      <c r="G1614" s="476"/>
      <c r="H1614" s="475"/>
      <c r="I1614" s="476"/>
    </row>
    <row r="1615" spans="2:9" x14ac:dyDescent="0.25">
      <c r="B1615" s="476"/>
      <c r="C1615" s="476"/>
      <c r="D1615" s="475"/>
      <c r="E1615" s="476"/>
      <c r="F1615" s="475"/>
      <c r="G1615" s="476"/>
      <c r="H1615" s="475"/>
      <c r="I1615" s="476"/>
    </row>
    <row r="1616" spans="2:9" x14ac:dyDescent="0.25">
      <c r="B1616" s="476"/>
      <c r="C1616" s="476"/>
      <c r="D1616" s="475"/>
      <c r="E1616" s="476"/>
      <c r="F1616" s="475"/>
      <c r="G1616" s="476"/>
      <c r="H1616" s="475"/>
      <c r="I1616" s="476"/>
    </row>
    <row r="1617" spans="2:9" x14ac:dyDescent="0.25">
      <c r="B1617" s="476"/>
      <c r="C1617" s="476"/>
      <c r="D1617" s="475"/>
      <c r="E1617" s="476"/>
      <c r="F1617" s="475"/>
      <c r="G1617" s="476"/>
      <c r="H1617" s="475"/>
      <c r="I1617" s="476"/>
    </row>
    <row r="1618" spans="2:9" x14ac:dyDescent="0.25">
      <c r="B1618" s="476"/>
      <c r="C1618" s="476"/>
      <c r="D1618" s="475"/>
      <c r="E1618" s="476"/>
      <c r="F1618" s="475"/>
      <c r="G1618" s="476"/>
      <c r="H1618" s="475"/>
      <c r="I1618" s="476"/>
    </row>
    <row r="1619" spans="2:9" x14ac:dyDescent="0.25">
      <c r="B1619" s="476"/>
      <c r="C1619" s="476"/>
      <c r="D1619" s="475"/>
      <c r="E1619" s="476"/>
      <c r="F1619" s="475"/>
      <c r="G1619" s="476"/>
      <c r="H1619" s="475"/>
      <c r="I1619" s="476"/>
    </row>
    <row r="1620" spans="2:9" x14ac:dyDescent="0.25">
      <c r="B1620" s="476"/>
      <c r="C1620" s="476"/>
      <c r="D1620" s="475"/>
      <c r="E1620" s="476"/>
      <c r="F1620" s="475"/>
      <c r="G1620" s="476"/>
      <c r="H1620" s="475"/>
      <c r="I1620" s="476"/>
    </row>
    <row r="1621" spans="2:9" x14ac:dyDescent="0.25">
      <c r="B1621" s="476"/>
      <c r="C1621" s="476"/>
      <c r="D1621" s="475"/>
      <c r="E1621" s="476"/>
      <c r="F1621" s="475"/>
      <c r="G1621" s="476"/>
      <c r="H1621" s="475"/>
      <c r="I1621" s="476"/>
    </row>
    <row r="1622" spans="2:9" x14ac:dyDescent="0.25">
      <c r="B1622" s="476"/>
      <c r="C1622" s="476"/>
      <c r="D1622" s="475"/>
      <c r="E1622" s="476"/>
      <c r="F1622" s="475"/>
      <c r="G1622" s="476"/>
      <c r="H1622" s="475"/>
      <c r="I1622" s="476"/>
    </row>
    <row r="1623" spans="2:9" x14ac:dyDescent="0.25">
      <c r="B1623" s="476"/>
      <c r="C1623" s="476"/>
      <c r="D1623" s="475"/>
      <c r="E1623" s="476"/>
      <c r="F1623" s="475"/>
      <c r="G1623" s="476"/>
      <c r="H1623" s="475"/>
      <c r="I1623" s="476"/>
    </row>
    <row r="1624" spans="2:9" x14ac:dyDescent="0.25">
      <c r="B1624" s="476"/>
      <c r="C1624" s="476"/>
      <c r="D1624" s="475"/>
      <c r="E1624" s="476"/>
      <c r="F1624" s="475"/>
      <c r="G1624" s="476"/>
      <c r="H1624" s="475"/>
      <c r="I1624" s="476"/>
    </row>
    <row r="1625" spans="2:9" x14ac:dyDescent="0.25">
      <c r="B1625" s="476"/>
      <c r="C1625" s="476"/>
      <c r="D1625" s="475"/>
      <c r="E1625" s="476"/>
      <c r="F1625" s="475"/>
      <c r="G1625" s="476"/>
      <c r="H1625" s="475"/>
      <c r="I1625" s="476"/>
    </row>
    <row r="1626" spans="2:9" x14ac:dyDescent="0.25">
      <c r="B1626" s="476"/>
      <c r="C1626" s="476"/>
      <c r="D1626" s="475"/>
      <c r="E1626" s="476"/>
      <c r="F1626" s="475"/>
      <c r="G1626" s="476"/>
      <c r="H1626" s="475"/>
      <c r="I1626" s="476"/>
    </row>
    <row r="1627" spans="2:9" x14ac:dyDescent="0.25">
      <c r="B1627" s="476"/>
      <c r="C1627" s="476"/>
      <c r="D1627" s="475"/>
      <c r="E1627" s="476"/>
      <c r="F1627" s="475"/>
      <c r="G1627" s="476"/>
      <c r="H1627" s="475"/>
      <c r="I1627" s="476"/>
    </row>
    <row r="1628" spans="2:9" x14ac:dyDescent="0.25">
      <c r="B1628" s="476"/>
      <c r="C1628" s="476"/>
      <c r="D1628" s="475"/>
      <c r="E1628" s="476"/>
      <c r="F1628" s="475"/>
      <c r="G1628" s="476"/>
      <c r="H1628" s="475"/>
      <c r="I1628" s="476"/>
    </row>
    <row r="1629" spans="2:9" x14ac:dyDescent="0.25">
      <c r="B1629" s="476"/>
      <c r="C1629" s="476"/>
      <c r="D1629" s="475"/>
      <c r="E1629" s="476"/>
      <c r="F1629" s="475"/>
      <c r="G1629" s="476"/>
      <c r="H1629" s="475"/>
      <c r="I1629" s="476"/>
    </row>
    <row r="1630" spans="2:9" x14ac:dyDescent="0.25">
      <c r="B1630" s="476"/>
      <c r="C1630" s="476"/>
      <c r="D1630" s="475"/>
      <c r="E1630" s="476"/>
      <c r="F1630" s="475"/>
      <c r="G1630" s="476"/>
      <c r="H1630" s="475"/>
      <c r="I1630" s="476"/>
    </row>
    <row r="1631" spans="2:9" x14ac:dyDescent="0.25">
      <c r="B1631" s="476"/>
      <c r="C1631" s="476"/>
      <c r="D1631" s="475"/>
      <c r="E1631" s="476"/>
      <c r="F1631" s="475"/>
      <c r="G1631" s="476"/>
      <c r="H1631" s="475"/>
      <c r="I1631" s="476"/>
    </row>
    <row r="1632" spans="2:9" x14ac:dyDescent="0.25">
      <c r="B1632" s="476"/>
      <c r="C1632" s="476"/>
      <c r="D1632" s="475"/>
      <c r="E1632" s="476"/>
      <c r="F1632" s="475"/>
      <c r="G1632" s="476"/>
      <c r="H1632" s="475"/>
      <c r="I1632" s="476"/>
    </row>
    <row r="1633" spans="2:9" x14ac:dyDescent="0.25">
      <c r="B1633" s="476"/>
      <c r="C1633" s="476"/>
      <c r="D1633" s="475"/>
      <c r="E1633" s="476"/>
      <c r="F1633" s="475"/>
      <c r="G1633" s="476"/>
      <c r="H1633" s="475"/>
      <c r="I1633" s="476"/>
    </row>
    <row r="1634" spans="2:9" x14ac:dyDescent="0.25">
      <c r="B1634" s="476"/>
      <c r="C1634" s="476"/>
      <c r="D1634" s="475"/>
      <c r="E1634" s="476"/>
      <c r="F1634" s="475"/>
      <c r="G1634" s="476"/>
      <c r="H1634" s="475"/>
      <c r="I1634" s="476"/>
    </row>
    <row r="1635" spans="2:9" x14ac:dyDescent="0.25">
      <c r="B1635" s="476"/>
      <c r="C1635" s="476"/>
      <c r="D1635" s="475"/>
      <c r="E1635" s="476"/>
      <c r="F1635" s="475"/>
      <c r="G1635" s="476"/>
      <c r="H1635" s="475"/>
      <c r="I1635" s="476"/>
    </row>
    <row r="1636" spans="2:9" x14ac:dyDescent="0.25">
      <c r="B1636" s="476"/>
      <c r="C1636" s="476"/>
      <c r="D1636" s="475"/>
      <c r="E1636" s="476"/>
      <c r="F1636" s="475"/>
      <c r="G1636" s="476"/>
      <c r="H1636" s="475"/>
      <c r="I1636" s="476"/>
    </row>
    <row r="1637" spans="2:9" x14ac:dyDescent="0.25">
      <c r="B1637" s="476"/>
      <c r="C1637" s="476"/>
      <c r="D1637" s="475"/>
      <c r="E1637" s="476"/>
      <c r="F1637" s="475"/>
      <c r="G1637" s="476"/>
      <c r="H1637" s="475"/>
      <c r="I1637" s="476"/>
    </row>
    <row r="1638" spans="2:9" x14ac:dyDescent="0.25">
      <c r="B1638" s="476"/>
      <c r="C1638" s="476"/>
      <c r="D1638" s="475"/>
      <c r="E1638" s="476"/>
      <c r="F1638" s="475"/>
      <c r="G1638" s="476"/>
      <c r="H1638" s="475"/>
      <c r="I1638" s="476"/>
    </row>
    <row r="1639" spans="2:9" x14ac:dyDescent="0.25">
      <c r="B1639" s="476"/>
      <c r="C1639" s="476"/>
      <c r="D1639" s="475"/>
      <c r="E1639" s="476"/>
      <c r="F1639" s="475"/>
      <c r="G1639" s="476"/>
      <c r="H1639" s="475"/>
      <c r="I1639" s="476"/>
    </row>
    <row r="1640" spans="2:9" x14ac:dyDescent="0.25">
      <c r="B1640" s="476"/>
      <c r="C1640" s="476"/>
      <c r="D1640" s="475"/>
      <c r="E1640" s="476"/>
      <c r="F1640" s="475"/>
      <c r="G1640" s="476"/>
      <c r="H1640" s="475"/>
      <c r="I1640" s="476"/>
    </row>
    <row r="1641" spans="2:9" x14ac:dyDescent="0.25">
      <c r="B1641" s="476"/>
      <c r="C1641" s="476"/>
      <c r="D1641" s="475"/>
      <c r="E1641" s="476"/>
      <c r="F1641" s="475"/>
      <c r="G1641" s="476"/>
      <c r="H1641" s="475"/>
      <c r="I1641" s="476"/>
    </row>
    <row r="1642" spans="2:9" x14ac:dyDescent="0.25">
      <c r="B1642" s="476"/>
      <c r="C1642" s="476"/>
      <c r="D1642" s="475"/>
      <c r="E1642" s="476"/>
      <c r="F1642" s="475"/>
      <c r="G1642" s="476"/>
      <c r="H1642" s="475"/>
      <c r="I1642" s="476"/>
    </row>
    <row r="1643" spans="2:9" x14ac:dyDescent="0.25">
      <c r="B1643" s="476"/>
      <c r="C1643" s="476"/>
      <c r="D1643" s="475"/>
      <c r="E1643" s="476"/>
      <c r="F1643" s="475"/>
      <c r="G1643" s="476"/>
      <c r="H1643" s="475"/>
      <c r="I1643" s="476"/>
    </row>
    <row r="1644" spans="2:9" x14ac:dyDescent="0.25">
      <c r="B1644" s="476"/>
      <c r="C1644" s="476"/>
      <c r="D1644" s="475"/>
      <c r="E1644" s="476"/>
      <c r="F1644" s="475"/>
      <c r="G1644" s="476"/>
      <c r="H1644" s="475"/>
      <c r="I1644" s="476"/>
    </row>
    <row r="1645" spans="2:9" x14ac:dyDescent="0.25">
      <c r="B1645" s="476"/>
      <c r="C1645" s="476"/>
      <c r="D1645" s="475"/>
      <c r="E1645" s="476"/>
      <c r="F1645" s="475"/>
      <c r="G1645" s="476"/>
      <c r="H1645" s="475"/>
      <c r="I1645" s="476"/>
    </row>
    <row r="1646" spans="2:9" x14ac:dyDescent="0.25">
      <c r="B1646" s="476"/>
      <c r="C1646" s="476"/>
      <c r="D1646" s="475"/>
      <c r="E1646" s="476"/>
      <c r="F1646" s="475"/>
      <c r="G1646" s="476"/>
      <c r="H1646" s="475"/>
      <c r="I1646" s="476"/>
    </row>
    <row r="1647" spans="2:9" x14ac:dyDescent="0.25">
      <c r="B1647" s="476"/>
      <c r="C1647" s="476"/>
      <c r="D1647" s="475"/>
      <c r="E1647" s="476"/>
      <c r="F1647" s="475"/>
      <c r="G1647" s="476"/>
      <c r="H1647" s="475"/>
      <c r="I1647" s="476"/>
    </row>
    <row r="1648" spans="2:9" x14ac:dyDescent="0.25">
      <c r="B1648" s="476"/>
      <c r="C1648" s="476"/>
      <c r="D1648" s="475"/>
      <c r="E1648" s="476"/>
      <c r="F1648" s="475"/>
      <c r="G1648" s="476"/>
      <c r="H1648" s="475"/>
      <c r="I1648" s="476"/>
    </row>
    <row r="1649" spans="2:9" x14ac:dyDescent="0.25">
      <c r="B1649" s="476"/>
      <c r="C1649" s="476"/>
      <c r="D1649" s="475"/>
      <c r="E1649" s="476"/>
      <c r="F1649" s="475"/>
      <c r="G1649" s="476"/>
      <c r="H1649" s="475"/>
      <c r="I1649" s="476"/>
    </row>
    <row r="1650" spans="2:9" x14ac:dyDescent="0.25">
      <c r="B1650" s="476"/>
      <c r="C1650" s="476"/>
      <c r="D1650" s="475"/>
      <c r="E1650" s="476"/>
      <c r="F1650" s="475"/>
      <c r="G1650" s="476"/>
      <c r="H1650" s="475"/>
      <c r="I1650" s="476"/>
    </row>
    <row r="1651" spans="2:9" x14ac:dyDescent="0.25">
      <c r="B1651" s="476"/>
      <c r="C1651" s="476"/>
      <c r="D1651" s="475"/>
      <c r="E1651" s="476"/>
      <c r="F1651" s="475"/>
      <c r="G1651" s="476"/>
      <c r="H1651" s="475"/>
      <c r="I1651" s="476"/>
    </row>
    <row r="1652" spans="2:9" x14ac:dyDescent="0.25">
      <c r="B1652" s="476"/>
      <c r="C1652" s="476"/>
      <c r="D1652" s="475"/>
      <c r="E1652" s="476"/>
      <c r="F1652" s="475"/>
      <c r="G1652" s="476"/>
      <c r="H1652" s="475"/>
      <c r="I1652" s="476"/>
    </row>
    <row r="1653" spans="2:9" x14ac:dyDescent="0.25">
      <c r="B1653" s="476"/>
      <c r="C1653" s="476"/>
      <c r="D1653" s="475"/>
      <c r="E1653" s="476"/>
      <c r="F1653" s="475"/>
      <c r="G1653" s="476"/>
      <c r="H1653" s="475"/>
      <c r="I1653" s="476"/>
    </row>
    <row r="1654" spans="2:9" x14ac:dyDescent="0.25">
      <c r="B1654" s="476"/>
      <c r="C1654" s="476"/>
      <c r="D1654" s="475"/>
      <c r="E1654" s="476"/>
      <c r="F1654" s="475"/>
      <c r="G1654" s="476"/>
      <c r="H1654" s="475"/>
      <c r="I1654" s="476"/>
    </row>
    <row r="1655" spans="2:9" x14ac:dyDescent="0.25">
      <c r="B1655" s="476"/>
      <c r="C1655" s="476"/>
      <c r="D1655" s="475"/>
      <c r="E1655" s="476"/>
      <c r="F1655" s="475"/>
      <c r="G1655" s="476"/>
      <c r="H1655" s="475"/>
      <c r="I1655" s="476"/>
    </row>
    <row r="1656" spans="2:9" x14ac:dyDescent="0.25">
      <c r="B1656" s="476"/>
      <c r="C1656" s="476"/>
      <c r="D1656" s="475"/>
      <c r="E1656" s="476"/>
      <c r="F1656" s="475"/>
      <c r="G1656" s="476"/>
      <c r="H1656" s="475"/>
      <c r="I1656" s="476"/>
    </row>
    <row r="1657" spans="2:9" x14ac:dyDescent="0.25">
      <c r="B1657" s="476"/>
      <c r="C1657" s="476"/>
      <c r="D1657" s="475"/>
      <c r="E1657" s="476"/>
      <c r="F1657" s="475"/>
      <c r="G1657" s="476"/>
      <c r="H1657" s="475"/>
      <c r="I1657" s="476"/>
    </row>
    <row r="1658" spans="2:9" x14ac:dyDescent="0.25">
      <c r="B1658" s="476"/>
      <c r="C1658" s="476"/>
      <c r="D1658" s="475"/>
      <c r="E1658" s="476"/>
      <c r="F1658" s="475"/>
      <c r="G1658" s="476"/>
      <c r="H1658" s="475"/>
      <c r="I1658" s="476"/>
    </row>
    <row r="1659" spans="2:9" x14ac:dyDescent="0.25">
      <c r="B1659" s="476"/>
      <c r="C1659" s="476"/>
      <c r="D1659" s="475"/>
      <c r="E1659" s="476"/>
      <c r="F1659" s="475"/>
      <c r="G1659" s="476"/>
      <c r="H1659" s="475"/>
      <c r="I1659" s="476"/>
    </row>
    <row r="1660" spans="2:9" x14ac:dyDescent="0.25">
      <c r="B1660" s="476"/>
      <c r="C1660" s="476"/>
      <c r="D1660" s="475"/>
      <c r="E1660" s="476"/>
      <c r="F1660" s="475"/>
      <c r="G1660" s="476"/>
      <c r="H1660" s="475"/>
      <c r="I1660" s="476"/>
    </row>
    <row r="1661" spans="2:9" x14ac:dyDescent="0.25">
      <c r="B1661" s="476"/>
      <c r="C1661" s="476"/>
      <c r="D1661" s="475"/>
      <c r="E1661" s="476"/>
      <c r="F1661" s="475"/>
      <c r="G1661" s="476"/>
      <c r="H1661" s="475"/>
      <c r="I1661" s="476"/>
    </row>
    <row r="1662" spans="2:9" x14ac:dyDescent="0.25">
      <c r="B1662" s="476"/>
      <c r="C1662" s="476"/>
      <c r="D1662" s="475"/>
      <c r="E1662" s="476"/>
      <c r="F1662" s="475"/>
      <c r="G1662" s="476"/>
      <c r="H1662" s="475"/>
      <c r="I1662" s="476"/>
    </row>
    <row r="1663" spans="2:9" x14ac:dyDescent="0.25">
      <c r="B1663" s="476"/>
      <c r="C1663" s="476"/>
      <c r="D1663" s="475"/>
      <c r="E1663" s="476"/>
      <c r="F1663" s="475"/>
      <c r="G1663" s="476"/>
      <c r="H1663" s="475"/>
      <c r="I1663" s="476"/>
    </row>
    <row r="1664" spans="2:9" x14ac:dyDescent="0.25">
      <c r="B1664" s="476"/>
      <c r="C1664" s="476"/>
      <c r="D1664" s="475"/>
      <c r="E1664" s="476"/>
      <c r="F1664" s="475"/>
      <c r="G1664" s="476"/>
      <c r="H1664" s="475"/>
      <c r="I1664" s="476"/>
    </row>
    <row r="1665" spans="2:9" x14ac:dyDescent="0.25">
      <c r="B1665" s="476"/>
      <c r="C1665" s="476"/>
      <c r="D1665" s="475"/>
      <c r="E1665" s="476"/>
      <c r="F1665" s="475"/>
      <c r="G1665" s="476"/>
      <c r="H1665" s="475"/>
      <c r="I1665" s="476"/>
    </row>
    <row r="1666" spans="2:9" x14ac:dyDescent="0.25">
      <c r="B1666" s="476"/>
      <c r="C1666" s="476"/>
      <c r="D1666" s="475"/>
      <c r="E1666" s="476"/>
      <c r="F1666" s="475"/>
      <c r="G1666" s="476"/>
      <c r="H1666" s="475"/>
      <c r="I1666" s="476"/>
    </row>
    <row r="1667" spans="2:9" x14ac:dyDescent="0.25">
      <c r="B1667" s="476"/>
      <c r="C1667" s="476"/>
      <c r="D1667" s="475"/>
      <c r="E1667" s="476"/>
      <c r="F1667" s="475"/>
      <c r="G1667" s="476"/>
      <c r="H1667" s="475"/>
      <c r="I1667" s="476"/>
    </row>
    <row r="1668" spans="2:9" x14ac:dyDescent="0.25">
      <c r="B1668" s="476"/>
      <c r="C1668" s="476"/>
      <c r="D1668" s="475"/>
      <c r="E1668" s="476"/>
      <c r="F1668" s="475"/>
      <c r="G1668" s="476"/>
      <c r="H1668" s="475"/>
      <c r="I1668" s="476"/>
    </row>
    <row r="1669" spans="2:9" x14ac:dyDescent="0.25">
      <c r="B1669" s="476"/>
      <c r="C1669" s="476"/>
      <c r="D1669" s="475"/>
      <c r="E1669" s="476"/>
      <c r="F1669" s="475"/>
      <c r="G1669" s="476"/>
      <c r="H1669" s="475"/>
      <c r="I1669" s="476"/>
    </row>
    <row r="1670" spans="2:9" x14ac:dyDescent="0.25">
      <c r="B1670" s="476"/>
      <c r="C1670" s="476"/>
      <c r="D1670" s="475"/>
      <c r="E1670" s="476"/>
      <c r="F1670" s="475"/>
      <c r="G1670" s="476"/>
      <c r="H1670" s="475"/>
      <c r="I1670" s="476"/>
    </row>
    <row r="1671" spans="2:9" x14ac:dyDescent="0.25">
      <c r="B1671" s="476"/>
      <c r="C1671" s="476"/>
      <c r="D1671" s="475"/>
      <c r="E1671" s="476"/>
      <c r="F1671" s="475"/>
      <c r="G1671" s="476"/>
      <c r="H1671" s="475"/>
      <c r="I1671" s="476"/>
    </row>
    <row r="1672" spans="2:9" x14ac:dyDescent="0.25">
      <c r="B1672" s="476"/>
      <c r="C1672" s="476"/>
      <c r="D1672" s="475"/>
      <c r="E1672" s="476"/>
      <c r="F1672" s="475"/>
      <c r="G1672" s="476"/>
      <c r="H1672" s="475"/>
      <c r="I1672" s="476"/>
    </row>
    <row r="1673" spans="2:9" x14ac:dyDescent="0.25">
      <c r="B1673" s="476"/>
      <c r="C1673" s="476"/>
      <c r="D1673" s="475"/>
      <c r="E1673" s="476"/>
      <c r="F1673" s="475"/>
      <c r="G1673" s="476"/>
      <c r="H1673" s="475"/>
      <c r="I1673" s="476"/>
    </row>
    <row r="1674" spans="2:9" x14ac:dyDescent="0.25">
      <c r="B1674" s="476"/>
      <c r="C1674" s="476"/>
      <c r="D1674" s="475"/>
      <c r="E1674" s="476"/>
      <c r="F1674" s="475"/>
      <c r="G1674" s="476"/>
      <c r="H1674" s="475"/>
      <c r="I1674" s="476"/>
    </row>
    <row r="1675" spans="2:9" x14ac:dyDescent="0.25">
      <c r="B1675" s="476"/>
      <c r="C1675" s="476"/>
      <c r="D1675" s="475"/>
      <c r="E1675" s="476"/>
      <c r="F1675" s="475"/>
      <c r="G1675" s="476"/>
      <c r="H1675" s="475"/>
      <c r="I1675" s="476"/>
    </row>
    <row r="1676" spans="2:9" x14ac:dyDescent="0.25">
      <c r="B1676" s="476"/>
      <c r="C1676" s="476"/>
      <c r="D1676" s="475"/>
      <c r="E1676" s="476"/>
      <c r="F1676" s="475"/>
      <c r="G1676" s="476"/>
      <c r="H1676" s="475"/>
      <c r="I1676" s="476"/>
    </row>
    <row r="1677" spans="2:9" x14ac:dyDescent="0.25">
      <c r="B1677" s="476"/>
      <c r="C1677" s="476"/>
      <c r="D1677" s="475"/>
      <c r="E1677" s="476"/>
      <c r="F1677" s="475"/>
      <c r="G1677" s="476"/>
      <c r="H1677" s="475"/>
      <c r="I1677" s="476"/>
    </row>
    <row r="1678" spans="2:9" x14ac:dyDescent="0.25">
      <c r="B1678" s="476"/>
      <c r="C1678" s="476"/>
      <c r="D1678" s="475"/>
      <c r="E1678" s="476"/>
      <c r="F1678" s="475"/>
      <c r="G1678" s="476"/>
      <c r="H1678" s="475"/>
      <c r="I1678" s="476"/>
    </row>
    <row r="1679" spans="2:9" x14ac:dyDescent="0.25">
      <c r="B1679" s="476"/>
      <c r="C1679" s="476"/>
      <c r="D1679" s="475"/>
      <c r="E1679" s="476"/>
      <c r="F1679" s="475"/>
      <c r="G1679" s="476"/>
      <c r="H1679" s="475"/>
      <c r="I1679" s="476"/>
    </row>
    <row r="1680" spans="2:9" x14ac:dyDescent="0.25">
      <c r="B1680" s="476"/>
      <c r="C1680" s="476"/>
      <c r="D1680" s="475"/>
      <c r="E1680" s="476"/>
      <c r="F1680" s="475"/>
      <c r="G1680" s="476"/>
      <c r="H1680" s="475"/>
      <c r="I1680" s="476"/>
    </row>
    <row r="1681" spans="2:9" x14ac:dyDescent="0.25">
      <c r="B1681" s="476"/>
      <c r="C1681" s="476"/>
      <c r="D1681" s="475"/>
      <c r="E1681" s="476"/>
      <c r="F1681" s="475"/>
      <c r="G1681" s="476"/>
      <c r="H1681" s="475"/>
      <c r="I1681" s="476"/>
    </row>
    <row r="1682" spans="2:9" x14ac:dyDescent="0.25">
      <c r="B1682" s="476"/>
      <c r="C1682" s="476"/>
      <c r="D1682" s="475"/>
      <c r="E1682" s="476"/>
      <c r="F1682" s="475"/>
      <c r="G1682" s="476"/>
      <c r="H1682" s="475"/>
      <c r="I1682" s="476"/>
    </row>
    <row r="1683" spans="2:9" x14ac:dyDescent="0.25">
      <c r="B1683" s="476"/>
      <c r="C1683" s="476"/>
      <c r="D1683" s="475"/>
      <c r="E1683" s="476"/>
      <c r="F1683" s="475"/>
      <c r="G1683" s="476"/>
      <c r="H1683" s="475"/>
      <c r="I1683" s="476"/>
    </row>
    <row r="1684" spans="2:9" x14ac:dyDescent="0.25">
      <c r="B1684" s="476"/>
      <c r="C1684" s="476"/>
      <c r="D1684" s="475"/>
      <c r="E1684" s="476"/>
      <c r="F1684" s="475"/>
      <c r="G1684" s="476"/>
      <c r="H1684" s="475"/>
      <c r="I1684" s="476"/>
    </row>
    <row r="1685" spans="2:9" x14ac:dyDescent="0.25">
      <c r="B1685" s="476"/>
      <c r="C1685" s="476"/>
      <c r="D1685" s="475"/>
      <c r="E1685" s="476"/>
      <c r="F1685" s="475"/>
      <c r="G1685" s="476"/>
      <c r="H1685" s="475"/>
      <c r="I1685" s="476"/>
    </row>
    <row r="1686" spans="2:9" x14ac:dyDescent="0.25">
      <c r="B1686" s="476"/>
      <c r="C1686" s="476"/>
      <c r="D1686" s="475"/>
      <c r="E1686" s="476"/>
      <c r="F1686" s="475"/>
      <c r="G1686" s="476"/>
      <c r="H1686" s="475"/>
      <c r="I1686" s="476"/>
    </row>
    <row r="1687" spans="2:9" x14ac:dyDescent="0.25">
      <c r="B1687" s="476"/>
      <c r="C1687" s="476"/>
      <c r="D1687" s="475"/>
      <c r="E1687" s="476"/>
      <c r="F1687" s="475"/>
      <c r="G1687" s="476"/>
      <c r="H1687" s="475"/>
      <c r="I1687" s="476"/>
    </row>
    <row r="1688" spans="2:9" x14ac:dyDescent="0.25">
      <c r="B1688" s="476"/>
      <c r="C1688" s="476"/>
      <c r="D1688" s="475"/>
      <c r="E1688" s="476"/>
      <c r="F1688" s="475"/>
      <c r="G1688" s="476"/>
      <c r="H1688" s="475"/>
      <c r="I1688" s="476"/>
    </row>
    <row r="1689" spans="2:9" x14ac:dyDescent="0.25">
      <c r="B1689" s="476"/>
      <c r="C1689" s="476"/>
      <c r="D1689" s="475"/>
      <c r="E1689" s="476"/>
      <c r="F1689" s="475"/>
      <c r="G1689" s="476"/>
      <c r="H1689" s="475"/>
      <c r="I1689" s="476"/>
    </row>
    <row r="1690" spans="2:9" x14ac:dyDescent="0.25">
      <c r="B1690" s="476"/>
      <c r="C1690" s="476"/>
      <c r="D1690" s="475"/>
      <c r="E1690" s="476"/>
      <c r="F1690" s="475"/>
      <c r="G1690" s="476"/>
      <c r="H1690" s="475"/>
      <c r="I1690" s="476"/>
    </row>
    <row r="1691" spans="2:9" x14ac:dyDescent="0.25">
      <c r="B1691" s="476"/>
      <c r="C1691" s="476"/>
      <c r="D1691" s="475"/>
      <c r="E1691" s="476"/>
      <c r="F1691" s="475"/>
      <c r="G1691" s="476"/>
      <c r="H1691" s="475"/>
      <c r="I1691" s="476"/>
    </row>
    <row r="1692" spans="2:9" x14ac:dyDescent="0.25">
      <c r="B1692" s="476"/>
      <c r="C1692" s="476"/>
      <c r="D1692" s="475"/>
      <c r="E1692" s="476"/>
      <c r="F1692" s="475"/>
      <c r="G1692" s="476"/>
      <c r="H1692" s="475"/>
      <c r="I1692" s="476"/>
    </row>
    <row r="1693" spans="2:9" x14ac:dyDescent="0.25">
      <c r="B1693" s="476"/>
      <c r="C1693" s="476"/>
      <c r="D1693" s="475"/>
      <c r="E1693" s="476"/>
      <c r="F1693" s="475"/>
      <c r="G1693" s="476"/>
      <c r="H1693" s="475"/>
      <c r="I1693" s="476"/>
    </row>
    <row r="1694" spans="2:9" x14ac:dyDescent="0.25">
      <c r="B1694" s="476"/>
      <c r="C1694" s="476"/>
      <c r="D1694" s="475"/>
      <c r="E1694" s="476"/>
      <c r="F1694" s="475"/>
      <c r="G1694" s="476"/>
      <c r="H1694" s="475"/>
      <c r="I1694" s="476"/>
    </row>
    <row r="1695" spans="2:9" x14ac:dyDescent="0.25">
      <c r="B1695" s="476"/>
      <c r="C1695" s="476"/>
      <c r="D1695" s="475"/>
      <c r="E1695" s="476"/>
      <c r="F1695" s="475"/>
      <c r="G1695" s="476"/>
      <c r="H1695" s="475"/>
      <c r="I1695" s="476"/>
    </row>
    <row r="1696" spans="2:9" x14ac:dyDescent="0.25">
      <c r="B1696" s="476"/>
      <c r="C1696" s="476"/>
      <c r="D1696" s="475"/>
      <c r="E1696" s="476"/>
      <c r="F1696" s="475"/>
      <c r="G1696" s="476"/>
      <c r="H1696" s="475"/>
      <c r="I1696" s="476"/>
    </row>
    <row r="1697" spans="2:9" x14ac:dyDescent="0.25">
      <c r="B1697" s="476"/>
      <c r="C1697" s="476"/>
      <c r="D1697" s="475"/>
      <c r="E1697" s="476"/>
      <c r="F1697" s="475"/>
      <c r="G1697" s="476"/>
      <c r="H1697" s="475"/>
      <c r="I1697" s="476"/>
    </row>
    <row r="1698" spans="2:9" x14ac:dyDescent="0.25">
      <c r="B1698" s="476"/>
      <c r="C1698" s="476"/>
      <c r="D1698" s="475"/>
      <c r="E1698" s="476"/>
      <c r="F1698" s="475"/>
      <c r="G1698" s="476"/>
      <c r="H1698" s="475"/>
      <c r="I1698" s="476"/>
    </row>
    <row r="1699" spans="2:9" x14ac:dyDescent="0.25">
      <c r="B1699" s="476"/>
      <c r="C1699" s="476"/>
      <c r="D1699" s="475"/>
      <c r="E1699" s="476"/>
      <c r="F1699" s="475"/>
      <c r="G1699" s="476"/>
      <c r="H1699" s="475"/>
      <c r="I1699" s="476"/>
    </row>
    <row r="1700" spans="2:9" x14ac:dyDescent="0.25">
      <c r="B1700" s="476"/>
      <c r="C1700" s="476"/>
      <c r="D1700" s="475"/>
      <c r="E1700" s="476"/>
      <c r="F1700" s="475"/>
      <c r="G1700" s="476"/>
      <c r="H1700" s="475"/>
      <c r="I1700" s="476"/>
    </row>
    <row r="1701" spans="2:9" x14ac:dyDescent="0.25">
      <c r="B1701" s="476"/>
      <c r="C1701" s="476"/>
      <c r="D1701" s="475"/>
      <c r="E1701" s="476"/>
      <c r="F1701" s="475"/>
      <c r="G1701" s="476"/>
      <c r="H1701" s="475"/>
      <c r="I1701" s="476"/>
    </row>
    <row r="1702" spans="2:9" x14ac:dyDescent="0.25">
      <c r="B1702" s="476"/>
      <c r="C1702" s="476"/>
      <c r="D1702" s="475"/>
      <c r="E1702" s="476"/>
      <c r="F1702" s="475"/>
      <c r="G1702" s="476"/>
      <c r="H1702" s="475"/>
      <c r="I1702" s="476"/>
    </row>
    <row r="1703" spans="2:9" x14ac:dyDescent="0.25">
      <c r="B1703" s="476"/>
      <c r="C1703" s="476"/>
      <c r="D1703" s="475"/>
      <c r="E1703" s="476"/>
      <c r="F1703" s="475"/>
      <c r="G1703" s="476"/>
      <c r="H1703" s="475"/>
      <c r="I1703" s="476"/>
    </row>
    <row r="1704" spans="2:9" x14ac:dyDescent="0.25">
      <c r="B1704" s="476"/>
      <c r="C1704" s="476"/>
      <c r="D1704" s="475"/>
      <c r="E1704" s="476"/>
      <c r="F1704" s="475"/>
      <c r="G1704" s="476"/>
      <c r="H1704" s="475"/>
      <c r="I1704" s="476"/>
    </row>
    <row r="1705" spans="2:9" x14ac:dyDescent="0.25">
      <c r="B1705" s="476"/>
      <c r="C1705" s="476"/>
      <c r="D1705" s="475"/>
      <c r="E1705" s="476"/>
      <c r="F1705" s="475"/>
      <c r="G1705" s="476"/>
      <c r="H1705" s="475"/>
      <c r="I1705" s="476"/>
    </row>
    <row r="1706" spans="2:9" x14ac:dyDescent="0.25">
      <c r="B1706" s="476"/>
      <c r="C1706" s="476"/>
      <c r="D1706" s="475"/>
      <c r="E1706" s="476"/>
      <c r="F1706" s="475"/>
      <c r="G1706" s="476"/>
      <c r="H1706" s="475"/>
      <c r="I1706" s="476"/>
    </row>
    <row r="1707" spans="2:9" x14ac:dyDescent="0.25">
      <c r="B1707" s="476"/>
      <c r="C1707" s="476"/>
      <c r="D1707" s="475"/>
      <c r="E1707" s="476"/>
      <c r="F1707" s="475"/>
      <c r="G1707" s="476"/>
      <c r="H1707" s="475"/>
      <c r="I1707" s="476"/>
    </row>
    <row r="1708" spans="2:9" x14ac:dyDescent="0.25">
      <c r="B1708" s="476"/>
      <c r="C1708" s="476"/>
      <c r="D1708" s="475"/>
      <c r="E1708" s="476"/>
      <c r="F1708" s="475"/>
      <c r="G1708" s="476"/>
      <c r="H1708" s="475"/>
      <c r="I1708" s="476"/>
    </row>
    <row r="1709" spans="2:9" x14ac:dyDescent="0.25">
      <c r="B1709" s="476"/>
      <c r="C1709" s="476"/>
      <c r="D1709" s="475"/>
      <c r="E1709" s="476"/>
      <c r="F1709" s="475"/>
      <c r="G1709" s="476"/>
      <c r="H1709" s="475"/>
      <c r="I1709" s="476"/>
    </row>
    <row r="1710" spans="2:9" x14ac:dyDescent="0.25">
      <c r="B1710" s="476"/>
      <c r="C1710" s="476"/>
      <c r="D1710" s="475"/>
      <c r="E1710" s="476"/>
      <c r="F1710" s="475"/>
      <c r="G1710" s="476"/>
      <c r="H1710" s="475"/>
      <c r="I1710" s="476"/>
    </row>
    <row r="1711" spans="2:9" x14ac:dyDescent="0.25">
      <c r="B1711" s="476"/>
      <c r="C1711" s="476"/>
      <c r="D1711" s="475"/>
      <c r="E1711" s="476"/>
      <c r="F1711" s="475"/>
      <c r="G1711" s="476"/>
      <c r="H1711" s="475"/>
      <c r="I1711" s="476"/>
    </row>
    <row r="1712" spans="2:9" x14ac:dyDescent="0.25">
      <c r="B1712" s="476"/>
      <c r="C1712" s="476"/>
      <c r="D1712" s="475"/>
      <c r="E1712" s="476"/>
      <c r="F1712" s="475"/>
      <c r="G1712" s="476"/>
      <c r="H1712" s="475"/>
      <c r="I1712" s="476"/>
    </row>
    <row r="1713" spans="2:9" x14ac:dyDescent="0.25">
      <c r="B1713" s="476"/>
      <c r="C1713" s="476"/>
      <c r="D1713" s="475"/>
      <c r="E1713" s="476"/>
      <c r="F1713" s="475"/>
      <c r="G1713" s="476"/>
      <c r="H1713" s="475"/>
      <c r="I1713" s="476"/>
    </row>
    <row r="1714" spans="2:9" x14ac:dyDescent="0.25">
      <c r="B1714" s="476"/>
      <c r="C1714" s="476"/>
      <c r="D1714" s="475"/>
      <c r="E1714" s="476"/>
      <c r="F1714" s="475"/>
      <c r="G1714" s="476"/>
      <c r="H1714" s="475"/>
      <c r="I1714" s="476"/>
    </row>
    <row r="1715" spans="2:9" x14ac:dyDescent="0.25">
      <c r="B1715" s="476"/>
      <c r="C1715" s="476"/>
      <c r="D1715" s="475"/>
      <c r="E1715" s="476"/>
      <c r="F1715" s="475"/>
      <c r="G1715" s="476"/>
      <c r="H1715" s="475"/>
      <c r="I1715" s="476"/>
    </row>
    <row r="1716" spans="2:9" x14ac:dyDescent="0.25">
      <c r="B1716" s="476"/>
      <c r="C1716" s="476"/>
      <c r="D1716" s="475"/>
      <c r="E1716" s="476"/>
      <c r="F1716" s="475"/>
      <c r="G1716" s="476"/>
      <c r="H1716" s="475"/>
      <c r="I1716" s="476"/>
    </row>
    <row r="1717" spans="2:9" x14ac:dyDescent="0.25">
      <c r="B1717" s="476"/>
      <c r="C1717" s="476"/>
      <c r="D1717" s="475"/>
      <c r="E1717" s="476"/>
      <c r="F1717" s="475"/>
      <c r="G1717" s="476"/>
      <c r="H1717" s="475"/>
      <c r="I1717" s="476"/>
    </row>
    <row r="1718" spans="2:9" x14ac:dyDescent="0.25">
      <c r="B1718" s="476"/>
      <c r="C1718" s="476"/>
      <c r="D1718" s="475"/>
      <c r="E1718" s="476"/>
      <c r="F1718" s="475"/>
      <c r="G1718" s="476"/>
      <c r="H1718" s="475"/>
      <c r="I1718" s="476"/>
    </row>
    <row r="1719" spans="2:9" x14ac:dyDescent="0.25">
      <c r="B1719" s="476"/>
      <c r="C1719" s="476"/>
      <c r="D1719" s="475"/>
      <c r="E1719" s="476"/>
      <c r="F1719" s="475"/>
      <c r="G1719" s="476"/>
      <c r="H1719" s="475"/>
      <c r="I1719" s="476"/>
    </row>
    <row r="1720" spans="2:9" x14ac:dyDescent="0.25">
      <c r="B1720" s="476"/>
      <c r="C1720" s="476"/>
      <c r="D1720" s="475"/>
      <c r="E1720" s="476"/>
      <c r="F1720" s="475"/>
      <c r="G1720" s="476"/>
      <c r="H1720" s="475"/>
      <c r="I1720" s="476"/>
    </row>
    <row r="1721" spans="2:9" x14ac:dyDescent="0.25">
      <c r="B1721" s="476"/>
      <c r="C1721" s="476"/>
      <c r="D1721" s="475"/>
      <c r="E1721" s="476"/>
      <c r="F1721" s="475"/>
      <c r="G1721" s="476"/>
      <c r="H1721" s="475"/>
      <c r="I1721" s="476"/>
    </row>
    <row r="1722" spans="2:9" x14ac:dyDescent="0.25">
      <c r="B1722" s="476"/>
      <c r="C1722" s="476"/>
      <c r="D1722" s="475"/>
      <c r="E1722" s="476"/>
      <c r="F1722" s="475"/>
      <c r="G1722" s="476"/>
      <c r="H1722" s="475"/>
      <c r="I1722" s="476"/>
    </row>
    <row r="1723" spans="2:9" x14ac:dyDescent="0.25">
      <c r="B1723" s="476"/>
      <c r="C1723" s="476"/>
      <c r="D1723" s="475"/>
      <c r="E1723" s="476"/>
      <c r="F1723" s="475"/>
      <c r="G1723" s="476"/>
      <c r="H1723" s="475"/>
      <c r="I1723" s="476"/>
    </row>
    <row r="1724" spans="2:9" x14ac:dyDescent="0.25">
      <c r="B1724" s="476"/>
      <c r="C1724" s="476"/>
      <c r="D1724" s="475"/>
      <c r="E1724" s="476"/>
      <c r="F1724" s="475"/>
      <c r="G1724" s="476"/>
      <c r="H1724" s="475"/>
      <c r="I1724" s="476"/>
    </row>
    <row r="1725" spans="2:9" x14ac:dyDescent="0.25">
      <c r="B1725" s="476"/>
      <c r="C1725" s="476"/>
      <c r="D1725" s="475"/>
      <c r="E1725" s="476"/>
      <c r="F1725" s="475"/>
      <c r="G1725" s="476"/>
      <c r="H1725" s="475"/>
      <c r="I1725" s="476"/>
    </row>
    <row r="1726" spans="2:9" x14ac:dyDescent="0.25">
      <c r="B1726" s="476"/>
      <c r="C1726" s="476"/>
      <c r="D1726" s="475"/>
      <c r="E1726" s="476"/>
      <c r="F1726" s="475"/>
      <c r="G1726" s="476"/>
      <c r="H1726" s="475"/>
      <c r="I1726" s="476"/>
    </row>
    <row r="1727" spans="2:9" x14ac:dyDescent="0.25">
      <c r="B1727" s="476"/>
      <c r="C1727" s="476"/>
      <c r="D1727" s="475"/>
      <c r="E1727" s="476"/>
      <c r="F1727" s="475"/>
      <c r="G1727" s="476"/>
      <c r="H1727" s="475"/>
      <c r="I1727" s="476"/>
    </row>
    <row r="1728" spans="2:9" x14ac:dyDescent="0.25">
      <c r="B1728" s="476"/>
      <c r="C1728" s="476"/>
      <c r="D1728" s="475"/>
      <c r="E1728" s="476"/>
      <c r="F1728" s="475"/>
      <c r="G1728" s="476"/>
      <c r="H1728" s="475"/>
      <c r="I1728" s="476"/>
    </row>
    <row r="1729" spans="2:9" x14ac:dyDescent="0.25">
      <c r="B1729" s="476"/>
      <c r="C1729" s="476"/>
      <c r="D1729" s="475"/>
      <c r="E1729" s="476"/>
      <c r="F1729" s="475"/>
      <c r="G1729" s="476"/>
      <c r="H1729" s="475"/>
      <c r="I1729" s="476"/>
    </row>
    <row r="1730" spans="2:9" x14ac:dyDescent="0.25">
      <c r="B1730" s="476"/>
      <c r="C1730" s="476"/>
      <c r="D1730" s="475"/>
      <c r="E1730" s="476"/>
      <c r="F1730" s="475"/>
      <c r="G1730" s="476"/>
      <c r="H1730" s="475"/>
      <c r="I1730" s="476"/>
    </row>
    <row r="1731" spans="2:9" x14ac:dyDescent="0.25">
      <c r="B1731" s="476"/>
      <c r="C1731" s="476"/>
      <c r="D1731" s="475"/>
      <c r="E1731" s="476"/>
      <c r="F1731" s="475"/>
      <c r="G1731" s="476"/>
      <c r="H1731" s="475"/>
      <c r="I1731" s="476"/>
    </row>
    <row r="1732" spans="2:9" x14ac:dyDescent="0.25">
      <c r="B1732" s="476"/>
      <c r="C1732" s="476"/>
      <c r="D1732" s="475"/>
      <c r="E1732" s="476"/>
      <c r="F1732" s="475"/>
      <c r="G1732" s="476"/>
      <c r="H1732" s="475"/>
      <c r="I1732" s="476"/>
    </row>
    <row r="1733" spans="2:9" x14ac:dyDescent="0.25">
      <c r="B1733" s="476"/>
      <c r="C1733" s="476"/>
      <c r="D1733" s="475"/>
      <c r="E1733" s="476"/>
      <c r="F1733" s="475"/>
      <c r="G1733" s="476"/>
      <c r="H1733" s="475"/>
      <c r="I1733" s="476"/>
    </row>
    <row r="1734" spans="2:9" x14ac:dyDescent="0.25">
      <c r="B1734" s="476"/>
      <c r="C1734" s="476"/>
      <c r="D1734" s="475"/>
      <c r="E1734" s="476"/>
      <c r="F1734" s="475"/>
      <c r="G1734" s="476"/>
      <c r="H1734" s="475"/>
      <c r="I1734" s="476"/>
    </row>
    <row r="1735" spans="2:9" x14ac:dyDescent="0.25">
      <c r="B1735" s="476"/>
      <c r="C1735" s="476"/>
      <c r="D1735" s="475"/>
      <c r="E1735" s="476"/>
      <c r="F1735" s="475"/>
      <c r="G1735" s="476"/>
      <c r="H1735" s="475"/>
      <c r="I1735" s="476"/>
    </row>
    <row r="1736" spans="2:9" x14ac:dyDescent="0.25">
      <c r="B1736" s="476"/>
      <c r="C1736" s="476"/>
      <c r="D1736" s="475"/>
      <c r="E1736" s="476"/>
      <c r="F1736" s="475"/>
      <c r="G1736" s="476"/>
      <c r="H1736" s="475"/>
      <c r="I1736" s="476"/>
    </row>
    <row r="1737" spans="2:9" x14ac:dyDescent="0.25">
      <c r="B1737" s="476"/>
      <c r="C1737" s="476"/>
      <c r="D1737" s="475"/>
      <c r="E1737" s="476"/>
      <c r="F1737" s="475"/>
      <c r="G1737" s="476"/>
      <c r="H1737" s="475"/>
      <c r="I1737" s="476"/>
    </row>
    <row r="1738" spans="2:9" x14ac:dyDescent="0.25">
      <c r="B1738" s="476"/>
      <c r="C1738" s="476"/>
      <c r="D1738" s="475"/>
      <c r="E1738" s="476"/>
      <c r="F1738" s="475"/>
      <c r="G1738" s="476"/>
      <c r="H1738" s="475"/>
      <c r="I1738" s="476"/>
    </row>
    <row r="1739" spans="2:9" x14ac:dyDescent="0.25">
      <c r="B1739" s="476"/>
      <c r="C1739" s="476"/>
      <c r="D1739" s="475"/>
      <c r="E1739" s="476"/>
      <c r="F1739" s="475"/>
      <c r="G1739" s="476"/>
      <c r="H1739" s="475"/>
      <c r="I1739" s="476"/>
    </row>
    <row r="1740" spans="2:9" x14ac:dyDescent="0.25">
      <c r="B1740" s="476"/>
      <c r="C1740" s="476"/>
      <c r="D1740" s="475"/>
      <c r="E1740" s="476"/>
      <c r="F1740" s="475"/>
      <c r="G1740" s="476"/>
      <c r="H1740" s="475"/>
      <c r="I1740" s="476"/>
    </row>
    <row r="1741" spans="2:9" x14ac:dyDescent="0.25">
      <c r="B1741" s="476"/>
      <c r="C1741" s="476"/>
      <c r="D1741" s="475"/>
      <c r="E1741" s="476"/>
      <c r="F1741" s="475"/>
      <c r="G1741" s="476"/>
      <c r="H1741" s="475"/>
      <c r="I1741" s="476"/>
    </row>
    <row r="1742" spans="2:9" x14ac:dyDescent="0.25">
      <c r="B1742" s="476"/>
      <c r="C1742" s="476"/>
      <c r="D1742" s="475"/>
      <c r="E1742" s="476"/>
      <c r="F1742" s="475"/>
      <c r="G1742" s="476"/>
      <c r="H1742" s="475"/>
      <c r="I1742" s="476"/>
    </row>
    <row r="1743" spans="2:9" x14ac:dyDescent="0.25">
      <c r="B1743" s="476"/>
      <c r="C1743" s="476"/>
      <c r="D1743" s="475"/>
      <c r="E1743" s="476"/>
      <c r="F1743" s="475"/>
      <c r="G1743" s="476"/>
      <c r="H1743" s="475"/>
      <c r="I1743" s="476"/>
    </row>
    <row r="1744" spans="2:9" x14ac:dyDescent="0.25">
      <c r="B1744" s="476"/>
      <c r="C1744" s="476"/>
      <c r="D1744" s="475"/>
      <c r="E1744" s="476"/>
      <c r="F1744" s="475"/>
      <c r="G1744" s="476"/>
      <c r="H1744" s="475"/>
      <c r="I1744" s="476"/>
    </row>
    <row r="1745" spans="2:9" x14ac:dyDescent="0.25">
      <c r="B1745" s="476"/>
      <c r="C1745" s="476"/>
      <c r="D1745" s="475"/>
      <c r="E1745" s="476"/>
      <c r="F1745" s="475"/>
      <c r="G1745" s="476"/>
      <c r="H1745" s="475"/>
      <c r="I1745" s="476"/>
    </row>
    <row r="1746" spans="2:9" x14ac:dyDescent="0.25">
      <c r="B1746" s="476"/>
      <c r="C1746" s="476"/>
      <c r="D1746" s="475"/>
      <c r="E1746" s="476"/>
      <c r="F1746" s="475"/>
      <c r="G1746" s="476"/>
      <c r="H1746" s="475"/>
      <c r="I1746" s="476"/>
    </row>
    <row r="1747" spans="2:9" x14ac:dyDescent="0.25">
      <c r="B1747" s="476"/>
      <c r="C1747" s="476"/>
      <c r="D1747" s="475"/>
      <c r="E1747" s="476"/>
      <c r="F1747" s="475"/>
      <c r="G1747" s="476"/>
      <c r="H1747" s="475"/>
      <c r="I1747" s="476"/>
    </row>
    <row r="1748" spans="2:9" x14ac:dyDescent="0.25">
      <c r="B1748" s="476"/>
      <c r="C1748" s="476"/>
      <c r="D1748" s="475"/>
      <c r="E1748" s="476"/>
      <c r="F1748" s="475"/>
      <c r="G1748" s="476"/>
      <c r="H1748" s="475"/>
      <c r="I1748" s="476"/>
    </row>
    <row r="1749" spans="2:9" x14ac:dyDescent="0.25">
      <c r="B1749" s="476"/>
      <c r="C1749" s="476"/>
      <c r="D1749" s="475"/>
      <c r="E1749" s="476"/>
      <c r="F1749" s="475"/>
      <c r="G1749" s="476"/>
      <c r="H1749" s="475"/>
      <c r="I1749" s="476"/>
    </row>
    <row r="1750" spans="2:9" x14ac:dyDescent="0.25">
      <c r="B1750" s="476"/>
      <c r="C1750" s="476"/>
      <c r="D1750" s="475"/>
      <c r="E1750" s="476"/>
      <c r="F1750" s="475"/>
      <c r="G1750" s="476"/>
      <c r="H1750" s="475"/>
      <c r="I1750" s="476"/>
    </row>
    <row r="1751" spans="2:9" x14ac:dyDescent="0.25">
      <c r="B1751" s="476"/>
      <c r="C1751" s="476"/>
      <c r="D1751" s="475"/>
      <c r="E1751" s="476"/>
      <c r="F1751" s="475"/>
      <c r="G1751" s="476"/>
      <c r="H1751" s="475"/>
      <c r="I1751" s="476"/>
    </row>
    <row r="1752" spans="2:9" x14ac:dyDescent="0.25">
      <c r="B1752" s="476"/>
      <c r="C1752" s="476"/>
      <c r="D1752" s="475"/>
      <c r="E1752" s="476"/>
      <c r="F1752" s="475"/>
      <c r="G1752" s="476"/>
      <c r="H1752" s="475"/>
      <c r="I1752" s="476"/>
    </row>
    <row r="1753" spans="2:9" x14ac:dyDescent="0.25">
      <c r="B1753" s="476"/>
      <c r="C1753" s="476"/>
      <c r="D1753" s="475"/>
      <c r="E1753" s="476"/>
      <c r="F1753" s="475"/>
      <c r="G1753" s="476"/>
      <c r="H1753" s="475"/>
      <c r="I1753" s="476"/>
    </row>
    <row r="1754" spans="2:9" x14ac:dyDescent="0.25">
      <c r="B1754" s="476"/>
      <c r="C1754" s="476"/>
      <c r="D1754" s="475"/>
      <c r="E1754" s="476"/>
      <c r="F1754" s="475"/>
      <c r="G1754" s="476"/>
      <c r="H1754" s="475"/>
      <c r="I1754" s="476"/>
    </row>
    <row r="1755" spans="2:9" x14ac:dyDescent="0.25">
      <c r="B1755" s="476"/>
      <c r="C1755" s="476"/>
      <c r="D1755" s="475"/>
      <c r="E1755" s="476"/>
      <c r="F1755" s="475"/>
      <c r="G1755" s="476"/>
      <c r="H1755" s="475"/>
      <c r="I1755" s="476"/>
    </row>
    <row r="1756" spans="2:9" x14ac:dyDescent="0.25">
      <c r="B1756" s="476"/>
      <c r="C1756" s="476"/>
      <c r="D1756" s="475"/>
      <c r="E1756" s="476"/>
      <c r="F1756" s="475"/>
      <c r="G1756" s="476"/>
      <c r="H1756" s="475"/>
      <c r="I1756" s="476"/>
    </row>
    <row r="1757" spans="2:9" x14ac:dyDescent="0.25">
      <c r="B1757" s="476"/>
      <c r="C1757" s="476"/>
      <c r="D1757" s="475"/>
      <c r="E1757" s="476"/>
      <c r="F1757" s="475"/>
      <c r="G1757" s="476"/>
      <c r="H1757" s="475"/>
      <c r="I1757" s="476"/>
    </row>
    <row r="1758" spans="2:9" x14ac:dyDescent="0.25">
      <c r="B1758" s="476"/>
      <c r="C1758" s="476"/>
      <c r="D1758" s="475"/>
      <c r="E1758" s="476"/>
      <c r="F1758" s="475"/>
      <c r="G1758" s="476"/>
      <c r="H1758" s="475"/>
      <c r="I1758" s="476"/>
    </row>
    <row r="1759" spans="2:9" x14ac:dyDescent="0.25">
      <c r="B1759" s="476"/>
      <c r="C1759" s="476"/>
      <c r="D1759" s="475"/>
      <c r="E1759" s="476"/>
      <c r="F1759" s="475"/>
      <c r="G1759" s="476"/>
      <c r="H1759" s="475"/>
      <c r="I1759" s="476"/>
    </row>
    <row r="1760" spans="2:9" x14ac:dyDescent="0.25">
      <c r="B1760" s="476"/>
      <c r="C1760" s="476"/>
      <c r="D1760" s="475"/>
      <c r="E1760" s="476"/>
      <c r="F1760" s="475"/>
      <c r="G1760" s="476"/>
      <c r="H1760" s="475"/>
      <c r="I1760" s="476"/>
    </row>
    <row r="1761" spans="2:9" x14ac:dyDescent="0.25">
      <c r="B1761" s="476"/>
      <c r="C1761" s="476"/>
      <c r="D1761" s="475"/>
      <c r="E1761" s="476"/>
      <c r="F1761" s="475"/>
      <c r="G1761" s="476"/>
      <c r="H1761" s="475"/>
      <c r="I1761" s="476"/>
    </row>
    <row r="1762" spans="2:9" x14ac:dyDescent="0.25">
      <c r="B1762" s="476"/>
      <c r="C1762" s="476"/>
      <c r="D1762" s="475"/>
      <c r="E1762" s="476"/>
      <c r="F1762" s="475"/>
      <c r="G1762" s="476"/>
      <c r="H1762" s="475"/>
      <c r="I1762" s="476"/>
    </row>
    <row r="1763" spans="2:9" x14ac:dyDescent="0.25">
      <c r="B1763" s="476"/>
      <c r="C1763" s="476"/>
      <c r="D1763" s="475"/>
      <c r="E1763" s="476"/>
      <c r="F1763" s="475"/>
      <c r="G1763" s="476"/>
      <c r="H1763" s="475"/>
      <c r="I1763" s="476"/>
    </row>
    <row r="1764" spans="2:9" x14ac:dyDescent="0.25">
      <c r="B1764" s="476"/>
      <c r="C1764" s="476"/>
      <c r="D1764" s="475"/>
      <c r="E1764" s="476"/>
      <c r="F1764" s="475"/>
      <c r="G1764" s="476"/>
      <c r="H1764" s="475"/>
      <c r="I1764" s="476"/>
    </row>
    <row r="1765" spans="2:9" x14ac:dyDescent="0.25">
      <c r="B1765" s="476"/>
      <c r="C1765" s="476"/>
      <c r="D1765" s="475"/>
      <c r="E1765" s="476"/>
      <c r="F1765" s="475"/>
      <c r="G1765" s="476"/>
      <c r="H1765" s="475"/>
      <c r="I1765" s="476"/>
    </row>
    <row r="1766" spans="2:9" x14ac:dyDescent="0.25">
      <c r="B1766" s="476"/>
      <c r="C1766" s="476"/>
      <c r="D1766" s="475"/>
      <c r="E1766" s="476"/>
      <c r="F1766" s="475"/>
      <c r="G1766" s="476"/>
      <c r="H1766" s="475"/>
      <c r="I1766" s="476"/>
    </row>
    <row r="1767" spans="2:9" x14ac:dyDescent="0.25">
      <c r="B1767" s="476"/>
      <c r="C1767" s="476"/>
      <c r="D1767" s="475"/>
      <c r="E1767" s="476"/>
      <c r="F1767" s="475"/>
      <c r="G1767" s="476"/>
      <c r="H1767" s="475"/>
      <c r="I1767" s="476"/>
    </row>
    <row r="1768" spans="2:9" x14ac:dyDescent="0.25">
      <c r="B1768" s="476"/>
      <c r="C1768" s="476"/>
      <c r="D1768" s="475"/>
      <c r="E1768" s="476"/>
      <c r="F1768" s="475"/>
      <c r="G1768" s="476"/>
      <c r="H1768" s="475"/>
      <c r="I1768" s="476"/>
    </row>
    <row r="1769" spans="2:9" x14ac:dyDescent="0.25">
      <c r="B1769" s="476"/>
      <c r="C1769" s="476"/>
      <c r="D1769" s="475"/>
      <c r="E1769" s="476"/>
      <c r="F1769" s="475"/>
      <c r="G1769" s="476"/>
      <c r="H1769" s="475"/>
      <c r="I1769" s="476"/>
    </row>
    <row r="1770" spans="2:9" x14ac:dyDescent="0.25">
      <c r="B1770" s="476"/>
      <c r="C1770" s="476"/>
      <c r="D1770" s="475"/>
      <c r="E1770" s="476"/>
      <c r="F1770" s="475"/>
      <c r="G1770" s="476"/>
      <c r="H1770" s="475"/>
      <c r="I1770" s="476"/>
    </row>
    <row r="1771" spans="2:9" x14ac:dyDescent="0.25">
      <c r="B1771" s="476"/>
      <c r="C1771" s="476"/>
      <c r="D1771" s="475"/>
      <c r="E1771" s="476"/>
      <c r="F1771" s="475"/>
      <c r="G1771" s="476"/>
      <c r="H1771" s="475"/>
      <c r="I1771" s="476"/>
    </row>
    <row r="1772" spans="2:9" x14ac:dyDescent="0.25">
      <c r="B1772" s="476"/>
      <c r="C1772" s="476"/>
      <c r="D1772" s="475"/>
      <c r="E1772" s="476"/>
      <c r="F1772" s="475"/>
      <c r="G1772" s="476"/>
      <c r="H1772" s="475"/>
      <c r="I1772" s="476"/>
    </row>
    <row r="1773" spans="2:9" x14ac:dyDescent="0.25">
      <c r="B1773" s="476"/>
      <c r="C1773" s="476"/>
      <c r="D1773" s="475"/>
      <c r="E1773" s="476"/>
      <c r="F1773" s="475"/>
      <c r="G1773" s="476"/>
      <c r="H1773" s="475"/>
      <c r="I1773" s="476"/>
    </row>
    <row r="1774" spans="2:9" x14ac:dyDescent="0.25">
      <c r="B1774" s="476"/>
      <c r="C1774" s="476"/>
      <c r="D1774" s="475"/>
      <c r="E1774" s="476"/>
      <c r="F1774" s="475"/>
      <c r="G1774" s="476"/>
      <c r="H1774" s="475"/>
      <c r="I1774" s="476"/>
    </row>
    <row r="1775" spans="2:9" x14ac:dyDescent="0.25">
      <c r="B1775" s="476"/>
      <c r="C1775" s="476"/>
      <c r="D1775" s="475"/>
      <c r="E1775" s="476"/>
      <c r="F1775" s="475"/>
      <c r="G1775" s="476"/>
      <c r="H1775" s="475"/>
      <c r="I1775" s="476"/>
    </row>
    <row r="1776" spans="2:9" x14ac:dyDescent="0.25">
      <c r="B1776" s="476"/>
      <c r="C1776" s="476"/>
      <c r="D1776" s="475"/>
      <c r="E1776" s="476"/>
      <c r="F1776" s="475"/>
      <c r="G1776" s="476"/>
      <c r="H1776" s="475"/>
      <c r="I1776" s="476"/>
    </row>
    <row r="1777" spans="2:9" x14ac:dyDescent="0.25">
      <c r="B1777" s="476"/>
      <c r="C1777" s="476"/>
      <c r="D1777" s="475"/>
      <c r="E1777" s="476"/>
      <c r="F1777" s="475"/>
      <c r="G1777" s="476"/>
      <c r="H1777" s="475"/>
      <c r="I1777" s="476"/>
    </row>
    <row r="1778" spans="2:9" x14ac:dyDescent="0.25">
      <c r="B1778" s="476"/>
      <c r="C1778" s="476"/>
      <c r="D1778" s="475"/>
      <c r="E1778" s="476"/>
      <c r="F1778" s="475"/>
      <c r="G1778" s="476"/>
      <c r="H1778" s="475"/>
      <c r="I1778" s="476"/>
    </row>
    <row r="1779" spans="2:9" x14ac:dyDescent="0.25">
      <c r="B1779" s="476"/>
      <c r="C1779" s="476"/>
      <c r="D1779" s="475"/>
      <c r="E1779" s="476"/>
      <c r="F1779" s="475"/>
      <c r="G1779" s="476"/>
      <c r="H1779" s="475"/>
      <c r="I1779" s="476"/>
    </row>
    <row r="1780" spans="2:9" x14ac:dyDescent="0.25">
      <c r="B1780" s="476"/>
      <c r="C1780" s="476"/>
      <c r="D1780" s="475"/>
      <c r="E1780" s="476"/>
      <c r="F1780" s="475"/>
      <c r="G1780" s="476"/>
      <c r="H1780" s="475"/>
      <c r="I1780" s="476"/>
    </row>
    <row r="1781" spans="2:9" x14ac:dyDescent="0.25">
      <c r="B1781" s="476"/>
      <c r="C1781" s="476"/>
      <c r="D1781" s="475"/>
      <c r="E1781" s="476"/>
      <c r="F1781" s="475"/>
      <c r="G1781" s="476"/>
      <c r="H1781" s="475"/>
      <c r="I1781" s="476"/>
    </row>
    <row r="1782" spans="2:9" x14ac:dyDescent="0.25">
      <c r="B1782" s="476"/>
      <c r="C1782" s="476"/>
      <c r="D1782" s="475"/>
      <c r="E1782" s="476"/>
      <c r="F1782" s="475"/>
      <c r="G1782" s="476"/>
      <c r="H1782" s="475"/>
      <c r="I1782" s="476"/>
    </row>
    <row r="1783" spans="2:9" x14ac:dyDescent="0.25">
      <c r="B1783" s="476"/>
      <c r="C1783" s="476"/>
      <c r="D1783" s="475"/>
      <c r="E1783" s="476"/>
      <c r="F1783" s="475"/>
      <c r="G1783" s="476"/>
      <c r="H1783" s="475"/>
      <c r="I1783" s="476"/>
    </row>
    <row r="1784" spans="2:9" x14ac:dyDescent="0.25">
      <c r="B1784" s="476"/>
      <c r="C1784" s="476"/>
      <c r="D1784" s="475"/>
      <c r="E1784" s="476"/>
      <c r="F1784" s="475"/>
      <c r="G1784" s="476"/>
      <c r="H1784" s="475"/>
      <c r="I1784" s="476"/>
    </row>
    <row r="1785" spans="2:9" x14ac:dyDescent="0.25">
      <c r="B1785" s="476"/>
      <c r="C1785" s="476"/>
      <c r="D1785" s="475"/>
      <c r="E1785" s="476"/>
      <c r="F1785" s="475"/>
      <c r="G1785" s="476"/>
      <c r="H1785" s="475"/>
      <c r="I1785" s="476"/>
    </row>
    <row r="1786" spans="2:9" x14ac:dyDescent="0.25">
      <c r="B1786" s="476"/>
      <c r="C1786" s="476"/>
      <c r="D1786" s="475"/>
      <c r="E1786" s="476"/>
      <c r="F1786" s="475"/>
      <c r="G1786" s="476"/>
      <c r="H1786" s="475"/>
      <c r="I1786" s="476"/>
    </row>
    <row r="1787" spans="2:9" x14ac:dyDescent="0.25">
      <c r="B1787" s="476"/>
      <c r="C1787" s="476"/>
      <c r="D1787" s="475"/>
      <c r="E1787" s="476"/>
      <c r="F1787" s="475"/>
      <c r="G1787" s="476"/>
      <c r="H1787" s="475"/>
      <c r="I1787" s="476"/>
    </row>
    <row r="1788" spans="2:9" x14ac:dyDescent="0.25">
      <c r="B1788" s="476"/>
      <c r="C1788" s="476"/>
      <c r="D1788" s="475"/>
      <c r="E1788" s="476"/>
      <c r="F1788" s="475"/>
      <c r="G1788" s="476"/>
      <c r="H1788" s="475"/>
      <c r="I1788" s="476"/>
    </row>
    <row r="1789" spans="2:9" x14ac:dyDescent="0.25">
      <c r="B1789" s="476"/>
      <c r="C1789" s="476"/>
      <c r="D1789" s="475"/>
      <c r="E1789" s="476"/>
      <c r="F1789" s="475"/>
      <c r="G1789" s="476"/>
      <c r="H1789" s="475"/>
      <c r="I1789" s="476"/>
    </row>
    <row r="1790" spans="2:9" x14ac:dyDescent="0.25">
      <c r="B1790" s="476"/>
      <c r="C1790" s="476"/>
      <c r="D1790" s="475"/>
      <c r="E1790" s="476"/>
      <c r="F1790" s="475"/>
      <c r="G1790" s="476"/>
      <c r="H1790" s="475"/>
      <c r="I1790" s="476"/>
    </row>
    <row r="1791" spans="2:9" x14ac:dyDescent="0.25">
      <c r="B1791" s="476"/>
      <c r="C1791" s="476"/>
      <c r="D1791" s="475"/>
      <c r="E1791" s="476"/>
      <c r="F1791" s="475"/>
      <c r="G1791" s="476"/>
      <c r="H1791" s="475"/>
      <c r="I1791" s="476"/>
    </row>
    <row r="1792" spans="2:9" x14ac:dyDescent="0.25">
      <c r="B1792" s="476"/>
      <c r="C1792" s="476"/>
      <c r="D1792" s="475"/>
      <c r="E1792" s="476"/>
      <c r="F1792" s="475"/>
      <c r="G1792" s="476"/>
      <c r="H1792" s="475"/>
      <c r="I1792" s="476"/>
    </row>
    <row r="1793" spans="2:9" x14ac:dyDescent="0.25">
      <c r="B1793" s="476"/>
      <c r="C1793" s="476"/>
      <c r="D1793" s="475"/>
      <c r="E1793" s="476"/>
      <c r="F1793" s="475"/>
      <c r="G1793" s="476"/>
      <c r="H1793" s="475"/>
      <c r="I1793" s="476"/>
    </row>
    <row r="1794" spans="2:9" x14ac:dyDescent="0.25">
      <c r="B1794" s="476"/>
      <c r="C1794" s="476"/>
      <c r="D1794" s="475"/>
      <c r="E1794" s="476"/>
      <c r="F1794" s="475"/>
      <c r="G1794" s="476"/>
      <c r="H1794" s="475"/>
      <c r="I1794" s="476"/>
    </row>
    <row r="1795" spans="2:9" x14ac:dyDescent="0.25">
      <c r="B1795" s="476"/>
      <c r="C1795" s="476"/>
      <c r="D1795" s="475"/>
      <c r="E1795" s="476"/>
      <c r="F1795" s="475"/>
      <c r="G1795" s="476"/>
      <c r="H1795" s="475"/>
      <c r="I1795" s="476"/>
    </row>
    <row r="1796" spans="2:9" x14ac:dyDescent="0.25">
      <c r="B1796" s="476"/>
      <c r="C1796" s="476"/>
      <c r="D1796" s="475"/>
      <c r="E1796" s="476"/>
      <c r="F1796" s="475"/>
      <c r="G1796" s="476"/>
      <c r="H1796" s="475"/>
      <c r="I1796" s="476"/>
    </row>
    <row r="1797" spans="2:9" x14ac:dyDescent="0.25">
      <c r="B1797" s="476"/>
      <c r="C1797" s="476"/>
      <c r="D1797" s="475"/>
      <c r="E1797" s="476"/>
      <c r="F1797" s="475"/>
      <c r="G1797" s="476"/>
      <c r="H1797" s="475"/>
      <c r="I1797" s="476"/>
    </row>
    <row r="1798" spans="2:9" x14ac:dyDescent="0.25">
      <c r="B1798" s="476"/>
      <c r="C1798" s="476"/>
      <c r="D1798" s="475"/>
      <c r="E1798" s="476"/>
      <c r="F1798" s="475"/>
      <c r="G1798" s="476"/>
      <c r="H1798" s="475"/>
      <c r="I1798" s="476"/>
    </row>
    <row r="1799" spans="2:9" x14ac:dyDescent="0.25">
      <c r="B1799" s="476"/>
      <c r="C1799" s="476"/>
      <c r="D1799" s="475"/>
      <c r="E1799" s="476"/>
      <c r="F1799" s="475"/>
      <c r="G1799" s="476"/>
      <c r="H1799" s="475"/>
      <c r="I1799" s="476"/>
    </row>
    <row r="1800" spans="2:9" x14ac:dyDescent="0.25">
      <c r="B1800" s="476"/>
      <c r="C1800" s="476"/>
      <c r="D1800" s="475"/>
      <c r="E1800" s="476"/>
      <c r="F1800" s="475"/>
      <c r="G1800" s="476"/>
      <c r="H1800" s="475"/>
      <c r="I1800" s="476"/>
    </row>
    <row r="1801" spans="2:9" x14ac:dyDescent="0.25">
      <c r="B1801" s="476"/>
      <c r="C1801" s="476"/>
      <c r="D1801" s="475"/>
      <c r="E1801" s="476"/>
      <c r="F1801" s="475"/>
      <c r="G1801" s="476"/>
      <c r="H1801" s="475"/>
      <c r="I1801" s="476"/>
    </row>
    <row r="1802" spans="2:9" x14ac:dyDescent="0.25">
      <c r="B1802" s="476"/>
      <c r="C1802" s="476"/>
      <c r="D1802" s="475"/>
      <c r="E1802" s="476"/>
      <c r="F1802" s="475"/>
      <c r="G1802" s="476"/>
      <c r="H1802" s="475"/>
      <c r="I1802" s="476"/>
    </row>
    <row r="1803" spans="2:9" x14ac:dyDescent="0.25">
      <c r="B1803" s="476"/>
      <c r="C1803" s="476"/>
      <c r="D1803" s="475"/>
      <c r="E1803" s="476"/>
      <c r="F1803" s="475"/>
      <c r="G1803" s="476"/>
      <c r="H1803" s="475"/>
      <c r="I1803" s="476"/>
    </row>
    <row r="1804" spans="2:9" x14ac:dyDescent="0.25">
      <c r="B1804" s="476"/>
      <c r="C1804" s="476"/>
      <c r="D1804" s="475"/>
      <c r="E1804" s="476"/>
      <c r="F1804" s="475"/>
      <c r="G1804" s="476"/>
      <c r="H1804" s="475"/>
      <c r="I1804" s="476"/>
    </row>
    <row r="1805" spans="2:9" x14ac:dyDescent="0.25">
      <c r="B1805" s="476"/>
      <c r="C1805" s="476"/>
      <c r="D1805" s="475"/>
      <c r="E1805" s="476"/>
      <c r="F1805" s="475"/>
      <c r="G1805" s="476"/>
      <c r="H1805" s="475"/>
      <c r="I1805" s="476"/>
    </row>
    <row r="1806" spans="2:9" x14ac:dyDescent="0.25">
      <c r="B1806" s="476"/>
      <c r="C1806" s="476"/>
      <c r="D1806" s="475"/>
      <c r="E1806" s="476"/>
      <c r="F1806" s="475"/>
      <c r="G1806" s="476"/>
      <c r="H1806" s="475"/>
      <c r="I1806" s="476"/>
    </row>
    <row r="1807" spans="2:9" x14ac:dyDescent="0.25">
      <c r="B1807" s="476"/>
      <c r="C1807" s="476"/>
      <c r="D1807" s="475"/>
      <c r="E1807" s="476"/>
      <c r="F1807" s="475"/>
      <c r="G1807" s="476"/>
      <c r="H1807" s="475"/>
      <c r="I1807" s="476"/>
    </row>
    <row r="1808" spans="2:9" x14ac:dyDescent="0.25">
      <c r="B1808" s="476"/>
      <c r="C1808" s="476"/>
      <c r="D1808" s="475"/>
      <c r="E1808" s="476"/>
      <c r="F1808" s="475"/>
      <c r="G1808" s="476"/>
      <c r="H1808" s="475"/>
      <c r="I1808" s="476"/>
    </row>
    <row r="1809" spans="2:9" x14ac:dyDescent="0.25">
      <c r="B1809" s="476"/>
      <c r="C1809" s="476"/>
      <c r="D1809" s="475"/>
      <c r="E1809" s="476"/>
      <c r="F1809" s="475"/>
      <c r="G1809" s="476"/>
      <c r="H1809" s="475"/>
      <c r="I1809" s="476"/>
    </row>
    <row r="1810" spans="2:9" x14ac:dyDescent="0.25">
      <c r="B1810" s="476"/>
      <c r="C1810" s="476"/>
      <c r="D1810" s="475"/>
      <c r="E1810" s="476"/>
      <c r="F1810" s="475"/>
      <c r="G1810" s="476"/>
      <c r="H1810" s="475"/>
      <c r="I1810" s="476"/>
    </row>
    <row r="1811" spans="2:9" x14ac:dyDescent="0.25">
      <c r="B1811" s="476"/>
      <c r="C1811" s="476"/>
      <c r="D1811" s="475"/>
      <c r="E1811" s="476"/>
      <c r="F1811" s="475"/>
      <c r="G1811" s="476"/>
      <c r="H1811" s="475"/>
      <c r="I1811" s="476"/>
    </row>
    <row r="1812" spans="2:9" x14ac:dyDescent="0.25">
      <c r="B1812" s="476"/>
      <c r="C1812" s="476"/>
      <c r="D1812" s="475"/>
      <c r="E1812" s="476"/>
      <c r="F1812" s="475"/>
      <c r="G1812" s="476"/>
      <c r="H1812" s="475"/>
      <c r="I1812" s="476"/>
    </row>
    <row r="1813" spans="2:9" x14ac:dyDescent="0.25">
      <c r="B1813" s="476"/>
      <c r="C1813" s="476"/>
      <c r="D1813" s="475"/>
      <c r="E1813" s="476"/>
      <c r="F1813" s="475"/>
      <c r="G1813" s="476"/>
      <c r="H1813" s="475"/>
      <c r="I1813" s="476"/>
    </row>
    <row r="1814" spans="2:9" x14ac:dyDescent="0.25">
      <c r="B1814" s="476"/>
      <c r="C1814" s="476"/>
      <c r="D1814" s="475"/>
      <c r="E1814" s="476"/>
      <c r="F1814" s="475"/>
      <c r="G1814" s="476"/>
      <c r="H1814" s="475"/>
      <c r="I1814" s="476"/>
    </row>
    <row r="1815" spans="2:9" x14ac:dyDescent="0.25">
      <c r="B1815" s="476"/>
      <c r="C1815" s="476"/>
      <c r="D1815" s="475"/>
      <c r="E1815" s="476"/>
      <c r="F1815" s="475"/>
      <c r="G1815" s="476"/>
      <c r="H1815" s="475"/>
      <c r="I1815" s="476"/>
    </row>
    <row r="1816" spans="2:9" x14ac:dyDescent="0.25">
      <c r="B1816" s="476"/>
      <c r="C1816" s="476"/>
      <c r="D1816" s="475"/>
      <c r="E1816" s="476"/>
      <c r="F1816" s="475"/>
      <c r="G1816" s="476"/>
      <c r="H1816" s="475"/>
      <c r="I1816" s="476"/>
    </row>
    <row r="1817" spans="2:9" x14ac:dyDescent="0.25">
      <c r="B1817" s="476"/>
      <c r="C1817" s="476"/>
      <c r="D1817" s="475"/>
      <c r="E1817" s="476"/>
      <c r="F1817" s="475"/>
      <c r="G1817" s="476"/>
      <c r="H1817" s="475"/>
      <c r="I1817" s="476"/>
    </row>
    <row r="1818" spans="2:9" x14ac:dyDescent="0.25">
      <c r="B1818" s="476"/>
      <c r="C1818" s="476"/>
      <c r="D1818" s="475"/>
      <c r="E1818" s="476"/>
      <c r="F1818" s="475"/>
      <c r="G1818" s="476"/>
      <c r="H1818" s="475"/>
      <c r="I1818" s="476"/>
    </row>
    <row r="1819" spans="2:9" x14ac:dyDescent="0.25">
      <c r="B1819" s="476"/>
      <c r="C1819" s="476"/>
      <c r="D1819" s="475"/>
      <c r="E1819" s="476"/>
      <c r="F1819" s="475"/>
      <c r="G1819" s="476"/>
      <c r="H1819" s="475"/>
      <c r="I1819" s="476"/>
    </row>
    <row r="1820" spans="2:9" x14ac:dyDescent="0.25">
      <c r="B1820" s="476"/>
      <c r="C1820" s="476"/>
      <c r="D1820" s="475"/>
      <c r="E1820" s="476"/>
      <c r="F1820" s="475"/>
      <c r="G1820" s="476"/>
      <c r="H1820" s="475"/>
      <c r="I1820" s="476"/>
    </row>
    <row r="1821" spans="2:9" x14ac:dyDescent="0.25">
      <c r="B1821" s="476"/>
      <c r="C1821" s="476"/>
      <c r="D1821" s="475"/>
      <c r="E1821" s="476"/>
      <c r="F1821" s="475"/>
      <c r="G1821" s="476"/>
      <c r="H1821" s="475"/>
      <c r="I1821" s="476"/>
    </row>
    <row r="1822" spans="2:9" x14ac:dyDescent="0.25">
      <c r="B1822" s="476"/>
      <c r="C1822" s="476"/>
      <c r="D1822" s="475"/>
      <c r="E1822" s="476"/>
      <c r="F1822" s="475"/>
      <c r="G1822" s="476"/>
      <c r="H1822" s="475"/>
      <c r="I1822" s="476"/>
    </row>
    <row r="1823" spans="2:9" x14ac:dyDescent="0.25">
      <c r="B1823" s="476"/>
      <c r="C1823" s="476"/>
      <c r="D1823" s="475"/>
      <c r="E1823" s="476"/>
      <c r="F1823" s="475"/>
      <c r="G1823" s="476"/>
      <c r="H1823" s="475"/>
      <c r="I1823" s="476"/>
    </row>
    <row r="1824" spans="2:9" x14ac:dyDescent="0.25">
      <c r="B1824" s="476"/>
      <c r="C1824" s="476"/>
      <c r="D1824" s="475"/>
      <c r="E1824" s="476"/>
      <c r="F1824" s="475"/>
      <c r="G1824" s="476"/>
      <c r="H1824" s="475"/>
      <c r="I1824" s="476"/>
    </row>
    <row r="1825" spans="2:9" x14ac:dyDescent="0.25">
      <c r="B1825" s="476"/>
      <c r="C1825" s="476"/>
      <c r="D1825" s="475"/>
      <c r="E1825" s="476"/>
      <c r="F1825" s="475"/>
      <c r="G1825" s="476"/>
      <c r="H1825" s="475"/>
      <c r="I1825" s="476"/>
    </row>
    <row r="1826" spans="2:9" x14ac:dyDescent="0.25">
      <c r="B1826" s="476"/>
      <c r="C1826" s="476"/>
      <c r="D1826" s="475"/>
      <c r="E1826" s="476"/>
      <c r="F1826" s="475"/>
      <c r="G1826" s="476"/>
      <c r="H1826" s="475"/>
      <c r="I1826" s="476"/>
    </row>
    <row r="1827" spans="2:9" x14ac:dyDescent="0.25">
      <c r="B1827" s="476"/>
      <c r="C1827" s="476"/>
      <c r="D1827" s="475"/>
      <c r="E1827" s="476"/>
      <c r="F1827" s="475"/>
      <c r="G1827" s="476"/>
      <c r="H1827" s="475"/>
      <c r="I1827" s="476"/>
    </row>
    <row r="1828" spans="2:9" x14ac:dyDescent="0.25">
      <c r="B1828" s="476"/>
      <c r="C1828" s="476"/>
      <c r="D1828" s="475"/>
      <c r="E1828" s="476"/>
      <c r="F1828" s="475"/>
      <c r="G1828" s="476"/>
      <c r="H1828" s="475"/>
      <c r="I1828" s="476"/>
    </row>
    <row r="1829" spans="2:9" x14ac:dyDescent="0.25">
      <c r="B1829" s="476"/>
      <c r="C1829" s="476"/>
      <c r="D1829" s="475"/>
      <c r="E1829" s="476"/>
      <c r="F1829" s="475"/>
      <c r="G1829" s="476"/>
      <c r="H1829" s="475"/>
      <c r="I1829" s="476"/>
    </row>
    <row r="1830" spans="2:9" x14ac:dyDescent="0.25">
      <c r="B1830" s="476"/>
      <c r="C1830" s="476"/>
      <c r="D1830" s="475"/>
      <c r="E1830" s="476"/>
      <c r="F1830" s="475"/>
      <c r="G1830" s="476"/>
      <c r="H1830" s="475"/>
      <c r="I1830" s="476"/>
    </row>
    <row r="1831" spans="2:9" x14ac:dyDescent="0.25">
      <c r="B1831" s="476"/>
      <c r="C1831" s="476"/>
      <c r="D1831" s="475"/>
      <c r="E1831" s="476"/>
      <c r="F1831" s="475"/>
      <c r="G1831" s="476"/>
      <c r="H1831" s="475"/>
      <c r="I1831" s="476"/>
    </row>
    <row r="1832" spans="2:9" x14ac:dyDescent="0.25">
      <c r="B1832" s="476"/>
      <c r="C1832" s="476"/>
      <c r="D1832" s="475"/>
      <c r="E1832" s="476"/>
      <c r="F1832" s="475"/>
      <c r="G1832" s="476"/>
      <c r="H1832" s="475"/>
      <c r="I1832" s="476"/>
    </row>
    <row r="1833" spans="2:9" x14ac:dyDescent="0.25">
      <c r="B1833" s="476"/>
      <c r="C1833" s="476"/>
      <c r="D1833" s="475"/>
      <c r="E1833" s="476"/>
      <c r="F1833" s="475"/>
      <c r="G1833" s="476"/>
      <c r="H1833" s="475"/>
      <c r="I1833" s="476"/>
    </row>
    <row r="1834" spans="2:9" x14ac:dyDescent="0.25">
      <c r="B1834" s="476"/>
      <c r="C1834" s="476"/>
      <c r="D1834" s="475"/>
      <c r="E1834" s="476"/>
      <c r="F1834" s="475"/>
      <c r="G1834" s="476"/>
      <c r="H1834" s="475"/>
      <c r="I1834" s="476"/>
    </row>
    <row r="1835" spans="2:9" x14ac:dyDescent="0.25">
      <c r="B1835" s="476"/>
      <c r="C1835" s="476"/>
      <c r="D1835" s="475"/>
      <c r="E1835" s="476"/>
      <c r="F1835" s="475"/>
      <c r="G1835" s="476"/>
      <c r="H1835" s="475"/>
      <c r="I1835" s="476"/>
    </row>
    <row r="1836" spans="2:9" x14ac:dyDescent="0.25">
      <c r="B1836" s="476"/>
      <c r="C1836" s="476"/>
      <c r="D1836" s="475"/>
      <c r="E1836" s="476"/>
      <c r="F1836" s="475"/>
      <c r="G1836" s="476"/>
      <c r="H1836" s="475"/>
      <c r="I1836" s="476"/>
    </row>
    <row r="1837" spans="2:9" x14ac:dyDescent="0.25">
      <c r="B1837" s="476"/>
      <c r="C1837" s="476"/>
      <c r="D1837" s="475"/>
      <c r="E1837" s="476"/>
      <c r="F1837" s="475"/>
      <c r="G1837" s="476"/>
      <c r="H1837" s="475"/>
      <c r="I1837" s="476"/>
    </row>
    <row r="1838" spans="2:9" x14ac:dyDescent="0.25">
      <c r="B1838" s="476"/>
      <c r="C1838" s="476"/>
      <c r="D1838" s="475"/>
      <c r="E1838" s="476"/>
      <c r="F1838" s="475"/>
      <c r="G1838" s="476"/>
      <c r="H1838" s="475"/>
      <c r="I1838" s="476"/>
    </row>
    <row r="1839" spans="2:9" x14ac:dyDescent="0.25">
      <c r="B1839" s="476"/>
      <c r="C1839" s="476"/>
      <c r="D1839" s="475"/>
      <c r="E1839" s="476"/>
      <c r="F1839" s="475"/>
      <c r="G1839" s="476"/>
      <c r="H1839" s="475"/>
      <c r="I1839" s="476"/>
    </row>
    <row r="1840" spans="2:9" x14ac:dyDescent="0.25">
      <c r="B1840" s="476"/>
      <c r="C1840" s="476"/>
      <c r="D1840" s="475"/>
      <c r="E1840" s="476"/>
      <c r="F1840" s="475"/>
      <c r="G1840" s="476"/>
      <c r="H1840" s="475"/>
      <c r="I1840" s="476"/>
    </row>
    <row r="1841" spans="2:9" x14ac:dyDescent="0.25">
      <c r="B1841" s="476"/>
      <c r="C1841" s="476"/>
      <c r="D1841" s="475"/>
      <c r="E1841" s="476"/>
      <c r="F1841" s="475"/>
      <c r="G1841" s="476"/>
      <c r="H1841" s="475"/>
      <c r="I1841" s="476"/>
    </row>
    <row r="1842" spans="2:9" x14ac:dyDescent="0.25">
      <c r="B1842" s="476"/>
      <c r="C1842" s="476"/>
      <c r="D1842" s="475"/>
      <c r="E1842" s="476"/>
      <c r="F1842" s="475"/>
      <c r="G1842" s="476"/>
      <c r="H1842" s="475"/>
      <c r="I1842" s="476"/>
    </row>
    <row r="1843" spans="2:9" x14ac:dyDescent="0.25">
      <c r="B1843" s="476"/>
      <c r="C1843" s="476"/>
      <c r="D1843" s="475"/>
      <c r="E1843" s="476"/>
      <c r="F1843" s="475"/>
      <c r="G1843" s="476"/>
      <c r="H1843" s="475"/>
      <c r="I1843" s="476"/>
    </row>
    <row r="1844" spans="2:9" x14ac:dyDescent="0.25">
      <c r="B1844" s="476"/>
      <c r="C1844" s="476"/>
      <c r="D1844" s="475"/>
      <c r="E1844" s="476"/>
      <c r="F1844" s="475"/>
      <c r="G1844" s="476"/>
      <c r="H1844" s="475"/>
      <c r="I1844" s="476"/>
    </row>
    <row r="1845" spans="2:9" x14ac:dyDescent="0.25">
      <c r="B1845" s="476"/>
      <c r="C1845" s="476"/>
      <c r="D1845" s="475"/>
      <c r="E1845" s="476"/>
      <c r="F1845" s="475"/>
      <c r="G1845" s="476"/>
      <c r="H1845" s="475"/>
      <c r="I1845" s="476"/>
    </row>
    <row r="1846" spans="2:9" x14ac:dyDescent="0.25">
      <c r="B1846" s="476"/>
      <c r="C1846" s="476"/>
      <c r="D1846" s="475"/>
      <c r="E1846" s="476"/>
      <c r="F1846" s="475"/>
      <c r="G1846" s="476"/>
      <c r="H1846" s="475"/>
      <c r="I1846" s="476"/>
    </row>
    <row r="1847" spans="2:9" x14ac:dyDescent="0.25">
      <c r="B1847" s="476"/>
      <c r="C1847" s="476"/>
      <c r="D1847" s="475"/>
      <c r="E1847" s="476"/>
      <c r="F1847" s="475"/>
      <c r="G1847" s="476"/>
      <c r="H1847" s="475"/>
      <c r="I1847" s="476"/>
    </row>
    <row r="1848" spans="2:9" x14ac:dyDescent="0.25">
      <c r="B1848" s="476"/>
      <c r="C1848" s="476"/>
      <c r="D1848" s="475"/>
      <c r="E1848" s="476"/>
      <c r="F1848" s="475"/>
      <c r="G1848" s="476"/>
      <c r="H1848" s="475"/>
      <c r="I1848" s="476"/>
    </row>
    <row r="1849" spans="2:9" x14ac:dyDescent="0.25">
      <c r="B1849" s="476"/>
      <c r="C1849" s="476"/>
      <c r="D1849" s="475"/>
      <c r="E1849" s="476"/>
      <c r="F1849" s="475"/>
      <c r="G1849" s="476"/>
      <c r="H1849" s="475"/>
      <c r="I1849" s="476"/>
    </row>
    <row r="1850" spans="2:9" x14ac:dyDescent="0.25">
      <c r="B1850" s="476"/>
      <c r="C1850" s="476"/>
      <c r="D1850" s="475"/>
      <c r="E1850" s="476"/>
      <c r="F1850" s="475"/>
      <c r="G1850" s="476"/>
      <c r="H1850" s="475"/>
      <c r="I1850" s="476"/>
    </row>
    <row r="1851" spans="2:9" x14ac:dyDescent="0.25">
      <c r="B1851" s="476"/>
      <c r="C1851" s="476"/>
      <c r="D1851" s="475"/>
      <c r="E1851" s="476"/>
      <c r="F1851" s="475"/>
      <c r="G1851" s="476"/>
      <c r="H1851" s="475"/>
      <c r="I1851" s="476"/>
    </row>
    <row r="1852" spans="2:9" x14ac:dyDescent="0.25">
      <c r="B1852" s="476"/>
      <c r="C1852" s="476"/>
      <c r="D1852" s="475"/>
      <c r="E1852" s="476"/>
      <c r="F1852" s="475"/>
      <c r="G1852" s="476"/>
      <c r="H1852" s="475"/>
      <c r="I1852" s="476"/>
    </row>
    <row r="1853" spans="2:9" x14ac:dyDescent="0.25">
      <c r="B1853" s="476"/>
      <c r="C1853" s="476"/>
      <c r="D1853" s="475"/>
      <c r="E1853" s="476"/>
      <c r="F1853" s="475"/>
      <c r="G1853" s="476"/>
      <c r="H1853" s="475"/>
      <c r="I1853" s="476"/>
    </row>
    <row r="1854" spans="2:9" x14ac:dyDescent="0.25">
      <c r="B1854" s="476"/>
      <c r="C1854" s="476"/>
      <c r="D1854" s="475"/>
      <c r="E1854" s="476"/>
      <c r="F1854" s="475"/>
      <c r="G1854" s="476"/>
      <c r="H1854" s="475"/>
      <c r="I1854" s="476"/>
    </row>
    <row r="1855" spans="2:9" x14ac:dyDescent="0.25">
      <c r="B1855" s="476"/>
      <c r="C1855" s="476"/>
      <c r="D1855" s="475"/>
      <c r="E1855" s="476"/>
      <c r="F1855" s="475"/>
      <c r="G1855" s="476"/>
      <c r="H1855" s="475"/>
      <c r="I1855" s="476"/>
    </row>
    <row r="1856" spans="2:9" x14ac:dyDescent="0.25">
      <c r="B1856" s="476"/>
      <c r="C1856" s="476"/>
      <c r="D1856" s="475"/>
      <c r="E1856" s="476"/>
      <c r="F1856" s="475"/>
      <c r="G1856" s="476"/>
      <c r="H1856" s="475"/>
      <c r="I1856" s="476"/>
    </row>
    <row r="1857" spans="2:9" x14ac:dyDescent="0.25">
      <c r="B1857" s="476"/>
      <c r="C1857" s="476"/>
      <c r="D1857" s="475"/>
      <c r="E1857" s="476"/>
      <c r="F1857" s="475"/>
      <c r="G1857" s="476"/>
      <c r="H1857" s="475"/>
      <c r="I1857" s="476"/>
    </row>
    <row r="1858" spans="2:9" x14ac:dyDescent="0.25">
      <c r="B1858" s="476"/>
      <c r="C1858" s="476"/>
      <c r="D1858" s="475"/>
      <c r="E1858" s="476"/>
      <c r="F1858" s="475"/>
      <c r="G1858" s="476"/>
      <c r="H1858" s="475"/>
      <c r="I1858" s="476"/>
    </row>
    <row r="1859" spans="2:9" x14ac:dyDescent="0.25">
      <c r="B1859" s="476"/>
      <c r="C1859" s="476"/>
      <c r="D1859" s="475"/>
      <c r="E1859" s="476"/>
      <c r="F1859" s="475"/>
      <c r="G1859" s="476"/>
      <c r="H1859" s="475"/>
      <c r="I1859" s="476"/>
    </row>
    <row r="1860" spans="2:9" x14ac:dyDescent="0.25">
      <c r="B1860" s="476"/>
      <c r="C1860" s="476"/>
      <c r="D1860" s="475"/>
      <c r="E1860" s="476"/>
      <c r="F1860" s="475"/>
      <c r="G1860" s="476"/>
      <c r="H1860" s="475"/>
      <c r="I1860" s="476"/>
    </row>
    <row r="1861" spans="2:9" x14ac:dyDescent="0.25">
      <c r="B1861" s="476"/>
      <c r="C1861" s="476"/>
      <c r="D1861" s="475"/>
      <c r="E1861" s="476"/>
      <c r="F1861" s="475"/>
      <c r="G1861" s="476"/>
      <c r="H1861" s="475"/>
      <c r="I1861" s="476"/>
    </row>
    <row r="1862" spans="2:9" x14ac:dyDescent="0.25">
      <c r="B1862" s="476"/>
      <c r="C1862" s="476"/>
      <c r="D1862" s="475"/>
      <c r="E1862" s="476"/>
      <c r="F1862" s="475"/>
      <c r="G1862" s="476"/>
      <c r="H1862" s="475"/>
      <c r="I1862" s="476"/>
    </row>
    <row r="1863" spans="2:9" x14ac:dyDescent="0.25">
      <c r="B1863" s="476"/>
      <c r="C1863" s="476"/>
      <c r="D1863" s="475"/>
      <c r="E1863" s="476"/>
      <c r="F1863" s="475"/>
      <c r="G1863" s="476"/>
      <c r="H1863" s="475"/>
      <c r="I1863" s="476"/>
    </row>
    <row r="1864" spans="2:9" x14ac:dyDescent="0.25">
      <c r="B1864" s="476"/>
      <c r="C1864" s="476"/>
      <c r="D1864" s="475"/>
      <c r="E1864" s="476"/>
      <c r="F1864" s="475"/>
      <c r="G1864" s="476"/>
      <c r="H1864" s="475"/>
      <c r="I1864" s="476"/>
    </row>
    <row r="1865" spans="2:9" x14ac:dyDescent="0.25">
      <c r="B1865" s="476"/>
      <c r="C1865" s="476"/>
      <c r="D1865" s="475"/>
      <c r="E1865" s="476"/>
      <c r="F1865" s="475"/>
      <c r="G1865" s="476"/>
      <c r="H1865" s="475"/>
      <c r="I1865" s="476"/>
    </row>
    <row r="1866" spans="2:9" x14ac:dyDescent="0.25">
      <c r="B1866" s="476"/>
      <c r="C1866" s="476"/>
      <c r="D1866" s="475"/>
      <c r="E1866" s="476"/>
      <c r="F1866" s="475"/>
      <c r="G1866" s="476"/>
      <c r="H1866" s="475"/>
      <c r="I1866" s="476"/>
    </row>
    <row r="1867" spans="2:9" x14ac:dyDescent="0.25">
      <c r="B1867" s="476"/>
      <c r="C1867" s="476"/>
      <c r="D1867" s="475"/>
      <c r="E1867" s="476"/>
      <c r="F1867" s="475"/>
      <c r="G1867" s="476"/>
      <c r="H1867" s="475"/>
      <c r="I1867" s="476"/>
    </row>
    <row r="1868" spans="2:9" x14ac:dyDescent="0.25">
      <c r="B1868" s="476"/>
      <c r="C1868" s="476"/>
      <c r="D1868" s="475"/>
      <c r="E1868" s="476"/>
      <c r="F1868" s="475"/>
      <c r="G1868" s="476"/>
      <c r="H1868" s="475"/>
      <c r="I1868" s="476"/>
    </row>
    <row r="1869" spans="2:9" x14ac:dyDescent="0.25">
      <c r="B1869" s="476"/>
      <c r="C1869" s="476"/>
      <c r="D1869" s="475"/>
      <c r="E1869" s="476"/>
      <c r="F1869" s="475"/>
      <c r="G1869" s="476"/>
      <c r="H1869" s="475"/>
      <c r="I1869" s="476"/>
    </row>
    <row r="1870" spans="2:9" x14ac:dyDescent="0.25">
      <c r="B1870" s="476"/>
      <c r="C1870" s="476"/>
      <c r="D1870" s="475"/>
      <c r="E1870" s="476"/>
      <c r="F1870" s="475"/>
      <c r="G1870" s="476"/>
      <c r="H1870" s="475"/>
      <c r="I1870" s="476"/>
    </row>
    <row r="1871" spans="2:9" x14ac:dyDescent="0.25">
      <c r="B1871" s="476"/>
      <c r="C1871" s="476"/>
      <c r="D1871" s="475"/>
      <c r="E1871" s="476"/>
      <c r="F1871" s="475"/>
      <c r="G1871" s="476"/>
      <c r="H1871" s="475"/>
      <c r="I1871" s="476"/>
    </row>
    <row r="1872" spans="2:9" x14ac:dyDescent="0.25">
      <c r="B1872" s="476"/>
      <c r="C1872" s="476"/>
      <c r="D1872" s="475"/>
      <c r="E1872" s="476"/>
      <c r="F1872" s="475"/>
      <c r="G1872" s="476"/>
      <c r="H1872" s="475"/>
      <c r="I1872" s="476"/>
    </row>
    <row r="1873" spans="2:9" x14ac:dyDescent="0.25">
      <c r="B1873" s="476"/>
      <c r="C1873" s="476"/>
      <c r="D1873" s="475"/>
      <c r="E1873" s="476"/>
      <c r="F1873" s="475"/>
      <c r="G1873" s="476"/>
      <c r="H1873" s="475"/>
      <c r="I1873" s="476"/>
    </row>
    <row r="1874" spans="2:9" x14ac:dyDescent="0.25">
      <c r="B1874" s="476"/>
      <c r="C1874" s="476"/>
      <c r="D1874" s="475"/>
      <c r="E1874" s="476"/>
      <c r="F1874" s="475"/>
      <c r="G1874" s="476"/>
      <c r="H1874" s="475"/>
      <c r="I1874" s="476"/>
    </row>
    <row r="1875" spans="2:9" x14ac:dyDescent="0.25">
      <c r="B1875" s="476"/>
      <c r="C1875" s="476"/>
      <c r="D1875" s="475"/>
      <c r="E1875" s="476"/>
      <c r="F1875" s="475"/>
      <c r="G1875" s="476"/>
      <c r="H1875" s="475"/>
      <c r="I1875" s="476"/>
    </row>
    <row r="1876" spans="2:9" x14ac:dyDescent="0.25">
      <c r="B1876" s="476"/>
      <c r="C1876" s="476"/>
      <c r="D1876" s="475"/>
      <c r="E1876" s="476"/>
      <c r="F1876" s="475"/>
      <c r="G1876" s="476"/>
      <c r="H1876" s="475"/>
      <c r="I1876" s="476"/>
    </row>
    <row r="1877" spans="2:9" x14ac:dyDescent="0.25">
      <c r="B1877" s="476"/>
      <c r="C1877" s="476"/>
      <c r="D1877" s="475"/>
      <c r="E1877" s="476"/>
      <c r="F1877" s="475"/>
      <c r="G1877" s="476"/>
      <c r="H1877" s="475"/>
      <c r="I1877" s="476"/>
    </row>
    <row r="1878" spans="2:9" x14ac:dyDescent="0.25">
      <c r="B1878" s="476"/>
      <c r="C1878" s="476"/>
      <c r="D1878" s="475"/>
      <c r="E1878" s="476"/>
      <c r="F1878" s="475"/>
      <c r="G1878" s="476"/>
      <c r="H1878" s="475"/>
      <c r="I1878" s="476"/>
    </row>
    <row r="1879" spans="2:9" x14ac:dyDescent="0.25">
      <c r="B1879" s="476"/>
      <c r="C1879" s="476"/>
      <c r="D1879" s="475"/>
      <c r="E1879" s="476"/>
      <c r="F1879" s="475"/>
      <c r="G1879" s="476"/>
      <c r="H1879" s="475"/>
      <c r="I1879" s="476"/>
    </row>
    <row r="1880" spans="2:9" x14ac:dyDescent="0.25">
      <c r="B1880" s="476"/>
      <c r="C1880" s="476"/>
      <c r="D1880" s="475"/>
      <c r="E1880" s="476"/>
      <c r="F1880" s="475"/>
      <c r="G1880" s="476"/>
      <c r="H1880" s="475"/>
      <c r="I1880" s="476"/>
    </row>
    <row r="1881" spans="2:9" x14ac:dyDescent="0.25">
      <c r="B1881" s="476"/>
      <c r="C1881" s="476"/>
      <c r="D1881" s="475"/>
      <c r="E1881" s="476"/>
      <c r="F1881" s="475"/>
      <c r="G1881" s="476"/>
      <c r="H1881" s="475"/>
      <c r="I1881" s="476"/>
    </row>
    <row r="1882" spans="2:9" x14ac:dyDescent="0.25">
      <c r="B1882" s="476"/>
      <c r="C1882" s="476"/>
      <c r="D1882" s="475"/>
      <c r="E1882" s="476"/>
      <c r="F1882" s="475"/>
      <c r="G1882" s="476"/>
      <c r="H1882" s="475"/>
      <c r="I1882" s="476"/>
    </row>
    <row r="1883" spans="2:9" x14ac:dyDescent="0.25">
      <c r="B1883" s="476"/>
      <c r="C1883" s="476"/>
      <c r="D1883" s="475"/>
      <c r="E1883" s="476"/>
      <c r="F1883" s="475"/>
      <c r="G1883" s="476"/>
      <c r="H1883" s="475"/>
      <c r="I1883" s="476"/>
    </row>
    <row r="1884" spans="2:9" x14ac:dyDescent="0.25">
      <c r="B1884" s="476"/>
      <c r="C1884" s="476"/>
      <c r="D1884" s="475"/>
      <c r="E1884" s="476"/>
      <c r="F1884" s="475"/>
      <c r="G1884" s="476"/>
      <c r="H1884" s="475"/>
      <c r="I1884" s="476"/>
    </row>
    <row r="1885" spans="2:9" x14ac:dyDescent="0.25">
      <c r="B1885" s="476"/>
      <c r="C1885" s="476"/>
      <c r="D1885" s="475"/>
      <c r="E1885" s="476"/>
      <c r="F1885" s="475"/>
      <c r="G1885" s="476"/>
      <c r="H1885" s="475"/>
      <c r="I1885" s="476"/>
    </row>
    <row r="1886" spans="2:9" x14ac:dyDescent="0.25">
      <c r="B1886" s="476"/>
      <c r="C1886" s="476"/>
      <c r="D1886" s="475"/>
      <c r="E1886" s="476"/>
      <c r="F1886" s="475"/>
      <c r="G1886" s="476"/>
      <c r="H1886" s="475"/>
      <c r="I1886" s="476"/>
    </row>
    <row r="1887" spans="2:9" x14ac:dyDescent="0.25">
      <c r="B1887" s="476"/>
      <c r="C1887" s="476"/>
      <c r="D1887" s="475"/>
      <c r="E1887" s="476"/>
      <c r="F1887" s="475"/>
      <c r="G1887" s="476"/>
      <c r="H1887" s="475"/>
      <c r="I1887" s="476"/>
    </row>
    <row r="1888" spans="2:9" x14ac:dyDescent="0.25">
      <c r="B1888" s="476"/>
      <c r="C1888" s="476"/>
      <c r="D1888" s="475"/>
      <c r="E1888" s="476"/>
      <c r="F1888" s="475"/>
      <c r="G1888" s="476"/>
      <c r="H1888" s="475"/>
      <c r="I1888" s="476"/>
    </row>
    <row r="1889" spans="2:9" x14ac:dyDescent="0.25">
      <c r="B1889" s="476"/>
      <c r="C1889" s="476"/>
      <c r="D1889" s="475"/>
      <c r="E1889" s="476"/>
      <c r="F1889" s="475"/>
      <c r="G1889" s="476"/>
      <c r="H1889" s="475"/>
      <c r="I1889" s="476"/>
    </row>
    <row r="1890" spans="2:9" x14ac:dyDescent="0.25">
      <c r="B1890" s="476"/>
      <c r="C1890" s="476"/>
      <c r="D1890" s="475"/>
      <c r="E1890" s="476"/>
      <c r="F1890" s="475"/>
      <c r="G1890" s="476"/>
      <c r="H1890" s="475"/>
      <c r="I1890" s="476"/>
    </row>
    <row r="1891" spans="2:9" x14ac:dyDescent="0.25">
      <c r="B1891" s="476"/>
      <c r="C1891" s="476"/>
      <c r="D1891" s="475"/>
      <c r="E1891" s="476"/>
      <c r="F1891" s="475"/>
      <c r="G1891" s="476"/>
      <c r="H1891" s="475"/>
      <c r="I1891" s="476"/>
    </row>
    <row r="1892" spans="2:9" x14ac:dyDescent="0.25">
      <c r="B1892" s="476"/>
      <c r="C1892" s="476"/>
      <c r="D1892" s="475"/>
      <c r="E1892" s="476"/>
      <c r="F1892" s="475"/>
      <c r="G1892" s="476"/>
      <c r="H1892" s="475"/>
      <c r="I1892" s="476"/>
    </row>
    <row r="1893" spans="2:9" x14ac:dyDescent="0.25">
      <c r="B1893" s="476"/>
      <c r="C1893" s="476"/>
      <c r="D1893" s="475"/>
      <c r="E1893" s="476"/>
      <c r="F1893" s="475"/>
      <c r="G1893" s="476"/>
      <c r="H1893" s="475"/>
      <c r="I1893" s="476"/>
    </row>
    <row r="1894" spans="2:9" x14ac:dyDescent="0.25">
      <c r="B1894" s="476"/>
      <c r="C1894" s="476"/>
      <c r="D1894" s="475"/>
      <c r="E1894" s="476"/>
      <c r="F1894" s="475"/>
      <c r="G1894" s="476"/>
      <c r="H1894" s="475"/>
      <c r="I1894" s="476"/>
    </row>
    <row r="1895" spans="2:9" x14ac:dyDescent="0.25">
      <c r="B1895" s="476"/>
      <c r="C1895" s="476"/>
      <c r="D1895" s="475"/>
      <c r="E1895" s="476"/>
      <c r="F1895" s="475"/>
      <c r="G1895" s="476"/>
      <c r="H1895" s="475"/>
      <c r="I1895" s="476"/>
    </row>
    <row r="1896" spans="2:9" x14ac:dyDescent="0.25">
      <c r="B1896" s="476"/>
      <c r="C1896" s="476"/>
      <c r="D1896" s="475"/>
      <c r="E1896" s="476"/>
      <c r="F1896" s="475"/>
      <c r="G1896" s="476"/>
      <c r="H1896" s="475"/>
      <c r="I1896" s="476"/>
    </row>
    <row r="1897" spans="2:9" x14ac:dyDescent="0.25">
      <c r="B1897" s="476"/>
      <c r="C1897" s="476"/>
      <c r="D1897" s="475"/>
      <c r="E1897" s="476"/>
      <c r="F1897" s="475"/>
      <c r="G1897" s="476"/>
      <c r="H1897" s="475"/>
      <c r="I1897" s="476"/>
    </row>
    <row r="1898" spans="2:9" x14ac:dyDescent="0.25">
      <c r="B1898" s="476"/>
      <c r="C1898" s="476"/>
      <c r="D1898" s="475"/>
      <c r="E1898" s="476"/>
      <c r="F1898" s="475"/>
      <c r="G1898" s="476"/>
      <c r="H1898" s="475"/>
      <c r="I1898" s="476"/>
    </row>
    <row r="1899" spans="2:9" x14ac:dyDescent="0.25">
      <c r="B1899" s="476"/>
      <c r="C1899" s="476"/>
      <c r="D1899" s="475"/>
      <c r="E1899" s="476"/>
      <c r="F1899" s="475"/>
      <c r="G1899" s="476"/>
      <c r="H1899" s="475"/>
      <c r="I1899" s="476"/>
    </row>
    <row r="1900" spans="2:9" x14ac:dyDescent="0.25">
      <c r="B1900" s="476"/>
      <c r="C1900" s="476"/>
      <c r="D1900" s="475"/>
      <c r="E1900" s="476"/>
      <c r="F1900" s="475"/>
      <c r="G1900" s="476"/>
      <c r="H1900" s="475"/>
      <c r="I1900" s="476"/>
    </row>
    <row r="1901" spans="2:9" x14ac:dyDescent="0.25">
      <c r="B1901" s="476"/>
      <c r="C1901" s="476"/>
      <c r="D1901" s="475"/>
      <c r="E1901" s="476"/>
      <c r="F1901" s="475"/>
      <c r="G1901" s="476"/>
      <c r="H1901" s="475"/>
      <c r="I1901" s="476"/>
    </row>
    <row r="1902" spans="2:9" x14ac:dyDescent="0.25">
      <c r="B1902" s="476"/>
      <c r="C1902" s="476"/>
      <c r="D1902" s="475"/>
      <c r="E1902" s="476"/>
      <c r="F1902" s="475"/>
      <c r="G1902" s="476"/>
      <c r="H1902" s="475"/>
      <c r="I1902" s="476"/>
    </row>
    <row r="1903" spans="2:9" x14ac:dyDescent="0.25">
      <c r="B1903" s="476"/>
      <c r="C1903" s="476"/>
      <c r="D1903" s="475"/>
      <c r="E1903" s="476"/>
      <c r="F1903" s="475"/>
      <c r="G1903" s="476"/>
      <c r="H1903" s="475"/>
      <c r="I1903" s="476"/>
    </row>
    <row r="1904" spans="2:9" x14ac:dyDescent="0.25">
      <c r="B1904" s="476"/>
      <c r="C1904" s="476"/>
      <c r="D1904" s="475"/>
      <c r="E1904" s="476"/>
      <c r="F1904" s="475"/>
      <c r="G1904" s="476"/>
      <c r="H1904" s="475"/>
      <c r="I1904" s="476"/>
    </row>
    <row r="1905" spans="2:9" x14ac:dyDescent="0.25">
      <c r="B1905" s="476"/>
      <c r="C1905" s="476"/>
      <c r="D1905" s="475"/>
      <c r="E1905" s="476"/>
      <c r="F1905" s="475"/>
      <c r="G1905" s="476"/>
      <c r="H1905" s="475"/>
      <c r="I1905" s="476"/>
    </row>
    <row r="1906" spans="2:9" x14ac:dyDescent="0.25">
      <c r="B1906" s="476"/>
      <c r="C1906" s="476"/>
      <c r="D1906" s="475"/>
      <c r="E1906" s="476"/>
      <c r="F1906" s="475"/>
      <c r="G1906" s="476"/>
      <c r="H1906" s="475"/>
      <c r="I1906" s="476"/>
    </row>
    <row r="1907" spans="2:9" x14ac:dyDescent="0.25">
      <c r="B1907" s="476"/>
      <c r="C1907" s="476"/>
      <c r="D1907" s="475"/>
      <c r="E1907" s="476"/>
      <c r="F1907" s="475"/>
      <c r="G1907" s="476"/>
      <c r="H1907" s="475"/>
      <c r="I1907" s="476"/>
    </row>
    <row r="1908" spans="2:9" x14ac:dyDescent="0.25">
      <c r="B1908" s="476"/>
      <c r="C1908" s="476"/>
      <c r="D1908" s="475"/>
      <c r="E1908" s="476"/>
      <c r="F1908" s="475"/>
      <c r="G1908" s="476"/>
      <c r="H1908" s="475"/>
      <c r="I1908" s="476"/>
    </row>
    <row r="1909" spans="2:9" x14ac:dyDescent="0.25">
      <c r="B1909" s="476"/>
      <c r="C1909" s="476"/>
      <c r="D1909" s="475"/>
      <c r="E1909" s="476"/>
      <c r="F1909" s="475"/>
      <c r="G1909" s="476"/>
      <c r="H1909" s="475"/>
      <c r="I1909" s="476"/>
    </row>
    <row r="1910" spans="2:9" x14ac:dyDescent="0.25">
      <c r="B1910" s="476"/>
      <c r="C1910" s="476"/>
      <c r="D1910" s="475"/>
      <c r="E1910" s="476"/>
      <c r="F1910" s="475"/>
      <c r="G1910" s="476"/>
      <c r="H1910" s="475"/>
      <c r="I1910" s="476"/>
    </row>
    <row r="1911" spans="2:9" x14ac:dyDescent="0.25">
      <c r="B1911" s="476"/>
      <c r="C1911" s="476"/>
      <c r="D1911" s="475"/>
      <c r="E1911" s="476"/>
      <c r="F1911" s="475"/>
      <c r="G1911" s="476"/>
      <c r="H1911" s="475"/>
      <c r="I1911" s="476"/>
    </row>
    <row r="1912" spans="2:9" x14ac:dyDescent="0.25">
      <c r="B1912" s="476"/>
      <c r="C1912" s="476"/>
      <c r="D1912" s="475"/>
      <c r="E1912" s="476"/>
      <c r="F1912" s="475"/>
      <c r="G1912" s="476"/>
      <c r="H1912" s="475"/>
      <c r="I1912" s="476"/>
    </row>
    <row r="1913" spans="2:9" x14ac:dyDescent="0.25">
      <c r="B1913" s="476"/>
      <c r="C1913" s="476"/>
      <c r="D1913" s="475"/>
      <c r="E1913" s="476"/>
      <c r="F1913" s="475"/>
      <c r="G1913" s="476"/>
      <c r="H1913" s="475"/>
      <c r="I1913" s="476"/>
    </row>
    <row r="1914" spans="2:9" x14ac:dyDescent="0.25">
      <c r="B1914" s="476"/>
      <c r="C1914" s="476"/>
      <c r="D1914" s="475"/>
      <c r="E1914" s="476"/>
      <c r="F1914" s="475"/>
      <c r="G1914" s="476"/>
      <c r="H1914" s="475"/>
      <c r="I1914" s="476"/>
    </row>
    <row r="1915" spans="2:9" x14ac:dyDescent="0.25">
      <c r="B1915" s="476"/>
      <c r="C1915" s="476"/>
      <c r="D1915" s="475"/>
      <c r="E1915" s="476"/>
      <c r="F1915" s="475"/>
      <c r="G1915" s="476"/>
      <c r="H1915" s="475"/>
      <c r="I1915" s="476"/>
    </row>
    <row r="1916" spans="2:9" x14ac:dyDescent="0.25">
      <c r="B1916" s="476"/>
      <c r="C1916" s="476"/>
      <c r="D1916" s="475"/>
      <c r="E1916" s="476"/>
      <c r="F1916" s="475"/>
      <c r="G1916" s="476"/>
      <c r="H1916" s="475"/>
      <c r="I1916" s="476"/>
    </row>
    <row r="1917" spans="2:9" x14ac:dyDescent="0.25">
      <c r="B1917" s="476"/>
      <c r="C1917" s="476"/>
      <c r="D1917" s="475"/>
      <c r="E1917" s="476"/>
      <c r="F1917" s="475"/>
      <c r="G1917" s="476"/>
      <c r="H1917" s="475"/>
      <c r="I1917" s="476"/>
    </row>
    <row r="1918" spans="2:9" x14ac:dyDescent="0.25">
      <c r="B1918" s="476"/>
      <c r="C1918" s="476"/>
      <c r="D1918" s="475"/>
      <c r="E1918" s="476"/>
      <c r="F1918" s="475"/>
      <c r="G1918" s="476"/>
      <c r="H1918" s="475"/>
      <c r="I1918" s="476"/>
    </row>
    <row r="1919" spans="2:9" x14ac:dyDescent="0.25">
      <c r="B1919" s="476"/>
      <c r="C1919" s="476"/>
      <c r="D1919" s="475"/>
      <c r="E1919" s="476"/>
      <c r="F1919" s="475"/>
      <c r="G1919" s="476"/>
      <c r="H1919" s="475"/>
      <c r="I1919" s="476"/>
    </row>
    <row r="1920" spans="2:9" x14ac:dyDescent="0.25">
      <c r="B1920" s="476"/>
      <c r="C1920" s="476"/>
      <c r="D1920" s="475"/>
      <c r="E1920" s="476"/>
      <c r="F1920" s="475"/>
      <c r="G1920" s="476"/>
      <c r="H1920" s="475"/>
      <c r="I1920" s="476"/>
    </row>
    <row r="1921" spans="2:9" x14ac:dyDescent="0.25">
      <c r="B1921" s="476"/>
      <c r="C1921" s="476"/>
      <c r="D1921" s="475"/>
      <c r="E1921" s="476"/>
      <c r="F1921" s="475"/>
      <c r="G1921" s="476"/>
      <c r="H1921" s="475"/>
      <c r="I1921" s="476"/>
    </row>
    <row r="1922" spans="2:9" x14ac:dyDescent="0.25">
      <c r="B1922" s="476"/>
      <c r="C1922" s="476"/>
      <c r="D1922" s="475"/>
      <c r="E1922" s="476"/>
      <c r="F1922" s="475"/>
      <c r="G1922" s="476"/>
      <c r="H1922" s="475"/>
      <c r="I1922" s="476"/>
    </row>
    <row r="1923" spans="2:9" x14ac:dyDescent="0.25">
      <c r="B1923" s="476"/>
      <c r="C1923" s="476"/>
      <c r="D1923" s="475"/>
      <c r="E1923" s="476"/>
      <c r="F1923" s="475"/>
      <c r="G1923" s="476"/>
      <c r="H1923" s="475"/>
      <c r="I1923" s="476"/>
    </row>
    <row r="1924" spans="2:9" x14ac:dyDescent="0.25">
      <c r="B1924" s="476"/>
      <c r="C1924" s="476"/>
      <c r="D1924" s="475"/>
      <c r="E1924" s="476"/>
      <c r="F1924" s="475"/>
      <c r="G1924" s="476"/>
      <c r="H1924" s="475"/>
      <c r="I1924" s="476"/>
    </row>
    <row r="1925" spans="2:9" x14ac:dyDescent="0.25">
      <c r="B1925" s="476"/>
      <c r="C1925" s="476"/>
      <c r="D1925" s="475"/>
      <c r="E1925" s="476"/>
      <c r="F1925" s="475"/>
      <c r="G1925" s="476"/>
      <c r="H1925" s="475"/>
      <c r="I1925" s="476"/>
    </row>
    <row r="1926" spans="2:9" x14ac:dyDescent="0.25">
      <c r="B1926" s="476"/>
      <c r="C1926" s="476"/>
      <c r="D1926" s="475"/>
      <c r="E1926" s="476"/>
      <c r="F1926" s="475"/>
      <c r="G1926" s="476"/>
      <c r="H1926" s="475"/>
      <c r="I1926" s="476"/>
    </row>
    <row r="1927" spans="2:9" x14ac:dyDescent="0.25">
      <c r="B1927" s="476"/>
      <c r="C1927" s="476"/>
      <c r="D1927" s="475"/>
      <c r="E1927" s="476"/>
      <c r="F1927" s="475"/>
      <c r="G1927" s="476"/>
      <c r="H1927" s="475"/>
      <c r="I1927" s="476"/>
    </row>
    <row r="1928" spans="2:9" x14ac:dyDescent="0.25">
      <c r="B1928" s="476"/>
      <c r="C1928" s="476"/>
      <c r="D1928" s="475"/>
      <c r="E1928" s="476"/>
      <c r="F1928" s="475"/>
      <c r="G1928" s="476"/>
      <c r="H1928" s="475"/>
      <c r="I1928" s="476"/>
    </row>
    <row r="1929" spans="2:9" x14ac:dyDescent="0.25">
      <c r="B1929" s="476"/>
      <c r="C1929" s="476"/>
      <c r="D1929" s="475"/>
      <c r="E1929" s="476"/>
      <c r="F1929" s="475"/>
      <c r="G1929" s="476"/>
      <c r="H1929" s="475"/>
      <c r="I1929" s="476"/>
    </row>
    <row r="1930" spans="2:9" x14ac:dyDescent="0.25">
      <c r="B1930" s="476"/>
      <c r="C1930" s="476"/>
      <c r="D1930" s="475"/>
      <c r="E1930" s="476"/>
      <c r="F1930" s="475"/>
      <c r="G1930" s="476"/>
      <c r="H1930" s="475"/>
      <c r="I1930" s="476"/>
    </row>
    <row r="1931" spans="2:9" x14ac:dyDescent="0.25">
      <c r="B1931" s="476"/>
      <c r="C1931" s="476"/>
      <c r="D1931" s="475"/>
      <c r="E1931" s="476"/>
      <c r="F1931" s="475"/>
      <c r="G1931" s="476"/>
      <c r="H1931" s="475"/>
      <c r="I1931" s="476"/>
    </row>
    <row r="1932" spans="2:9" x14ac:dyDescent="0.25">
      <c r="B1932" s="476"/>
      <c r="C1932" s="476"/>
      <c r="D1932" s="475"/>
      <c r="E1932" s="476"/>
      <c r="F1932" s="475"/>
      <c r="G1932" s="476"/>
      <c r="H1932" s="475"/>
      <c r="I1932" s="476"/>
    </row>
    <row r="1933" spans="2:9" x14ac:dyDescent="0.25">
      <c r="B1933" s="476"/>
      <c r="C1933" s="476"/>
      <c r="D1933" s="475"/>
      <c r="E1933" s="476"/>
      <c r="F1933" s="475"/>
      <c r="G1933" s="476"/>
      <c r="H1933" s="475"/>
      <c r="I1933" s="476"/>
    </row>
    <row r="1934" spans="2:9" x14ac:dyDescent="0.25">
      <c r="B1934" s="476"/>
      <c r="C1934" s="476"/>
      <c r="D1934" s="475"/>
      <c r="E1934" s="476"/>
      <c r="F1934" s="475"/>
      <c r="G1934" s="476"/>
      <c r="H1934" s="475"/>
      <c r="I1934" s="476"/>
    </row>
    <row r="1935" spans="2:9" x14ac:dyDescent="0.25">
      <c r="B1935" s="476"/>
      <c r="C1935" s="476"/>
      <c r="D1935" s="475"/>
      <c r="E1935" s="476"/>
      <c r="F1935" s="475"/>
      <c r="G1935" s="476"/>
      <c r="H1935" s="475"/>
      <c r="I1935" s="476"/>
    </row>
    <row r="1936" spans="2:9" x14ac:dyDescent="0.25">
      <c r="B1936" s="476"/>
      <c r="C1936" s="476"/>
      <c r="D1936" s="475"/>
      <c r="E1936" s="476"/>
      <c r="F1936" s="475"/>
      <c r="G1936" s="476"/>
      <c r="H1936" s="475"/>
      <c r="I1936" s="476"/>
    </row>
    <row r="1937" spans="2:9" x14ac:dyDescent="0.25">
      <c r="B1937" s="476"/>
      <c r="C1937" s="476"/>
      <c r="D1937" s="475"/>
      <c r="E1937" s="476"/>
      <c r="F1937" s="475"/>
      <c r="G1937" s="476"/>
      <c r="H1937" s="475"/>
      <c r="I1937" s="476"/>
    </row>
    <row r="1938" spans="2:9" x14ac:dyDescent="0.25">
      <c r="B1938" s="476"/>
      <c r="C1938" s="476"/>
      <c r="D1938" s="475"/>
      <c r="E1938" s="476"/>
      <c r="F1938" s="475"/>
      <c r="G1938" s="476"/>
      <c r="H1938" s="475"/>
      <c r="I1938" s="476"/>
    </row>
    <row r="1939" spans="2:9" x14ac:dyDescent="0.25">
      <c r="B1939" s="476"/>
      <c r="C1939" s="476"/>
      <c r="D1939" s="475"/>
      <c r="E1939" s="476"/>
      <c r="F1939" s="475"/>
      <c r="G1939" s="476"/>
      <c r="H1939" s="475"/>
      <c r="I1939" s="476"/>
    </row>
    <row r="1940" spans="2:9" x14ac:dyDescent="0.25">
      <c r="B1940" s="476"/>
      <c r="C1940" s="476"/>
      <c r="D1940" s="475"/>
      <c r="E1940" s="476"/>
      <c r="F1940" s="475"/>
      <c r="G1940" s="476"/>
      <c r="H1940" s="475"/>
      <c r="I1940" s="476"/>
    </row>
    <row r="1941" spans="2:9" x14ac:dyDescent="0.25">
      <c r="B1941" s="476"/>
      <c r="C1941" s="476"/>
      <c r="D1941" s="475"/>
      <c r="E1941" s="476"/>
      <c r="F1941" s="475"/>
      <c r="G1941" s="476"/>
      <c r="H1941" s="475"/>
      <c r="I1941" s="476"/>
    </row>
    <row r="1942" spans="2:9" x14ac:dyDescent="0.25">
      <c r="B1942" s="476"/>
      <c r="C1942" s="476"/>
      <c r="D1942" s="475"/>
      <c r="E1942" s="476"/>
      <c r="F1942" s="475"/>
      <c r="G1942" s="476"/>
      <c r="H1942" s="475"/>
      <c r="I1942" s="476"/>
    </row>
    <row r="1943" spans="2:9" x14ac:dyDescent="0.25">
      <c r="B1943" s="476"/>
      <c r="C1943" s="476"/>
      <c r="D1943" s="475"/>
      <c r="E1943" s="476"/>
      <c r="F1943" s="475"/>
      <c r="G1943" s="476"/>
      <c r="H1943" s="475"/>
      <c r="I1943" s="476"/>
    </row>
    <row r="1944" spans="2:9" x14ac:dyDescent="0.25">
      <c r="B1944" s="476"/>
      <c r="C1944" s="476"/>
      <c r="D1944" s="475"/>
      <c r="E1944" s="476"/>
      <c r="F1944" s="475"/>
      <c r="G1944" s="476"/>
      <c r="H1944" s="475"/>
      <c r="I1944" s="476"/>
    </row>
    <row r="1945" spans="2:9" x14ac:dyDescent="0.25">
      <c r="B1945" s="476"/>
      <c r="C1945" s="476"/>
      <c r="D1945" s="475"/>
      <c r="E1945" s="476"/>
      <c r="F1945" s="475"/>
      <c r="G1945" s="476"/>
      <c r="H1945" s="475"/>
      <c r="I1945" s="476"/>
    </row>
    <row r="1946" spans="2:9" x14ac:dyDescent="0.25">
      <c r="B1946" s="476"/>
      <c r="C1946" s="476"/>
      <c r="D1946" s="475"/>
      <c r="E1946" s="476"/>
      <c r="F1946" s="475"/>
      <c r="G1946" s="476"/>
      <c r="H1946" s="475"/>
      <c r="I1946" s="476"/>
    </row>
    <row r="1947" spans="2:9" x14ac:dyDescent="0.25">
      <c r="B1947" s="476"/>
      <c r="C1947" s="476"/>
      <c r="D1947" s="475"/>
      <c r="E1947" s="476"/>
      <c r="F1947" s="475"/>
      <c r="G1947" s="476"/>
      <c r="H1947" s="475"/>
      <c r="I1947" s="476"/>
    </row>
    <row r="1948" spans="2:9" x14ac:dyDescent="0.25">
      <c r="B1948" s="476"/>
      <c r="C1948" s="476"/>
      <c r="D1948" s="475"/>
      <c r="E1948" s="476"/>
      <c r="F1948" s="475"/>
      <c r="G1948" s="476"/>
      <c r="H1948" s="475"/>
      <c r="I1948" s="476"/>
    </row>
    <row r="1949" spans="2:9" x14ac:dyDescent="0.25">
      <c r="B1949" s="476"/>
      <c r="C1949" s="476"/>
      <c r="D1949" s="475"/>
      <c r="E1949" s="476"/>
      <c r="F1949" s="475"/>
      <c r="G1949" s="476"/>
      <c r="H1949" s="475"/>
      <c r="I1949" s="476"/>
    </row>
    <row r="1950" spans="2:9" x14ac:dyDescent="0.25">
      <c r="B1950" s="476"/>
      <c r="C1950" s="476"/>
      <c r="D1950" s="475"/>
      <c r="E1950" s="476"/>
      <c r="F1950" s="475"/>
      <c r="G1950" s="476"/>
      <c r="H1950" s="475"/>
      <c r="I1950" s="476"/>
    </row>
    <row r="1951" spans="2:9" x14ac:dyDescent="0.25">
      <c r="B1951" s="476"/>
      <c r="C1951" s="476"/>
      <c r="D1951" s="475"/>
      <c r="E1951" s="476"/>
      <c r="F1951" s="475"/>
      <c r="G1951" s="476"/>
      <c r="H1951" s="475"/>
      <c r="I1951" s="476"/>
    </row>
    <row r="1952" spans="2:9" x14ac:dyDescent="0.25">
      <c r="B1952" s="476"/>
      <c r="C1952" s="476"/>
      <c r="D1952" s="475"/>
      <c r="E1952" s="476"/>
      <c r="F1952" s="475"/>
      <c r="G1952" s="476"/>
      <c r="H1952" s="475"/>
      <c r="I1952" s="476"/>
    </row>
    <row r="1953" spans="2:9" x14ac:dyDescent="0.25">
      <c r="B1953" s="476"/>
      <c r="C1953" s="476"/>
      <c r="D1953" s="475"/>
      <c r="E1953" s="476"/>
      <c r="F1953" s="475"/>
      <c r="G1953" s="476"/>
      <c r="H1953" s="475"/>
      <c r="I1953" s="476"/>
    </row>
    <row r="1954" spans="2:9" x14ac:dyDescent="0.25">
      <c r="B1954" s="476"/>
      <c r="C1954" s="476"/>
      <c r="D1954" s="475"/>
      <c r="E1954" s="476"/>
      <c r="F1954" s="475"/>
      <c r="G1954" s="476"/>
      <c r="H1954" s="475"/>
      <c r="I1954" s="476"/>
    </row>
    <row r="1955" spans="2:9" x14ac:dyDescent="0.25">
      <c r="B1955" s="476"/>
      <c r="C1955" s="476"/>
      <c r="D1955" s="475"/>
      <c r="E1955" s="476"/>
      <c r="F1955" s="475"/>
      <c r="G1955" s="476"/>
      <c r="H1955" s="475"/>
      <c r="I1955" s="476"/>
    </row>
    <row r="1956" spans="2:9" x14ac:dyDescent="0.25">
      <c r="B1956" s="476"/>
      <c r="C1956" s="476"/>
      <c r="D1956" s="475"/>
      <c r="E1956" s="476"/>
      <c r="F1956" s="475"/>
      <c r="G1956" s="476"/>
      <c r="H1956" s="475"/>
      <c r="I1956" s="476"/>
    </row>
    <row r="1957" spans="2:9" x14ac:dyDescent="0.25">
      <c r="B1957" s="476"/>
      <c r="C1957" s="476"/>
      <c r="D1957" s="475"/>
      <c r="E1957" s="476"/>
      <c r="F1957" s="475"/>
      <c r="G1957" s="476"/>
      <c r="H1957" s="475"/>
      <c r="I1957" s="476"/>
    </row>
    <row r="1958" spans="2:9" x14ac:dyDescent="0.25">
      <c r="B1958" s="476"/>
      <c r="C1958" s="476"/>
      <c r="D1958" s="475"/>
      <c r="E1958" s="476"/>
      <c r="F1958" s="475"/>
      <c r="G1958" s="476"/>
      <c r="H1958" s="475"/>
      <c r="I1958" s="476"/>
    </row>
    <row r="1959" spans="2:9" x14ac:dyDescent="0.25">
      <c r="B1959" s="476"/>
      <c r="C1959" s="476"/>
      <c r="D1959" s="475"/>
      <c r="E1959" s="476"/>
      <c r="F1959" s="475"/>
      <c r="G1959" s="476"/>
      <c r="H1959" s="475"/>
      <c r="I1959" s="476"/>
    </row>
    <row r="1960" spans="2:9" x14ac:dyDescent="0.25">
      <c r="B1960" s="476"/>
      <c r="C1960" s="476"/>
      <c r="D1960" s="475"/>
      <c r="E1960" s="476"/>
      <c r="F1960" s="475"/>
      <c r="G1960" s="476"/>
      <c r="H1960" s="475"/>
      <c r="I1960" s="476"/>
    </row>
    <row r="1961" spans="2:9" x14ac:dyDescent="0.25">
      <c r="B1961" s="476"/>
      <c r="C1961" s="476"/>
      <c r="D1961" s="475"/>
      <c r="E1961" s="476"/>
      <c r="F1961" s="475"/>
      <c r="G1961" s="476"/>
      <c r="H1961" s="475"/>
      <c r="I1961" s="476"/>
    </row>
    <row r="1962" spans="2:9" x14ac:dyDescent="0.25">
      <c r="B1962" s="476"/>
      <c r="C1962" s="476"/>
      <c r="D1962" s="475"/>
      <c r="E1962" s="476"/>
      <c r="F1962" s="475"/>
      <c r="G1962" s="476"/>
      <c r="H1962" s="475"/>
      <c r="I1962" s="476"/>
    </row>
    <row r="1963" spans="2:9" x14ac:dyDescent="0.25">
      <c r="B1963" s="476"/>
      <c r="C1963" s="476"/>
      <c r="D1963" s="475"/>
      <c r="E1963" s="476"/>
      <c r="F1963" s="475"/>
      <c r="G1963" s="476"/>
      <c r="H1963" s="475"/>
      <c r="I1963" s="476"/>
    </row>
    <row r="1964" spans="2:9" x14ac:dyDescent="0.25">
      <c r="B1964" s="476"/>
      <c r="C1964" s="476"/>
      <c r="D1964" s="475"/>
      <c r="E1964" s="476"/>
      <c r="F1964" s="475"/>
      <c r="G1964" s="476"/>
      <c r="H1964" s="475"/>
      <c r="I1964" s="476"/>
    </row>
    <row r="1965" spans="2:9" x14ac:dyDescent="0.25">
      <c r="B1965" s="476"/>
      <c r="C1965" s="476"/>
      <c r="D1965" s="475"/>
      <c r="E1965" s="476"/>
      <c r="F1965" s="475"/>
      <c r="G1965" s="476"/>
      <c r="H1965" s="475"/>
      <c r="I1965" s="476"/>
    </row>
    <row r="1966" spans="2:9" x14ac:dyDescent="0.25">
      <c r="B1966" s="476"/>
      <c r="C1966" s="476"/>
      <c r="D1966" s="475"/>
      <c r="E1966" s="476"/>
      <c r="F1966" s="475"/>
      <c r="G1966" s="476"/>
      <c r="H1966" s="475"/>
      <c r="I1966" s="476"/>
    </row>
    <row r="1967" spans="2:9" x14ac:dyDescent="0.25">
      <c r="B1967" s="476"/>
      <c r="C1967" s="476"/>
      <c r="D1967" s="475"/>
      <c r="E1967" s="476"/>
      <c r="F1967" s="475"/>
      <c r="G1967" s="476"/>
      <c r="H1967" s="475"/>
      <c r="I1967" s="476"/>
    </row>
    <row r="1968" spans="2:9" x14ac:dyDescent="0.25">
      <c r="B1968" s="476"/>
      <c r="C1968" s="476"/>
      <c r="D1968" s="475"/>
      <c r="E1968" s="476"/>
      <c r="F1968" s="475"/>
      <c r="G1968" s="476"/>
      <c r="H1968" s="475"/>
      <c r="I1968" s="476"/>
    </row>
    <row r="1969" spans="2:9" x14ac:dyDescent="0.25">
      <c r="B1969" s="476"/>
      <c r="C1969" s="476"/>
      <c r="D1969" s="475"/>
      <c r="E1969" s="476"/>
      <c r="F1969" s="475"/>
      <c r="G1969" s="476"/>
      <c r="H1969" s="475"/>
      <c r="I1969" s="476"/>
    </row>
    <row r="1970" spans="2:9" x14ac:dyDescent="0.25">
      <c r="B1970" s="476"/>
      <c r="C1970" s="476"/>
      <c r="D1970" s="475"/>
      <c r="E1970" s="476"/>
      <c r="F1970" s="475"/>
      <c r="G1970" s="476"/>
      <c r="H1970" s="475"/>
      <c r="I1970" s="476"/>
    </row>
    <row r="1971" spans="2:9" x14ac:dyDescent="0.25">
      <c r="B1971" s="476"/>
      <c r="C1971" s="476"/>
      <c r="D1971" s="475"/>
      <c r="E1971" s="476"/>
      <c r="F1971" s="475"/>
      <c r="G1971" s="476"/>
      <c r="H1971" s="475"/>
      <c r="I1971" s="476"/>
    </row>
    <row r="1972" spans="2:9" x14ac:dyDescent="0.25">
      <c r="B1972" s="476"/>
      <c r="C1972" s="476"/>
      <c r="D1972" s="475"/>
      <c r="E1972" s="476"/>
      <c r="F1972" s="475"/>
      <c r="G1972" s="476"/>
      <c r="H1972" s="475"/>
      <c r="I1972" s="476"/>
    </row>
    <row r="1973" spans="2:9" x14ac:dyDescent="0.25">
      <c r="B1973" s="476"/>
      <c r="C1973" s="476"/>
      <c r="D1973" s="475"/>
      <c r="E1973" s="476"/>
      <c r="F1973" s="475"/>
      <c r="G1973" s="476"/>
      <c r="H1973" s="475"/>
      <c r="I1973" s="476"/>
    </row>
    <row r="1974" spans="2:9" x14ac:dyDescent="0.25">
      <c r="B1974" s="476"/>
      <c r="C1974" s="476"/>
      <c r="D1974" s="475"/>
      <c r="E1974" s="476"/>
      <c r="F1974" s="475"/>
      <c r="G1974" s="476"/>
      <c r="H1974" s="475"/>
      <c r="I1974" s="476"/>
    </row>
    <row r="1975" spans="2:9" x14ac:dyDescent="0.25">
      <c r="B1975" s="476"/>
      <c r="C1975" s="476"/>
      <c r="D1975" s="475"/>
      <c r="E1975" s="476"/>
      <c r="F1975" s="475"/>
      <c r="G1975" s="476"/>
      <c r="H1975" s="475"/>
      <c r="I1975" s="476"/>
    </row>
    <row r="1976" spans="2:9" x14ac:dyDescent="0.25">
      <c r="B1976" s="476"/>
      <c r="C1976" s="476"/>
      <c r="D1976" s="475"/>
      <c r="E1976" s="476"/>
      <c r="F1976" s="475"/>
      <c r="G1976" s="476"/>
      <c r="H1976" s="475"/>
      <c r="I1976" s="476"/>
    </row>
    <row r="1977" spans="2:9" x14ac:dyDescent="0.25">
      <c r="B1977" s="476"/>
      <c r="C1977" s="476"/>
      <c r="D1977" s="475"/>
      <c r="E1977" s="476"/>
      <c r="F1977" s="475"/>
      <c r="G1977" s="476"/>
      <c r="H1977" s="475"/>
      <c r="I1977" s="476"/>
    </row>
    <row r="1978" spans="2:9" x14ac:dyDescent="0.25">
      <c r="B1978" s="476"/>
      <c r="C1978" s="476"/>
      <c r="D1978" s="475"/>
      <c r="E1978" s="476"/>
      <c r="F1978" s="475"/>
      <c r="G1978" s="476"/>
      <c r="H1978" s="475"/>
      <c r="I1978" s="476"/>
    </row>
    <row r="1979" spans="2:9" x14ac:dyDescent="0.25">
      <c r="B1979" s="476"/>
      <c r="C1979" s="476"/>
      <c r="D1979" s="475"/>
      <c r="E1979" s="476"/>
      <c r="F1979" s="475"/>
      <c r="G1979" s="476"/>
      <c r="H1979" s="475"/>
      <c r="I1979" s="476"/>
    </row>
    <row r="1980" spans="2:9" x14ac:dyDescent="0.25">
      <c r="B1980" s="476"/>
      <c r="C1980" s="476"/>
      <c r="D1980" s="475"/>
      <c r="E1980" s="476"/>
      <c r="F1980" s="475"/>
      <c r="G1980" s="476"/>
      <c r="H1980" s="475"/>
      <c r="I1980" s="476"/>
    </row>
    <row r="1981" spans="2:9" x14ac:dyDescent="0.25">
      <c r="B1981" s="476"/>
      <c r="C1981" s="476"/>
      <c r="D1981" s="475"/>
      <c r="E1981" s="476"/>
      <c r="F1981" s="475"/>
      <c r="G1981" s="476"/>
      <c r="H1981" s="475"/>
      <c r="I1981" s="476"/>
    </row>
    <row r="1982" spans="2:9" x14ac:dyDescent="0.25">
      <c r="B1982" s="476"/>
      <c r="C1982" s="476"/>
      <c r="D1982" s="475"/>
      <c r="E1982" s="476"/>
      <c r="F1982" s="475"/>
      <c r="G1982" s="476"/>
      <c r="H1982" s="475"/>
      <c r="I1982" s="476"/>
    </row>
    <row r="1983" spans="2:9" x14ac:dyDescent="0.25">
      <c r="B1983" s="476"/>
      <c r="C1983" s="476"/>
      <c r="D1983" s="475"/>
      <c r="E1983" s="476"/>
      <c r="F1983" s="475"/>
      <c r="G1983" s="476"/>
      <c r="H1983" s="475"/>
      <c r="I1983" s="476"/>
    </row>
    <row r="1984" spans="2:9" x14ac:dyDescent="0.25">
      <c r="B1984" s="476"/>
      <c r="C1984" s="476"/>
      <c r="D1984" s="475"/>
      <c r="E1984" s="476"/>
      <c r="F1984" s="475"/>
      <c r="G1984" s="476"/>
      <c r="H1984" s="475"/>
      <c r="I1984" s="476"/>
    </row>
    <row r="1985" spans="2:9" x14ac:dyDescent="0.25">
      <c r="B1985" s="476"/>
      <c r="C1985" s="476"/>
      <c r="D1985" s="475"/>
      <c r="E1985" s="476"/>
      <c r="F1985" s="475"/>
      <c r="G1985" s="476"/>
      <c r="H1985" s="475"/>
      <c r="I1985" s="476"/>
    </row>
    <row r="1986" spans="2:9" x14ac:dyDescent="0.25">
      <c r="B1986" s="476"/>
      <c r="C1986" s="476"/>
      <c r="D1986" s="475"/>
      <c r="E1986" s="476"/>
      <c r="F1986" s="475"/>
      <c r="G1986" s="476"/>
      <c r="H1986" s="475"/>
      <c r="I1986" s="476"/>
    </row>
    <row r="1987" spans="2:9" x14ac:dyDescent="0.25">
      <c r="B1987" s="476"/>
      <c r="C1987" s="476"/>
      <c r="D1987" s="475"/>
      <c r="E1987" s="476"/>
      <c r="F1987" s="475"/>
      <c r="G1987" s="476"/>
      <c r="H1987" s="475"/>
      <c r="I1987" s="476"/>
    </row>
    <row r="1988" spans="2:9" x14ac:dyDescent="0.25">
      <c r="B1988" s="476"/>
      <c r="C1988" s="476"/>
      <c r="D1988" s="475"/>
      <c r="E1988" s="476"/>
      <c r="F1988" s="475"/>
      <c r="G1988" s="476"/>
      <c r="H1988" s="475"/>
      <c r="I1988" s="476"/>
    </row>
    <row r="1989" spans="2:9" x14ac:dyDescent="0.25">
      <c r="B1989" s="476"/>
      <c r="C1989" s="476"/>
      <c r="D1989" s="475"/>
      <c r="E1989" s="476"/>
      <c r="F1989" s="475"/>
      <c r="G1989" s="476"/>
      <c r="H1989" s="475"/>
      <c r="I1989" s="476"/>
    </row>
    <row r="1990" spans="2:9" x14ac:dyDescent="0.25">
      <c r="B1990" s="476"/>
      <c r="C1990" s="476"/>
      <c r="D1990" s="475"/>
      <c r="E1990" s="476"/>
      <c r="F1990" s="475"/>
      <c r="G1990" s="476"/>
      <c r="H1990" s="475"/>
      <c r="I1990" s="476"/>
    </row>
    <row r="1991" spans="2:9" x14ac:dyDescent="0.25">
      <c r="B1991" s="476"/>
      <c r="C1991" s="476"/>
      <c r="D1991" s="475"/>
      <c r="E1991" s="476"/>
      <c r="F1991" s="475"/>
      <c r="G1991" s="476"/>
      <c r="H1991" s="475"/>
      <c r="I1991" s="476"/>
    </row>
    <row r="1992" spans="2:9" x14ac:dyDescent="0.25">
      <c r="B1992" s="476"/>
      <c r="C1992" s="476"/>
      <c r="D1992" s="475"/>
      <c r="E1992" s="476"/>
      <c r="F1992" s="475"/>
      <c r="G1992" s="476"/>
      <c r="H1992" s="475"/>
      <c r="I1992" s="476"/>
    </row>
    <row r="1993" spans="2:9" x14ac:dyDescent="0.25">
      <c r="B1993" s="476"/>
      <c r="C1993" s="476"/>
      <c r="D1993" s="475"/>
      <c r="E1993" s="476"/>
      <c r="F1993" s="475"/>
      <c r="G1993" s="476"/>
      <c r="H1993" s="475"/>
      <c r="I1993" s="476"/>
    </row>
    <row r="1994" spans="2:9" x14ac:dyDescent="0.25">
      <c r="B1994" s="476"/>
      <c r="C1994" s="476"/>
      <c r="D1994" s="475"/>
      <c r="E1994" s="476"/>
      <c r="F1994" s="475"/>
      <c r="G1994" s="476"/>
      <c r="H1994" s="475"/>
      <c r="I1994" s="476"/>
    </row>
    <row r="1995" spans="2:9" x14ac:dyDescent="0.25">
      <c r="B1995" s="476"/>
      <c r="C1995" s="476"/>
      <c r="D1995" s="475"/>
      <c r="E1995" s="476"/>
      <c r="F1995" s="475"/>
      <c r="G1995" s="476"/>
      <c r="H1995" s="475"/>
      <c r="I1995" s="476"/>
    </row>
    <row r="1996" spans="2:9" x14ac:dyDescent="0.25">
      <c r="B1996" s="476"/>
      <c r="C1996" s="476"/>
      <c r="D1996" s="475"/>
      <c r="E1996" s="476"/>
      <c r="F1996" s="475"/>
      <c r="G1996" s="476"/>
      <c r="H1996" s="475"/>
      <c r="I1996" s="476"/>
    </row>
    <row r="1997" spans="2:9" x14ac:dyDescent="0.25">
      <c r="B1997" s="476"/>
      <c r="C1997" s="476"/>
      <c r="D1997" s="475"/>
      <c r="E1997" s="476"/>
      <c r="F1997" s="475"/>
      <c r="G1997" s="476"/>
      <c r="H1997" s="475"/>
      <c r="I1997" s="476"/>
    </row>
    <row r="1998" spans="2:9" x14ac:dyDescent="0.25">
      <c r="B1998" s="476"/>
      <c r="C1998" s="476"/>
      <c r="D1998" s="475"/>
      <c r="E1998" s="476"/>
      <c r="F1998" s="475"/>
      <c r="G1998" s="476"/>
      <c r="H1998" s="475"/>
      <c r="I1998" s="476"/>
    </row>
    <row r="1999" spans="2:9" x14ac:dyDescent="0.25">
      <c r="B1999" s="476"/>
      <c r="C1999" s="476"/>
      <c r="D1999" s="475"/>
      <c r="E1999" s="476"/>
      <c r="F1999" s="475"/>
      <c r="G1999" s="476"/>
      <c r="H1999" s="475"/>
      <c r="I1999" s="476"/>
    </row>
    <row r="2000" spans="2:9" x14ac:dyDescent="0.25">
      <c r="B2000" s="476"/>
      <c r="C2000" s="476"/>
      <c r="D2000" s="475"/>
      <c r="E2000" s="476"/>
      <c r="F2000" s="475"/>
      <c r="G2000" s="476"/>
      <c r="H2000" s="475"/>
      <c r="I2000" s="476"/>
    </row>
    <row r="2001" spans="2:9" x14ac:dyDescent="0.25">
      <c r="B2001" s="476"/>
      <c r="C2001" s="476"/>
      <c r="D2001" s="475"/>
      <c r="E2001" s="476"/>
      <c r="F2001" s="475"/>
      <c r="G2001" s="476"/>
      <c r="H2001" s="475"/>
      <c r="I2001" s="476"/>
    </row>
    <row r="2002" spans="2:9" x14ac:dyDescent="0.25">
      <c r="B2002" s="476"/>
      <c r="C2002" s="476"/>
      <c r="D2002" s="475"/>
      <c r="E2002" s="476"/>
      <c r="F2002" s="475"/>
      <c r="G2002" s="476"/>
      <c r="H2002" s="475"/>
      <c r="I2002" s="476"/>
    </row>
    <row r="2003" spans="2:9" x14ac:dyDescent="0.25">
      <c r="B2003" s="476"/>
      <c r="C2003" s="476"/>
      <c r="D2003" s="475"/>
      <c r="E2003" s="476"/>
      <c r="F2003" s="475"/>
      <c r="G2003" s="476"/>
      <c r="H2003" s="475"/>
      <c r="I2003" s="476"/>
    </row>
    <row r="2004" spans="2:9" x14ac:dyDescent="0.25">
      <c r="B2004" s="476"/>
      <c r="C2004" s="476"/>
      <c r="D2004" s="475"/>
      <c r="E2004" s="476"/>
      <c r="F2004" s="475"/>
      <c r="G2004" s="476"/>
      <c r="H2004" s="475"/>
      <c r="I2004" s="476"/>
    </row>
    <row r="2005" spans="2:9" x14ac:dyDescent="0.25">
      <c r="B2005" s="476"/>
      <c r="C2005" s="476"/>
      <c r="D2005" s="475"/>
      <c r="E2005" s="476"/>
      <c r="F2005" s="475"/>
      <c r="G2005" s="476"/>
      <c r="H2005" s="475"/>
      <c r="I2005" s="476"/>
    </row>
    <row r="2006" spans="2:9" x14ac:dyDescent="0.25">
      <c r="B2006" s="476"/>
      <c r="C2006" s="476"/>
      <c r="D2006" s="475"/>
      <c r="E2006" s="476"/>
      <c r="F2006" s="475"/>
      <c r="G2006" s="476"/>
      <c r="H2006" s="475"/>
      <c r="I2006" s="476"/>
    </row>
    <row r="2007" spans="2:9" x14ac:dyDescent="0.25">
      <c r="B2007" s="476"/>
      <c r="C2007" s="476"/>
      <c r="D2007" s="475"/>
      <c r="E2007" s="476"/>
      <c r="F2007" s="475"/>
      <c r="G2007" s="476"/>
      <c r="H2007" s="475"/>
      <c r="I2007" s="476"/>
    </row>
    <row r="2008" spans="2:9" x14ac:dyDescent="0.25">
      <c r="B2008" s="476"/>
      <c r="C2008" s="476"/>
      <c r="D2008" s="475"/>
      <c r="E2008" s="476"/>
      <c r="F2008" s="475"/>
      <c r="G2008" s="476"/>
      <c r="H2008" s="475"/>
      <c r="I2008" s="476"/>
    </row>
    <row r="2009" spans="2:9" x14ac:dyDescent="0.25">
      <c r="B2009" s="476"/>
      <c r="C2009" s="476"/>
      <c r="D2009" s="475"/>
      <c r="E2009" s="476"/>
      <c r="F2009" s="475"/>
      <c r="G2009" s="476"/>
      <c r="H2009" s="475"/>
      <c r="I2009" s="476"/>
    </row>
    <row r="2010" spans="2:9" x14ac:dyDescent="0.25">
      <c r="B2010" s="476"/>
      <c r="C2010" s="476"/>
      <c r="D2010" s="475"/>
      <c r="E2010" s="476"/>
      <c r="F2010" s="475"/>
      <c r="G2010" s="476"/>
      <c r="H2010" s="475"/>
      <c r="I2010" s="476"/>
    </row>
    <row r="2011" spans="2:9" x14ac:dyDescent="0.25">
      <c r="B2011" s="476"/>
      <c r="C2011" s="476"/>
      <c r="D2011" s="475"/>
      <c r="E2011" s="476"/>
      <c r="F2011" s="475"/>
      <c r="G2011" s="476"/>
      <c r="H2011" s="475"/>
      <c r="I2011" s="476"/>
    </row>
    <row r="2012" spans="2:9" x14ac:dyDescent="0.25">
      <c r="B2012" s="476"/>
      <c r="C2012" s="476"/>
      <c r="D2012" s="475"/>
      <c r="E2012" s="476"/>
      <c r="F2012" s="475"/>
      <c r="G2012" s="476"/>
      <c r="H2012" s="475"/>
      <c r="I2012" s="476"/>
    </row>
    <row r="2013" spans="2:9" x14ac:dyDescent="0.25">
      <c r="B2013" s="476"/>
      <c r="C2013" s="476"/>
      <c r="D2013" s="475"/>
      <c r="E2013" s="476"/>
      <c r="F2013" s="475"/>
      <c r="G2013" s="476"/>
      <c r="H2013" s="475"/>
      <c r="I2013" s="476"/>
    </row>
    <row r="2014" spans="2:9" x14ac:dyDescent="0.25">
      <c r="B2014" s="476"/>
      <c r="C2014" s="476"/>
      <c r="D2014" s="475"/>
      <c r="E2014" s="476"/>
      <c r="F2014" s="475"/>
      <c r="G2014" s="476"/>
      <c r="H2014" s="475"/>
      <c r="I2014" s="476"/>
    </row>
    <row r="2015" spans="2:9" x14ac:dyDescent="0.25">
      <c r="B2015" s="476"/>
      <c r="C2015" s="476"/>
      <c r="D2015" s="475"/>
      <c r="E2015" s="476"/>
      <c r="F2015" s="475"/>
      <c r="G2015" s="476"/>
      <c r="H2015" s="475"/>
      <c r="I2015" s="476"/>
    </row>
    <row r="2016" spans="2:9" x14ac:dyDescent="0.25">
      <c r="B2016" s="476"/>
      <c r="C2016" s="476"/>
      <c r="D2016" s="475"/>
      <c r="E2016" s="476"/>
      <c r="F2016" s="475"/>
      <c r="G2016" s="476"/>
      <c r="H2016" s="475"/>
      <c r="I2016" s="476"/>
    </row>
    <row r="2017" spans="2:9" x14ac:dyDescent="0.25">
      <c r="B2017" s="476"/>
      <c r="C2017" s="476"/>
      <c r="D2017" s="475"/>
      <c r="E2017" s="476"/>
      <c r="F2017" s="475"/>
      <c r="G2017" s="476"/>
      <c r="H2017" s="475"/>
      <c r="I2017" s="476"/>
    </row>
    <row r="2018" spans="2:9" x14ac:dyDescent="0.25">
      <c r="B2018" s="476"/>
      <c r="C2018" s="476"/>
      <c r="D2018" s="475"/>
      <c r="E2018" s="476"/>
      <c r="F2018" s="475"/>
      <c r="G2018" s="476"/>
      <c r="H2018" s="475"/>
      <c r="I2018" s="476"/>
    </row>
    <row r="2019" spans="2:9" x14ac:dyDescent="0.25">
      <c r="B2019" s="476"/>
      <c r="C2019" s="476"/>
      <c r="D2019" s="475"/>
      <c r="E2019" s="476"/>
      <c r="F2019" s="475"/>
      <c r="G2019" s="476"/>
      <c r="H2019" s="475"/>
      <c r="I2019" s="476"/>
    </row>
    <row r="2020" spans="2:9" x14ac:dyDescent="0.25">
      <c r="B2020" s="476"/>
      <c r="C2020" s="476"/>
      <c r="D2020" s="475"/>
      <c r="E2020" s="476"/>
      <c r="F2020" s="475"/>
      <c r="G2020" s="476"/>
      <c r="H2020" s="475"/>
      <c r="I2020" s="476"/>
    </row>
    <row r="2021" spans="2:9" x14ac:dyDescent="0.25">
      <c r="B2021" s="476"/>
      <c r="C2021" s="476"/>
      <c r="D2021" s="475"/>
      <c r="E2021" s="476"/>
      <c r="F2021" s="475"/>
      <c r="G2021" s="476"/>
      <c r="H2021" s="475"/>
      <c r="I2021" s="476"/>
    </row>
    <row r="2022" spans="2:9" x14ac:dyDescent="0.25">
      <c r="B2022" s="476"/>
      <c r="C2022" s="476"/>
      <c r="D2022" s="475"/>
      <c r="E2022" s="476"/>
      <c r="F2022" s="475"/>
      <c r="G2022" s="476"/>
      <c r="H2022" s="475"/>
      <c r="I2022" s="476"/>
    </row>
    <row r="2023" spans="2:9" x14ac:dyDescent="0.25">
      <c r="B2023" s="476"/>
      <c r="C2023" s="476"/>
      <c r="D2023" s="475"/>
      <c r="E2023" s="476"/>
      <c r="F2023" s="475"/>
      <c r="G2023" s="476"/>
      <c r="H2023" s="475"/>
      <c r="I2023" s="476"/>
    </row>
    <row r="2024" spans="2:9" x14ac:dyDescent="0.25">
      <c r="B2024" s="476"/>
      <c r="C2024" s="476"/>
      <c r="D2024" s="475"/>
      <c r="E2024" s="476"/>
      <c r="F2024" s="475"/>
      <c r="G2024" s="476"/>
      <c r="H2024" s="475"/>
      <c r="I2024" s="476"/>
    </row>
    <row r="2025" spans="2:9" x14ac:dyDescent="0.25">
      <c r="B2025" s="476"/>
      <c r="C2025" s="476"/>
      <c r="D2025" s="475"/>
      <c r="E2025" s="476"/>
      <c r="F2025" s="475"/>
      <c r="G2025" s="476"/>
      <c r="H2025" s="475"/>
      <c r="I2025" s="476"/>
    </row>
    <row r="2026" spans="2:9" x14ac:dyDescent="0.25">
      <c r="B2026" s="476"/>
      <c r="C2026" s="476"/>
      <c r="D2026" s="475"/>
      <c r="E2026" s="476"/>
      <c r="F2026" s="475"/>
      <c r="G2026" s="476"/>
      <c r="H2026" s="475"/>
      <c r="I2026" s="476"/>
    </row>
    <row r="2027" spans="2:9" x14ac:dyDescent="0.25">
      <c r="B2027" s="476"/>
      <c r="C2027" s="476"/>
      <c r="D2027" s="475"/>
      <c r="E2027" s="476"/>
      <c r="F2027" s="475"/>
      <c r="G2027" s="476"/>
      <c r="H2027" s="475"/>
      <c r="I2027" s="476"/>
    </row>
    <row r="2028" spans="2:9" x14ac:dyDescent="0.25">
      <c r="B2028" s="476"/>
      <c r="C2028" s="476"/>
      <c r="D2028" s="475"/>
      <c r="E2028" s="476"/>
      <c r="F2028" s="475"/>
      <c r="G2028" s="476"/>
      <c r="H2028" s="475"/>
      <c r="I2028" s="476"/>
    </row>
    <row r="2029" spans="2:9" x14ac:dyDescent="0.25">
      <c r="B2029" s="476"/>
      <c r="C2029" s="476"/>
      <c r="D2029" s="475"/>
      <c r="E2029" s="476"/>
      <c r="F2029" s="475"/>
      <c r="G2029" s="476"/>
      <c r="H2029" s="475"/>
      <c r="I2029" s="476"/>
    </row>
    <row r="2030" spans="2:9" x14ac:dyDescent="0.25">
      <c r="B2030" s="476"/>
      <c r="C2030" s="476"/>
      <c r="D2030" s="475"/>
      <c r="E2030" s="476"/>
      <c r="F2030" s="475"/>
      <c r="G2030" s="476"/>
      <c r="H2030" s="475"/>
      <c r="I2030" s="476"/>
    </row>
    <row r="2031" spans="2:9" x14ac:dyDescent="0.25">
      <c r="B2031" s="476"/>
      <c r="C2031" s="476"/>
      <c r="D2031" s="475"/>
      <c r="E2031" s="476"/>
      <c r="F2031" s="475"/>
      <c r="G2031" s="476"/>
      <c r="H2031" s="475"/>
      <c r="I2031" s="476"/>
    </row>
    <row r="2032" spans="2:9" x14ac:dyDescent="0.25">
      <c r="B2032" s="476"/>
      <c r="C2032" s="476"/>
      <c r="D2032" s="475"/>
      <c r="E2032" s="476"/>
      <c r="F2032" s="475"/>
      <c r="G2032" s="476"/>
      <c r="H2032" s="475"/>
      <c r="I2032" s="476"/>
    </row>
    <row r="2033" spans="2:9" x14ac:dyDescent="0.25">
      <c r="B2033" s="476"/>
      <c r="C2033" s="476"/>
      <c r="D2033" s="475"/>
      <c r="E2033" s="476"/>
      <c r="F2033" s="475"/>
      <c r="G2033" s="476"/>
      <c r="H2033" s="475"/>
      <c r="I2033" s="476"/>
    </row>
    <row r="2034" spans="2:9" x14ac:dyDescent="0.25">
      <c r="B2034" s="476"/>
      <c r="C2034" s="476"/>
      <c r="D2034" s="475"/>
      <c r="E2034" s="476"/>
      <c r="F2034" s="475"/>
      <c r="G2034" s="476"/>
      <c r="H2034" s="475"/>
      <c r="I2034" s="476"/>
    </row>
    <row r="2035" spans="2:9" x14ac:dyDescent="0.25">
      <c r="B2035" s="476"/>
      <c r="C2035" s="476"/>
      <c r="D2035" s="475"/>
      <c r="E2035" s="476"/>
      <c r="F2035" s="475"/>
      <c r="G2035" s="476"/>
      <c r="H2035" s="475"/>
      <c r="I2035" s="476"/>
    </row>
    <row r="2036" spans="2:9" x14ac:dyDescent="0.25">
      <c r="B2036" s="476"/>
      <c r="C2036" s="476"/>
      <c r="D2036" s="475"/>
      <c r="E2036" s="476"/>
      <c r="F2036" s="475"/>
      <c r="G2036" s="476"/>
      <c r="H2036" s="475"/>
      <c r="I2036" s="476"/>
    </row>
    <row r="2037" spans="2:9" x14ac:dyDescent="0.25">
      <c r="B2037" s="476"/>
      <c r="C2037" s="476"/>
      <c r="D2037" s="475"/>
      <c r="E2037" s="476"/>
      <c r="F2037" s="475"/>
      <c r="G2037" s="476"/>
      <c r="H2037" s="475"/>
      <c r="I2037" s="476"/>
    </row>
    <row r="2038" spans="2:9" x14ac:dyDescent="0.25">
      <c r="B2038" s="476"/>
      <c r="C2038" s="476"/>
      <c r="D2038" s="475"/>
      <c r="E2038" s="476"/>
      <c r="F2038" s="475"/>
      <c r="G2038" s="476"/>
      <c r="H2038" s="475"/>
      <c r="I2038" s="476"/>
    </row>
    <row r="2039" spans="2:9" x14ac:dyDescent="0.25">
      <c r="B2039" s="476"/>
      <c r="C2039" s="476"/>
      <c r="D2039" s="475"/>
      <c r="E2039" s="476"/>
      <c r="F2039" s="475"/>
      <c r="G2039" s="476"/>
      <c r="H2039" s="475"/>
      <c r="I2039" s="476"/>
    </row>
    <row r="2040" spans="2:9" x14ac:dyDescent="0.25">
      <c r="B2040" s="476"/>
      <c r="C2040" s="476"/>
      <c r="D2040" s="475"/>
      <c r="E2040" s="476"/>
      <c r="F2040" s="475"/>
      <c r="G2040" s="476"/>
      <c r="H2040" s="475"/>
      <c r="I2040" s="476"/>
    </row>
    <row r="2041" spans="2:9" x14ac:dyDescent="0.25">
      <c r="B2041" s="476"/>
      <c r="C2041" s="476"/>
      <c r="D2041" s="475"/>
      <c r="E2041" s="476"/>
      <c r="F2041" s="475"/>
      <c r="G2041" s="476"/>
      <c r="H2041" s="475"/>
      <c r="I2041" s="476"/>
    </row>
    <row r="2042" spans="2:9" x14ac:dyDescent="0.25">
      <c r="B2042" s="476"/>
      <c r="C2042" s="476"/>
      <c r="D2042" s="475"/>
      <c r="E2042" s="476"/>
      <c r="F2042" s="475"/>
      <c r="G2042" s="476"/>
      <c r="H2042" s="475"/>
      <c r="I2042" s="476"/>
    </row>
    <row r="2043" spans="2:9" x14ac:dyDescent="0.25">
      <c r="B2043" s="476"/>
      <c r="C2043" s="476"/>
      <c r="D2043" s="475"/>
      <c r="E2043" s="476"/>
      <c r="F2043" s="475"/>
      <c r="G2043" s="476"/>
      <c r="H2043" s="475"/>
      <c r="I2043" s="476"/>
    </row>
    <row r="2044" spans="2:9" x14ac:dyDescent="0.25">
      <c r="B2044" s="476"/>
      <c r="C2044" s="476"/>
      <c r="D2044" s="475"/>
      <c r="E2044" s="476"/>
      <c r="F2044" s="475"/>
      <c r="G2044" s="476"/>
      <c r="H2044" s="475"/>
      <c r="I2044" s="476"/>
    </row>
    <row r="2045" spans="2:9" x14ac:dyDescent="0.25">
      <c r="B2045" s="476"/>
      <c r="C2045" s="476"/>
      <c r="D2045" s="475"/>
      <c r="E2045" s="476"/>
      <c r="F2045" s="475"/>
      <c r="G2045" s="476"/>
      <c r="H2045" s="475"/>
      <c r="I2045" s="476"/>
    </row>
    <row r="2046" spans="2:9" x14ac:dyDescent="0.25">
      <c r="B2046" s="476"/>
      <c r="C2046" s="476"/>
      <c r="D2046" s="475"/>
      <c r="E2046" s="476"/>
      <c r="F2046" s="475"/>
      <c r="G2046" s="476"/>
      <c r="H2046" s="475"/>
      <c r="I2046" s="476"/>
    </row>
    <row r="2047" spans="2:9" x14ac:dyDescent="0.25">
      <c r="B2047" s="476"/>
      <c r="C2047" s="476"/>
      <c r="D2047" s="475"/>
      <c r="E2047" s="476"/>
      <c r="F2047" s="475"/>
      <c r="G2047" s="476"/>
      <c r="H2047" s="475"/>
      <c r="I2047" s="476"/>
    </row>
    <row r="2048" spans="2:9" x14ac:dyDescent="0.25">
      <c r="B2048" s="476"/>
      <c r="C2048" s="476"/>
      <c r="D2048" s="475"/>
      <c r="E2048" s="476"/>
      <c r="F2048" s="475"/>
      <c r="G2048" s="476"/>
      <c r="H2048" s="475"/>
      <c r="I2048" s="476"/>
    </row>
    <row r="2049" spans="2:9" x14ac:dyDescent="0.25">
      <c r="B2049" s="476"/>
      <c r="C2049" s="476"/>
      <c r="D2049" s="475"/>
      <c r="E2049" s="476"/>
      <c r="F2049" s="475"/>
      <c r="G2049" s="476"/>
      <c r="H2049" s="475"/>
      <c r="I2049" s="476"/>
    </row>
    <row r="2050" spans="2:9" x14ac:dyDescent="0.25">
      <c r="B2050" s="476"/>
      <c r="C2050" s="476"/>
      <c r="D2050" s="475"/>
      <c r="E2050" s="476"/>
      <c r="F2050" s="475"/>
      <c r="G2050" s="476"/>
      <c r="H2050" s="475"/>
      <c r="I2050" s="476"/>
    </row>
    <row r="2051" spans="2:9" x14ac:dyDescent="0.25">
      <c r="B2051" s="476"/>
      <c r="C2051" s="476"/>
      <c r="D2051" s="475"/>
      <c r="E2051" s="476"/>
      <c r="F2051" s="475"/>
      <c r="G2051" s="476"/>
      <c r="H2051" s="475"/>
      <c r="I2051" s="476"/>
    </row>
    <row r="2052" spans="2:9" x14ac:dyDescent="0.25">
      <c r="B2052" s="476"/>
      <c r="C2052" s="476"/>
      <c r="D2052" s="475"/>
      <c r="E2052" s="476"/>
      <c r="F2052" s="475"/>
      <c r="G2052" s="476"/>
      <c r="H2052" s="475"/>
      <c r="I2052" s="476"/>
    </row>
    <row r="2053" spans="2:9" x14ac:dyDescent="0.25">
      <c r="B2053" s="476"/>
      <c r="C2053" s="476"/>
      <c r="D2053" s="475"/>
      <c r="E2053" s="476"/>
      <c r="F2053" s="475"/>
      <c r="G2053" s="476"/>
      <c r="H2053" s="475"/>
      <c r="I2053" s="476"/>
    </row>
    <row r="2054" spans="2:9" x14ac:dyDescent="0.25">
      <c r="B2054" s="476"/>
      <c r="C2054" s="476"/>
      <c r="D2054" s="475"/>
      <c r="E2054" s="476"/>
      <c r="F2054" s="475"/>
      <c r="G2054" s="476"/>
      <c r="H2054" s="475"/>
      <c r="I2054" s="476"/>
    </row>
    <row r="2055" spans="2:9" x14ac:dyDescent="0.25">
      <c r="B2055" s="476"/>
      <c r="C2055" s="476"/>
      <c r="D2055" s="475"/>
      <c r="E2055" s="476"/>
      <c r="F2055" s="475"/>
      <c r="G2055" s="476"/>
      <c r="H2055" s="475"/>
      <c r="I2055" s="476"/>
    </row>
    <row r="2056" spans="2:9" x14ac:dyDescent="0.25">
      <c r="B2056" s="476"/>
      <c r="C2056" s="476"/>
      <c r="D2056" s="475"/>
      <c r="E2056" s="476"/>
      <c r="F2056" s="475"/>
      <c r="G2056" s="476"/>
      <c r="H2056" s="475"/>
      <c r="I2056" s="476"/>
    </row>
    <row r="2057" spans="2:9" x14ac:dyDescent="0.25">
      <c r="B2057" s="476"/>
      <c r="C2057" s="476"/>
      <c r="D2057" s="475"/>
      <c r="E2057" s="476"/>
      <c r="F2057" s="475"/>
      <c r="G2057" s="476"/>
      <c r="H2057" s="475"/>
      <c r="I2057" s="476"/>
    </row>
    <row r="2058" spans="2:9" x14ac:dyDescent="0.25">
      <c r="B2058" s="476"/>
      <c r="C2058" s="476"/>
      <c r="D2058" s="475"/>
      <c r="E2058" s="476"/>
      <c r="F2058" s="475"/>
      <c r="G2058" s="476"/>
      <c r="H2058" s="475"/>
      <c r="I2058" s="476"/>
    </row>
    <row r="2059" spans="2:9" x14ac:dyDescent="0.25">
      <c r="B2059" s="476"/>
      <c r="C2059" s="476"/>
      <c r="D2059" s="475"/>
      <c r="E2059" s="476"/>
      <c r="F2059" s="475"/>
      <c r="G2059" s="476"/>
      <c r="H2059" s="475"/>
      <c r="I2059" s="476"/>
    </row>
    <row r="2060" spans="2:9" x14ac:dyDescent="0.25">
      <c r="B2060" s="476"/>
      <c r="C2060" s="476"/>
      <c r="D2060" s="475"/>
      <c r="E2060" s="476"/>
      <c r="F2060" s="475"/>
      <c r="G2060" s="476"/>
      <c r="H2060" s="475"/>
      <c r="I2060" s="476"/>
    </row>
    <row r="2061" spans="2:9" x14ac:dyDescent="0.25">
      <c r="B2061" s="476"/>
      <c r="C2061" s="476"/>
      <c r="D2061" s="475"/>
      <c r="E2061" s="476"/>
      <c r="F2061" s="475"/>
      <c r="G2061" s="476"/>
      <c r="H2061" s="475"/>
      <c r="I2061" s="476"/>
    </row>
    <row r="2062" spans="2:9" x14ac:dyDescent="0.25">
      <c r="B2062" s="476"/>
      <c r="C2062" s="476"/>
      <c r="D2062" s="475"/>
      <c r="E2062" s="476"/>
      <c r="F2062" s="475"/>
      <c r="G2062" s="476"/>
      <c r="H2062" s="475"/>
      <c r="I2062" s="476"/>
    </row>
    <row r="2063" spans="2:9" x14ac:dyDescent="0.25">
      <c r="B2063" s="476"/>
      <c r="C2063" s="476"/>
      <c r="D2063" s="475"/>
      <c r="E2063" s="476"/>
      <c r="F2063" s="475"/>
      <c r="G2063" s="476"/>
      <c r="H2063" s="475"/>
      <c r="I2063" s="476"/>
    </row>
    <row r="2064" spans="2:9" x14ac:dyDescent="0.25">
      <c r="B2064" s="476"/>
      <c r="C2064" s="476"/>
      <c r="D2064" s="475"/>
      <c r="E2064" s="476"/>
      <c r="F2064" s="475"/>
      <c r="G2064" s="476"/>
      <c r="H2064" s="475"/>
      <c r="I2064" s="476"/>
    </row>
    <row r="2065" spans="2:9" x14ac:dyDescent="0.25">
      <c r="B2065" s="476"/>
      <c r="C2065" s="476"/>
      <c r="D2065" s="475"/>
      <c r="E2065" s="476"/>
      <c r="F2065" s="475"/>
      <c r="G2065" s="476"/>
      <c r="H2065" s="475"/>
      <c r="I2065" s="476"/>
    </row>
    <row r="2066" spans="2:9" x14ac:dyDescent="0.25">
      <c r="B2066" s="476"/>
      <c r="C2066" s="476"/>
      <c r="D2066" s="475"/>
      <c r="E2066" s="476"/>
      <c r="F2066" s="475"/>
      <c r="G2066" s="476"/>
      <c r="H2066" s="475"/>
      <c r="I2066" s="476"/>
    </row>
    <row r="2067" spans="2:9" x14ac:dyDescent="0.25">
      <c r="B2067" s="476"/>
      <c r="C2067" s="476"/>
      <c r="D2067" s="475"/>
      <c r="E2067" s="476"/>
      <c r="F2067" s="475"/>
      <c r="G2067" s="476"/>
      <c r="H2067" s="475"/>
      <c r="I2067" s="476"/>
    </row>
    <row r="2068" spans="2:9" x14ac:dyDescent="0.25">
      <c r="B2068" s="476"/>
      <c r="C2068" s="476"/>
      <c r="D2068" s="475"/>
      <c r="E2068" s="476"/>
      <c r="F2068" s="475"/>
      <c r="G2068" s="476"/>
      <c r="H2068" s="475"/>
      <c r="I2068" s="476"/>
    </row>
    <row r="2069" spans="2:9" x14ac:dyDescent="0.25">
      <c r="B2069" s="476"/>
      <c r="C2069" s="476"/>
      <c r="D2069" s="475"/>
      <c r="E2069" s="476"/>
      <c r="F2069" s="475"/>
      <c r="G2069" s="476"/>
      <c r="H2069" s="475"/>
      <c r="I2069" s="476"/>
    </row>
    <row r="2070" spans="2:9" x14ac:dyDescent="0.25">
      <c r="B2070" s="476"/>
      <c r="C2070" s="476"/>
      <c r="D2070" s="475"/>
      <c r="E2070" s="476"/>
      <c r="F2070" s="475"/>
      <c r="G2070" s="476"/>
      <c r="H2070" s="475"/>
      <c r="I2070" s="476"/>
    </row>
    <row r="2071" spans="2:9" x14ac:dyDescent="0.25">
      <c r="B2071" s="476"/>
      <c r="C2071" s="476"/>
      <c r="D2071" s="475"/>
      <c r="E2071" s="476"/>
      <c r="F2071" s="475"/>
      <c r="G2071" s="476"/>
      <c r="H2071" s="475"/>
      <c r="I2071" s="476"/>
    </row>
    <row r="2072" spans="2:9" x14ac:dyDescent="0.25">
      <c r="B2072" s="476"/>
      <c r="C2072" s="476"/>
      <c r="D2072" s="475"/>
      <c r="E2072" s="476"/>
      <c r="F2072" s="475"/>
      <c r="G2072" s="476"/>
      <c r="H2072" s="475"/>
      <c r="I2072" s="476"/>
    </row>
    <row r="2073" spans="2:9" x14ac:dyDescent="0.25">
      <c r="B2073" s="476"/>
      <c r="C2073" s="476"/>
      <c r="D2073" s="475"/>
      <c r="E2073" s="476"/>
      <c r="F2073" s="475"/>
      <c r="G2073" s="476"/>
      <c r="H2073" s="475"/>
      <c r="I2073" s="476"/>
    </row>
    <row r="2074" spans="2:9" x14ac:dyDescent="0.25">
      <c r="B2074" s="476"/>
      <c r="C2074" s="476"/>
      <c r="D2074" s="475"/>
      <c r="E2074" s="476"/>
      <c r="F2074" s="475"/>
      <c r="G2074" s="476"/>
      <c r="H2074" s="475"/>
      <c r="I2074" s="476"/>
    </row>
    <row r="2075" spans="2:9" x14ac:dyDescent="0.25">
      <c r="B2075" s="476"/>
      <c r="C2075" s="476"/>
      <c r="D2075" s="475"/>
      <c r="E2075" s="476"/>
      <c r="F2075" s="475"/>
      <c r="G2075" s="476"/>
      <c r="H2075" s="475"/>
      <c r="I2075" s="476"/>
    </row>
    <row r="2076" spans="2:9" x14ac:dyDescent="0.25">
      <c r="B2076" s="476"/>
      <c r="C2076" s="476"/>
      <c r="D2076" s="475"/>
      <c r="E2076" s="476"/>
      <c r="F2076" s="475"/>
      <c r="G2076" s="476"/>
      <c r="H2076" s="475"/>
      <c r="I2076" s="476"/>
    </row>
    <row r="2077" spans="2:9" x14ac:dyDescent="0.25">
      <c r="B2077" s="476"/>
      <c r="C2077" s="476"/>
      <c r="D2077" s="475"/>
      <c r="E2077" s="476"/>
      <c r="F2077" s="475"/>
      <c r="G2077" s="476"/>
      <c r="H2077" s="475"/>
      <c r="I2077" s="476"/>
    </row>
    <row r="2078" spans="2:9" x14ac:dyDescent="0.25">
      <c r="B2078" s="476"/>
      <c r="C2078" s="476"/>
      <c r="D2078" s="475"/>
      <c r="E2078" s="476"/>
      <c r="F2078" s="475"/>
      <c r="G2078" s="476"/>
      <c r="H2078" s="475"/>
      <c r="I2078" s="476"/>
    </row>
    <row r="2079" spans="2:9" x14ac:dyDescent="0.25">
      <c r="B2079" s="476"/>
      <c r="C2079" s="476"/>
      <c r="D2079" s="475"/>
      <c r="E2079" s="476"/>
      <c r="F2079" s="475"/>
      <c r="G2079" s="476"/>
      <c r="H2079" s="475"/>
      <c r="I2079" s="476"/>
    </row>
    <row r="2080" spans="2:9" x14ac:dyDescent="0.25">
      <c r="B2080" s="476"/>
      <c r="C2080" s="476"/>
      <c r="D2080" s="475"/>
      <c r="E2080" s="476"/>
      <c r="F2080" s="475"/>
      <c r="G2080" s="476"/>
      <c r="H2080" s="475"/>
      <c r="I2080" s="476"/>
    </row>
    <row r="2081" spans="2:9" x14ac:dyDescent="0.25">
      <c r="B2081" s="476"/>
      <c r="C2081" s="476"/>
      <c r="D2081" s="475"/>
      <c r="E2081" s="476"/>
      <c r="F2081" s="475"/>
      <c r="G2081" s="476"/>
      <c r="H2081" s="475"/>
      <c r="I2081" s="476"/>
    </row>
    <row r="2082" spans="2:9" x14ac:dyDescent="0.25">
      <c r="B2082" s="476"/>
      <c r="C2082" s="476"/>
      <c r="D2082" s="475"/>
      <c r="E2082" s="476"/>
      <c r="F2082" s="475"/>
      <c r="G2082" s="476"/>
      <c r="H2082" s="475"/>
      <c r="I2082" s="476"/>
    </row>
    <row r="2083" spans="2:9" x14ac:dyDescent="0.25">
      <c r="B2083" s="476"/>
      <c r="C2083" s="476"/>
      <c r="D2083" s="475"/>
      <c r="E2083" s="476"/>
      <c r="F2083" s="475"/>
      <c r="G2083" s="476"/>
      <c r="H2083" s="475"/>
      <c r="I2083" s="476"/>
    </row>
    <row r="2084" spans="2:9" x14ac:dyDescent="0.25">
      <c r="B2084" s="476"/>
      <c r="C2084" s="476"/>
      <c r="D2084" s="475"/>
      <c r="E2084" s="476"/>
      <c r="F2084" s="475"/>
      <c r="G2084" s="476"/>
      <c r="H2084" s="475"/>
      <c r="I2084" s="476"/>
    </row>
    <row r="2085" spans="2:9" x14ac:dyDescent="0.25">
      <c r="B2085" s="476"/>
      <c r="C2085" s="476"/>
      <c r="D2085" s="475"/>
      <c r="E2085" s="476"/>
      <c r="F2085" s="475"/>
      <c r="G2085" s="476"/>
      <c r="H2085" s="475"/>
      <c r="I2085" s="476"/>
    </row>
    <row r="2086" spans="2:9" x14ac:dyDescent="0.25">
      <c r="B2086" s="476"/>
      <c r="C2086" s="476"/>
      <c r="D2086" s="475"/>
      <c r="E2086" s="476"/>
      <c r="F2086" s="475"/>
      <c r="G2086" s="476"/>
      <c r="H2086" s="475"/>
      <c r="I2086" s="476"/>
    </row>
    <row r="2087" spans="2:9" x14ac:dyDescent="0.25">
      <c r="B2087" s="476"/>
      <c r="C2087" s="476"/>
      <c r="D2087" s="475"/>
      <c r="E2087" s="476"/>
      <c r="F2087" s="475"/>
      <c r="G2087" s="476"/>
      <c r="H2087" s="475"/>
      <c r="I2087" s="476"/>
    </row>
    <row r="2088" spans="2:9" x14ac:dyDescent="0.25">
      <c r="B2088" s="476"/>
      <c r="C2088" s="476"/>
      <c r="D2088" s="475"/>
      <c r="E2088" s="476"/>
      <c r="F2088" s="475"/>
      <c r="G2088" s="476"/>
      <c r="H2088" s="475"/>
      <c r="I2088" s="476"/>
    </row>
    <row r="2089" spans="2:9" x14ac:dyDescent="0.25">
      <c r="B2089" s="476"/>
      <c r="C2089" s="476"/>
      <c r="D2089" s="475"/>
      <c r="E2089" s="476"/>
      <c r="F2089" s="475"/>
      <c r="G2089" s="476"/>
      <c r="H2089" s="475"/>
      <c r="I2089" s="476"/>
    </row>
    <row r="2090" spans="2:9" x14ac:dyDescent="0.25">
      <c r="B2090" s="476"/>
      <c r="C2090" s="476"/>
      <c r="D2090" s="475"/>
      <c r="E2090" s="476"/>
      <c r="F2090" s="475"/>
      <c r="G2090" s="476"/>
      <c r="H2090" s="475"/>
      <c r="I2090" s="476"/>
    </row>
    <row r="2091" spans="2:9" x14ac:dyDescent="0.25">
      <c r="B2091" s="476"/>
      <c r="C2091" s="476"/>
      <c r="D2091" s="475"/>
      <c r="E2091" s="476"/>
      <c r="F2091" s="475"/>
      <c r="G2091" s="476"/>
      <c r="H2091" s="475"/>
      <c r="I2091" s="476"/>
    </row>
    <row r="2092" spans="2:9" x14ac:dyDescent="0.25">
      <c r="B2092" s="476"/>
      <c r="C2092" s="476"/>
      <c r="D2092" s="475"/>
      <c r="E2092" s="476"/>
      <c r="F2092" s="475"/>
      <c r="G2092" s="476"/>
      <c r="H2092" s="475"/>
      <c r="I2092" s="476"/>
    </row>
    <row r="2093" spans="2:9" x14ac:dyDescent="0.25">
      <c r="B2093" s="476"/>
      <c r="C2093" s="476"/>
      <c r="D2093" s="475"/>
      <c r="E2093" s="476"/>
      <c r="F2093" s="475"/>
      <c r="G2093" s="476"/>
      <c r="H2093" s="475"/>
      <c r="I2093" s="476"/>
    </row>
    <row r="2094" spans="2:9" x14ac:dyDescent="0.25">
      <c r="B2094" s="476"/>
      <c r="C2094" s="476"/>
      <c r="D2094" s="475"/>
      <c r="E2094" s="476"/>
      <c r="F2094" s="475"/>
      <c r="G2094" s="476"/>
      <c r="H2094" s="475"/>
      <c r="I2094" s="476"/>
    </row>
    <row r="2095" spans="2:9" x14ac:dyDescent="0.25">
      <c r="B2095" s="476"/>
      <c r="C2095" s="476"/>
      <c r="D2095" s="475"/>
      <c r="E2095" s="476"/>
      <c r="F2095" s="475"/>
      <c r="G2095" s="476"/>
      <c r="H2095" s="475"/>
      <c r="I2095" s="476"/>
    </row>
    <row r="2096" spans="2:9" x14ac:dyDescent="0.25">
      <c r="B2096" s="476"/>
      <c r="C2096" s="476"/>
      <c r="D2096" s="475"/>
      <c r="E2096" s="476"/>
      <c r="F2096" s="475"/>
      <c r="G2096" s="476"/>
      <c r="H2096" s="475"/>
      <c r="I2096" s="476"/>
    </row>
    <row r="2097" spans="2:9" x14ac:dyDescent="0.25">
      <c r="B2097" s="476"/>
      <c r="C2097" s="476"/>
      <c r="D2097" s="475"/>
      <c r="E2097" s="476"/>
      <c r="F2097" s="475"/>
      <c r="G2097" s="476"/>
      <c r="H2097" s="475"/>
      <c r="I2097" s="476"/>
    </row>
    <row r="2098" spans="2:9" x14ac:dyDescent="0.25">
      <c r="B2098" s="476"/>
      <c r="C2098" s="476"/>
      <c r="D2098" s="475"/>
      <c r="E2098" s="476"/>
      <c r="F2098" s="475"/>
      <c r="G2098" s="476"/>
      <c r="H2098" s="475"/>
      <c r="I2098" s="476"/>
    </row>
    <row r="2099" spans="2:9" x14ac:dyDescent="0.25">
      <c r="B2099" s="476"/>
      <c r="C2099" s="476"/>
      <c r="D2099" s="475"/>
      <c r="E2099" s="476"/>
      <c r="F2099" s="475"/>
      <c r="G2099" s="476"/>
      <c r="H2099" s="475"/>
      <c r="I2099" s="476"/>
    </row>
    <row r="2100" spans="2:9" x14ac:dyDescent="0.25">
      <c r="B2100" s="476"/>
      <c r="C2100" s="476"/>
      <c r="D2100" s="475"/>
      <c r="E2100" s="476"/>
      <c r="F2100" s="475"/>
      <c r="G2100" s="476"/>
      <c r="H2100" s="475"/>
      <c r="I2100" s="476"/>
    </row>
    <row r="2101" spans="2:9" x14ac:dyDescent="0.25">
      <c r="B2101" s="476"/>
      <c r="C2101" s="476"/>
      <c r="D2101" s="475"/>
      <c r="E2101" s="476"/>
      <c r="F2101" s="475"/>
      <c r="G2101" s="476"/>
      <c r="H2101" s="475"/>
      <c r="I2101" s="476"/>
    </row>
    <row r="2102" spans="2:9" x14ac:dyDescent="0.25">
      <c r="B2102" s="476"/>
      <c r="C2102" s="476"/>
      <c r="D2102" s="475"/>
      <c r="E2102" s="476"/>
      <c r="F2102" s="475"/>
      <c r="G2102" s="476"/>
      <c r="H2102" s="475"/>
      <c r="I2102" s="476"/>
    </row>
    <row r="2103" spans="2:9" x14ac:dyDescent="0.25">
      <c r="B2103" s="476"/>
      <c r="C2103" s="476"/>
      <c r="D2103" s="475"/>
      <c r="E2103" s="476"/>
      <c r="F2103" s="475"/>
      <c r="G2103" s="476"/>
      <c r="H2103" s="475"/>
      <c r="I2103" s="476"/>
    </row>
    <row r="2104" spans="2:9" x14ac:dyDescent="0.25">
      <c r="B2104" s="476"/>
      <c r="C2104" s="476"/>
      <c r="D2104" s="475"/>
      <c r="E2104" s="476"/>
      <c r="F2104" s="475"/>
      <c r="G2104" s="476"/>
      <c r="H2104" s="475"/>
      <c r="I2104" s="476"/>
    </row>
    <row r="2105" spans="2:9" x14ac:dyDescent="0.25">
      <c r="B2105" s="476"/>
      <c r="C2105" s="476"/>
      <c r="D2105" s="475"/>
      <c r="E2105" s="476"/>
      <c r="F2105" s="475"/>
      <c r="G2105" s="476"/>
      <c r="H2105" s="475"/>
      <c r="I2105" s="476"/>
    </row>
    <row r="2106" spans="2:9" x14ac:dyDescent="0.25">
      <c r="B2106" s="476"/>
      <c r="C2106" s="476"/>
      <c r="D2106" s="475"/>
      <c r="E2106" s="476"/>
      <c r="F2106" s="475"/>
      <c r="G2106" s="476"/>
      <c r="H2106" s="475"/>
      <c r="I2106" s="476"/>
    </row>
    <row r="2107" spans="2:9" x14ac:dyDescent="0.25">
      <c r="B2107" s="476"/>
      <c r="C2107" s="476"/>
      <c r="D2107" s="475"/>
      <c r="E2107" s="476"/>
      <c r="F2107" s="475"/>
      <c r="G2107" s="476"/>
      <c r="H2107" s="475"/>
      <c r="I2107" s="476"/>
    </row>
    <row r="2108" spans="2:9" x14ac:dyDescent="0.25">
      <c r="B2108" s="476"/>
      <c r="C2108" s="476"/>
      <c r="D2108" s="475"/>
      <c r="E2108" s="476"/>
      <c r="F2108" s="475"/>
      <c r="G2108" s="476"/>
      <c r="H2108" s="475"/>
      <c r="I2108" s="476"/>
    </row>
    <row r="2109" spans="2:9" x14ac:dyDescent="0.25">
      <c r="B2109" s="476"/>
      <c r="C2109" s="476"/>
      <c r="D2109" s="475"/>
      <c r="E2109" s="476"/>
      <c r="F2109" s="475"/>
      <c r="G2109" s="476"/>
      <c r="H2109" s="475"/>
      <c r="I2109" s="476"/>
    </row>
    <row r="2110" spans="2:9" x14ac:dyDescent="0.25">
      <c r="B2110" s="476"/>
      <c r="C2110" s="476"/>
      <c r="D2110" s="475"/>
      <c r="E2110" s="476"/>
      <c r="F2110" s="475"/>
      <c r="G2110" s="476"/>
      <c r="H2110" s="475"/>
      <c r="I2110" s="476"/>
    </row>
    <row r="2111" spans="2:9" x14ac:dyDescent="0.25">
      <c r="B2111" s="476"/>
      <c r="C2111" s="476"/>
      <c r="D2111" s="475"/>
      <c r="E2111" s="476"/>
      <c r="F2111" s="475"/>
      <c r="G2111" s="476"/>
      <c r="H2111" s="475"/>
      <c r="I2111" s="476"/>
    </row>
    <row r="2112" spans="2:9" x14ac:dyDescent="0.25">
      <c r="B2112" s="476"/>
      <c r="C2112" s="476"/>
      <c r="D2112" s="475"/>
      <c r="E2112" s="476"/>
      <c r="F2112" s="475"/>
      <c r="G2112" s="476"/>
      <c r="H2112" s="475"/>
      <c r="I2112" s="476"/>
    </row>
    <row r="2113" spans="2:9" x14ac:dyDescent="0.25">
      <c r="B2113" s="476"/>
      <c r="C2113" s="476"/>
      <c r="D2113" s="475"/>
      <c r="E2113" s="476"/>
      <c r="F2113" s="475"/>
      <c r="G2113" s="476"/>
      <c r="H2113" s="475"/>
      <c r="I2113" s="476"/>
    </row>
    <row r="2114" spans="2:9" x14ac:dyDescent="0.25">
      <c r="B2114" s="476"/>
      <c r="C2114" s="476"/>
      <c r="D2114" s="475"/>
      <c r="E2114" s="476"/>
      <c r="F2114" s="475"/>
      <c r="G2114" s="476"/>
      <c r="H2114" s="475"/>
      <c r="I2114" s="476"/>
    </row>
    <row r="2115" spans="2:9" x14ac:dyDescent="0.25">
      <c r="B2115" s="476"/>
      <c r="C2115" s="476"/>
      <c r="D2115" s="475"/>
      <c r="E2115" s="476"/>
      <c r="F2115" s="475"/>
      <c r="G2115" s="476"/>
      <c r="H2115" s="475"/>
      <c r="I2115" s="476"/>
    </row>
    <row r="2116" spans="2:9" x14ac:dyDescent="0.25">
      <c r="B2116" s="476"/>
      <c r="C2116" s="476"/>
      <c r="D2116" s="475"/>
      <c r="E2116" s="476"/>
      <c r="F2116" s="475"/>
      <c r="G2116" s="476"/>
      <c r="H2116" s="475"/>
      <c r="I2116" s="476"/>
    </row>
    <row r="2117" spans="2:9" x14ac:dyDescent="0.25">
      <c r="B2117" s="476"/>
      <c r="C2117" s="476"/>
      <c r="D2117" s="475"/>
      <c r="E2117" s="476"/>
      <c r="F2117" s="475"/>
      <c r="G2117" s="476"/>
      <c r="H2117" s="475"/>
      <c r="I2117" s="476"/>
    </row>
    <row r="2118" spans="2:9" x14ac:dyDescent="0.25">
      <c r="B2118" s="476"/>
      <c r="C2118" s="476"/>
      <c r="D2118" s="475"/>
      <c r="E2118" s="476"/>
      <c r="F2118" s="475"/>
      <c r="G2118" s="476"/>
      <c r="H2118" s="475"/>
      <c r="I2118" s="476"/>
    </row>
    <row r="2119" spans="2:9" x14ac:dyDescent="0.25">
      <c r="B2119" s="476"/>
      <c r="C2119" s="476"/>
      <c r="D2119" s="475"/>
      <c r="E2119" s="476"/>
      <c r="F2119" s="475"/>
      <c r="G2119" s="476"/>
      <c r="H2119" s="475"/>
      <c r="I2119" s="476"/>
    </row>
    <row r="2120" spans="2:9" x14ac:dyDescent="0.25">
      <c r="B2120" s="476"/>
      <c r="C2120" s="476"/>
      <c r="D2120" s="475"/>
      <c r="E2120" s="476"/>
      <c r="F2120" s="475"/>
      <c r="G2120" s="476"/>
      <c r="H2120" s="475"/>
      <c r="I2120" s="476"/>
    </row>
    <row r="2121" spans="2:9" x14ac:dyDescent="0.25">
      <c r="B2121" s="476"/>
      <c r="C2121" s="476"/>
      <c r="D2121" s="475"/>
      <c r="E2121" s="476"/>
      <c r="F2121" s="475"/>
      <c r="G2121" s="476"/>
      <c r="H2121" s="475"/>
      <c r="I2121" s="476"/>
    </row>
    <row r="2122" spans="2:9" x14ac:dyDescent="0.25">
      <c r="B2122" s="476"/>
      <c r="C2122" s="476"/>
      <c r="D2122" s="475"/>
      <c r="E2122" s="476"/>
      <c r="F2122" s="475"/>
      <c r="G2122" s="476"/>
      <c r="H2122" s="475"/>
      <c r="I2122" s="476"/>
    </row>
    <row r="2123" spans="2:9" x14ac:dyDescent="0.25">
      <c r="B2123" s="476"/>
      <c r="C2123" s="476"/>
      <c r="D2123" s="475"/>
      <c r="E2123" s="476"/>
      <c r="F2123" s="475"/>
      <c r="G2123" s="476"/>
      <c r="H2123" s="475"/>
      <c r="I2123" s="476"/>
    </row>
    <row r="2124" spans="2:9" x14ac:dyDescent="0.25">
      <c r="B2124" s="476"/>
      <c r="C2124" s="476"/>
      <c r="D2124" s="475"/>
      <c r="E2124" s="476"/>
      <c r="F2124" s="475"/>
      <c r="G2124" s="476"/>
      <c r="H2124" s="475"/>
      <c r="I2124" s="476"/>
    </row>
    <row r="2125" spans="2:9" x14ac:dyDescent="0.25">
      <c r="B2125" s="476"/>
      <c r="C2125" s="476"/>
      <c r="D2125" s="475"/>
      <c r="E2125" s="476"/>
      <c r="F2125" s="475"/>
      <c r="G2125" s="476"/>
      <c r="H2125" s="475"/>
      <c r="I2125" s="476"/>
    </row>
    <row r="2126" spans="2:9" x14ac:dyDescent="0.25">
      <c r="B2126" s="476"/>
      <c r="C2126" s="476"/>
      <c r="D2126" s="475"/>
      <c r="E2126" s="476"/>
      <c r="F2126" s="475"/>
      <c r="G2126" s="476"/>
      <c r="H2126" s="475"/>
      <c r="I2126" s="476"/>
    </row>
    <row r="2127" spans="2:9" x14ac:dyDescent="0.25">
      <c r="B2127" s="476"/>
      <c r="C2127" s="476"/>
      <c r="D2127" s="475"/>
      <c r="E2127" s="476"/>
      <c r="F2127" s="475"/>
      <c r="G2127" s="476"/>
      <c r="H2127" s="475"/>
      <c r="I2127" s="476"/>
    </row>
    <row r="2128" spans="2:9" x14ac:dyDescent="0.25">
      <c r="B2128" s="476"/>
      <c r="C2128" s="476"/>
      <c r="D2128" s="475"/>
      <c r="E2128" s="476"/>
      <c r="F2128" s="475"/>
      <c r="G2128" s="476"/>
      <c r="H2128" s="475"/>
      <c r="I2128" s="476"/>
    </row>
    <row r="2129" spans="2:9" x14ac:dyDescent="0.25">
      <c r="B2129" s="476"/>
      <c r="C2129" s="476"/>
      <c r="D2129" s="475"/>
      <c r="E2129" s="476"/>
      <c r="F2129" s="475"/>
      <c r="G2129" s="476"/>
      <c r="H2129" s="475"/>
      <c r="I2129" s="476"/>
    </row>
    <row r="2130" spans="2:9" x14ac:dyDescent="0.25">
      <c r="B2130" s="476"/>
      <c r="C2130" s="476"/>
      <c r="D2130" s="475"/>
      <c r="E2130" s="476"/>
      <c r="F2130" s="475"/>
      <c r="G2130" s="476"/>
      <c r="H2130" s="475"/>
      <c r="I2130" s="476"/>
    </row>
    <row r="2131" spans="2:9" x14ac:dyDescent="0.25">
      <c r="B2131" s="476"/>
      <c r="C2131" s="476"/>
      <c r="D2131" s="475"/>
      <c r="E2131" s="476"/>
      <c r="F2131" s="475"/>
      <c r="G2131" s="476"/>
      <c r="H2131" s="475"/>
      <c r="I2131" s="476"/>
    </row>
    <row r="2132" spans="2:9" x14ac:dyDescent="0.25">
      <c r="B2132" s="476"/>
      <c r="C2132" s="476"/>
      <c r="D2132" s="475"/>
      <c r="E2132" s="476"/>
      <c r="F2132" s="475"/>
      <c r="G2132" s="476"/>
      <c r="H2132" s="475"/>
      <c r="I2132" s="476"/>
    </row>
    <row r="2133" spans="2:9" x14ac:dyDescent="0.25">
      <c r="B2133" s="476"/>
      <c r="C2133" s="476"/>
      <c r="D2133" s="475"/>
      <c r="E2133" s="476"/>
      <c r="F2133" s="475"/>
      <c r="G2133" s="476"/>
      <c r="H2133" s="475"/>
      <c r="I2133" s="476"/>
    </row>
    <row r="2134" spans="2:9" x14ac:dyDescent="0.25">
      <c r="B2134" s="476"/>
      <c r="C2134" s="476"/>
      <c r="D2134" s="475"/>
      <c r="E2134" s="476"/>
      <c r="F2134" s="475"/>
      <c r="G2134" s="476"/>
      <c r="H2134" s="475"/>
      <c r="I2134" s="476"/>
    </row>
    <row r="2135" spans="2:9" x14ac:dyDescent="0.25">
      <c r="B2135" s="476"/>
      <c r="C2135" s="476"/>
      <c r="D2135" s="475"/>
      <c r="E2135" s="476"/>
      <c r="F2135" s="475"/>
      <c r="G2135" s="476"/>
      <c r="H2135" s="475"/>
      <c r="I2135" s="476"/>
    </row>
    <row r="2136" spans="2:9" x14ac:dyDescent="0.25">
      <c r="B2136" s="476"/>
      <c r="C2136" s="476"/>
      <c r="D2136" s="475"/>
      <c r="E2136" s="476"/>
      <c r="F2136" s="475"/>
      <c r="G2136" s="476"/>
      <c r="H2136" s="475"/>
      <c r="I2136" s="476"/>
    </row>
    <row r="2137" spans="2:9" x14ac:dyDescent="0.25">
      <c r="B2137" s="476"/>
      <c r="C2137" s="476"/>
      <c r="D2137" s="475"/>
      <c r="E2137" s="476"/>
      <c r="F2137" s="475"/>
      <c r="G2137" s="476"/>
      <c r="H2137" s="475"/>
      <c r="I2137" s="476"/>
    </row>
    <row r="2138" spans="2:9" x14ac:dyDescent="0.25">
      <c r="B2138" s="476"/>
      <c r="C2138" s="476"/>
      <c r="D2138" s="475"/>
      <c r="E2138" s="476"/>
      <c r="F2138" s="475"/>
      <c r="G2138" s="476"/>
      <c r="H2138" s="475"/>
      <c r="I2138" s="476"/>
    </row>
    <row r="2139" spans="2:9" x14ac:dyDescent="0.25">
      <c r="B2139" s="476"/>
      <c r="C2139" s="476"/>
      <c r="D2139" s="475"/>
      <c r="E2139" s="476"/>
      <c r="F2139" s="475"/>
      <c r="G2139" s="476"/>
      <c r="H2139" s="475"/>
      <c r="I2139" s="476"/>
    </row>
    <row r="2140" spans="2:9" x14ac:dyDescent="0.25">
      <c r="B2140" s="476"/>
      <c r="C2140" s="476"/>
      <c r="D2140" s="475"/>
      <c r="E2140" s="476"/>
      <c r="F2140" s="475"/>
      <c r="G2140" s="476"/>
      <c r="H2140" s="475"/>
      <c r="I2140" s="476"/>
    </row>
    <row r="2141" spans="2:9" x14ac:dyDescent="0.25">
      <c r="B2141" s="476"/>
      <c r="C2141" s="476"/>
      <c r="D2141" s="475"/>
      <c r="E2141" s="476"/>
      <c r="F2141" s="475"/>
      <c r="G2141" s="476"/>
      <c r="H2141" s="475"/>
      <c r="I2141" s="476"/>
    </row>
    <row r="2142" spans="2:9" x14ac:dyDescent="0.25">
      <c r="B2142" s="476"/>
      <c r="C2142" s="476"/>
      <c r="D2142" s="475"/>
      <c r="E2142" s="476"/>
      <c r="F2142" s="475"/>
      <c r="G2142" s="476"/>
      <c r="H2142" s="475"/>
      <c r="I2142" s="476"/>
    </row>
    <row r="2143" spans="2:9" x14ac:dyDescent="0.25">
      <c r="B2143" s="476"/>
      <c r="C2143" s="476"/>
      <c r="D2143" s="475"/>
      <c r="E2143" s="476"/>
      <c r="F2143" s="475"/>
      <c r="G2143" s="476"/>
      <c r="H2143" s="475"/>
      <c r="I2143" s="476"/>
    </row>
    <row r="2144" spans="2:9" x14ac:dyDescent="0.25">
      <c r="B2144" s="476"/>
      <c r="C2144" s="476"/>
      <c r="D2144" s="475"/>
      <c r="E2144" s="476"/>
      <c r="F2144" s="475"/>
      <c r="G2144" s="476"/>
      <c r="H2144" s="475"/>
      <c r="I2144" s="476"/>
    </row>
    <row r="2145" spans="2:9" x14ac:dyDescent="0.25">
      <c r="B2145" s="476"/>
      <c r="C2145" s="476"/>
      <c r="D2145" s="475"/>
      <c r="E2145" s="476"/>
      <c r="F2145" s="475"/>
      <c r="G2145" s="476"/>
      <c r="H2145" s="475"/>
      <c r="I2145" s="476"/>
    </row>
    <row r="2146" spans="2:9" x14ac:dyDescent="0.25">
      <c r="B2146" s="476"/>
      <c r="C2146" s="476"/>
      <c r="D2146" s="475"/>
      <c r="E2146" s="476"/>
      <c r="F2146" s="475"/>
      <c r="G2146" s="476"/>
      <c r="H2146" s="475"/>
      <c r="I2146" s="476"/>
    </row>
    <row r="2147" spans="2:9" x14ac:dyDescent="0.25">
      <c r="B2147" s="476"/>
      <c r="C2147" s="476"/>
      <c r="D2147" s="475"/>
      <c r="E2147" s="476"/>
      <c r="F2147" s="475"/>
      <c r="G2147" s="476"/>
      <c r="H2147" s="475"/>
      <c r="I2147" s="476"/>
    </row>
    <row r="2148" spans="2:9" x14ac:dyDescent="0.25">
      <c r="B2148" s="476"/>
      <c r="C2148" s="476"/>
      <c r="D2148" s="475"/>
      <c r="E2148" s="476"/>
      <c r="F2148" s="475"/>
      <c r="G2148" s="476"/>
      <c r="H2148" s="475"/>
      <c r="I2148" s="476"/>
    </row>
    <row r="2149" spans="2:9" x14ac:dyDescent="0.25">
      <c r="B2149" s="476"/>
      <c r="C2149" s="476"/>
      <c r="D2149" s="475"/>
      <c r="E2149" s="476"/>
      <c r="F2149" s="475"/>
      <c r="G2149" s="476"/>
      <c r="H2149" s="475"/>
      <c r="I2149" s="476"/>
    </row>
    <row r="2150" spans="2:9" x14ac:dyDescent="0.25">
      <c r="B2150" s="476"/>
      <c r="C2150" s="476"/>
      <c r="D2150" s="475"/>
      <c r="E2150" s="476"/>
      <c r="F2150" s="475"/>
      <c r="G2150" s="476"/>
      <c r="H2150" s="475"/>
      <c r="I2150" s="476"/>
    </row>
    <row r="2151" spans="2:9" x14ac:dyDescent="0.25">
      <c r="B2151" s="476"/>
      <c r="C2151" s="476"/>
      <c r="D2151" s="475"/>
      <c r="E2151" s="476"/>
      <c r="F2151" s="475"/>
      <c r="G2151" s="476"/>
      <c r="H2151" s="475"/>
      <c r="I2151" s="476"/>
    </row>
    <row r="2152" spans="2:9" x14ac:dyDescent="0.25">
      <c r="B2152" s="476"/>
      <c r="C2152" s="476"/>
      <c r="D2152" s="475"/>
      <c r="E2152" s="476"/>
      <c r="F2152" s="475"/>
      <c r="G2152" s="476"/>
      <c r="H2152" s="475"/>
      <c r="I2152" s="476"/>
    </row>
    <row r="2153" spans="2:9" x14ac:dyDescent="0.25">
      <c r="B2153" s="476"/>
      <c r="C2153" s="476"/>
      <c r="D2153" s="475"/>
      <c r="E2153" s="476"/>
      <c r="F2153" s="475"/>
      <c r="G2153" s="476"/>
      <c r="H2153" s="475"/>
      <c r="I2153" s="476"/>
    </row>
    <row r="2154" spans="2:9" x14ac:dyDescent="0.25">
      <c r="B2154" s="476"/>
      <c r="C2154" s="476"/>
      <c r="D2154" s="475"/>
      <c r="E2154" s="476"/>
      <c r="F2154" s="475"/>
      <c r="G2154" s="476"/>
      <c r="H2154" s="475"/>
      <c r="I2154" s="476"/>
    </row>
    <row r="2155" spans="2:9" x14ac:dyDescent="0.25">
      <c r="B2155" s="476"/>
      <c r="C2155" s="476"/>
      <c r="D2155" s="475"/>
      <c r="E2155" s="476"/>
      <c r="F2155" s="475"/>
      <c r="G2155" s="476"/>
      <c r="H2155" s="475"/>
      <c r="I2155" s="476"/>
    </row>
    <row r="2156" spans="2:9" x14ac:dyDescent="0.25">
      <c r="B2156" s="476"/>
      <c r="C2156" s="476"/>
      <c r="D2156" s="475"/>
      <c r="E2156" s="476"/>
      <c r="F2156" s="475"/>
      <c r="G2156" s="476"/>
      <c r="H2156" s="475"/>
      <c r="I2156" s="476"/>
    </row>
    <row r="2157" spans="2:9" x14ac:dyDescent="0.25">
      <c r="B2157" s="476"/>
      <c r="C2157" s="476"/>
      <c r="D2157" s="475"/>
      <c r="E2157" s="476"/>
      <c r="F2157" s="475"/>
      <c r="G2157" s="476"/>
      <c r="H2157" s="475"/>
      <c r="I2157" s="476"/>
    </row>
    <row r="2158" spans="2:9" x14ac:dyDescent="0.25">
      <c r="B2158" s="476"/>
      <c r="C2158" s="476"/>
      <c r="D2158" s="475"/>
      <c r="E2158" s="476"/>
      <c r="F2158" s="475"/>
      <c r="G2158" s="476"/>
      <c r="H2158" s="475"/>
      <c r="I2158" s="476"/>
    </row>
    <row r="2159" spans="2:9" x14ac:dyDescent="0.25">
      <c r="B2159" s="476"/>
      <c r="C2159" s="476"/>
      <c r="D2159" s="475"/>
      <c r="E2159" s="476"/>
      <c r="F2159" s="475"/>
      <c r="G2159" s="476"/>
      <c r="H2159" s="475"/>
      <c r="I2159" s="476"/>
    </row>
    <row r="2160" spans="2:9" x14ac:dyDescent="0.25">
      <c r="B2160" s="476"/>
      <c r="C2160" s="476"/>
      <c r="D2160" s="475"/>
      <c r="E2160" s="476"/>
      <c r="F2160" s="475"/>
      <c r="G2160" s="476"/>
      <c r="H2160" s="475"/>
      <c r="I2160" s="476"/>
    </row>
    <row r="2161" spans="2:9" x14ac:dyDescent="0.25">
      <c r="B2161" s="476"/>
      <c r="C2161" s="476"/>
      <c r="D2161" s="475"/>
      <c r="E2161" s="476"/>
      <c r="F2161" s="475"/>
      <c r="G2161" s="476"/>
      <c r="H2161" s="475"/>
      <c r="I2161" s="476"/>
    </row>
    <row r="2162" spans="2:9" x14ac:dyDescent="0.25">
      <c r="B2162" s="476"/>
      <c r="C2162" s="476"/>
      <c r="D2162" s="475"/>
      <c r="E2162" s="476"/>
      <c r="F2162" s="475"/>
      <c r="G2162" s="476"/>
      <c r="H2162" s="475"/>
      <c r="I2162" s="476"/>
    </row>
    <row r="2163" spans="2:9" x14ac:dyDescent="0.25">
      <c r="B2163" s="476"/>
      <c r="C2163" s="476"/>
      <c r="D2163" s="475"/>
      <c r="E2163" s="476"/>
      <c r="F2163" s="475"/>
      <c r="G2163" s="476"/>
      <c r="H2163" s="475"/>
      <c r="I2163" s="476"/>
    </row>
    <row r="2164" spans="2:9" x14ac:dyDescent="0.25">
      <c r="B2164" s="476"/>
      <c r="C2164" s="476"/>
      <c r="D2164" s="475"/>
      <c r="E2164" s="476"/>
      <c r="F2164" s="475"/>
      <c r="G2164" s="476"/>
      <c r="H2164" s="475"/>
      <c r="I2164" s="476"/>
    </row>
    <row r="2165" spans="2:9" x14ac:dyDescent="0.25">
      <c r="B2165" s="476"/>
      <c r="C2165" s="476"/>
      <c r="D2165" s="475"/>
      <c r="E2165" s="476"/>
      <c r="F2165" s="475"/>
      <c r="G2165" s="476"/>
      <c r="H2165" s="475"/>
      <c r="I2165" s="476"/>
    </row>
    <row r="2166" spans="2:9" x14ac:dyDescent="0.25">
      <c r="B2166" s="476"/>
      <c r="C2166" s="476"/>
      <c r="D2166" s="475"/>
      <c r="E2166" s="476"/>
      <c r="F2166" s="475"/>
      <c r="G2166" s="476"/>
      <c r="H2166" s="475"/>
      <c r="I2166" s="476"/>
    </row>
    <row r="2167" spans="2:9" x14ac:dyDescent="0.25">
      <c r="B2167" s="476"/>
      <c r="C2167" s="476"/>
      <c r="D2167" s="475"/>
      <c r="E2167" s="476"/>
      <c r="F2167" s="475"/>
      <c r="G2167" s="476"/>
      <c r="H2167" s="475"/>
      <c r="I2167" s="476"/>
    </row>
    <row r="2168" spans="2:9" x14ac:dyDescent="0.25">
      <c r="B2168" s="476"/>
      <c r="C2168" s="476"/>
      <c r="D2168" s="475"/>
      <c r="E2168" s="476"/>
      <c r="F2168" s="475"/>
      <c r="G2168" s="476"/>
      <c r="H2168" s="475"/>
      <c r="I2168" s="476"/>
    </row>
    <row r="2169" spans="2:9" x14ac:dyDescent="0.25">
      <c r="B2169" s="476"/>
      <c r="C2169" s="476"/>
      <c r="D2169" s="475"/>
      <c r="E2169" s="476"/>
      <c r="F2169" s="475"/>
      <c r="G2169" s="476"/>
      <c r="H2169" s="475"/>
      <c r="I2169" s="476"/>
    </row>
    <row r="2170" spans="2:9" x14ac:dyDescent="0.25">
      <c r="B2170" s="476"/>
      <c r="C2170" s="476"/>
      <c r="D2170" s="475"/>
      <c r="E2170" s="476"/>
      <c r="F2170" s="475"/>
      <c r="G2170" s="476"/>
      <c r="H2170" s="475"/>
      <c r="I2170" s="476"/>
    </row>
    <row r="2171" spans="2:9" x14ac:dyDescent="0.25">
      <c r="B2171" s="476"/>
      <c r="C2171" s="476"/>
      <c r="D2171" s="475"/>
      <c r="E2171" s="476"/>
      <c r="F2171" s="475"/>
      <c r="G2171" s="476"/>
      <c r="H2171" s="475"/>
      <c r="I2171" s="476"/>
    </row>
    <row r="2172" spans="2:9" x14ac:dyDescent="0.25">
      <c r="B2172" s="476"/>
      <c r="C2172" s="476"/>
      <c r="D2172" s="475"/>
      <c r="E2172" s="476"/>
      <c r="F2172" s="475"/>
      <c r="G2172" s="476"/>
      <c r="H2172" s="475"/>
      <c r="I2172" s="476"/>
    </row>
    <row r="2173" spans="2:9" x14ac:dyDescent="0.25">
      <c r="B2173" s="476"/>
      <c r="C2173" s="476"/>
      <c r="D2173" s="475"/>
      <c r="E2173" s="476"/>
      <c r="F2173" s="475"/>
      <c r="G2173" s="476"/>
      <c r="H2173" s="475"/>
      <c r="I2173" s="476"/>
    </row>
    <row r="2174" spans="2:9" x14ac:dyDescent="0.25">
      <c r="B2174" s="476"/>
      <c r="C2174" s="476"/>
      <c r="D2174" s="475"/>
      <c r="E2174" s="476"/>
      <c r="F2174" s="475"/>
      <c r="G2174" s="476"/>
      <c r="H2174" s="475"/>
      <c r="I2174" s="476"/>
    </row>
    <row r="2175" spans="2:9" x14ac:dyDescent="0.25">
      <c r="B2175" s="476"/>
      <c r="C2175" s="476"/>
      <c r="D2175" s="475"/>
      <c r="E2175" s="476"/>
      <c r="F2175" s="475"/>
      <c r="G2175" s="476"/>
      <c r="H2175" s="475"/>
      <c r="I2175" s="476"/>
    </row>
    <row r="2176" spans="2:9" x14ac:dyDescent="0.25">
      <c r="B2176" s="476"/>
      <c r="C2176" s="476"/>
      <c r="D2176" s="475"/>
      <c r="E2176" s="476"/>
      <c r="F2176" s="475"/>
      <c r="G2176" s="476"/>
      <c r="H2176" s="475"/>
      <c r="I2176" s="476"/>
    </row>
    <row r="2177" spans="2:9" x14ac:dyDescent="0.25">
      <c r="B2177" s="476"/>
      <c r="C2177" s="476"/>
      <c r="D2177" s="475"/>
      <c r="E2177" s="476"/>
      <c r="F2177" s="475"/>
      <c r="G2177" s="476"/>
      <c r="H2177" s="475"/>
      <c r="I2177" s="476"/>
    </row>
    <row r="2178" spans="2:9" x14ac:dyDescent="0.25">
      <c r="B2178" s="476"/>
      <c r="C2178" s="476"/>
      <c r="D2178" s="475"/>
      <c r="E2178" s="476"/>
      <c r="F2178" s="475"/>
      <c r="G2178" s="476"/>
      <c r="H2178" s="475"/>
      <c r="I2178" s="476"/>
    </row>
    <row r="2179" spans="2:9" x14ac:dyDescent="0.25">
      <c r="B2179" s="476"/>
      <c r="C2179" s="476"/>
      <c r="D2179" s="475"/>
      <c r="E2179" s="476"/>
      <c r="F2179" s="475"/>
      <c r="G2179" s="476"/>
      <c r="H2179" s="475"/>
      <c r="I2179" s="476"/>
    </row>
    <row r="2180" spans="2:9" x14ac:dyDescent="0.25">
      <c r="B2180" s="476"/>
      <c r="C2180" s="476"/>
      <c r="D2180" s="475"/>
      <c r="E2180" s="476"/>
      <c r="F2180" s="475"/>
      <c r="G2180" s="476"/>
      <c r="H2180" s="475"/>
      <c r="I2180" s="476"/>
    </row>
    <row r="2181" spans="2:9" x14ac:dyDescent="0.25">
      <c r="B2181" s="476"/>
      <c r="C2181" s="476"/>
      <c r="D2181" s="475"/>
      <c r="E2181" s="476"/>
      <c r="F2181" s="475"/>
      <c r="G2181" s="476"/>
      <c r="H2181" s="475"/>
      <c r="I2181" s="476"/>
    </row>
    <row r="2182" spans="2:9" x14ac:dyDescent="0.25">
      <c r="B2182" s="476"/>
      <c r="C2182" s="476"/>
      <c r="D2182" s="475"/>
      <c r="E2182" s="476"/>
      <c r="F2182" s="475"/>
      <c r="G2182" s="476"/>
      <c r="H2182" s="475"/>
      <c r="I2182" s="476"/>
    </row>
    <row r="2183" spans="2:9" x14ac:dyDescent="0.25">
      <c r="B2183" s="476"/>
      <c r="C2183" s="476"/>
      <c r="D2183" s="475"/>
      <c r="E2183" s="476"/>
      <c r="F2183" s="475"/>
      <c r="G2183" s="476"/>
      <c r="H2183" s="475"/>
      <c r="I2183" s="476"/>
    </row>
    <row r="2184" spans="2:9" x14ac:dyDescent="0.25">
      <c r="B2184" s="476"/>
      <c r="C2184" s="476"/>
      <c r="D2184" s="475"/>
      <c r="E2184" s="476"/>
      <c r="F2184" s="475"/>
      <c r="G2184" s="476"/>
      <c r="H2184" s="475"/>
      <c r="I2184" s="476"/>
    </row>
    <row r="2185" spans="2:9" x14ac:dyDescent="0.25">
      <c r="B2185" s="476"/>
      <c r="C2185" s="476"/>
      <c r="D2185" s="475"/>
      <c r="E2185" s="476"/>
      <c r="F2185" s="475"/>
      <c r="G2185" s="476"/>
      <c r="H2185" s="475"/>
      <c r="I2185" s="476"/>
    </row>
    <row r="2186" spans="2:9" x14ac:dyDescent="0.25">
      <c r="B2186" s="476"/>
      <c r="C2186" s="476"/>
      <c r="D2186" s="475"/>
      <c r="E2186" s="476"/>
      <c r="F2186" s="475"/>
      <c r="G2186" s="476"/>
      <c r="H2186" s="475"/>
      <c r="I2186" s="476"/>
    </row>
    <row r="2187" spans="2:9" x14ac:dyDescent="0.25">
      <c r="B2187" s="476"/>
      <c r="C2187" s="476"/>
      <c r="D2187" s="475"/>
      <c r="E2187" s="476"/>
      <c r="F2187" s="475"/>
      <c r="G2187" s="476"/>
      <c r="H2187" s="475"/>
      <c r="I2187" s="476"/>
    </row>
    <row r="2188" spans="2:9" x14ac:dyDescent="0.25">
      <c r="B2188" s="476"/>
      <c r="C2188" s="476"/>
      <c r="D2188" s="475"/>
      <c r="E2188" s="476"/>
      <c r="F2188" s="475"/>
      <c r="G2188" s="476"/>
      <c r="H2188" s="475"/>
      <c r="I2188" s="476"/>
    </row>
    <row r="2189" spans="2:9" x14ac:dyDescent="0.25">
      <c r="B2189" s="476"/>
      <c r="C2189" s="476"/>
      <c r="D2189" s="475"/>
      <c r="E2189" s="476"/>
      <c r="F2189" s="475"/>
      <c r="G2189" s="476"/>
      <c r="H2189" s="475"/>
      <c r="I2189" s="476"/>
    </row>
    <row r="2190" spans="2:9" x14ac:dyDescent="0.25">
      <c r="B2190" s="476"/>
      <c r="C2190" s="476"/>
      <c r="D2190" s="475"/>
      <c r="E2190" s="476"/>
      <c r="F2190" s="475"/>
      <c r="G2190" s="476"/>
      <c r="H2190" s="475"/>
      <c r="I2190" s="476"/>
    </row>
    <row r="2191" spans="2:9" x14ac:dyDescent="0.25">
      <c r="B2191" s="476"/>
      <c r="C2191" s="476"/>
      <c r="D2191" s="475"/>
      <c r="E2191" s="476"/>
      <c r="F2191" s="475"/>
      <c r="G2191" s="476"/>
      <c r="H2191" s="475"/>
      <c r="I2191" s="476"/>
    </row>
    <row r="2192" spans="2:9" x14ac:dyDescent="0.25">
      <c r="B2192" s="476"/>
      <c r="C2192" s="476"/>
      <c r="D2192" s="475"/>
      <c r="E2192" s="476"/>
      <c r="F2192" s="475"/>
      <c r="G2192" s="476"/>
      <c r="H2192" s="475"/>
      <c r="I2192" s="476"/>
    </row>
    <row r="2193" spans="2:9" x14ac:dyDescent="0.25">
      <c r="B2193" s="476"/>
      <c r="C2193" s="476"/>
      <c r="D2193" s="475"/>
      <c r="E2193" s="476"/>
      <c r="F2193" s="475"/>
      <c r="G2193" s="476"/>
      <c r="H2193" s="475"/>
      <c r="I2193" s="476"/>
    </row>
    <row r="2194" spans="2:9" x14ac:dyDescent="0.25">
      <c r="B2194" s="476"/>
      <c r="C2194" s="476"/>
      <c r="D2194" s="475"/>
      <c r="E2194" s="476"/>
      <c r="F2194" s="475"/>
      <c r="G2194" s="476"/>
      <c r="H2194" s="475"/>
      <c r="I2194" s="476"/>
    </row>
    <row r="2195" spans="2:9" x14ac:dyDescent="0.25">
      <c r="B2195" s="476"/>
      <c r="C2195" s="476"/>
      <c r="D2195" s="475"/>
      <c r="E2195" s="476"/>
      <c r="F2195" s="475"/>
      <c r="G2195" s="476"/>
      <c r="H2195" s="475"/>
      <c r="I2195" s="476"/>
    </row>
    <row r="2196" spans="2:9" x14ac:dyDescent="0.25">
      <c r="B2196" s="476"/>
      <c r="C2196" s="476"/>
      <c r="D2196" s="475"/>
      <c r="E2196" s="476"/>
      <c r="F2196" s="475"/>
      <c r="G2196" s="476"/>
      <c r="H2196" s="475"/>
      <c r="I2196" s="476"/>
    </row>
    <row r="2197" spans="2:9" x14ac:dyDescent="0.25">
      <c r="B2197" s="476"/>
      <c r="C2197" s="476"/>
      <c r="D2197" s="475"/>
      <c r="E2197" s="476"/>
      <c r="F2197" s="475"/>
      <c r="G2197" s="476"/>
      <c r="H2197" s="475"/>
      <c r="I2197" s="476"/>
    </row>
    <row r="2198" spans="2:9" x14ac:dyDescent="0.25">
      <c r="B2198" s="476"/>
      <c r="C2198" s="476"/>
      <c r="D2198" s="475"/>
      <c r="E2198" s="476"/>
      <c r="F2198" s="475"/>
      <c r="G2198" s="476"/>
      <c r="H2198" s="475"/>
      <c r="I2198" s="476"/>
    </row>
    <row r="2199" spans="2:9" x14ac:dyDescent="0.25">
      <c r="B2199" s="476"/>
      <c r="C2199" s="476"/>
      <c r="D2199" s="475"/>
      <c r="E2199" s="476"/>
      <c r="F2199" s="475"/>
      <c r="G2199" s="476"/>
      <c r="H2199" s="475"/>
      <c r="I2199" s="476"/>
    </row>
    <row r="2200" spans="2:9" x14ac:dyDescent="0.25">
      <c r="B2200" s="476"/>
      <c r="C2200" s="476"/>
      <c r="D2200" s="475"/>
      <c r="E2200" s="476"/>
      <c r="F2200" s="475"/>
      <c r="G2200" s="476"/>
      <c r="H2200" s="475"/>
      <c r="I2200" s="476"/>
    </row>
    <row r="2201" spans="2:9" x14ac:dyDescent="0.25">
      <c r="B2201" s="476"/>
      <c r="C2201" s="476"/>
      <c r="D2201" s="475"/>
      <c r="E2201" s="476"/>
      <c r="F2201" s="475"/>
      <c r="G2201" s="476"/>
      <c r="H2201" s="475"/>
      <c r="I2201" s="476"/>
    </row>
    <row r="2202" spans="2:9" x14ac:dyDescent="0.25">
      <c r="B2202" s="476"/>
      <c r="C2202" s="476"/>
      <c r="D2202" s="475"/>
      <c r="E2202" s="476"/>
      <c r="F2202" s="475"/>
      <c r="G2202" s="476"/>
      <c r="H2202" s="475"/>
      <c r="I2202" s="476"/>
    </row>
    <row r="2203" spans="2:9" x14ac:dyDescent="0.25">
      <c r="B2203" s="476"/>
      <c r="C2203" s="476"/>
      <c r="D2203" s="475"/>
      <c r="E2203" s="476"/>
      <c r="F2203" s="475"/>
      <c r="G2203" s="476"/>
      <c r="H2203" s="475"/>
      <c r="I2203" s="476"/>
    </row>
    <row r="2204" spans="2:9" x14ac:dyDescent="0.25">
      <c r="B2204" s="476"/>
      <c r="C2204" s="476"/>
      <c r="D2204" s="475"/>
      <c r="E2204" s="476"/>
      <c r="F2204" s="475"/>
      <c r="G2204" s="476"/>
      <c r="H2204" s="475"/>
      <c r="I2204" s="476"/>
    </row>
    <row r="2205" spans="2:9" x14ac:dyDescent="0.25">
      <c r="B2205" s="476"/>
      <c r="C2205" s="476"/>
      <c r="D2205" s="475"/>
      <c r="E2205" s="476"/>
      <c r="F2205" s="475"/>
      <c r="G2205" s="476"/>
      <c r="H2205" s="475"/>
      <c r="I2205" s="476"/>
    </row>
    <row r="2206" spans="2:9" x14ac:dyDescent="0.25">
      <c r="B2206" s="476"/>
      <c r="C2206" s="476"/>
      <c r="D2206" s="475"/>
      <c r="E2206" s="476"/>
      <c r="F2206" s="475"/>
      <c r="G2206" s="476"/>
      <c r="H2206" s="475"/>
      <c r="I2206" s="476"/>
    </row>
    <row r="2207" spans="2:9" x14ac:dyDescent="0.25">
      <c r="B2207" s="476"/>
      <c r="C2207" s="476"/>
      <c r="D2207" s="475"/>
      <c r="E2207" s="476"/>
      <c r="F2207" s="475"/>
      <c r="G2207" s="476"/>
      <c r="H2207" s="475"/>
      <c r="I2207" s="476"/>
    </row>
    <row r="2208" spans="2:9" x14ac:dyDescent="0.25">
      <c r="B2208" s="476"/>
      <c r="C2208" s="476"/>
      <c r="D2208" s="475"/>
      <c r="E2208" s="476"/>
      <c r="F2208" s="475"/>
      <c r="G2208" s="476"/>
      <c r="H2208" s="475"/>
      <c r="I2208" s="476"/>
    </row>
    <row r="2209" spans="2:9" x14ac:dyDescent="0.25">
      <c r="B2209" s="476"/>
      <c r="C2209" s="476"/>
      <c r="D2209" s="475"/>
      <c r="E2209" s="476"/>
      <c r="F2209" s="475"/>
      <c r="G2209" s="476"/>
      <c r="H2209" s="475"/>
      <c r="I2209" s="476"/>
    </row>
    <row r="2210" spans="2:9" x14ac:dyDescent="0.25">
      <c r="B2210" s="476"/>
      <c r="C2210" s="476"/>
      <c r="D2210" s="475"/>
      <c r="E2210" s="476"/>
      <c r="F2210" s="475"/>
      <c r="G2210" s="476"/>
      <c r="H2210" s="475"/>
      <c r="I2210" s="476"/>
    </row>
    <row r="2211" spans="2:9" x14ac:dyDescent="0.25">
      <c r="B2211" s="476"/>
      <c r="C2211" s="476"/>
      <c r="D2211" s="475"/>
      <c r="E2211" s="476"/>
      <c r="F2211" s="475"/>
      <c r="G2211" s="476"/>
      <c r="H2211" s="475"/>
      <c r="I2211" s="476"/>
    </row>
    <row r="2212" spans="2:9" x14ac:dyDescent="0.25">
      <c r="B2212" s="476"/>
      <c r="C2212" s="476"/>
      <c r="D2212" s="475"/>
      <c r="E2212" s="476"/>
      <c r="F2212" s="475"/>
      <c r="G2212" s="476"/>
      <c r="H2212" s="475"/>
      <c r="I2212" s="476"/>
    </row>
    <row r="2213" spans="2:9" x14ac:dyDescent="0.25">
      <c r="B2213" s="476"/>
      <c r="C2213" s="476"/>
      <c r="D2213" s="475"/>
      <c r="E2213" s="476"/>
      <c r="F2213" s="475"/>
      <c r="G2213" s="476"/>
      <c r="H2213" s="475"/>
      <c r="I2213" s="476"/>
    </row>
    <row r="2214" spans="2:9" x14ac:dyDescent="0.25">
      <c r="B2214" s="476"/>
      <c r="C2214" s="476"/>
      <c r="D2214" s="475"/>
      <c r="E2214" s="476"/>
      <c r="F2214" s="475"/>
      <c r="G2214" s="476"/>
      <c r="H2214" s="475"/>
      <c r="I2214" s="476"/>
    </row>
    <row r="2215" spans="2:9" x14ac:dyDescent="0.25">
      <c r="B2215" s="476"/>
      <c r="C2215" s="476"/>
      <c r="D2215" s="475"/>
      <c r="E2215" s="476"/>
      <c r="F2215" s="475"/>
      <c r="G2215" s="476"/>
      <c r="H2215" s="475"/>
      <c r="I2215" s="476"/>
    </row>
    <row r="2216" spans="2:9" x14ac:dyDescent="0.25">
      <c r="B2216" s="476"/>
      <c r="C2216" s="476"/>
      <c r="D2216" s="475"/>
      <c r="E2216" s="476"/>
      <c r="F2216" s="475"/>
      <c r="G2216" s="476"/>
      <c r="H2216" s="475"/>
      <c r="I2216" s="476"/>
    </row>
    <row r="2217" spans="2:9" x14ac:dyDescent="0.25">
      <c r="B2217" s="476"/>
      <c r="C2217" s="476"/>
      <c r="D2217" s="475"/>
      <c r="E2217" s="476"/>
      <c r="F2217" s="475"/>
      <c r="G2217" s="476"/>
      <c r="H2217" s="475"/>
      <c r="I2217" s="476"/>
    </row>
    <row r="2218" spans="2:9" x14ac:dyDescent="0.25">
      <c r="B2218" s="476"/>
      <c r="C2218" s="476"/>
      <c r="D2218" s="475"/>
      <c r="E2218" s="476"/>
      <c r="F2218" s="475"/>
      <c r="G2218" s="476"/>
      <c r="H2218" s="475"/>
      <c r="I2218" s="476"/>
    </row>
    <row r="2219" spans="2:9" x14ac:dyDescent="0.25">
      <c r="B2219" s="476"/>
      <c r="C2219" s="476"/>
      <c r="D2219" s="475"/>
      <c r="E2219" s="476"/>
      <c r="F2219" s="475"/>
      <c r="G2219" s="476"/>
      <c r="H2219" s="475"/>
      <c r="I2219" s="476"/>
    </row>
    <row r="2220" spans="2:9" x14ac:dyDescent="0.25">
      <c r="B2220" s="476"/>
      <c r="C2220" s="476"/>
      <c r="D2220" s="475"/>
      <c r="E2220" s="476"/>
      <c r="F2220" s="475"/>
      <c r="G2220" s="476"/>
      <c r="H2220" s="475"/>
      <c r="I2220" s="476"/>
    </row>
    <row r="2221" spans="2:9" x14ac:dyDescent="0.25">
      <c r="B2221" s="476"/>
      <c r="C2221" s="476"/>
      <c r="D2221" s="475"/>
      <c r="E2221" s="476"/>
      <c r="F2221" s="475"/>
      <c r="G2221" s="476"/>
      <c r="H2221" s="475"/>
      <c r="I2221" s="476"/>
    </row>
    <row r="2222" spans="2:9" x14ac:dyDescent="0.25">
      <c r="B2222" s="476"/>
      <c r="C2222" s="476"/>
      <c r="D2222" s="475"/>
      <c r="E2222" s="476"/>
      <c r="F2222" s="475"/>
      <c r="G2222" s="476"/>
      <c r="H2222" s="475"/>
      <c r="I2222" s="476"/>
    </row>
    <row r="2223" spans="2:9" x14ac:dyDescent="0.25">
      <c r="B2223" s="476"/>
      <c r="C2223" s="476"/>
      <c r="D2223" s="475"/>
      <c r="E2223" s="476"/>
      <c r="F2223" s="475"/>
      <c r="G2223" s="476"/>
      <c r="H2223" s="475"/>
      <c r="I2223" s="476"/>
    </row>
    <row r="2224" spans="2:9" x14ac:dyDescent="0.25">
      <c r="B2224" s="476"/>
      <c r="C2224" s="476"/>
      <c r="D2224" s="475"/>
      <c r="E2224" s="476"/>
      <c r="F2224" s="475"/>
      <c r="G2224" s="476"/>
      <c r="H2224" s="475"/>
      <c r="I2224" s="476"/>
    </row>
    <row r="2225" spans="2:9" x14ac:dyDescent="0.25">
      <c r="B2225" s="476"/>
      <c r="C2225" s="476"/>
      <c r="D2225" s="475"/>
      <c r="E2225" s="476"/>
      <c r="F2225" s="475"/>
      <c r="G2225" s="476"/>
      <c r="H2225" s="475"/>
      <c r="I2225" s="476"/>
    </row>
    <row r="2226" spans="2:9" x14ac:dyDescent="0.25">
      <c r="B2226" s="476"/>
      <c r="C2226" s="476"/>
      <c r="D2226" s="475"/>
      <c r="E2226" s="476"/>
      <c r="F2226" s="475"/>
      <c r="G2226" s="476"/>
      <c r="H2226" s="475"/>
      <c r="I2226" s="476"/>
    </row>
    <row r="2227" spans="2:9" x14ac:dyDescent="0.25">
      <c r="B2227" s="476"/>
      <c r="C2227" s="476"/>
      <c r="D2227" s="475"/>
      <c r="E2227" s="476"/>
      <c r="F2227" s="475"/>
      <c r="G2227" s="476"/>
      <c r="H2227" s="475"/>
      <c r="I2227" s="476"/>
    </row>
    <row r="2228" spans="2:9" x14ac:dyDescent="0.25">
      <c r="B2228" s="476"/>
      <c r="C2228" s="476"/>
      <c r="D2228" s="475"/>
      <c r="E2228" s="476"/>
      <c r="F2228" s="475"/>
      <c r="G2228" s="476"/>
      <c r="H2228" s="475"/>
      <c r="I2228" s="476"/>
    </row>
    <row r="2229" spans="2:9" x14ac:dyDescent="0.25">
      <c r="B2229" s="476"/>
      <c r="C2229" s="476"/>
      <c r="D2229" s="475"/>
      <c r="E2229" s="476"/>
      <c r="F2229" s="475"/>
      <c r="G2229" s="476"/>
      <c r="H2229" s="475"/>
      <c r="I2229" s="476"/>
    </row>
    <row r="2230" spans="2:9" x14ac:dyDescent="0.25">
      <c r="B2230" s="476"/>
      <c r="C2230" s="476"/>
      <c r="D2230" s="475"/>
      <c r="E2230" s="476"/>
      <c r="F2230" s="475"/>
      <c r="G2230" s="476"/>
      <c r="H2230" s="475"/>
      <c r="I2230" s="476"/>
    </row>
    <row r="2231" spans="2:9" x14ac:dyDescent="0.25">
      <c r="B2231" s="476"/>
      <c r="C2231" s="476"/>
      <c r="D2231" s="475"/>
      <c r="E2231" s="476"/>
      <c r="F2231" s="475"/>
      <c r="G2231" s="476"/>
      <c r="H2231" s="475"/>
      <c r="I2231" s="476"/>
    </row>
    <row r="2232" spans="2:9" x14ac:dyDescent="0.25">
      <c r="B2232" s="476"/>
      <c r="C2232" s="476"/>
      <c r="D2232" s="475"/>
      <c r="E2232" s="476"/>
      <c r="F2232" s="475"/>
      <c r="G2232" s="476"/>
      <c r="H2232" s="475"/>
      <c r="I2232" s="476"/>
    </row>
    <row r="2233" spans="2:9" x14ac:dyDescent="0.25">
      <c r="B2233" s="476"/>
      <c r="C2233" s="476"/>
      <c r="D2233" s="475"/>
      <c r="E2233" s="476"/>
      <c r="F2233" s="475"/>
      <c r="G2233" s="476"/>
      <c r="H2233" s="475"/>
      <c r="I2233" s="476"/>
    </row>
    <row r="2234" spans="2:9" x14ac:dyDescent="0.25">
      <c r="B2234" s="476"/>
      <c r="C2234" s="476"/>
      <c r="D2234" s="475"/>
      <c r="E2234" s="476"/>
      <c r="F2234" s="475"/>
      <c r="G2234" s="476"/>
      <c r="H2234" s="475"/>
      <c r="I2234" s="476"/>
    </row>
    <row r="2235" spans="2:9" x14ac:dyDescent="0.25">
      <c r="B2235" s="476"/>
      <c r="C2235" s="476"/>
      <c r="D2235" s="475"/>
      <c r="E2235" s="476"/>
      <c r="F2235" s="475"/>
      <c r="G2235" s="476"/>
      <c r="H2235" s="475"/>
      <c r="I2235" s="476"/>
    </row>
    <row r="2236" spans="2:9" x14ac:dyDescent="0.25">
      <c r="B2236" s="476"/>
      <c r="C2236" s="476"/>
      <c r="D2236" s="475"/>
      <c r="E2236" s="476"/>
      <c r="F2236" s="475"/>
      <c r="G2236" s="476"/>
      <c r="H2236" s="475"/>
      <c r="I2236" s="476"/>
    </row>
    <row r="2237" spans="2:9" x14ac:dyDescent="0.25">
      <c r="B2237" s="476"/>
      <c r="C2237" s="476"/>
      <c r="D2237" s="475"/>
      <c r="E2237" s="476"/>
      <c r="F2237" s="475"/>
      <c r="G2237" s="476"/>
      <c r="H2237" s="475"/>
      <c r="I2237" s="476"/>
    </row>
    <row r="2238" spans="2:9" x14ac:dyDescent="0.25">
      <c r="B2238" s="476"/>
      <c r="C2238" s="476"/>
      <c r="D2238" s="475"/>
      <c r="E2238" s="476"/>
      <c r="F2238" s="475"/>
      <c r="G2238" s="476"/>
      <c r="H2238" s="475"/>
      <c r="I2238" s="476"/>
    </row>
    <row r="2239" spans="2:9" x14ac:dyDescent="0.25">
      <c r="B2239" s="476"/>
      <c r="C2239" s="476"/>
      <c r="D2239" s="475"/>
      <c r="E2239" s="476"/>
      <c r="F2239" s="475"/>
      <c r="G2239" s="476"/>
      <c r="H2239" s="475"/>
      <c r="I2239" s="476"/>
    </row>
    <row r="2240" spans="2:9" x14ac:dyDescent="0.25">
      <c r="B2240" s="476"/>
      <c r="C2240" s="476"/>
      <c r="D2240" s="475"/>
      <c r="E2240" s="476"/>
      <c r="F2240" s="475"/>
      <c r="G2240" s="476"/>
      <c r="H2240" s="475"/>
      <c r="I2240" s="476"/>
    </row>
    <row r="2241" spans="2:9" x14ac:dyDescent="0.25">
      <c r="B2241" s="476"/>
      <c r="C2241" s="476"/>
      <c r="D2241" s="475"/>
      <c r="E2241" s="476"/>
      <c r="F2241" s="475"/>
      <c r="G2241" s="476"/>
      <c r="H2241" s="475"/>
      <c r="I2241" s="476"/>
    </row>
    <row r="2242" spans="2:9" x14ac:dyDescent="0.25">
      <c r="B2242" s="476"/>
      <c r="C2242" s="476"/>
      <c r="D2242" s="475"/>
      <c r="E2242" s="476"/>
      <c r="F2242" s="475"/>
      <c r="G2242" s="476"/>
      <c r="H2242" s="475"/>
      <c r="I2242" s="476"/>
    </row>
    <row r="2243" spans="2:9" x14ac:dyDescent="0.25">
      <c r="B2243" s="476"/>
      <c r="C2243" s="476"/>
      <c r="D2243" s="475"/>
      <c r="E2243" s="476"/>
      <c r="F2243" s="475"/>
      <c r="G2243" s="476"/>
      <c r="H2243" s="475"/>
      <c r="I2243" s="476"/>
    </row>
    <row r="2244" spans="2:9" x14ac:dyDescent="0.25">
      <c r="B2244" s="476"/>
      <c r="C2244" s="476"/>
      <c r="D2244" s="475"/>
      <c r="E2244" s="476"/>
      <c r="F2244" s="475"/>
      <c r="G2244" s="476"/>
      <c r="H2244" s="475"/>
      <c r="I2244" s="476"/>
    </row>
    <row r="2245" spans="2:9" x14ac:dyDescent="0.25">
      <c r="B2245" s="476"/>
      <c r="C2245" s="476"/>
      <c r="D2245" s="475"/>
      <c r="E2245" s="476"/>
      <c r="F2245" s="475"/>
      <c r="G2245" s="476"/>
      <c r="H2245" s="475"/>
      <c r="I2245" s="476"/>
    </row>
    <row r="2246" spans="2:9" x14ac:dyDescent="0.25">
      <c r="B2246" s="476"/>
      <c r="C2246" s="476"/>
      <c r="D2246" s="475"/>
      <c r="E2246" s="476"/>
      <c r="F2246" s="475"/>
      <c r="G2246" s="476"/>
      <c r="H2246" s="475"/>
      <c r="I2246" s="476"/>
    </row>
    <row r="2247" spans="2:9" x14ac:dyDescent="0.25">
      <c r="B2247" s="476"/>
      <c r="C2247" s="476"/>
      <c r="D2247" s="475"/>
      <c r="E2247" s="476"/>
      <c r="F2247" s="475"/>
      <c r="G2247" s="476"/>
      <c r="H2247" s="475"/>
      <c r="I2247" s="476"/>
    </row>
    <row r="2248" spans="2:9" x14ac:dyDescent="0.25">
      <c r="B2248" s="476"/>
      <c r="C2248" s="476"/>
      <c r="D2248" s="475"/>
      <c r="E2248" s="476"/>
      <c r="F2248" s="475"/>
      <c r="G2248" s="476"/>
      <c r="H2248" s="475"/>
      <c r="I2248" s="476"/>
    </row>
    <row r="2249" spans="2:9" x14ac:dyDescent="0.25">
      <c r="B2249" s="476"/>
      <c r="C2249" s="476"/>
      <c r="D2249" s="475"/>
      <c r="E2249" s="476"/>
      <c r="F2249" s="475"/>
      <c r="G2249" s="476"/>
      <c r="H2249" s="475"/>
      <c r="I2249" s="476"/>
    </row>
    <row r="2250" spans="2:9" x14ac:dyDescent="0.25">
      <c r="B2250" s="476"/>
      <c r="C2250" s="476"/>
      <c r="D2250" s="475"/>
      <c r="E2250" s="476"/>
      <c r="F2250" s="475"/>
      <c r="G2250" s="476"/>
      <c r="H2250" s="475"/>
      <c r="I2250" s="476"/>
    </row>
    <row r="2251" spans="2:9" x14ac:dyDescent="0.25">
      <c r="B2251" s="476"/>
      <c r="C2251" s="476"/>
      <c r="D2251" s="475"/>
      <c r="E2251" s="476"/>
      <c r="F2251" s="475"/>
      <c r="G2251" s="476"/>
      <c r="H2251" s="475"/>
      <c r="I2251" s="476"/>
    </row>
    <row r="2252" spans="2:9" x14ac:dyDescent="0.25">
      <c r="B2252" s="476"/>
      <c r="C2252" s="476"/>
      <c r="D2252" s="475"/>
      <c r="E2252" s="476"/>
      <c r="F2252" s="475"/>
      <c r="G2252" s="476"/>
      <c r="H2252" s="475"/>
      <c r="I2252" s="476"/>
    </row>
    <row r="2253" spans="2:9" x14ac:dyDescent="0.25">
      <c r="B2253" s="476"/>
      <c r="C2253" s="476"/>
      <c r="D2253" s="475"/>
      <c r="E2253" s="476"/>
      <c r="F2253" s="475"/>
      <c r="G2253" s="476"/>
      <c r="H2253" s="475"/>
      <c r="I2253" s="476"/>
    </row>
    <row r="2254" spans="2:9" x14ac:dyDescent="0.25">
      <c r="B2254" s="476"/>
      <c r="C2254" s="476"/>
      <c r="D2254" s="475"/>
      <c r="E2254" s="476"/>
      <c r="F2254" s="475"/>
      <c r="G2254" s="476"/>
      <c r="H2254" s="475"/>
      <c r="I2254" s="476"/>
    </row>
    <row r="2255" spans="2:9" x14ac:dyDescent="0.25">
      <c r="B2255" s="476"/>
      <c r="C2255" s="476"/>
      <c r="D2255" s="475"/>
      <c r="E2255" s="476"/>
      <c r="F2255" s="475"/>
      <c r="G2255" s="476"/>
      <c r="H2255" s="475"/>
      <c r="I2255" s="476"/>
    </row>
    <row r="2256" spans="2:9" x14ac:dyDescent="0.25">
      <c r="B2256" s="476"/>
      <c r="C2256" s="476"/>
      <c r="D2256" s="475"/>
      <c r="E2256" s="476"/>
      <c r="F2256" s="475"/>
      <c r="G2256" s="476"/>
      <c r="H2256" s="475"/>
      <c r="I2256" s="476"/>
    </row>
    <row r="2257" spans="2:9" x14ac:dyDescent="0.25">
      <c r="B2257" s="476"/>
      <c r="C2257" s="476"/>
      <c r="D2257" s="475"/>
      <c r="E2257" s="476"/>
      <c r="F2257" s="475"/>
      <c r="G2257" s="476"/>
      <c r="H2257" s="475"/>
      <c r="I2257" s="476"/>
    </row>
    <row r="2258" spans="2:9" x14ac:dyDescent="0.25">
      <c r="B2258" s="476"/>
      <c r="C2258" s="476"/>
      <c r="D2258" s="475"/>
      <c r="E2258" s="476"/>
      <c r="F2258" s="475"/>
      <c r="G2258" s="476"/>
      <c r="H2258" s="475"/>
      <c r="I2258" s="476"/>
    </row>
    <row r="2259" spans="2:9" x14ac:dyDescent="0.25">
      <c r="B2259" s="476"/>
      <c r="C2259" s="476"/>
      <c r="D2259" s="475"/>
      <c r="E2259" s="476"/>
      <c r="F2259" s="475"/>
      <c r="G2259" s="476"/>
      <c r="H2259" s="475"/>
      <c r="I2259" s="476"/>
    </row>
    <row r="2260" spans="2:9" x14ac:dyDescent="0.25">
      <c r="B2260" s="476"/>
      <c r="C2260" s="476"/>
      <c r="D2260" s="475"/>
      <c r="E2260" s="476"/>
      <c r="F2260" s="475"/>
      <c r="G2260" s="476"/>
      <c r="H2260" s="475"/>
      <c r="I2260" s="476"/>
    </row>
    <row r="2261" spans="2:9" x14ac:dyDescent="0.25">
      <c r="B2261" s="476"/>
      <c r="C2261" s="476"/>
      <c r="D2261" s="475"/>
      <c r="E2261" s="476"/>
      <c r="F2261" s="475"/>
      <c r="G2261" s="476"/>
      <c r="H2261" s="475"/>
      <c r="I2261" s="476"/>
    </row>
    <row r="2262" spans="2:9" x14ac:dyDescent="0.25">
      <c r="B2262" s="476"/>
      <c r="C2262" s="476"/>
      <c r="D2262" s="475"/>
      <c r="E2262" s="476"/>
      <c r="F2262" s="475"/>
      <c r="G2262" s="476"/>
      <c r="H2262" s="475"/>
      <c r="I2262" s="476"/>
    </row>
    <row r="2263" spans="2:9" x14ac:dyDescent="0.25">
      <c r="B2263" s="476"/>
      <c r="C2263" s="476"/>
      <c r="D2263" s="475"/>
      <c r="E2263" s="476"/>
      <c r="F2263" s="475"/>
      <c r="G2263" s="476"/>
      <c r="H2263" s="475"/>
      <c r="I2263" s="476"/>
    </row>
    <row r="2264" spans="2:9" x14ac:dyDescent="0.25">
      <c r="B2264" s="476"/>
      <c r="C2264" s="476"/>
      <c r="D2264" s="475"/>
      <c r="E2264" s="476"/>
      <c r="F2264" s="475"/>
      <c r="G2264" s="476"/>
      <c r="H2264" s="475"/>
      <c r="I2264" s="476"/>
    </row>
    <row r="2265" spans="2:9" x14ac:dyDescent="0.25">
      <c r="B2265" s="476"/>
      <c r="C2265" s="476"/>
      <c r="D2265" s="475"/>
      <c r="E2265" s="476"/>
      <c r="F2265" s="475"/>
      <c r="G2265" s="476"/>
      <c r="H2265" s="475"/>
      <c r="I2265" s="476"/>
    </row>
    <row r="2266" spans="2:9" x14ac:dyDescent="0.25">
      <c r="B2266" s="476"/>
      <c r="C2266" s="476"/>
      <c r="D2266" s="475"/>
      <c r="E2266" s="476"/>
      <c r="F2266" s="475"/>
      <c r="G2266" s="476"/>
      <c r="H2266" s="475"/>
      <c r="I2266" s="476"/>
    </row>
    <row r="2267" spans="2:9" x14ac:dyDescent="0.25">
      <c r="B2267" s="476"/>
      <c r="C2267" s="476"/>
      <c r="D2267" s="475"/>
      <c r="E2267" s="476"/>
      <c r="F2267" s="475"/>
      <c r="G2267" s="476"/>
      <c r="H2267" s="475"/>
      <c r="I2267" s="476"/>
    </row>
    <row r="2268" spans="2:9" x14ac:dyDescent="0.25">
      <c r="B2268" s="476"/>
      <c r="C2268" s="476"/>
      <c r="D2268" s="475"/>
      <c r="E2268" s="476"/>
      <c r="F2268" s="475"/>
      <c r="G2268" s="476"/>
      <c r="H2268" s="475"/>
      <c r="I2268" s="476"/>
    </row>
    <row r="2269" spans="2:9" x14ac:dyDescent="0.25">
      <c r="B2269" s="476"/>
      <c r="C2269" s="476"/>
      <c r="D2269" s="475"/>
      <c r="E2269" s="476"/>
      <c r="F2269" s="475"/>
      <c r="G2269" s="476"/>
      <c r="H2269" s="475"/>
      <c r="I2269" s="476"/>
    </row>
    <row r="2270" spans="2:9" x14ac:dyDescent="0.25">
      <c r="B2270" s="476"/>
      <c r="C2270" s="476"/>
      <c r="D2270" s="475"/>
      <c r="E2270" s="476"/>
      <c r="F2270" s="475"/>
      <c r="G2270" s="476"/>
      <c r="H2270" s="475"/>
      <c r="I2270" s="476"/>
    </row>
    <row r="2271" spans="2:9" x14ac:dyDescent="0.25">
      <c r="B2271" s="476"/>
      <c r="C2271" s="476"/>
      <c r="D2271" s="475"/>
      <c r="E2271" s="476"/>
      <c r="F2271" s="475"/>
      <c r="G2271" s="476"/>
      <c r="H2271" s="475"/>
      <c r="I2271" s="476"/>
    </row>
    <row r="2272" spans="2:9" x14ac:dyDescent="0.25">
      <c r="B2272" s="476"/>
      <c r="C2272" s="476"/>
      <c r="D2272" s="475"/>
      <c r="E2272" s="476"/>
      <c r="F2272" s="475"/>
      <c r="G2272" s="476"/>
      <c r="H2272" s="475"/>
      <c r="I2272" s="476"/>
    </row>
    <row r="2273" spans="2:9" x14ac:dyDescent="0.25">
      <c r="B2273" s="476"/>
      <c r="C2273" s="476"/>
      <c r="D2273" s="475"/>
      <c r="E2273" s="476"/>
      <c r="F2273" s="475"/>
      <c r="G2273" s="476"/>
      <c r="H2273" s="475"/>
      <c r="I2273" s="476"/>
    </row>
    <row r="2274" spans="2:9" x14ac:dyDescent="0.25">
      <c r="B2274" s="476"/>
      <c r="C2274" s="476"/>
      <c r="D2274" s="475"/>
      <c r="E2274" s="476"/>
      <c r="F2274" s="475"/>
      <c r="G2274" s="476"/>
      <c r="H2274" s="475"/>
      <c r="I2274" s="476"/>
    </row>
    <row r="2275" spans="2:9" x14ac:dyDescent="0.25">
      <c r="B2275" s="476"/>
      <c r="C2275" s="476"/>
      <c r="D2275" s="475"/>
      <c r="E2275" s="476"/>
      <c r="F2275" s="475"/>
      <c r="G2275" s="476"/>
      <c r="H2275" s="475"/>
      <c r="I2275" s="476"/>
    </row>
    <row r="2276" spans="2:9" x14ac:dyDescent="0.25">
      <c r="B2276" s="476"/>
      <c r="C2276" s="476"/>
      <c r="D2276" s="475"/>
      <c r="E2276" s="476"/>
      <c r="F2276" s="475"/>
      <c r="G2276" s="476"/>
      <c r="H2276" s="475"/>
      <c r="I2276" s="476"/>
    </row>
    <row r="2277" spans="2:9" x14ac:dyDescent="0.25">
      <c r="B2277" s="476"/>
      <c r="C2277" s="476"/>
      <c r="D2277" s="475"/>
      <c r="E2277" s="476"/>
      <c r="F2277" s="475"/>
      <c r="G2277" s="476"/>
      <c r="H2277" s="475"/>
      <c r="I2277" s="476"/>
    </row>
    <row r="2278" spans="2:9" x14ac:dyDescent="0.25">
      <c r="B2278" s="476"/>
      <c r="C2278" s="476"/>
      <c r="D2278" s="475"/>
      <c r="E2278" s="476"/>
      <c r="F2278" s="475"/>
      <c r="G2278" s="476"/>
      <c r="H2278" s="475"/>
      <c r="I2278" s="476"/>
    </row>
    <row r="2279" spans="2:9" x14ac:dyDescent="0.25">
      <c r="B2279" s="476"/>
      <c r="C2279" s="476"/>
      <c r="D2279" s="475"/>
      <c r="E2279" s="476"/>
      <c r="F2279" s="475"/>
      <c r="G2279" s="476"/>
      <c r="H2279" s="475"/>
      <c r="I2279" s="476"/>
    </row>
    <row r="2280" spans="2:9" x14ac:dyDescent="0.25">
      <c r="B2280" s="476"/>
      <c r="C2280" s="476"/>
      <c r="D2280" s="475"/>
      <c r="E2280" s="476"/>
      <c r="F2280" s="475"/>
      <c r="G2280" s="476"/>
      <c r="H2280" s="475"/>
      <c r="I2280" s="476"/>
    </row>
    <row r="2281" spans="2:9" x14ac:dyDescent="0.25">
      <c r="B2281" s="476"/>
      <c r="C2281" s="476"/>
      <c r="D2281" s="475"/>
      <c r="E2281" s="476"/>
      <c r="F2281" s="475"/>
      <c r="G2281" s="476"/>
      <c r="H2281" s="475"/>
      <c r="I2281" s="476"/>
    </row>
    <row r="2282" spans="2:9" x14ac:dyDescent="0.25">
      <c r="B2282" s="476"/>
      <c r="C2282" s="476"/>
      <c r="D2282" s="475"/>
      <c r="E2282" s="476"/>
      <c r="F2282" s="475"/>
      <c r="G2282" s="476"/>
      <c r="H2282" s="475"/>
      <c r="I2282" s="476"/>
    </row>
    <row r="2283" spans="2:9" x14ac:dyDescent="0.25">
      <c r="B2283" s="476"/>
      <c r="C2283" s="476"/>
      <c r="D2283" s="475"/>
      <c r="E2283" s="476"/>
      <c r="F2283" s="475"/>
      <c r="G2283" s="476"/>
      <c r="H2283" s="475"/>
      <c r="I2283" s="476"/>
    </row>
    <row r="2284" spans="2:9" x14ac:dyDescent="0.25">
      <c r="B2284" s="476"/>
      <c r="C2284" s="476"/>
      <c r="D2284" s="475"/>
      <c r="E2284" s="476"/>
      <c r="F2284" s="475"/>
      <c r="G2284" s="476"/>
      <c r="H2284" s="475"/>
      <c r="I2284" s="476"/>
    </row>
    <row r="2285" spans="2:9" x14ac:dyDescent="0.25">
      <c r="B2285" s="476"/>
      <c r="C2285" s="476"/>
      <c r="D2285" s="475"/>
      <c r="E2285" s="476"/>
      <c r="F2285" s="475"/>
      <c r="G2285" s="476"/>
      <c r="H2285" s="475"/>
      <c r="I2285" s="476"/>
    </row>
    <row r="2286" spans="2:9" x14ac:dyDescent="0.25">
      <c r="B2286" s="476"/>
      <c r="C2286" s="476"/>
      <c r="D2286" s="475"/>
      <c r="E2286" s="476"/>
      <c r="F2286" s="475"/>
      <c r="G2286" s="476"/>
      <c r="H2286" s="475"/>
      <c r="I2286" s="476"/>
    </row>
    <row r="2287" spans="2:9" x14ac:dyDescent="0.25">
      <c r="B2287" s="476"/>
      <c r="C2287" s="476"/>
      <c r="D2287" s="475"/>
      <c r="E2287" s="476"/>
      <c r="F2287" s="475"/>
      <c r="G2287" s="476"/>
      <c r="H2287" s="475"/>
      <c r="I2287" s="476"/>
    </row>
    <row r="2288" spans="2:9" x14ac:dyDescent="0.25">
      <c r="B2288" s="476"/>
      <c r="C2288" s="476"/>
      <c r="D2288" s="475"/>
      <c r="E2288" s="476"/>
      <c r="F2288" s="475"/>
      <c r="G2288" s="476"/>
      <c r="H2288" s="475"/>
      <c r="I2288" s="476"/>
    </row>
    <row r="2289" spans="2:9" x14ac:dyDescent="0.25">
      <c r="B2289" s="476"/>
      <c r="C2289" s="476"/>
      <c r="D2289" s="475"/>
      <c r="E2289" s="476"/>
      <c r="F2289" s="475"/>
      <c r="G2289" s="476"/>
      <c r="H2289" s="475"/>
      <c r="I2289" s="476"/>
    </row>
    <row r="2290" spans="2:9" x14ac:dyDescent="0.25">
      <c r="B2290" s="476"/>
      <c r="C2290" s="476"/>
      <c r="D2290" s="475"/>
      <c r="E2290" s="476"/>
      <c r="F2290" s="475"/>
      <c r="G2290" s="476"/>
      <c r="H2290" s="475"/>
      <c r="I2290" s="476"/>
    </row>
    <row r="2291" spans="2:9" x14ac:dyDescent="0.25">
      <c r="B2291" s="476"/>
      <c r="C2291" s="476"/>
      <c r="D2291" s="475"/>
      <c r="E2291" s="476"/>
      <c r="F2291" s="475"/>
      <c r="G2291" s="476"/>
      <c r="H2291" s="475"/>
      <c r="I2291" s="476"/>
    </row>
    <row r="2292" spans="2:9" x14ac:dyDescent="0.25">
      <c r="B2292" s="476"/>
      <c r="C2292" s="476"/>
      <c r="D2292" s="475"/>
      <c r="E2292" s="476"/>
      <c r="F2292" s="475"/>
      <c r="G2292" s="476"/>
      <c r="H2292" s="475"/>
      <c r="I2292" s="476"/>
    </row>
    <row r="2293" spans="2:9" x14ac:dyDescent="0.25">
      <c r="B2293" s="476"/>
      <c r="C2293" s="476"/>
      <c r="D2293" s="475"/>
      <c r="E2293" s="476"/>
      <c r="F2293" s="475"/>
      <c r="G2293" s="476"/>
      <c r="H2293" s="475"/>
      <c r="I2293" s="476"/>
    </row>
    <row r="2294" spans="2:9" x14ac:dyDescent="0.25">
      <c r="B2294" s="476"/>
      <c r="C2294" s="476"/>
      <c r="D2294" s="475"/>
      <c r="E2294" s="476"/>
      <c r="F2294" s="475"/>
      <c r="G2294" s="476"/>
      <c r="H2294" s="475"/>
      <c r="I2294" s="476"/>
    </row>
    <row r="2295" spans="2:9" x14ac:dyDescent="0.25">
      <c r="B2295" s="476"/>
      <c r="C2295" s="476"/>
      <c r="D2295" s="475"/>
      <c r="E2295" s="476"/>
      <c r="F2295" s="475"/>
      <c r="G2295" s="476"/>
      <c r="H2295" s="475"/>
      <c r="I2295" s="476"/>
    </row>
    <row r="2296" spans="2:9" x14ac:dyDescent="0.25">
      <c r="B2296" s="476"/>
      <c r="C2296" s="476"/>
      <c r="D2296" s="475"/>
      <c r="E2296" s="476"/>
      <c r="F2296" s="475"/>
      <c r="G2296" s="476"/>
      <c r="H2296" s="475"/>
      <c r="I2296" s="476"/>
    </row>
    <row r="2297" spans="2:9" x14ac:dyDescent="0.25">
      <c r="B2297" s="476"/>
      <c r="C2297" s="476"/>
      <c r="D2297" s="475"/>
      <c r="E2297" s="476"/>
      <c r="F2297" s="475"/>
      <c r="G2297" s="476"/>
      <c r="H2297" s="475"/>
      <c r="I2297" s="476"/>
    </row>
    <row r="2298" spans="2:9" x14ac:dyDescent="0.25">
      <c r="B2298" s="476"/>
      <c r="C2298" s="476"/>
      <c r="D2298" s="475"/>
      <c r="E2298" s="476"/>
      <c r="F2298" s="475"/>
      <c r="G2298" s="476"/>
      <c r="H2298" s="475"/>
      <c r="I2298" s="476"/>
    </row>
    <row r="2299" spans="2:9" x14ac:dyDescent="0.25">
      <c r="B2299" s="476"/>
      <c r="C2299" s="476"/>
      <c r="D2299" s="475"/>
      <c r="E2299" s="476"/>
      <c r="F2299" s="475"/>
      <c r="G2299" s="476"/>
      <c r="H2299" s="475"/>
      <c r="I2299" s="476"/>
    </row>
    <row r="2300" spans="2:9" x14ac:dyDescent="0.25">
      <c r="B2300" s="476"/>
      <c r="C2300" s="476"/>
      <c r="D2300" s="475"/>
      <c r="E2300" s="476"/>
      <c r="F2300" s="475"/>
      <c r="G2300" s="476"/>
      <c r="H2300" s="475"/>
      <c r="I2300" s="476"/>
    </row>
    <row r="2301" spans="2:9" x14ac:dyDescent="0.25">
      <c r="B2301" s="476"/>
      <c r="C2301" s="476"/>
      <c r="D2301" s="475"/>
      <c r="E2301" s="476"/>
      <c r="F2301" s="475"/>
      <c r="G2301" s="476"/>
      <c r="H2301" s="475"/>
      <c r="I2301" s="476"/>
    </row>
    <row r="2302" spans="2:9" x14ac:dyDescent="0.25">
      <c r="B2302" s="476"/>
      <c r="C2302" s="476"/>
      <c r="D2302" s="475"/>
      <c r="E2302" s="476"/>
      <c r="F2302" s="475"/>
      <c r="G2302" s="476"/>
      <c r="H2302" s="475"/>
      <c r="I2302" s="476"/>
    </row>
    <row r="2303" spans="2:9" x14ac:dyDescent="0.25">
      <c r="B2303" s="476"/>
      <c r="C2303" s="476"/>
      <c r="D2303" s="475"/>
      <c r="E2303" s="476"/>
      <c r="F2303" s="475"/>
      <c r="G2303" s="476"/>
      <c r="H2303" s="475"/>
      <c r="I2303" s="476"/>
    </row>
    <row r="2304" spans="2:9" x14ac:dyDescent="0.25">
      <c r="B2304" s="476"/>
      <c r="C2304" s="476"/>
      <c r="D2304" s="475"/>
      <c r="E2304" s="476"/>
      <c r="F2304" s="475"/>
      <c r="G2304" s="476"/>
      <c r="H2304" s="475"/>
      <c r="I2304" s="476"/>
    </row>
    <row r="2305" spans="2:9" x14ac:dyDescent="0.25">
      <c r="B2305" s="476"/>
      <c r="C2305" s="476"/>
      <c r="D2305" s="475"/>
      <c r="E2305" s="476"/>
      <c r="F2305" s="475"/>
      <c r="G2305" s="476"/>
      <c r="H2305" s="475"/>
      <c r="I2305" s="476"/>
    </row>
    <row r="2306" spans="2:9" x14ac:dyDescent="0.25">
      <c r="B2306" s="476"/>
      <c r="C2306" s="476"/>
      <c r="D2306" s="475"/>
      <c r="E2306" s="476"/>
      <c r="F2306" s="475"/>
      <c r="G2306" s="476"/>
      <c r="H2306" s="475"/>
      <c r="I2306" s="476"/>
    </row>
    <row r="2307" spans="2:9" x14ac:dyDescent="0.25">
      <c r="B2307" s="476"/>
      <c r="C2307" s="476"/>
      <c r="D2307" s="475"/>
      <c r="E2307" s="476"/>
      <c r="F2307" s="475"/>
      <c r="G2307" s="476"/>
      <c r="H2307" s="475"/>
      <c r="I2307" s="476"/>
    </row>
    <row r="2308" spans="2:9" x14ac:dyDescent="0.25">
      <c r="B2308" s="476"/>
      <c r="C2308" s="476"/>
      <c r="D2308" s="475"/>
      <c r="E2308" s="476"/>
      <c r="F2308" s="475"/>
      <c r="G2308" s="476"/>
      <c r="H2308" s="475"/>
      <c r="I2308" s="476"/>
    </row>
    <row r="2309" spans="2:9" x14ac:dyDescent="0.25">
      <c r="B2309" s="476"/>
      <c r="C2309" s="476"/>
      <c r="D2309" s="475"/>
      <c r="E2309" s="476"/>
      <c r="F2309" s="475"/>
      <c r="G2309" s="476"/>
      <c r="H2309" s="475"/>
      <c r="I2309" s="476"/>
    </row>
    <row r="2310" spans="2:9" x14ac:dyDescent="0.25">
      <c r="B2310" s="476"/>
      <c r="C2310" s="476"/>
      <c r="D2310" s="475"/>
      <c r="E2310" s="476"/>
      <c r="F2310" s="475"/>
      <c r="G2310" s="476"/>
      <c r="H2310" s="475"/>
      <c r="I2310" s="476"/>
    </row>
    <row r="2311" spans="2:9" x14ac:dyDescent="0.25">
      <c r="B2311" s="476"/>
      <c r="C2311" s="476"/>
      <c r="D2311" s="475"/>
      <c r="E2311" s="476"/>
      <c r="F2311" s="475"/>
      <c r="G2311" s="476"/>
      <c r="H2311" s="475"/>
      <c r="I2311" s="476"/>
    </row>
    <row r="2312" spans="2:9" x14ac:dyDescent="0.25">
      <c r="B2312" s="476"/>
      <c r="C2312" s="476"/>
      <c r="D2312" s="475"/>
      <c r="E2312" s="476"/>
      <c r="F2312" s="475"/>
      <c r="G2312" s="476"/>
      <c r="H2312" s="475"/>
      <c r="I2312" s="476"/>
    </row>
    <row r="2313" spans="2:9" x14ac:dyDescent="0.25">
      <c r="B2313" s="476"/>
      <c r="C2313" s="476"/>
      <c r="D2313" s="475"/>
      <c r="E2313" s="476"/>
      <c r="F2313" s="475"/>
      <c r="G2313" s="476"/>
      <c r="H2313" s="475"/>
      <c r="I2313" s="476"/>
    </row>
    <row r="2314" spans="2:9" x14ac:dyDescent="0.25">
      <c r="B2314" s="476"/>
      <c r="C2314" s="476"/>
      <c r="D2314" s="475"/>
      <c r="E2314" s="476"/>
      <c r="F2314" s="475"/>
      <c r="G2314" s="476"/>
      <c r="H2314" s="475"/>
      <c r="I2314" s="476"/>
    </row>
    <row r="2315" spans="2:9" x14ac:dyDescent="0.25">
      <c r="B2315" s="476"/>
      <c r="C2315" s="476"/>
      <c r="D2315" s="475"/>
      <c r="E2315" s="476"/>
      <c r="F2315" s="475"/>
      <c r="G2315" s="476"/>
      <c r="H2315" s="475"/>
      <c r="I2315" s="476"/>
    </row>
    <row r="2316" spans="2:9" x14ac:dyDescent="0.25">
      <c r="B2316" s="476"/>
      <c r="C2316" s="476"/>
      <c r="D2316" s="475"/>
      <c r="E2316" s="476"/>
      <c r="F2316" s="475"/>
      <c r="G2316" s="476"/>
      <c r="H2316" s="475"/>
      <c r="I2316" s="476"/>
    </row>
    <row r="2317" spans="2:9" x14ac:dyDescent="0.25">
      <c r="B2317" s="476"/>
      <c r="C2317" s="476"/>
      <c r="D2317" s="475"/>
      <c r="E2317" s="476"/>
      <c r="F2317" s="475"/>
      <c r="G2317" s="476"/>
      <c r="H2317" s="475"/>
      <c r="I2317" s="476"/>
    </row>
    <row r="2318" spans="2:9" x14ac:dyDescent="0.25">
      <c r="B2318" s="476"/>
      <c r="C2318" s="476"/>
      <c r="D2318" s="475"/>
      <c r="E2318" s="476"/>
      <c r="F2318" s="475"/>
      <c r="G2318" s="476"/>
      <c r="H2318" s="475"/>
      <c r="I2318" s="476"/>
    </row>
    <row r="2319" spans="2:9" x14ac:dyDescent="0.25">
      <c r="B2319" s="476"/>
      <c r="C2319" s="476"/>
      <c r="D2319" s="475"/>
      <c r="E2319" s="476"/>
      <c r="F2319" s="475"/>
      <c r="G2319" s="476"/>
      <c r="H2319" s="475"/>
      <c r="I2319" s="476"/>
    </row>
    <row r="2320" spans="2:9" x14ac:dyDescent="0.25">
      <c r="B2320" s="476"/>
      <c r="C2320" s="476"/>
      <c r="D2320" s="475"/>
      <c r="E2320" s="476"/>
      <c r="F2320" s="475"/>
      <c r="G2320" s="476"/>
      <c r="H2320" s="475"/>
      <c r="I2320" s="476"/>
    </row>
    <row r="2321" spans="2:9" x14ac:dyDescent="0.25">
      <c r="B2321" s="476"/>
      <c r="C2321" s="476"/>
      <c r="D2321" s="475"/>
      <c r="E2321" s="476"/>
      <c r="F2321" s="475"/>
      <c r="G2321" s="476"/>
      <c r="H2321" s="475"/>
      <c r="I2321" s="476"/>
    </row>
    <row r="2322" spans="2:9" x14ac:dyDescent="0.25">
      <c r="B2322" s="476"/>
      <c r="C2322" s="476"/>
      <c r="D2322" s="475"/>
      <c r="E2322" s="476"/>
      <c r="F2322" s="475"/>
      <c r="G2322" s="476"/>
      <c r="H2322" s="475"/>
      <c r="I2322" s="476"/>
    </row>
    <row r="2323" spans="2:9" x14ac:dyDescent="0.25">
      <c r="B2323" s="476"/>
      <c r="C2323" s="476"/>
      <c r="D2323" s="475"/>
      <c r="E2323" s="476"/>
      <c r="F2323" s="475"/>
      <c r="G2323" s="476"/>
      <c r="H2323" s="475"/>
      <c r="I2323" s="476"/>
    </row>
    <row r="2324" spans="2:9" x14ac:dyDescent="0.25">
      <c r="B2324" s="476"/>
      <c r="C2324" s="476"/>
      <c r="D2324" s="475"/>
      <c r="E2324" s="476"/>
      <c r="F2324" s="475"/>
      <c r="G2324" s="476"/>
      <c r="H2324" s="475"/>
      <c r="I2324" s="476"/>
    </row>
    <row r="2325" spans="2:9" x14ac:dyDescent="0.25">
      <c r="B2325" s="476"/>
      <c r="C2325" s="476"/>
      <c r="D2325" s="475"/>
      <c r="E2325" s="476"/>
      <c r="F2325" s="475"/>
      <c r="G2325" s="476"/>
      <c r="H2325" s="475"/>
      <c r="I2325" s="476"/>
    </row>
    <row r="2326" spans="2:9" x14ac:dyDescent="0.25">
      <c r="B2326" s="476"/>
      <c r="C2326" s="476"/>
      <c r="D2326" s="475"/>
      <c r="E2326" s="476"/>
      <c r="F2326" s="475"/>
      <c r="G2326" s="476"/>
      <c r="H2326" s="475"/>
      <c r="I2326" s="476"/>
    </row>
    <row r="2327" spans="2:9" x14ac:dyDescent="0.25">
      <c r="B2327" s="476"/>
      <c r="C2327" s="476"/>
      <c r="D2327" s="475"/>
      <c r="E2327" s="476"/>
      <c r="F2327" s="475"/>
      <c r="G2327" s="476"/>
      <c r="H2327" s="475"/>
      <c r="I2327" s="476"/>
    </row>
    <row r="2328" spans="2:9" x14ac:dyDescent="0.25">
      <c r="B2328" s="476"/>
      <c r="C2328" s="476"/>
      <c r="D2328" s="475"/>
      <c r="E2328" s="476"/>
      <c r="F2328" s="475"/>
      <c r="G2328" s="476"/>
      <c r="H2328" s="475"/>
      <c r="I2328" s="476"/>
    </row>
    <row r="2329" spans="2:9" x14ac:dyDescent="0.25">
      <c r="B2329" s="476"/>
      <c r="C2329" s="476"/>
      <c r="D2329" s="475"/>
      <c r="E2329" s="476"/>
      <c r="F2329" s="475"/>
      <c r="G2329" s="476"/>
      <c r="H2329" s="475"/>
      <c r="I2329" s="476"/>
    </row>
    <row r="2330" spans="2:9" x14ac:dyDescent="0.25">
      <c r="B2330" s="476"/>
      <c r="C2330" s="476"/>
      <c r="D2330" s="475"/>
      <c r="E2330" s="476"/>
      <c r="F2330" s="475"/>
      <c r="G2330" s="476"/>
      <c r="H2330" s="475"/>
      <c r="I2330" s="476"/>
    </row>
    <row r="2331" spans="2:9" x14ac:dyDescent="0.25">
      <c r="B2331" s="476"/>
      <c r="C2331" s="476"/>
      <c r="D2331" s="475"/>
      <c r="E2331" s="476"/>
      <c r="F2331" s="475"/>
      <c r="G2331" s="476"/>
      <c r="H2331" s="475"/>
      <c r="I2331" s="476"/>
    </row>
    <row r="2332" spans="2:9" x14ac:dyDescent="0.25">
      <c r="B2332" s="476"/>
      <c r="C2332" s="476"/>
      <c r="D2332" s="475"/>
      <c r="E2332" s="476"/>
      <c r="F2332" s="475"/>
      <c r="G2332" s="476"/>
      <c r="H2332" s="475"/>
      <c r="I2332" s="476"/>
    </row>
    <row r="2333" spans="2:9" x14ac:dyDescent="0.25">
      <c r="B2333" s="476"/>
      <c r="C2333" s="476"/>
      <c r="D2333" s="475"/>
      <c r="E2333" s="476"/>
      <c r="F2333" s="475"/>
      <c r="G2333" s="476"/>
      <c r="H2333" s="475"/>
      <c r="I2333" s="476"/>
    </row>
    <row r="2334" spans="2:9" x14ac:dyDescent="0.25">
      <c r="B2334" s="476"/>
      <c r="C2334" s="476"/>
      <c r="D2334" s="475"/>
      <c r="E2334" s="476"/>
      <c r="F2334" s="475"/>
      <c r="G2334" s="476"/>
      <c r="H2334" s="475"/>
      <c r="I2334" s="476"/>
    </row>
    <row r="2335" spans="2:9" x14ac:dyDescent="0.25">
      <c r="B2335" s="476"/>
      <c r="C2335" s="476"/>
      <c r="D2335" s="475"/>
      <c r="E2335" s="476"/>
      <c r="F2335" s="475"/>
      <c r="G2335" s="476"/>
      <c r="H2335" s="475"/>
      <c r="I2335" s="476"/>
    </row>
    <row r="2336" spans="2:9" x14ac:dyDescent="0.25">
      <c r="B2336" s="476"/>
      <c r="C2336" s="476"/>
      <c r="D2336" s="475"/>
      <c r="E2336" s="476"/>
      <c r="F2336" s="475"/>
      <c r="G2336" s="476"/>
      <c r="H2336" s="475"/>
      <c r="I2336" s="476"/>
    </row>
    <row r="2337" spans="2:9" x14ac:dyDescent="0.25">
      <c r="B2337" s="476"/>
      <c r="C2337" s="476"/>
      <c r="D2337" s="475"/>
      <c r="E2337" s="476"/>
      <c r="F2337" s="475"/>
      <c r="G2337" s="476"/>
      <c r="H2337" s="475"/>
      <c r="I2337" s="476"/>
    </row>
    <row r="2338" spans="2:9" x14ac:dyDescent="0.25">
      <c r="B2338" s="476"/>
      <c r="C2338" s="476"/>
      <c r="D2338" s="475"/>
      <c r="E2338" s="476"/>
      <c r="F2338" s="475"/>
      <c r="G2338" s="476"/>
      <c r="H2338" s="475"/>
      <c r="I2338" s="476"/>
    </row>
    <row r="2339" spans="2:9" x14ac:dyDescent="0.25">
      <c r="B2339" s="476"/>
      <c r="C2339" s="476"/>
      <c r="D2339" s="475"/>
      <c r="E2339" s="476"/>
      <c r="F2339" s="475"/>
      <c r="G2339" s="476"/>
      <c r="H2339" s="475"/>
      <c r="I2339" s="476"/>
    </row>
    <row r="2340" spans="2:9" x14ac:dyDescent="0.25">
      <c r="B2340" s="476"/>
      <c r="C2340" s="476"/>
      <c r="D2340" s="475"/>
      <c r="E2340" s="476"/>
      <c r="F2340" s="475"/>
      <c r="G2340" s="476"/>
      <c r="H2340" s="475"/>
      <c r="I2340" s="476"/>
    </row>
    <row r="2341" spans="2:9" x14ac:dyDescent="0.25">
      <c r="B2341" s="476"/>
      <c r="C2341" s="476"/>
      <c r="D2341" s="475"/>
      <c r="E2341" s="476"/>
      <c r="F2341" s="475"/>
      <c r="G2341" s="476"/>
      <c r="H2341" s="475"/>
      <c r="I2341" s="476"/>
    </row>
    <row r="2342" spans="2:9" x14ac:dyDescent="0.25">
      <c r="B2342" s="476"/>
      <c r="C2342" s="476"/>
      <c r="D2342" s="475"/>
      <c r="E2342" s="476"/>
      <c r="F2342" s="475"/>
      <c r="G2342" s="476"/>
      <c r="H2342" s="475"/>
      <c r="I2342" s="476"/>
    </row>
    <row r="2343" spans="2:9" x14ac:dyDescent="0.25">
      <c r="B2343" s="476"/>
      <c r="C2343" s="476"/>
      <c r="D2343" s="475"/>
      <c r="E2343" s="476"/>
      <c r="F2343" s="475"/>
      <c r="G2343" s="476"/>
      <c r="H2343" s="475"/>
      <c r="I2343" s="476"/>
    </row>
    <row r="2344" spans="2:9" x14ac:dyDescent="0.25">
      <c r="B2344" s="476"/>
      <c r="C2344" s="476"/>
      <c r="D2344" s="475"/>
      <c r="E2344" s="476"/>
      <c r="F2344" s="475"/>
      <c r="G2344" s="476"/>
      <c r="H2344" s="475"/>
      <c r="I2344" s="476"/>
    </row>
    <row r="2345" spans="2:9" x14ac:dyDescent="0.25">
      <c r="B2345" s="476"/>
      <c r="C2345" s="476"/>
      <c r="D2345" s="475"/>
      <c r="E2345" s="476"/>
      <c r="F2345" s="475"/>
      <c r="G2345" s="476"/>
      <c r="H2345" s="475"/>
      <c r="I2345" s="476"/>
    </row>
    <row r="2346" spans="2:9" x14ac:dyDescent="0.25">
      <c r="B2346" s="476"/>
      <c r="C2346" s="476"/>
      <c r="D2346" s="475"/>
      <c r="E2346" s="476"/>
      <c r="F2346" s="475"/>
      <c r="G2346" s="476"/>
      <c r="H2346" s="475"/>
      <c r="I2346" s="476"/>
    </row>
    <row r="2347" spans="2:9" x14ac:dyDescent="0.25">
      <c r="B2347" s="476"/>
      <c r="C2347" s="476"/>
      <c r="D2347" s="475"/>
      <c r="E2347" s="476"/>
      <c r="F2347" s="475"/>
      <c r="G2347" s="476"/>
      <c r="H2347" s="475"/>
      <c r="I2347" s="476"/>
    </row>
    <row r="2348" spans="2:9" x14ac:dyDescent="0.25">
      <c r="B2348" s="476"/>
      <c r="C2348" s="476"/>
      <c r="D2348" s="475"/>
      <c r="E2348" s="476"/>
      <c r="F2348" s="475"/>
      <c r="G2348" s="476"/>
      <c r="H2348" s="475"/>
      <c r="I2348" s="476"/>
    </row>
    <row r="2349" spans="2:9" x14ac:dyDescent="0.25">
      <c r="B2349" s="476"/>
      <c r="C2349" s="476"/>
      <c r="D2349" s="475"/>
      <c r="E2349" s="476"/>
      <c r="F2349" s="475"/>
      <c r="G2349" s="476"/>
      <c r="H2349" s="475"/>
      <c r="I2349" s="476"/>
    </row>
    <row r="2350" spans="2:9" x14ac:dyDescent="0.25">
      <c r="B2350" s="476"/>
      <c r="C2350" s="476"/>
      <c r="D2350" s="475"/>
      <c r="E2350" s="476"/>
      <c r="F2350" s="475"/>
      <c r="G2350" s="476"/>
      <c r="H2350" s="475"/>
      <c r="I2350" s="476"/>
    </row>
    <row r="2351" spans="2:9" x14ac:dyDescent="0.25">
      <c r="B2351" s="476"/>
      <c r="C2351" s="476"/>
      <c r="D2351" s="475"/>
      <c r="E2351" s="476"/>
      <c r="F2351" s="475"/>
      <c r="G2351" s="476"/>
      <c r="H2351" s="475"/>
      <c r="I2351" s="476"/>
    </row>
    <row r="2352" spans="2:9" x14ac:dyDescent="0.25">
      <c r="B2352" s="476"/>
      <c r="C2352" s="476"/>
      <c r="D2352" s="475"/>
      <c r="E2352" s="476"/>
      <c r="F2352" s="475"/>
      <c r="G2352" s="476"/>
      <c r="H2352" s="475"/>
      <c r="I2352" s="476"/>
    </row>
    <row r="2353" spans="2:9" x14ac:dyDescent="0.25">
      <c r="B2353" s="476"/>
      <c r="C2353" s="476"/>
      <c r="D2353" s="475"/>
      <c r="E2353" s="476"/>
      <c r="F2353" s="475"/>
      <c r="G2353" s="476"/>
      <c r="H2353" s="475"/>
      <c r="I2353" s="476"/>
    </row>
    <row r="2354" spans="2:9" x14ac:dyDescent="0.25">
      <c r="B2354" s="476"/>
      <c r="C2354" s="476"/>
      <c r="D2354" s="475"/>
      <c r="E2354" s="476"/>
      <c r="F2354" s="475"/>
      <c r="G2354" s="476"/>
      <c r="H2354" s="475"/>
      <c r="I2354" s="476"/>
    </row>
    <row r="2355" spans="2:9" x14ac:dyDescent="0.25">
      <c r="B2355" s="476"/>
      <c r="C2355" s="476"/>
      <c r="D2355" s="475"/>
      <c r="E2355" s="476"/>
      <c r="F2355" s="475"/>
      <c r="G2355" s="476"/>
      <c r="H2355" s="475"/>
      <c r="I2355" s="476"/>
    </row>
    <row r="2356" spans="2:9" x14ac:dyDescent="0.25">
      <c r="B2356" s="476"/>
      <c r="C2356" s="476"/>
      <c r="D2356" s="475"/>
      <c r="E2356" s="476"/>
      <c r="F2356" s="475"/>
      <c r="G2356" s="476"/>
      <c r="H2356" s="475"/>
      <c r="I2356" s="476"/>
    </row>
    <row r="2357" spans="2:9" x14ac:dyDescent="0.25">
      <c r="B2357" s="476"/>
      <c r="C2357" s="476"/>
      <c r="D2357" s="475"/>
      <c r="E2357" s="476"/>
      <c r="F2357" s="475"/>
      <c r="G2357" s="476"/>
      <c r="H2357" s="475"/>
      <c r="I2357" s="476"/>
    </row>
    <row r="2358" spans="2:9" x14ac:dyDescent="0.25">
      <c r="B2358" s="476"/>
      <c r="C2358" s="476"/>
      <c r="D2358" s="475"/>
      <c r="E2358" s="476"/>
      <c r="F2358" s="475"/>
      <c r="G2358" s="476"/>
      <c r="H2358" s="475"/>
      <c r="I2358" s="476"/>
    </row>
    <row r="2359" spans="2:9" x14ac:dyDescent="0.25">
      <c r="B2359" s="476"/>
      <c r="C2359" s="476"/>
      <c r="D2359" s="475"/>
      <c r="E2359" s="476"/>
      <c r="F2359" s="475"/>
      <c r="G2359" s="476"/>
      <c r="H2359" s="475"/>
      <c r="I2359" s="476"/>
    </row>
    <row r="2360" spans="2:9" x14ac:dyDescent="0.25">
      <c r="B2360" s="476"/>
      <c r="C2360" s="476"/>
      <c r="D2360" s="475"/>
      <c r="E2360" s="476"/>
      <c r="F2360" s="475"/>
      <c r="G2360" s="476"/>
      <c r="H2360" s="475"/>
      <c r="I2360" s="476"/>
    </row>
    <row r="2361" spans="2:9" x14ac:dyDescent="0.25">
      <c r="B2361" s="476"/>
      <c r="C2361" s="476"/>
      <c r="D2361" s="475"/>
      <c r="E2361" s="476"/>
      <c r="F2361" s="475"/>
      <c r="G2361" s="476"/>
      <c r="H2361" s="475"/>
      <c r="I2361" s="476"/>
    </row>
    <row r="2362" spans="2:9" x14ac:dyDescent="0.25">
      <c r="B2362" s="476"/>
      <c r="C2362" s="476"/>
      <c r="D2362" s="475"/>
      <c r="E2362" s="476"/>
      <c r="F2362" s="475"/>
      <c r="G2362" s="476"/>
      <c r="H2362" s="475"/>
      <c r="I2362" s="476"/>
    </row>
    <row r="2363" spans="2:9" x14ac:dyDescent="0.25">
      <c r="B2363" s="476"/>
      <c r="C2363" s="476"/>
      <c r="D2363" s="475"/>
      <c r="E2363" s="476"/>
      <c r="F2363" s="475"/>
      <c r="G2363" s="476"/>
      <c r="H2363" s="475"/>
      <c r="I2363" s="476"/>
    </row>
    <row r="2364" spans="2:9" x14ac:dyDescent="0.25">
      <c r="B2364" s="476"/>
      <c r="C2364" s="476"/>
      <c r="D2364" s="475"/>
      <c r="E2364" s="476"/>
      <c r="F2364" s="475"/>
      <c r="G2364" s="476"/>
      <c r="H2364" s="475"/>
      <c r="I2364" s="476"/>
    </row>
    <row r="2365" spans="2:9" x14ac:dyDescent="0.25">
      <c r="B2365" s="476"/>
      <c r="C2365" s="476"/>
      <c r="D2365" s="475"/>
      <c r="E2365" s="476"/>
      <c r="F2365" s="475"/>
      <c r="G2365" s="476"/>
      <c r="H2365" s="475"/>
      <c r="I2365" s="476"/>
    </row>
    <row r="2366" spans="2:9" x14ac:dyDescent="0.25">
      <c r="B2366" s="476"/>
      <c r="C2366" s="476"/>
      <c r="D2366" s="475"/>
      <c r="E2366" s="476"/>
      <c r="F2366" s="475"/>
      <c r="G2366" s="476"/>
      <c r="H2366" s="475"/>
      <c r="I2366" s="476"/>
    </row>
    <row r="2367" spans="2:9" x14ac:dyDescent="0.25">
      <c r="B2367" s="476"/>
      <c r="C2367" s="476"/>
      <c r="D2367" s="475"/>
      <c r="E2367" s="476"/>
      <c r="F2367" s="475"/>
      <c r="G2367" s="476"/>
      <c r="H2367" s="475"/>
      <c r="I2367" s="476"/>
    </row>
    <row r="2368" spans="2:9" x14ac:dyDescent="0.25">
      <c r="B2368" s="476"/>
      <c r="C2368" s="476"/>
      <c r="D2368" s="475"/>
      <c r="E2368" s="476"/>
      <c r="F2368" s="475"/>
      <c r="G2368" s="476"/>
      <c r="H2368" s="475"/>
      <c r="I2368" s="476"/>
    </row>
    <row r="2369" spans="2:9" x14ac:dyDescent="0.25">
      <c r="B2369" s="476"/>
      <c r="C2369" s="476"/>
      <c r="D2369" s="475"/>
      <c r="E2369" s="476"/>
      <c r="F2369" s="475"/>
      <c r="G2369" s="476"/>
      <c r="H2369" s="475"/>
      <c r="I2369" s="476"/>
    </row>
    <row r="2370" spans="2:9" x14ac:dyDescent="0.25">
      <c r="B2370" s="476"/>
      <c r="C2370" s="476"/>
      <c r="D2370" s="475"/>
      <c r="E2370" s="476"/>
      <c r="F2370" s="475"/>
      <c r="G2370" s="476"/>
      <c r="H2370" s="475"/>
      <c r="I2370" s="476"/>
    </row>
    <row r="2371" spans="2:9" x14ac:dyDescent="0.25">
      <c r="B2371" s="476"/>
      <c r="C2371" s="476"/>
      <c r="D2371" s="475"/>
      <c r="E2371" s="476"/>
      <c r="F2371" s="475"/>
      <c r="G2371" s="476"/>
      <c r="H2371" s="475"/>
      <c r="I2371" s="476"/>
    </row>
    <row r="2372" spans="2:9" x14ac:dyDescent="0.25">
      <c r="B2372" s="476"/>
      <c r="C2372" s="476"/>
      <c r="D2372" s="475"/>
      <c r="E2372" s="476"/>
      <c r="F2372" s="475"/>
      <c r="G2372" s="476"/>
      <c r="H2372" s="475"/>
      <c r="I2372" s="476"/>
    </row>
    <row r="2373" spans="2:9" x14ac:dyDescent="0.25">
      <c r="B2373" s="476"/>
      <c r="C2373" s="476"/>
      <c r="D2373" s="475"/>
      <c r="E2373" s="476"/>
      <c r="F2373" s="475"/>
      <c r="G2373" s="476"/>
      <c r="H2373" s="475"/>
      <c r="I2373" s="476"/>
    </row>
    <row r="2374" spans="2:9" x14ac:dyDescent="0.25">
      <c r="B2374" s="476"/>
      <c r="C2374" s="476"/>
      <c r="D2374" s="475"/>
      <c r="E2374" s="476"/>
      <c r="F2374" s="475"/>
      <c r="G2374" s="476"/>
      <c r="H2374" s="475"/>
      <c r="I2374" s="476"/>
    </row>
    <row r="2375" spans="2:9" x14ac:dyDescent="0.25">
      <c r="B2375" s="476"/>
      <c r="C2375" s="476"/>
      <c r="D2375" s="475"/>
      <c r="E2375" s="476"/>
      <c r="F2375" s="475"/>
      <c r="G2375" s="476"/>
      <c r="H2375" s="475"/>
      <c r="I2375" s="476"/>
    </row>
    <row r="2376" spans="2:9" x14ac:dyDescent="0.25">
      <c r="B2376" s="476"/>
      <c r="C2376" s="476"/>
      <c r="D2376" s="475"/>
      <c r="E2376" s="476"/>
      <c r="F2376" s="475"/>
      <c r="G2376" s="476"/>
      <c r="H2376" s="475"/>
      <c r="I2376" s="476"/>
    </row>
    <row r="2377" spans="2:9" x14ac:dyDescent="0.25">
      <c r="B2377" s="476"/>
      <c r="C2377" s="476"/>
      <c r="D2377" s="475"/>
      <c r="E2377" s="476"/>
      <c r="F2377" s="475"/>
      <c r="G2377" s="476"/>
      <c r="H2377" s="475"/>
      <c r="I2377" s="476"/>
    </row>
    <row r="2378" spans="2:9" x14ac:dyDescent="0.25">
      <c r="B2378" s="476"/>
      <c r="C2378" s="476"/>
      <c r="D2378" s="475"/>
      <c r="E2378" s="476"/>
      <c r="F2378" s="475"/>
      <c r="G2378" s="476"/>
      <c r="H2378" s="475"/>
      <c r="I2378" s="476"/>
    </row>
    <row r="2379" spans="2:9" x14ac:dyDescent="0.25">
      <c r="B2379" s="476"/>
      <c r="C2379" s="476"/>
      <c r="D2379" s="475"/>
      <c r="E2379" s="476"/>
      <c r="F2379" s="475"/>
      <c r="G2379" s="476"/>
      <c r="H2379" s="475"/>
      <c r="I2379" s="476"/>
    </row>
    <row r="2380" spans="2:9" x14ac:dyDescent="0.25">
      <c r="B2380" s="476"/>
      <c r="C2380" s="476"/>
      <c r="D2380" s="475"/>
      <c r="E2380" s="476"/>
      <c r="F2380" s="475"/>
      <c r="G2380" s="476"/>
      <c r="H2380" s="475"/>
      <c r="I2380" s="476"/>
    </row>
    <row r="2381" spans="2:9" x14ac:dyDescent="0.25">
      <c r="B2381" s="476"/>
      <c r="C2381" s="476"/>
      <c r="D2381" s="475"/>
      <c r="E2381" s="476"/>
      <c r="F2381" s="475"/>
      <c r="G2381" s="476"/>
      <c r="H2381" s="475"/>
      <c r="I2381" s="476"/>
    </row>
    <row r="2382" spans="2:9" x14ac:dyDescent="0.25">
      <c r="B2382" s="476"/>
      <c r="C2382" s="476"/>
      <c r="D2382" s="475"/>
      <c r="E2382" s="476"/>
      <c r="F2382" s="475"/>
      <c r="G2382" s="476"/>
      <c r="H2382" s="475"/>
      <c r="I2382" s="476"/>
    </row>
    <row r="2383" spans="2:9" x14ac:dyDescent="0.25">
      <c r="B2383" s="476"/>
      <c r="C2383" s="476"/>
      <c r="D2383" s="475"/>
      <c r="E2383" s="476"/>
      <c r="F2383" s="475"/>
      <c r="G2383" s="476"/>
      <c r="H2383" s="475"/>
      <c r="I2383" s="476"/>
    </row>
    <row r="2384" spans="2:9" x14ac:dyDescent="0.25">
      <c r="B2384" s="476"/>
      <c r="C2384" s="476"/>
      <c r="D2384" s="475"/>
      <c r="E2384" s="476"/>
      <c r="F2384" s="475"/>
      <c r="G2384" s="476"/>
      <c r="H2384" s="475"/>
      <c r="I2384" s="476"/>
    </row>
    <row r="2385" spans="2:9" x14ac:dyDescent="0.25">
      <c r="B2385" s="476"/>
      <c r="C2385" s="476"/>
      <c r="D2385" s="475"/>
      <c r="E2385" s="476"/>
      <c r="F2385" s="475"/>
      <c r="G2385" s="476"/>
      <c r="H2385" s="475"/>
      <c r="I2385" s="476"/>
    </row>
    <row r="2386" spans="2:9" x14ac:dyDescent="0.25">
      <c r="B2386" s="476"/>
      <c r="C2386" s="476"/>
      <c r="D2386" s="475"/>
      <c r="E2386" s="476"/>
      <c r="F2386" s="475"/>
      <c r="G2386" s="476"/>
      <c r="H2386" s="475"/>
      <c r="I2386" s="476"/>
    </row>
    <row r="2387" spans="2:9" x14ac:dyDescent="0.25">
      <c r="B2387" s="476"/>
      <c r="C2387" s="476"/>
      <c r="D2387" s="475"/>
      <c r="E2387" s="476"/>
      <c r="F2387" s="475"/>
      <c r="G2387" s="476"/>
      <c r="H2387" s="475"/>
      <c r="I2387" s="476"/>
    </row>
    <row r="2388" spans="2:9" x14ac:dyDescent="0.25">
      <c r="B2388" s="476"/>
      <c r="C2388" s="476"/>
      <c r="D2388" s="475"/>
      <c r="E2388" s="476"/>
      <c r="F2388" s="475"/>
      <c r="G2388" s="476"/>
      <c r="H2388" s="475"/>
      <c r="I2388" s="476"/>
    </row>
    <row r="2389" spans="2:9" x14ac:dyDescent="0.25">
      <c r="B2389" s="476"/>
      <c r="C2389" s="476"/>
      <c r="D2389" s="475"/>
      <c r="E2389" s="476"/>
      <c r="F2389" s="475"/>
      <c r="G2389" s="476"/>
      <c r="H2389" s="475"/>
      <c r="I2389" s="476"/>
    </row>
    <row r="2390" spans="2:9" x14ac:dyDescent="0.25">
      <c r="B2390" s="476"/>
      <c r="C2390" s="476"/>
      <c r="D2390" s="475"/>
      <c r="E2390" s="476"/>
      <c r="F2390" s="475"/>
      <c r="G2390" s="476"/>
      <c r="H2390" s="475"/>
      <c r="I2390" s="476"/>
    </row>
    <row r="2391" spans="2:9" x14ac:dyDescent="0.25">
      <c r="B2391" s="476"/>
      <c r="C2391" s="476"/>
      <c r="D2391" s="475"/>
      <c r="E2391" s="476"/>
      <c r="F2391" s="475"/>
      <c r="G2391" s="476"/>
      <c r="H2391" s="475"/>
      <c r="I2391" s="476"/>
    </row>
    <row r="2392" spans="2:9" x14ac:dyDescent="0.25">
      <c r="B2392" s="476"/>
      <c r="C2392" s="476"/>
      <c r="D2392" s="475"/>
      <c r="E2392" s="476"/>
      <c r="F2392" s="475"/>
      <c r="G2392" s="476"/>
      <c r="H2392" s="475"/>
      <c r="I2392" s="476"/>
    </row>
    <row r="2393" spans="2:9" x14ac:dyDescent="0.25">
      <c r="B2393" s="476"/>
      <c r="C2393" s="476"/>
      <c r="D2393" s="475"/>
      <c r="E2393" s="476"/>
      <c r="F2393" s="475"/>
      <c r="G2393" s="476"/>
      <c r="H2393" s="475"/>
      <c r="I2393" s="476"/>
    </row>
    <row r="2394" spans="2:9" x14ac:dyDescent="0.25">
      <c r="B2394" s="476"/>
      <c r="C2394" s="476"/>
      <c r="D2394" s="475"/>
      <c r="E2394" s="476"/>
      <c r="F2394" s="475"/>
      <c r="G2394" s="476"/>
      <c r="H2394" s="475"/>
      <c r="I2394" s="476"/>
    </row>
    <row r="2395" spans="2:9" x14ac:dyDescent="0.25">
      <c r="B2395" s="476"/>
      <c r="C2395" s="476"/>
      <c r="D2395" s="475"/>
      <c r="E2395" s="476"/>
      <c r="F2395" s="475"/>
      <c r="G2395" s="476"/>
      <c r="H2395" s="475"/>
      <c r="I2395" s="476"/>
    </row>
    <row r="2396" spans="2:9" x14ac:dyDescent="0.25">
      <c r="B2396" s="476"/>
      <c r="C2396" s="476"/>
      <c r="D2396" s="475"/>
      <c r="E2396" s="476"/>
      <c r="F2396" s="475"/>
      <c r="G2396" s="476"/>
      <c r="H2396" s="475"/>
      <c r="I2396" s="476"/>
    </row>
    <row r="2397" spans="2:9" x14ac:dyDescent="0.25">
      <c r="B2397" s="476"/>
      <c r="C2397" s="476"/>
      <c r="D2397" s="475"/>
      <c r="E2397" s="476"/>
      <c r="F2397" s="475"/>
      <c r="G2397" s="476"/>
      <c r="H2397" s="475"/>
      <c r="I2397" s="476"/>
    </row>
    <row r="2398" spans="2:9" x14ac:dyDescent="0.25">
      <c r="B2398" s="476"/>
      <c r="C2398" s="476"/>
      <c r="D2398" s="475"/>
      <c r="E2398" s="476"/>
      <c r="F2398" s="475"/>
      <c r="G2398" s="476"/>
      <c r="H2398" s="475"/>
      <c r="I2398" s="476"/>
    </row>
    <row r="2399" spans="2:9" x14ac:dyDescent="0.25">
      <c r="B2399" s="476"/>
      <c r="C2399" s="476"/>
      <c r="D2399" s="475"/>
      <c r="E2399" s="476"/>
      <c r="F2399" s="475"/>
      <c r="G2399" s="476"/>
      <c r="H2399" s="475"/>
      <c r="I2399" s="476"/>
    </row>
    <row r="2400" spans="2:9" x14ac:dyDescent="0.25">
      <c r="B2400" s="476"/>
      <c r="C2400" s="476"/>
      <c r="D2400" s="475"/>
      <c r="E2400" s="476"/>
      <c r="F2400" s="475"/>
      <c r="G2400" s="476"/>
      <c r="H2400" s="475"/>
      <c r="I2400" s="476"/>
    </row>
    <row r="2401" spans="2:9" x14ac:dyDescent="0.25">
      <c r="B2401" s="476"/>
      <c r="C2401" s="476"/>
      <c r="D2401" s="475"/>
      <c r="E2401" s="476"/>
      <c r="F2401" s="475"/>
      <c r="G2401" s="476"/>
      <c r="H2401" s="475"/>
      <c r="I2401" s="476"/>
    </row>
    <row r="2402" spans="2:9" x14ac:dyDescent="0.25">
      <c r="B2402" s="476"/>
      <c r="C2402" s="476"/>
      <c r="D2402" s="475"/>
      <c r="E2402" s="476"/>
      <c r="F2402" s="475"/>
      <c r="G2402" s="476"/>
      <c r="H2402" s="475"/>
      <c r="I2402" s="476"/>
    </row>
    <row r="2403" spans="2:9" x14ac:dyDescent="0.25">
      <c r="B2403" s="476"/>
      <c r="C2403" s="476"/>
      <c r="D2403" s="475"/>
      <c r="E2403" s="476"/>
      <c r="F2403" s="475"/>
      <c r="G2403" s="476"/>
      <c r="H2403" s="475"/>
      <c r="I2403" s="476"/>
    </row>
    <row r="2404" spans="2:9" x14ac:dyDescent="0.25">
      <c r="B2404" s="476"/>
      <c r="C2404" s="476"/>
      <c r="D2404" s="475"/>
      <c r="E2404" s="476"/>
      <c r="F2404" s="475"/>
      <c r="G2404" s="476"/>
      <c r="H2404" s="475"/>
      <c r="I2404" s="476"/>
    </row>
    <row r="2405" spans="2:9" x14ac:dyDescent="0.25">
      <c r="B2405" s="476"/>
      <c r="C2405" s="476"/>
      <c r="D2405" s="475"/>
      <c r="E2405" s="476"/>
      <c r="F2405" s="475"/>
      <c r="G2405" s="476"/>
      <c r="H2405" s="475"/>
      <c r="I2405" s="476"/>
    </row>
    <row r="2406" spans="2:9" x14ac:dyDescent="0.25">
      <c r="B2406" s="476"/>
      <c r="C2406" s="476"/>
      <c r="D2406" s="475"/>
      <c r="E2406" s="476"/>
      <c r="F2406" s="475"/>
      <c r="G2406" s="476"/>
      <c r="H2406" s="475"/>
      <c r="I2406" s="476"/>
    </row>
    <row r="2407" spans="2:9" x14ac:dyDescent="0.25">
      <c r="B2407" s="476"/>
      <c r="C2407" s="476"/>
      <c r="D2407" s="475"/>
      <c r="E2407" s="476"/>
      <c r="F2407" s="475"/>
      <c r="G2407" s="476"/>
      <c r="H2407" s="475"/>
      <c r="I2407" s="476"/>
    </row>
    <row r="2408" spans="2:9" x14ac:dyDescent="0.25">
      <c r="B2408" s="476"/>
      <c r="C2408" s="476"/>
      <c r="D2408" s="475"/>
      <c r="E2408" s="476"/>
      <c r="F2408" s="475"/>
      <c r="G2408" s="476"/>
      <c r="H2408" s="475"/>
      <c r="I2408" s="476"/>
    </row>
    <row r="2409" spans="2:9" x14ac:dyDescent="0.25">
      <c r="B2409" s="476"/>
      <c r="C2409" s="476"/>
      <c r="D2409" s="475"/>
      <c r="E2409" s="476"/>
      <c r="F2409" s="475"/>
      <c r="G2409" s="476"/>
      <c r="H2409" s="475"/>
      <c r="I2409" s="476"/>
    </row>
    <row r="2410" spans="2:9" x14ac:dyDescent="0.25">
      <c r="B2410" s="476"/>
      <c r="C2410" s="476"/>
      <c r="D2410" s="475"/>
      <c r="E2410" s="476"/>
      <c r="F2410" s="475"/>
      <c r="G2410" s="476"/>
      <c r="H2410" s="475"/>
      <c r="I2410" s="476"/>
    </row>
    <row r="2411" spans="2:9" x14ac:dyDescent="0.25">
      <c r="B2411" s="476"/>
      <c r="C2411" s="476"/>
      <c r="D2411" s="475"/>
      <c r="E2411" s="476"/>
      <c r="F2411" s="475"/>
      <c r="G2411" s="476"/>
      <c r="H2411" s="475"/>
      <c r="I2411" s="476"/>
    </row>
    <row r="2412" spans="2:9" x14ac:dyDescent="0.25">
      <c r="B2412" s="476"/>
      <c r="C2412" s="476"/>
      <c r="D2412" s="475"/>
      <c r="E2412" s="476"/>
      <c r="F2412" s="475"/>
      <c r="G2412" s="476"/>
      <c r="H2412" s="475"/>
      <c r="I2412" s="476"/>
    </row>
    <row r="2413" spans="2:9" x14ac:dyDescent="0.25">
      <c r="B2413" s="476"/>
      <c r="C2413" s="476"/>
      <c r="D2413" s="475"/>
      <c r="E2413" s="476"/>
      <c r="F2413" s="475"/>
      <c r="G2413" s="476"/>
      <c r="H2413" s="475"/>
      <c r="I2413" s="476"/>
    </row>
    <row r="2414" spans="2:9" x14ac:dyDescent="0.25">
      <c r="B2414" s="476"/>
      <c r="C2414" s="476"/>
      <c r="D2414" s="475"/>
      <c r="E2414" s="476"/>
      <c r="F2414" s="475"/>
      <c r="G2414" s="476"/>
      <c r="H2414" s="475"/>
      <c r="I2414" s="476"/>
    </row>
    <row r="2415" spans="2:9" x14ac:dyDescent="0.25">
      <c r="B2415" s="476"/>
      <c r="C2415" s="476"/>
      <c r="D2415" s="475"/>
      <c r="E2415" s="476"/>
      <c r="F2415" s="475"/>
      <c r="G2415" s="476"/>
      <c r="H2415" s="475"/>
      <c r="I2415" s="476"/>
    </row>
    <row r="2416" spans="2:9" x14ac:dyDescent="0.25">
      <c r="B2416" s="476"/>
      <c r="C2416" s="476"/>
      <c r="D2416" s="475"/>
      <c r="E2416" s="476"/>
      <c r="F2416" s="475"/>
      <c r="G2416" s="476"/>
      <c r="H2416" s="475"/>
      <c r="I2416" s="476"/>
    </row>
    <row r="2417" spans="2:9" x14ac:dyDescent="0.25">
      <c r="B2417" s="476"/>
      <c r="C2417" s="476"/>
      <c r="D2417" s="475"/>
      <c r="E2417" s="476"/>
      <c r="F2417" s="475"/>
      <c r="G2417" s="476"/>
      <c r="H2417" s="475"/>
      <c r="I2417" s="476"/>
    </row>
    <row r="2418" spans="2:9" x14ac:dyDescent="0.25">
      <c r="B2418" s="476"/>
      <c r="C2418" s="476"/>
      <c r="D2418" s="475"/>
      <c r="E2418" s="476"/>
      <c r="F2418" s="475"/>
      <c r="G2418" s="476"/>
      <c r="H2418" s="475"/>
      <c r="I2418" s="476"/>
    </row>
    <row r="2419" spans="2:9" x14ac:dyDescent="0.25">
      <c r="B2419" s="476"/>
      <c r="C2419" s="476"/>
      <c r="D2419" s="475"/>
      <c r="E2419" s="476"/>
      <c r="F2419" s="475"/>
      <c r="G2419" s="476"/>
      <c r="H2419" s="475"/>
      <c r="I2419" s="476"/>
    </row>
    <row r="2420" spans="2:9" x14ac:dyDescent="0.25">
      <c r="B2420" s="476"/>
      <c r="C2420" s="476"/>
      <c r="D2420" s="475"/>
      <c r="E2420" s="476"/>
      <c r="F2420" s="475"/>
      <c r="G2420" s="476"/>
      <c r="H2420" s="475"/>
      <c r="I2420" s="476"/>
    </row>
    <row r="2421" spans="2:9" x14ac:dyDescent="0.25">
      <c r="B2421" s="476"/>
      <c r="C2421" s="476"/>
      <c r="D2421" s="475"/>
      <c r="E2421" s="476"/>
      <c r="F2421" s="475"/>
      <c r="G2421" s="476"/>
      <c r="H2421" s="475"/>
      <c r="I2421" s="476"/>
    </row>
    <row r="2422" spans="2:9" x14ac:dyDescent="0.25">
      <c r="B2422" s="476"/>
      <c r="C2422" s="476"/>
      <c r="D2422" s="475"/>
      <c r="E2422" s="476"/>
      <c r="F2422" s="475"/>
      <c r="G2422" s="476"/>
      <c r="H2422" s="475"/>
      <c r="I2422" s="476"/>
    </row>
    <row r="2423" spans="2:9" x14ac:dyDescent="0.25">
      <c r="B2423" s="476"/>
      <c r="C2423" s="476"/>
      <c r="D2423" s="475"/>
      <c r="E2423" s="476"/>
      <c r="F2423" s="475"/>
      <c r="G2423" s="476"/>
      <c r="H2423" s="475"/>
      <c r="I2423" s="476"/>
    </row>
    <row r="2424" spans="2:9" x14ac:dyDescent="0.25">
      <c r="B2424" s="476"/>
      <c r="C2424" s="476"/>
      <c r="D2424" s="475"/>
      <c r="E2424" s="476"/>
      <c r="F2424" s="475"/>
      <c r="G2424" s="476"/>
      <c r="H2424" s="475"/>
      <c r="I2424" s="476"/>
    </row>
    <row r="2425" spans="2:9" x14ac:dyDescent="0.25">
      <c r="B2425" s="476"/>
      <c r="C2425" s="476"/>
      <c r="D2425" s="475"/>
      <c r="E2425" s="476"/>
      <c r="F2425" s="475"/>
      <c r="G2425" s="476"/>
      <c r="H2425" s="475"/>
      <c r="I2425" s="476"/>
    </row>
    <row r="2426" spans="2:9" x14ac:dyDescent="0.25">
      <c r="B2426" s="476"/>
      <c r="C2426" s="476"/>
      <c r="D2426" s="475"/>
      <c r="E2426" s="476"/>
      <c r="F2426" s="475"/>
      <c r="G2426" s="476"/>
      <c r="H2426" s="475"/>
      <c r="I2426" s="476"/>
    </row>
    <row r="2427" spans="2:9" x14ac:dyDescent="0.25">
      <c r="B2427" s="476"/>
      <c r="C2427" s="476"/>
      <c r="D2427" s="475"/>
      <c r="E2427" s="476"/>
      <c r="F2427" s="475"/>
      <c r="G2427" s="476"/>
      <c r="H2427" s="475"/>
      <c r="I2427" s="476"/>
    </row>
    <row r="2428" spans="2:9" x14ac:dyDescent="0.25">
      <c r="B2428" s="476"/>
      <c r="C2428" s="476"/>
      <c r="D2428" s="475"/>
      <c r="E2428" s="476"/>
      <c r="F2428" s="475"/>
      <c r="G2428" s="476"/>
      <c r="H2428" s="475"/>
      <c r="I2428" s="476"/>
    </row>
    <row r="2429" spans="2:9" x14ac:dyDescent="0.25">
      <c r="B2429" s="476"/>
      <c r="C2429" s="476"/>
      <c r="D2429" s="475"/>
      <c r="E2429" s="476"/>
      <c r="F2429" s="475"/>
      <c r="G2429" s="476"/>
      <c r="H2429" s="475"/>
      <c r="I2429" s="476"/>
    </row>
    <row r="2430" spans="2:9" x14ac:dyDescent="0.25">
      <c r="B2430" s="476"/>
      <c r="C2430" s="476"/>
      <c r="D2430" s="475"/>
      <c r="E2430" s="476"/>
      <c r="F2430" s="475"/>
      <c r="G2430" s="476"/>
      <c r="H2430" s="475"/>
      <c r="I2430" s="476"/>
    </row>
    <row r="2431" spans="2:9" x14ac:dyDescent="0.25">
      <c r="B2431" s="476"/>
      <c r="C2431" s="476"/>
      <c r="D2431" s="475"/>
      <c r="E2431" s="476"/>
      <c r="F2431" s="475"/>
      <c r="G2431" s="476"/>
      <c r="H2431" s="475"/>
      <c r="I2431" s="476"/>
    </row>
    <row r="2432" spans="2:9" x14ac:dyDescent="0.25">
      <c r="B2432" s="476"/>
      <c r="C2432" s="476"/>
      <c r="D2432" s="475"/>
      <c r="E2432" s="476"/>
      <c r="F2432" s="475"/>
      <c r="G2432" s="476"/>
      <c r="H2432" s="475"/>
      <c r="I2432" s="476"/>
    </row>
    <row r="2433" spans="2:9" x14ac:dyDescent="0.25">
      <c r="B2433" s="476"/>
      <c r="C2433" s="476"/>
      <c r="D2433" s="475"/>
      <c r="E2433" s="476"/>
      <c r="F2433" s="475"/>
      <c r="G2433" s="476"/>
      <c r="H2433" s="475"/>
      <c r="I2433" s="476"/>
    </row>
    <row r="2434" spans="2:9" x14ac:dyDescent="0.25">
      <c r="B2434" s="476"/>
      <c r="C2434" s="476"/>
      <c r="D2434" s="475"/>
      <c r="E2434" s="476"/>
      <c r="F2434" s="475"/>
      <c r="G2434" s="476"/>
      <c r="H2434" s="475"/>
      <c r="I2434" s="476"/>
    </row>
    <row r="2435" spans="2:9" x14ac:dyDescent="0.25">
      <c r="B2435" s="476"/>
      <c r="C2435" s="476"/>
      <c r="D2435" s="475"/>
      <c r="E2435" s="476"/>
      <c r="F2435" s="475"/>
      <c r="G2435" s="476"/>
      <c r="H2435" s="475"/>
      <c r="I2435" s="476"/>
    </row>
    <row r="2436" spans="2:9" x14ac:dyDescent="0.25">
      <c r="B2436" s="476"/>
      <c r="C2436" s="476"/>
      <c r="D2436" s="475"/>
      <c r="E2436" s="476"/>
      <c r="F2436" s="475"/>
      <c r="G2436" s="476"/>
      <c r="H2436" s="475"/>
      <c r="I2436" s="476"/>
    </row>
    <row r="2437" spans="2:9" x14ac:dyDescent="0.25">
      <c r="B2437" s="476"/>
      <c r="C2437" s="476"/>
      <c r="D2437" s="475"/>
      <c r="E2437" s="476"/>
      <c r="F2437" s="475"/>
      <c r="G2437" s="476"/>
      <c r="H2437" s="475"/>
      <c r="I2437" s="476"/>
    </row>
    <row r="2438" spans="2:9" x14ac:dyDescent="0.25">
      <c r="B2438" s="476"/>
      <c r="C2438" s="476"/>
      <c r="D2438" s="475"/>
      <c r="E2438" s="476"/>
      <c r="F2438" s="475"/>
      <c r="G2438" s="476"/>
      <c r="H2438" s="475"/>
      <c r="I2438" s="476"/>
    </row>
    <row r="2439" spans="2:9" x14ac:dyDescent="0.25">
      <c r="B2439" s="476"/>
      <c r="C2439" s="476"/>
      <c r="D2439" s="475"/>
      <c r="E2439" s="476"/>
      <c r="F2439" s="475"/>
      <c r="G2439" s="476"/>
      <c r="H2439" s="475"/>
      <c r="I2439" s="476"/>
    </row>
    <row r="2440" spans="2:9" x14ac:dyDescent="0.25">
      <c r="B2440" s="476"/>
      <c r="C2440" s="476"/>
      <c r="D2440" s="475"/>
      <c r="E2440" s="476"/>
      <c r="F2440" s="475"/>
      <c r="G2440" s="476"/>
      <c r="H2440" s="475"/>
      <c r="I2440" s="476"/>
    </row>
    <row r="2441" spans="2:9" x14ac:dyDescent="0.25">
      <c r="B2441" s="476"/>
      <c r="C2441" s="476"/>
      <c r="D2441" s="475"/>
      <c r="E2441" s="476"/>
      <c r="F2441" s="475"/>
      <c r="G2441" s="476"/>
      <c r="H2441" s="475"/>
      <c r="I2441" s="476"/>
    </row>
    <row r="2442" spans="2:9" x14ac:dyDescent="0.25">
      <c r="B2442" s="476"/>
      <c r="C2442" s="476"/>
      <c r="D2442" s="475"/>
      <c r="E2442" s="476"/>
      <c r="F2442" s="475"/>
      <c r="G2442" s="476"/>
      <c r="H2442" s="475"/>
      <c r="I2442" s="476"/>
    </row>
    <row r="2443" spans="2:9" x14ac:dyDescent="0.25">
      <c r="B2443" s="476"/>
      <c r="C2443" s="476"/>
      <c r="D2443" s="475"/>
      <c r="E2443" s="476"/>
      <c r="F2443" s="475"/>
      <c r="G2443" s="476"/>
      <c r="H2443" s="475"/>
      <c r="I2443" s="476"/>
    </row>
    <row r="2444" spans="2:9" x14ac:dyDescent="0.25">
      <c r="B2444" s="476"/>
      <c r="C2444" s="476"/>
      <c r="D2444" s="475"/>
      <c r="E2444" s="476"/>
      <c r="F2444" s="475"/>
      <c r="G2444" s="476"/>
      <c r="H2444" s="475"/>
      <c r="I2444" s="476"/>
    </row>
    <row r="2445" spans="2:9" x14ac:dyDescent="0.25">
      <c r="B2445" s="476"/>
      <c r="C2445" s="476"/>
      <c r="D2445" s="475"/>
      <c r="E2445" s="476"/>
      <c r="F2445" s="475"/>
      <c r="G2445" s="476"/>
      <c r="H2445" s="475"/>
      <c r="I2445" s="476"/>
    </row>
    <row r="2446" spans="2:9" x14ac:dyDescent="0.25">
      <c r="B2446" s="476"/>
      <c r="C2446" s="476"/>
      <c r="D2446" s="475"/>
      <c r="E2446" s="476"/>
      <c r="F2446" s="475"/>
      <c r="G2446" s="476"/>
      <c r="H2446" s="475"/>
      <c r="I2446" s="476"/>
    </row>
    <row r="2447" spans="2:9" x14ac:dyDescent="0.25">
      <c r="B2447" s="476"/>
      <c r="C2447" s="476"/>
      <c r="D2447" s="475"/>
      <c r="E2447" s="476"/>
      <c r="F2447" s="475"/>
      <c r="G2447" s="476"/>
      <c r="H2447" s="475"/>
      <c r="I2447" s="476"/>
    </row>
    <row r="2448" spans="2:9" x14ac:dyDescent="0.25">
      <c r="B2448" s="476"/>
      <c r="C2448" s="476"/>
      <c r="D2448" s="475"/>
      <c r="E2448" s="476"/>
      <c r="F2448" s="475"/>
      <c r="G2448" s="476"/>
      <c r="H2448" s="475"/>
      <c r="I2448" s="476"/>
    </row>
    <row r="2449" spans="2:9" x14ac:dyDescent="0.25">
      <c r="B2449" s="476"/>
      <c r="C2449" s="476"/>
      <c r="D2449" s="475"/>
      <c r="E2449" s="476"/>
      <c r="F2449" s="475"/>
      <c r="G2449" s="476"/>
      <c r="H2449" s="475"/>
      <c r="I2449" s="476"/>
    </row>
    <row r="2450" spans="2:9" x14ac:dyDescent="0.25">
      <c r="B2450" s="476"/>
      <c r="C2450" s="476"/>
      <c r="D2450" s="475"/>
      <c r="E2450" s="476"/>
      <c r="F2450" s="475"/>
      <c r="G2450" s="476"/>
      <c r="H2450" s="475"/>
      <c r="I2450" s="476"/>
    </row>
    <row r="2451" spans="2:9" x14ac:dyDescent="0.25">
      <c r="B2451" s="476"/>
      <c r="C2451" s="476"/>
      <c r="D2451" s="475"/>
      <c r="E2451" s="476"/>
      <c r="F2451" s="475"/>
      <c r="G2451" s="476"/>
      <c r="H2451" s="475"/>
      <c r="I2451" s="476"/>
    </row>
    <row r="2452" spans="2:9" x14ac:dyDescent="0.25">
      <c r="B2452" s="476"/>
      <c r="C2452" s="476"/>
      <c r="D2452" s="475"/>
      <c r="E2452" s="476"/>
      <c r="F2452" s="475"/>
      <c r="G2452" s="476"/>
      <c r="H2452" s="475"/>
      <c r="I2452" s="476"/>
    </row>
    <row r="2453" spans="2:9" x14ac:dyDescent="0.25">
      <c r="B2453" s="476"/>
      <c r="C2453" s="476"/>
      <c r="D2453" s="475"/>
      <c r="E2453" s="476"/>
      <c r="F2453" s="475"/>
      <c r="G2453" s="476"/>
      <c r="H2453" s="475"/>
      <c r="I2453" s="476"/>
    </row>
    <row r="2454" spans="2:9" x14ac:dyDescent="0.25">
      <c r="B2454" s="476"/>
      <c r="C2454" s="476"/>
      <c r="D2454" s="475"/>
      <c r="E2454" s="476"/>
      <c r="F2454" s="475"/>
      <c r="G2454" s="476"/>
      <c r="H2454" s="475"/>
      <c r="I2454" s="476"/>
    </row>
    <row r="2455" spans="2:9" x14ac:dyDescent="0.25">
      <c r="B2455" s="476"/>
      <c r="C2455" s="476"/>
      <c r="D2455" s="475"/>
      <c r="E2455" s="476"/>
      <c r="F2455" s="475"/>
      <c r="G2455" s="476"/>
      <c r="H2455" s="475"/>
      <c r="I2455" s="476"/>
    </row>
    <row r="2456" spans="2:9" x14ac:dyDescent="0.25">
      <c r="B2456" s="476"/>
      <c r="C2456" s="476"/>
      <c r="D2456" s="475"/>
      <c r="E2456" s="476"/>
      <c r="F2456" s="475"/>
      <c r="G2456" s="476"/>
      <c r="H2456" s="475"/>
      <c r="I2456" s="476"/>
    </row>
    <row r="2457" spans="2:9" x14ac:dyDescent="0.25">
      <c r="B2457" s="476"/>
      <c r="C2457" s="476"/>
      <c r="D2457" s="475"/>
      <c r="E2457" s="476"/>
      <c r="F2457" s="475"/>
      <c r="G2457" s="476"/>
      <c r="H2457" s="475"/>
      <c r="I2457" s="476"/>
    </row>
    <row r="2458" spans="2:9" x14ac:dyDescent="0.25">
      <c r="B2458" s="476"/>
      <c r="C2458" s="476"/>
      <c r="D2458" s="475"/>
      <c r="E2458" s="476"/>
      <c r="F2458" s="475"/>
      <c r="G2458" s="476"/>
      <c r="H2458" s="475"/>
      <c r="I2458" s="476"/>
    </row>
    <row r="2459" spans="2:9" x14ac:dyDescent="0.25">
      <c r="B2459" s="476"/>
      <c r="C2459" s="476"/>
      <c r="D2459" s="475"/>
      <c r="E2459" s="476"/>
      <c r="F2459" s="475"/>
      <c r="G2459" s="476"/>
      <c r="H2459" s="475"/>
      <c r="I2459" s="476"/>
    </row>
    <row r="2460" spans="2:9" x14ac:dyDescent="0.25">
      <c r="B2460" s="476"/>
      <c r="C2460" s="476"/>
      <c r="D2460" s="475"/>
      <c r="E2460" s="476"/>
      <c r="F2460" s="475"/>
      <c r="G2460" s="476"/>
      <c r="H2460" s="475"/>
      <c r="I2460" s="476"/>
    </row>
    <row r="2461" spans="2:9" x14ac:dyDescent="0.25">
      <c r="B2461" s="476"/>
      <c r="C2461" s="476"/>
      <c r="D2461" s="475"/>
      <c r="E2461" s="476"/>
      <c r="F2461" s="475"/>
      <c r="G2461" s="476"/>
      <c r="H2461" s="475"/>
      <c r="I2461" s="476"/>
    </row>
    <row r="2462" spans="2:9" x14ac:dyDescent="0.25">
      <c r="B2462" s="476"/>
      <c r="C2462" s="476"/>
      <c r="D2462" s="475"/>
      <c r="E2462" s="476"/>
      <c r="F2462" s="475"/>
      <c r="G2462" s="476"/>
      <c r="H2462" s="475"/>
      <c r="I2462" s="476"/>
    </row>
    <row r="2463" spans="2:9" x14ac:dyDescent="0.25">
      <c r="B2463" s="476"/>
      <c r="C2463" s="476"/>
      <c r="D2463" s="475"/>
      <c r="E2463" s="476"/>
      <c r="F2463" s="475"/>
      <c r="G2463" s="476"/>
      <c r="H2463" s="475"/>
      <c r="I2463" s="476"/>
    </row>
    <row r="2464" spans="2:9" x14ac:dyDescent="0.25">
      <c r="B2464" s="476"/>
      <c r="C2464" s="476"/>
      <c r="D2464" s="475"/>
      <c r="E2464" s="476"/>
      <c r="F2464" s="475"/>
      <c r="G2464" s="476"/>
      <c r="H2464" s="475"/>
      <c r="I2464" s="476"/>
    </row>
    <row r="2465" spans="2:9" x14ac:dyDescent="0.25">
      <c r="B2465" s="476"/>
      <c r="C2465" s="476"/>
      <c r="D2465" s="475"/>
      <c r="E2465" s="476"/>
      <c r="F2465" s="475"/>
      <c r="G2465" s="476"/>
      <c r="H2465" s="475"/>
      <c r="I2465" s="476"/>
    </row>
    <row r="2466" spans="2:9" x14ac:dyDescent="0.25">
      <c r="B2466" s="476"/>
      <c r="C2466" s="476"/>
      <c r="D2466" s="475"/>
      <c r="E2466" s="476"/>
      <c r="F2466" s="475"/>
      <c r="G2466" s="476"/>
      <c r="H2466" s="475"/>
      <c r="I2466" s="476"/>
    </row>
    <row r="2467" spans="2:9" x14ac:dyDescent="0.25">
      <c r="B2467" s="476"/>
      <c r="C2467" s="476"/>
      <c r="D2467" s="475"/>
      <c r="E2467" s="476"/>
      <c r="F2467" s="475"/>
      <c r="G2467" s="476"/>
      <c r="H2467" s="475"/>
      <c r="I2467" s="476"/>
    </row>
    <row r="2468" spans="2:9" x14ac:dyDescent="0.25">
      <c r="B2468" s="476"/>
      <c r="C2468" s="476"/>
      <c r="D2468" s="475"/>
      <c r="E2468" s="476"/>
      <c r="F2468" s="475"/>
      <c r="G2468" s="476"/>
      <c r="H2468" s="475"/>
      <c r="I2468" s="476"/>
    </row>
    <row r="2469" spans="2:9" x14ac:dyDescent="0.25">
      <c r="B2469" s="476"/>
      <c r="C2469" s="476"/>
      <c r="D2469" s="475"/>
      <c r="E2469" s="476"/>
      <c r="F2469" s="475"/>
      <c r="G2469" s="476"/>
      <c r="H2469" s="475"/>
      <c r="I2469" s="476"/>
    </row>
    <row r="2470" spans="2:9" x14ac:dyDescent="0.25">
      <c r="B2470" s="476"/>
      <c r="C2470" s="476"/>
      <c r="D2470" s="475"/>
      <c r="E2470" s="476"/>
      <c r="F2470" s="475"/>
      <c r="G2470" s="476"/>
      <c r="H2470" s="475"/>
      <c r="I2470" s="476"/>
    </row>
    <row r="2471" spans="2:9" x14ac:dyDescent="0.25">
      <c r="B2471" s="476"/>
      <c r="C2471" s="476"/>
      <c r="D2471" s="475"/>
      <c r="E2471" s="476"/>
      <c r="F2471" s="475"/>
      <c r="G2471" s="476"/>
      <c r="H2471" s="475"/>
      <c r="I2471" s="476"/>
    </row>
    <row r="2472" spans="2:9" x14ac:dyDescent="0.25">
      <c r="B2472" s="476"/>
      <c r="C2472" s="476"/>
      <c r="D2472" s="475"/>
      <c r="E2472" s="476"/>
      <c r="F2472" s="475"/>
      <c r="G2472" s="476"/>
      <c r="H2472" s="475"/>
      <c r="I2472" s="476"/>
    </row>
    <row r="2473" spans="2:9" x14ac:dyDescent="0.25">
      <c r="B2473" s="476"/>
      <c r="C2473" s="476"/>
      <c r="D2473" s="475"/>
      <c r="E2473" s="476"/>
      <c r="F2473" s="475"/>
      <c r="G2473" s="476"/>
      <c r="H2473" s="475"/>
      <c r="I2473" s="476"/>
    </row>
    <row r="2474" spans="2:9" x14ac:dyDescent="0.25">
      <c r="B2474" s="476"/>
      <c r="C2474" s="476"/>
      <c r="D2474" s="475"/>
      <c r="E2474" s="476"/>
      <c r="F2474" s="475"/>
      <c r="G2474" s="476"/>
      <c r="H2474" s="475"/>
      <c r="I2474" s="476"/>
    </row>
    <row r="2475" spans="2:9" x14ac:dyDescent="0.25">
      <c r="B2475" s="476"/>
      <c r="C2475" s="476"/>
      <c r="D2475" s="475"/>
      <c r="E2475" s="476"/>
      <c r="F2475" s="475"/>
      <c r="G2475" s="476"/>
      <c r="H2475" s="475"/>
      <c r="I2475" s="476"/>
    </row>
    <row r="2476" spans="2:9" x14ac:dyDescent="0.25">
      <c r="B2476" s="476"/>
      <c r="C2476" s="476"/>
      <c r="D2476" s="475"/>
      <c r="E2476" s="476"/>
      <c r="F2476" s="475"/>
      <c r="G2476" s="476"/>
      <c r="H2476" s="475"/>
      <c r="I2476" s="476"/>
    </row>
    <row r="2477" spans="2:9" x14ac:dyDescent="0.25">
      <c r="B2477" s="476"/>
      <c r="C2477" s="476"/>
      <c r="D2477" s="475"/>
      <c r="E2477" s="476"/>
      <c r="F2477" s="475"/>
      <c r="G2477" s="476"/>
      <c r="H2477" s="475"/>
      <c r="I2477" s="476"/>
    </row>
    <row r="2478" spans="2:9" x14ac:dyDescent="0.25">
      <c r="B2478" s="476"/>
      <c r="C2478" s="476"/>
      <c r="D2478" s="475"/>
      <c r="E2478" s="476"/>
      <c r="F2478" s="475"/>
      <c r="G2478" s="476"/>
      <c r="H2478" s="475"/>
      <c r="I2478" s="476"/>
    </row>
    <row r="2479" spans="2:9" x14ac:dyDescent="0.25">
      <c r="B2479" s="476"/>
      <c r="C2479" s="476"/>
      <c r="D2479" s="475"/>
      <c r="E2479" s="476"/>
      <c r="F2479" s="475"/>
      <c r="G2479" s="476"/>
      <c r="H2479" s="475"/>
      <c r="I2479" s="476"/>
    </row>
    <row r="2480" spans="2:9" x14ac:dyDescent="0.25">
      <c r="B2480" s="476"/>
      <c r="C2480" s="476"/>
      <c r="D2480" s="475"/>
      <c r="E2480" s="476"/>
      <c r="F2480" s="475"/>
      <c r="G2480" s="476"/>
      <c r="H2480" s="475"/>
      <c r="I2480" s="476"/>
    </row>
    <row r="2481" spans="2:9" x14ac:dyDescent="0.25">
      <c r="B2481" s="476"/>
      <c r="C2481" s="476"/>
      <c r="D2481" s="475"/>
      <c r="E2481" s="476"/>
      <c r="F2481" s="475"/>
      <c r="G2481" s="476"/>
      <c r="H2481" s="475"/>
      <c r="I2481" s="476"/>
    </row>
    <row r="2482" spans="2:9" x14ac:dyDescent="0.25">
      <c r="B2482" s="476"/>
      <c r="C2482" s="476"/>
      <c r="D2482" s="475"/>
      <c r="E2482" s="476"/>
      <c r="F2482" s="475"/>
      <c r="G2482" s="476"/>
      <c r="H2482" s="475"/>
      <c r="I2482" s="476"/>
    </row>
    <row r="2483" spans="2:9" x14ac:dyDescent="0.25">
      <c r="B2483" s="476"/>
      <c r="C2483" s="476"/>
      <c r="D2483" s="475"/>
      <c r="E2483" s="476"/>
      <c r="F2483" s="475"/>
      <c r="G2483" s="476"/>
      <c r="H2483" s="475"/>
      <c r="I2483" s="476"/>
    </row>
    <row r="2484" spans="2:9" x14ac:dyDescent="0.25">
      <c r="B2484" s="476"/>
      <c r="C2484" s="476"/>
      <c r="D2484" s="475"/>
      <c r="E2484" s="476"/>
      <c r="F2484" s="475"/>
      <c r="G2484" s="476"/>
      <c r="H2484" s="475"/>
      <c r="I2484" s="476"/>
    </row>
    <row r="2485" spans="2:9" x14ac:dyDescent="0.25">
      <c r="B2485" s="476"/>
      <c r="C2485" s="476"/>
      <c r="D2485" s="475"/>
      <c r="E2485" s="476"/>
      <c r="F2485" s="475"/>
      <c r="G2485" s="476"/>
      <c r="H2485" s="475"/>
      <c r="I2485" s="476"/>
    </row>
    <row r="2486" spans="2:9" x14ac:dyDescent="0.25">
      <c r="B2486" s="476"/>
      <c r="C2486" s="476"/>
      <c r="D2486" s="475"/>
      <c r="E2486" s="476"/>
      <c r="F2486" s="475"/>
      <c r="G2486" s="476"/>
      <c r="H2486" s="475"/>
      <c r="I2486" s="476"/>
    </row>
    <row r="2487" spans="2:9" x14ac:dyDescent="0.25">
      <c r="B2487" s="476"/>
      <c r="C2487" s="476"/>
      <c r="D2487" s="475"/>
      <c r="E2487" s="476"/>
      <c r="F2487" s="475"/>
      <c r="G2487" s="476"/>
      <c r="H2487" s="475"/>
      <c r="I2487" s="476"/>
    </row>
    <row r="2488" spans="2:9" x14ac:dyDescent="0.25">
      <c r="B2488" s="476"/>
      <c r="C2488" s="476"/>
      <c r="D2488" s="475"/>
      <c r="E2488" s="476"/>
      <c r="F2488" s="475"/>
      <c r="G2488" s="476"/>
      <c r="H2488" s="475"/>
      <c r="I2488" s="476"/>
    </row>
    <row r="2489" spans="2:9" x14ac:dyDescent="0.25">
      <c r="B2489" s="476"/>
      <c r="C2489" s="476"/>
      <c r="D2489" s="475"/>
      <c r="E2489" s="476"/>
      <c r="F2489" s="475"/>
      <c r="G2489" s="476"/>
      <c r="H2489" s="475"/>
      <c r="I2489" s="476"/>
    </row>
    <row r="2490" spans="2:9" x14ac:dyDescent="0.25">
      <c r="B2490" s="476"/>
      <c r="C2490" s="476"/>
      <c r="D2490" s="475"/>
      <c r="E2490" s="476"/>
      <c r="F2490" s="475"/>
      <c r="G2490" s="476"/>
      <c r="H2490" s="475"/>
      <c r="I2490" s="476"/>
    </row>
    <row r="2491" spans="2:9" x14ac:dyDescent="0.25">
      <c r="B2491" s="476"/>
      <c r="C2491" s="476"/>
      <c r="D2491" s="475"/>
      <c r="E2491" s="476"/>
      <c r="F2491" s="475"/>
      <c r="G2491" s="476"/>
      <c r="H2491" s="475"/>
      <c r="I2491" s="476"/>
    </row>
    <row r="2492" spans="2:9" x14ac:dyDescent="0.25">
      <c r="B2492" s="476"/>
      <c r="C2492" s="476"/>
      <c r="D2492" s="475"/>
      <c r="E2492" s="476"/>
      <c r="F2492" s="475"/>
      <c r="G2492" s="476"/>
      <c r="H2492" s="475"/>
      <c r="I2492" s="476"/>
    </row>
    <row r="2493" spans="2:9" x14ac:dyDescent="0.25">
      <c r="B2493" s="476"/>
      <c r="C2493" s="476"/>
      <c r="D2493" s="475"/>
      <c r="E2493" s="476"/>
      <c r="F2493" s="475"/>
      <c r="G2493" s="476"/>
      <c r="H2493" s="475"/>
      <c r="I2493" s="476"/>
    </row>
    <row r="2494" spans="2:9" x14ac:dyDescent="0.25">
      <c r="B2494" s="476"/>
      <c r="C2494" s="476"/>
      <c r="D2494" s="475"/>
      <c r="E2494" s="476"/>
      <c r="F2494" s="475"/>
      <c r="G2494" s="476"/>
      <c r="H2494" s="475"/>
      <c r="I2494" s="476"/>
    </row>
    <row r="2495" spans="2:9" x14ac:dyDescent="0.25">
      <c r="B2495" s="476"/>
      <c r="C2495" s="476"/>
      <c r="D2495" s="475"/>
      <c r="E2495" s="476"/>
      <c r="F2495" s="475"/>
      <c r="G2495" s="476"/>
      <c r="H2495" s="475"/>
      <c r="I2495" s="476"/>
    </row>
    <row r="2496" spans="2:9" x14ac:dyDescent="0.25">
      <c r="B2496" s="476"/>
      <c r="C2496" s="476"/>
      <c r="D2496" s="475"/>
      <c r="E2496" s="476"/>
      <c r="F2496" s="475"/>
      <c r="G2496" s="476"/>
      <c r="H2496" s="475"/>
      <c r="I2496" s="476"/>
    </row>
    <row r="2497" spans="2:9" x14ac:dyDescent="0.25">
      <c r="B2497" s="476"/>
      <c r="C2497" s="476"/>
      <c r="D2497" s="475"/>
      <c r="E2497" s="476"/>
      <c r="F2497" s="475"/>
      <c r="G2497" s="476"/>
      <c r="H2497" s="475"/>
      <c r="I2497" s="476"/>
    </row>
    <row r="2498" spans="2:9" x14ac:dyDescent="0.25">
      <c r="B2498" s="476"/>
      <c r="C2498" s="476"/>
      <c r="D2498" s="475"/>
      <c r="E2498" s="476"/>
      <c r="F2498" s="475"/>
      <c r="G2498" s="476"/>
      <c r="H2498" s="475"/>
      <c r="I2498" s="476"/>
    </row>
    <row r="2499" spans="2:9" x14ac:dyDescent="0.25">
      <c r="B2499" s="476"/>
      <c r="C2499" s="476"/>
      <c r="D2499" s="475"/>
      <c r="E2499" s="476"/>
      <c r="F2499" s="475"/>
      <c r="G2499" s="476"/>
      <c r="H2499" s="475"/>
      <c r="I2499" s="476"/>
    </row>
    <row r="2500" spans="2:9" x14ac:dyDescent="0.25">
      <c r="B2500" s="476"/>
      <c r="C2500" s="476"/>
      <c r="D2500" s="475"/>
      <c r="E2500" s="476"/>
      <c r="F2500" s="475"/>
      <c r="G2500" s="476"/>
      <c r="H2500" s="475"/>
      <c r="I2500" s="476"/>
    </row>
    <row r="2501" spans="2:9" x14ac:dyDescent="0.25">
      <c r="B2501" s="476"/>
      <c r="C2501" s="476"/>
      <c r="D2501" s="475"/>
      <c r="E2501" s="476"/>
      <c r="F2501" s="475"/>
      <c r="G2501" s="476"/>
      <c r="H2501" s="475"/>
      <c r="I2501" s="476"/>
    </row>
    <row r="2502" spans="2:9" x14ac:dyDescent="0.25">
      <c r="B2502" s="476"/>
      <c r="C2502" s="476"/>
      <c r="D2502" s="475"/>
      <c r="E2502" s="476"/>
      <c r="F2502" s="475"/>
      <c r="G2502" s="476"/>
      <c r="H2502" s="475"/>
      <c r="I2502" s="476"/>
    </row>
    <row r="2503" spans="2:9" x14ac:dyDescent="0.25">
      <c r="B2503" s="476"/>
      <c r="C2503" s="476"/>
      <c r="D2503" s="475"/>
      <c r="E2503" s="476"/>
      <c r="F2503" s="475"/>
      <c r="G2503" s="476"/>
      <c r="H2503" s="475"/>
      <c r="I2503" s="476"/>
    </row>
    <row r="2504" spans="2:9" x14ac:dyDescent="0.25">
      <c r="B2504" s="476"/>
      <c r="C2504" s="476"/>
      <c r="D2504" s="475"/>
      <c r="E2504" s="476"/>
      <c r="F2504" s="475"/>
      <c r="G2504" s="476"/>
      <c r="H2504" s="475"/>
      <c r="I2504" s="476"/>
    </row>
    <row r="2505" spans="2:9" x14ac:dyDescent="0.25">
      <c r="B2505" s="476"/>
      <c r="C2505" s="476"/>
      <c r="D2505" s="475"/>
      <c r="E2505" s="476"/>
      <c r="F2505" s="475"/>
      <c r="G2505" s="476"/>
      <c r="H2505" s="475"/>
      <c r="I2505" s="476"/>
    </row>
    <row r="2506" spans="2:9" x14ac:dyDescent="0.25">
      <c r="B2506" s="476"/>
      <c r="C2506" s="476"/>
      <c r="D2506" s="475"/>
      <c r="E2506" s="476"/>
      <c r="F2506" s="475"/>
      <c r="G2506" s="476"/>
      <c r="H2506" s="475"/>
      <c r="I2506" s="476"/>
    </row>
    <row r="2507" spans="2:9" x14ac:dyDescent="0.25">
      <c r="B2507" s="476"/>
      <c r="C2507" s="476"/>
      <c r="D2507" s="475"/>
      <c r="E2507" s="476"/>
      <c r="F2507" s="475"/>
      <c r="G2507" s="476"/>
      <c r="H2507" s="475"/>
      <c r="I2507" s="476"/>
    </row>
    <row r="2508" spans="2:9" x14ac:dyDescent="0.25">
      <c r="B2508" s="476"/>
      <c r="C2508" s="476"/>
      <c r="D2508" s="475"/>
      <c r="E2508" s="476"/>
      <c r="F2508" s="475"/>
      <c r="G2508" s="476"/>
      <c r="H2508" s="475"/>
      <c r="I2508" s="476"/>
    </row>
    <row r="2509" spans="2:9" x14ac:dyDescent="0.25">
      <c r="B2509" s="476"/>
      <c r="C2509" s="476"/>
      <c r="D2509" s="475"/>
      <c r="E2509" s="476"/>
      <c r="F2509" s="475"/>
      <c r="G2509" s="476"/>
      <c r="H2509" s="475"/>
      <c r="I2509" s="476"/>
    </row>
    <row r="2510" spans="2:9" x14ac:dyDescent="0.25">
      <c r="B2510" s="476"/>
      <c r="C2510" s="476"/>
      <c r="D2510" s="475"/>
      <c r="E2510" s="476"/>
      <c r="F2510" s="475"/>
      <c r="G2510" s="476"/>
      <c r="H2510" s="475"/>
      <c r="I2510" s="476"/>
    </row>
    <row r="2511" spans="2:9" x14ac:dyDescent="0.25">
      <c r="B2511" s="476"/>
      <c r="C2511" s="476"/>
      <c r="D2511" s="475"/>
      <c r="E2511" s="476"/>
      <c r="F2511" s="475"/>
      <c r="G2511" s="476"/>
      <c r="H2511" s="475"/>
      <c r="I2511" s="476"/>
    </row>
    <row r="2512" spans="2:9" x14ac:dyDescent="0.25">
      <c r="B2512" s="476"/>
      <c r="C2512" s="476"/>
      <c r="D2512" s="475"/>
      <c r="E2512" s="476"/>
      <c r="F2512" s="475"/>
      <c r="G2512" s="476"/>
      <c r="H2512" s="475"/>
      <c r="I2512" s="476"/>
    </row>
    <row r="2513" spans="2:9" x14ac:dyDescent="0.25">
      <c r="B2513" s="476"/>
      <c r="C2513" s="476"/>
      <c r="D2513" s="475"/>
      <c r="E2513" s="476"/>
      <c r="F2513" s="475"/>
      <c r="G2513" s="476"/>
      <c r="H2513" s="475"/>
      <c r="I2513" s="476"/>
    </row>
    <row r="2514" spans="2:9" x14ac:dyDescent="0.25">
      <c r="B2514" s="476"/>
      <c r="C2514" s="476"/>
      <c r="D2514" s="475"/>
      <c r="E2514" s="476"/>
      <c r="F2514" s="475"/>
      <c r="G2514" s="476"/>
      <c r="H2514" s="475"/>
      <c r="I2514" s="476"/>
    </row>
    <row r="2515" spans="2:9" x14ac:dyDescent="0.25">
      <c r="B2515" s="476"/>
      <c r="C2515" s="476"/>
      <c r="D2515" s="475"/>
      <c r="E2515" s="476"/>
      <c r="F2515" s="475"/>
      <c r="G2515" s="476"/>
      <c r="H2515" s="475"/>
      <c r="I2515" s="476"/>
    </row>
    <row r="2516" spans="2:9" x14ac:dyDescent="0.25">
      <c r="B2516" s="476"/>
      <c r="C2516" s="476"/>
      <c r="D2516" s="475"/>
      <c r="E2516" s="476"/>
      <c r="F2516" s="475"/>
      <c r="G2516" s="476"/>
      <c r="H2516" s="475"/>
      <c r="I2516" s="476"/>
    </row>
    <row r="2517" spans="2:9" x14ac:dyDescent="0.25">
      <c r="B2517" s="476"/>
      <c r="C2517" s="476"/>
      <c r="D2517" s="475"/>
      <c r="E2517" s="476"/>
      <c r="F2517" s="475"/>
      <c r="G2517" s="476"/>
      <c r="H2517" s="475"/>
      <c r="I2517" s="476"/>
    </row>
    <row r="2518" spans="2:9" x14ac:dyDescent="0.25">
      <c r="B2518" s="476"/>
      <c r="C2518" s="476"/>
      <c r="D2518" s="475"/>
      <c r="E2518" s="476"/>
      <c r="F2518" s="475"/>
      <c r="G2518" s="476"/>
      <c r="H2518" s="475"/>
      <c r="I2518" s="476"/>
    </row>
    <row r="2519" spans="2:9" x14ac:dyDescent="0.25">
      <c r="B2519" s="476"/>
      <c r="C2519" s="476"/>
      <c r="D2519" s="475"/>
      <c r="E2519" s="476"/>
      <c r="F2519" s="475"/>
      <c r="G2519" s="476"/>
      <c r="H2519" s="475"/>
      <c r="I2519" s="476"/>
    </row>
    <row r="2520" spans="2:9" x14ac:dyDescent="0.25">
      <c r="B2520" s="476"/>
      <c r="C2520" s="476"/>
      <c r="D2520" s="475"/>
      <c r="E2520" s="476"/>
      <c r="F2520" s="475"/>
      <c r="G2520" s="476"/>
      <c r="H2520" s="475"/>
      <c r="I2520" s="476"/>
    </row>
    <row r="2521" spans="2:9" x14ac:dyDescent="0.25">
      <c r="B2521" s="476"/>
      <c r="C2521" s="476"/>
      <c r="D2521" s="475"/>
      <c r="E2521" s="476"/>
      <c r="F2521" s="475"/>
      <c r="G2521" s="476"/>
      <c r="H2521" s="475"/>
      <c r="I2521" s="476"/>
    </row>
    <row r="2522" spans="2:9" x14ac:dyDescent="0.25">
      <c r="B2522" s="476"/>
      <c r="C2522" s="476"/>
      <c r="D2522" s="475"/>
      <c r="E2522" s="476"/>
      <c r="F2522" s="475"/>
      <c r="G2522" s="476"/>
      <c r="H2522" s="475"/>
      <c r="I2522" s="476"/>
    </row>
    <row r="2523" spans="2:9" x14ac:dyDescent="0.25">
      <c r="B2523" s="476"/>
      <c r="C2523" s="476"/>
      <c r="D2523" s="475"/>
      <c r="E2523" s="476"/>
      <c r="F2523" s="475"/>
      <c r="G2523" s="476"/>
      <c r="H2523" s="475"/>
      <c r="I2523" s="476"/>
    </row>
    <row r="2524" spans="2:9" x14ac:dyDescent="0.25">
      <c r="B2524" s="476"/>
      <c r="C2524" s="476"/>
      <c r="D2524" s="475"/>
      <c r="E2524" s="476"/>
      <c r="F2524" s="475"/>
      <c r="G2524" s="476"/>
      <c r="H2524" s="475"/>
      <c r="I2524" s="476"/>
    </row>
    <row r="2525" spans="2:9" x14ac:dyDescent="0.25">
      <c r="B2525" s="476"/>
      <c r="C2525" s="476"/>
      <c r="D2525" s="475"/>
      <c r="E2525" s="476"/>
      <c r="F2525" s="475"/>
      <c r="G2525" s="476"/>
      <c r="H2525" s="475"/>
      <c r="I2525" s="476"/>
    </row>
    <row r="2526" spans="2:9" x14ac:dyDescent="0.25">
      <c r="B2526" s="476"/>
      <c r="C2526" s="476"/>
      <c r="D2526" s="475"/>
      <c r="E2526" s="476"/>
      <c r="F2526" s="475"/>
      <c r="G2526" s="476"/>
      <c r="H2526" s="475"/>
      <c r="I2526" s="476"/>
    </row>
    <row r="2527" spans="2:9" x14ac:dyDescent="0.25">
      <c r="B2527" s="476"/>
      <c r="C2527" s="476"/>
      <c r="D2527" s="475"/>
      <c r="E2527" s="476"/>
      <c r="F2527" s="475"/>
      <c r="G2527" s="476"/>
      <c r="H2527" s="475"/>
      <c r="I2527" s="476"/>
    </row>
    <row r="2528" spans="2:9" x14ac:dyDescent="0.25">
      <c r="B2528" s="476"/>
      <c r="C2528" s="476"/>
      <c r="D2528" s="475"/>
      <c r="E2528" s="476"/>
      <c r="F2528" s="475"/>
      <c r="G2528" s="476"/>
      <c r="H2528" s="475"/>
      <c r="I2528" s="476"/>
    </row>
    <row r="2529" spans="2:9" x14ac:dyDescent="0.25">
      <c r="B2529" s="476"/>
      <c r="C2529" s="476"/>
      <c r="D2529" s="475"/>
      <c r="E2529" s="476"/>
      <c r="F2529" s="475"/>
      <c r="G2529" s="476"/>
      <c r="H2529" s="475"/>
      <c r="I2529" s="476"/>
    </row>
    <row r="2530" spans="2:9" x14ac:dyDescent="0.25">
      <c r="B2530" s="476"/>
      <c r="C2530" s="476"/>
      <c r="D2530" s="475"/>
      <c r="E2530" s="476"/>
      <c r="F2530" s="475"/>
      <c r="G2530" s="476"/>
      <c r="H2530" s="475"/>
      <c r="I2530" s="476"/>
    </row>
    <row r="2531" spans="2:9" x14ac:dyDescent="0.25">
      <c r="B2531" s="476"/>
      <c r="C2531" s="476"/>
      <c r="D2531" s="475"/>
      <c r="E2531" s="476"/>
      <c r="F2531" s="475"/>
      <c r="G2531" s="476"/>
      <c r="H2531" s="475"/>
      <c r="I2531" s="476"/>
    </row>
    <row r="2532" spans="2:9" x14ac:dyDescent="0.25">
      <c r="B2532" s="476"/>
      <c r="C2532" s="476"/>
      <c r="D2532" s="475"/>
      <c r="E2532" s="476"/>
      <c r="F2532" s="475"/>
      <c r="G2532" s="476"/>
      <c r="H2532" s="475"/>
      <c r="I2532" s="476"/>
    </row>
    <row r="2533" spans="2:9" x14ac:dyDescent="0.25">
      <c r="B2533" s="476"/>
      <c r="C2533" s="476"/>
      <c r="D2533" s="475"/>
      <c r="E2533" s="476"/>
      <c r="F2533" s="475"/>
      <c r="G2533" s="476"/>
      <c r="H2533" s="475"/>
      <c r="I2533" s="476"/>
    </row>
    <row r="2534" spans="2:9" x14ac:dyDescent="0.25">
      <c r="B2534" s="476"/>
      <c r="C2534" s="476"/>
      <c r="D2534" s="475"/>
      <c r="E2534" s="476"/>
      <c r="F2534" s="475"/>
      <c r="G2534" s="476"/>
      <c r="H2534" s="475"/>
      <c r="I2534" s="476"/>
    </row>
    <row r="2535" spans="2:9" x14ac:dyDescent="0.25">
      <c r="B2535" s="476"/>
      <c r="C2535" s="476"/>
      <c r="D2535" s="475"/>
      <c r="E2535" s="476"/>
      <c r="F2535" s="475"/>
      <c r="G2535" s="476"/>
      <c r="H2535" s="475"/>
      <c r="I2535" s="476"/>
    </row>
    <row r="2536" spans="2:9" x14ac:dyDescent="0.25">
      <c r="B2536" s="476"/>
      <c r="C2536" s="476"/>
      <c r="D2536" s="475"/>
      <c r="E2536" s="476"/>
      <c r="F2536" s="475"/>
      <c r="G2536" s="476"/>
      <c r="H2536" s="475"/>
      <c r="I2536" s="476"/>
    </row>
    <row r="2537" spans="2:9" x14ac:dyDescent="0.25">
      <c r="B2537" s="476"/>
      <c r="C2537" s="476"/>
      <c r="D2537" s="475"/>
      <c r="E2537" s="476"/>
      <c r="F2537" s="475"/>
      <c r="G2537" s="476"/>
      <c r="H2537" s="475"/>
      <c r="I2537" s="476"/>
    </row>
    <row r="2538" spans="2:9" x14ac:dyDescent="0.25">
      <c r="B2538" s="476"/>
      <c r="C2538" s="476"/>
      <c r="D2538" s="475"/>
      <c r="E2538" s="476"/>
      <c r="F2538" s="475"/>
      <c r="G2538" s="476"/>
      <c r="H2538" s="475"/>
      <c r="I2538" s="476"/>
    </row>
    <row r="2539" spans="2:9" x14ac:dyDescent="0.25">
      <c r="B2539" s="476"/>
      <c r="C2539" s="476"/>
      <c r="D2539" s="475"/>
      <c r="E2539" s="476"/>
      <c r="F2539" s="475"/>
      <c r="G2539" s="476"/>
      <c r="H2539" s="475"/>
      <c r="I2539" s="476"/>
    </row>
    <row r="2540" spans="2:9" x14ac:dyDescent="0.25">
      <c r="B2540" s="476"/>
      <c r="C2540" s="476"/>
      <c r="D2540" s="475"/>
      <c r="E2540" s="476"/>
      <c r="F2540" s="475"/>
      <c r="G2540" s="476"/>
      <c r="H2540" s="475"/>
      <c r="I2540" s="476"/>
    </row>
    <row r="2541" spans="2:9" x14ac:dyDescent="0.25">
      <c r="B2541" s="476"/>
      <c r="C2541" s="476"/>
      <c r="D2541" s="475"/>
      <c r="E2541" s="476"/>
      <c r="F2541" s="475"/>
      <c r="G2541" s="476"/>
      <c r="H2541" s="475"/>
      <c r="I2541" s="476"/>
    </row>
    <row r="2542" spans="2:9" x14ac:dyDescent="0.25">
      <c r="B2542" s="476"/>
      <c r="C2542" s="476"/>
      <c r="D2542" s="475"/>
      <c r="E2542" s="476"/>
      <c r="F2542" s="475"/>
      <c r="G2542" s="476"/>
      <c r="H2542" s="475"/>
      <c r="I2542" s="476"/>
    </row>
    <row r="2543" spans="2:9" x14ac:dyDescent="0.25">
      <c r="B2543" s="476"/>
      <c r="C2543" s="476"/>
      <c r="D2543" s="475"/>
      <c r="E2543" s="476"/>
      <c r="F2543" s="475"/>
      <c r="G2543" s="476"/>
      <c r="H2543" s="475"/>
      <c r="I2543" s="476"/>
    </row>
    <row r="2544" spans="2:9" x14ac:dyDescent="0.25">
      <c r="B2544" s="476"/>
      <c r="C2544" s="476"/>
      <c r="D2544" s="475"/>
      <c r="E2544" s="476"/>
      <c r="F2544" s="475"/>
      <c r="G2544" s="476"/>
      <c r="H2544" s="475"/>
      <c r="I2544" s="476"/>
    </row>
    <row r="2545" spans="2:9" x14ac:dyDescent="0.25">
      <c r="B2545" s="476"/>
      <c r="C2545" s="476"/>
      <c r="D2545" s="475"/>
      <c r="E2545" s="476"/>
      <c r="F2545" s="475"/>
      <c r="G2545" s="476"/>
      <c r="H2545" s="475"/>
      <c r="I2545" s="476"/>
    </row>
    <row r="2546" spans="2:9" x14ac:dyDescent="0.25">
      <c r="B2546" s="476"/>
      <c r="C2546" s="476"/>
      <c r="D2546" s="475"/>
      <c r="E2546" s="476"/>
      <c r="F2546" s="475"/>
      <c r="G2546" s="476"/>
      <c r="H2546" s="475"/>
      <c r="I2546" s="476"/>
    </row>
    <row r="2547" spans="2:9" x14ac:dyDescent="0.25">
      <c r="B2547" s="476"/>
      <c r="C2547" s="476"/>
      <c r="D2547" s="475"/>
      <c r="E2547" s="476"/>
      <c r="F2547" s="475"/>
      <c r="G2547" s="476"/>
      <c r="H2547" s="475"/>
      <c r="I2547" s="476"/>
    </row>
    <row r="2548" spans="2:9" x14ac:dyDescent="0.25">
      <c r="B2548" s="476"/>
      <c r="C2548" s="476"/>
      <c r="D2548" s="475"/>
      <c r="E2548" s="476"/>
      <c r="F2548" s="475"/>
      <c r="G2548" s="476"/>
      <c r="H2548" s="475"/>
      <c r="I2548" s="476"/>
    </row>
    <row r="2549" spans="2:9" x14ac:dyDescent="0.25">
      <c r="B2549" s="476"/>
      <c r="C2549" s="476"/>
      <c r="D2549" s="475"/>
      <c r="E2549" s="476"/>
      <c r="F2549" s="475"/>
      <c r="G2549" s="476"/>
      <c r="H2549" s="475"/>
      <c r="I2549" s="476"/>
    </row>
    <row r="2550" spans="2:9" x14ac:dyDescent="0.25">
      <c r="B2550" s="476"/>
      <c r="C2550" s="476"/>
      <c r="D2550" s="475"/>
      <c r="E2550" s="476"/>
      <c r="F2550" s="475"/>
      <c r="G2550" s="476"/>
      <c r="H2550" s="475"/>
      <c r="I2550" s="476"/>
    </row>
    <row r="2551" spans="2:9" x14ac:dyDescent="0.25">
      <c r="B2551" s="476"/>
      <c r="C2551" s="476"/>
      <c r="D2551" s="475"/>
      <c r="E2551" s="476"/>
      <c r="F2551" s="475"/>
      <c r="G2551" s="476"/>
      <c r="H2551" s="475"/>
      <c r="I2551" s="476"/>
    </row>
    <row r="2552" spans="2:9" x14ac:dyDescent="0.25">
      <c r="B2552" s="476"/>
      <c r="C2552" s="476"/>
      <c r="D2552" s="475"/>
      <c r="E2552" s="476"/>
      <c r="F2552" s="475"/>
      <c r="G2552" s="476"/>
      <c r="H2552" s="475"/>
      <c r="I2552" s="476"/>
    </row>
    <row r="2553" spans="2:9" x14ac:dyDescent="0.25">
      <c r="B2553" s="476"/>
      <c r="C2553" s="476"/>
      <c r="D2553" s="475"/>
      <c r="E2553" s="476"/>
      <c r="F2553" s="475"/>
      <c r="G2553" s="476"/>
      <c r="H2553" s="475"/>
      <c r="I2553" s="476"/>
    </row>
    <row r="2554" spans="2:9" x14ac:dyDescent="0.25">
      <c r="B2554" s="476"/>
      <c r="C2554" s="476"/>
      <c r="D2554" s="475"/>
      <c r="E2554" s="476"/>
      <c r="F2554" s="475"/>
      <c r="G2554" s="476"/>
      <c r="H2554" s="475"/>
      <c r="I2554" s="476"/>
    </row>
    <row r="2555" spans="2:9" x14ac:dyDescent="0.25">
      <c r="B2555" s="476"/>
      <c r="C2555" s="476"/>
      <c r="D2555" s="475"/>
      <c r="E2555" s="476"/>
      <c r="F2555" s="475"/>
      <c r="G2555" s="476"/>
      <c r="H2555" s="475"/>
      <c r="I2555" s="476"/>
    </row>
    <row r="2556" spans="2:9" x14ac:dyDescent="0.25">
      <c r="B2556" s="476"/>
      <c r="C2556" s="476"/>
      <c r="D2556" s="475"/>
      <c r="E2556" s="476"/>
      <c r="F2556" s="475"/>
      <c r="G2556" s="476"/>
      <c r="H2556" s="475"/>
      <c r="I2556" s="476"/>
    </row>
    <row r="2557" spans="2:9" x14ac:dyDescent="0.25">
      <c r="B2557" s="476"/>
      <c r="C2557" s="476"/>
      <c r="D2557" s="475"/>
      <c r="E2557" s="476"/>
      <c r="F2557" s="475"/>
      <c r="G2557" s="476"/>
      <c r="H2557" s="475"/>
      <c r="I2557" s="476"/>
    </row>
    <row r="2558" spans="2:9" x14ac:dyDescent="0.25">
      <c r="B2558" s="476"/>
      <c r="C2558" s="476"/>
      <c r="D2558" s="475"/>
      <c r="E2558" s="476"/>
      <c r="F2558" s="475"/>
      <c r="G2558" s="476"/>
      <c r="H2558" s="475"/>
      <c r="I2558" s="476"/>
    </row>
    <row r="2559" spans="2:9" x14ac:dyDescent="0.25">
      <c r="B2559" s="476"/>
      <c r="C2559" s="476"/>
      <c r="D2559" s="475"/>
      <c r="E2559" s="476"/>
      <c r="F2559" s="475"/>
      <c r="G2559" s="476"/>
      <c r="H2559" s="475"/>
      <c r="I2559" s="476"/>
    </row>
    <row r="2560" spans="2:9" x14ac:dyDescent="0.25">
      <c r="B2560" s="476"/>
      <c r="C2560" s="476"/>
      <c r="D2560" s="475"/>
      <c r="E2560" s="476"/>
      <c r="F2560" s="475"/>
      <c r="G2560" s="476"/>
      <c r="H2560" s="475"/>
      <c r="I2560" s="476"/>
    </row>
    <row r="2561" spans="2:9" x14ac:dyDescent="0.25">
      <c r="B2561" s="476"/>
      <c r="C2561" s="476"/>
      <c r="D2561" s="475"/>
      <c r="E2561" s="476"/>
      <c r="F2561" s="475"/>
      <c r="G2561" s="476"/>
      <c r="H2561" s="475"/>
      <c r="I2561" s="476"/>
    </row>
    <row r="2562" spans="2:9" x14ac:dyDescent="0.25">
      <c r="B2562" s="476"/>
      <c r="C2562" s="476"/>
      <c r="D2562" s="475"/>
      <c r="E2562" s="476"/>
      <c r="F2562" s="475"/>
      <c r="G2562" s="476"/>
      <c r="H2562" s="475"/>
      <c r="I2562" s="476"/>
    </row>
    <row r="2563" spans="2:9" x14ac:dyDescent="0.25">
      <c r="B2563" s="476"/>
      <c r="C2563" s="476"/>
      <c r="D2563" s="475"/>
      <c r="E2563" s="476"/>
      <c r="F2563" s="475"/>
      <c r="G2563" s="476"/>
      <c r="H2563" s="475"/>
      <c r="I2563" s="476"/>
    </row>
    <row r="2564" spans="2:9" x14ac:dyDescent="0.25">
      <c r="B2564" s="476"/>
      <c r="C2564" s="476"/>
      <c r="D2564" s="475"/>
      <c r="E2564" s="476"/>
      <c r="F2564" s="475"/>
      <c r="G2564" s="476"/>
      <c r="H2564" s="475"/>
      <c r="I2564" s="476"/>
    </row>
    <row r="2565" spans="2:9" x14ac:dyDescent="0.25">
      <c r="B2565" s="476"/>
      <c r="C2565" s="476"/>
      <c r="D2565" s="475"/>
      <c r="E2565" s="476"/>
      <c r="F2565" s="475"/>
      <c r="G2565" s="476"/>
      <c r="H2565" s="475"/>
      <c r="I2565" s="476"/>
    </row>
    <row r="2566" spans="2:9" x14ac:dyDescent="0.25">
      <c r="B2566" s="476"/>
      <c r="C2566" s="476"/>
      <c r="D2566" s="475"/>
      <c r="E2566" s="476"/>
      <c r="F2566" s="475"/>
      <c r="G2566" s="476"/>
      <c r="H2566" s="475"/>
      <c r="I2566" s="476"/>
    </row>
    <row r="2567" spans="2:9" x14ac:dyDescent="0.25">
      <c r="B2567" s="476"/>
      <c r="C2567" s="476"/>
      <c r="D2567" s="475"/>
      <c r="E2567" s="476"/>
      <c r="F2567" s="475"/>
      <c r="G2567" s="476"/>
      <c r="H2567" s="475"/>
      <c r="I2567" s="476"/>
    </row>
    <row r="2568" spans="2:9" x14ac:dyDescent="0.25">
      <c r="B2568" s="476"/>
      <c r="C2568" s="476"/>
      <c r="D2568" s="475"/>
      <c r="E2568" s="476"/>
      <c r="F2568" s="475"/>
      <c r="G2568" s="476"/>
      <c r="H2568" s="475"/>
      <c r="I2568" s="476"/>
    </row>
    <row r="2569" spans="2:9" x14ac:dyDescent="0.25">
      <c r="B2569" s="476"/>
      <c r="C2569" s="476"/>
      <c r="D2569" s="475"/>
      <c r="E2569" s="476"/>
      <c r="F2569" s="475"/>
      <c r="G2569" s="476"/>
      <c r="H2569" s="475"/>
      <c r="I2569" s="476"/>
    </row>
    <row r="2570" spans="2:9" x14ac:dyDescent="0.25">
      <c r="B2570" s="476"/>
      <c r="C2570" s="476"/>
      <c r="D2570" s="475"/>
      <c r="E2570" s="476"/>
      <c r="F2570" s="475"/>
      <c r="G2570" s="476"/>
      <c r="H2570" s="475"/>
      <c r="I2570" s="476"/>
    </row>
    <row r="2571" spans="2:9" x14ac:dyDescent="0.25">
      <c r="B2571" s="476"/>
      <c r="C2571" s="476"/>
      <c r="D2571" s="475"/>
      <c r="E2571" s="476"/>
      <c r="F2571" s="475"/>
      <c r="G2571" s="476"/>
      <c r="H2571" s="475"/>
      <c r="I2571" s="476"/>
    </row>
    <row r="2572" spans="2:9" x14ac:dyDescent="0.25">
      <c r="B2572" s="476"/>
      <c r="C2572" s="476"/>
      <c r="D2572" s="475"/>
      <c r="E2572" s="476"/>
      <c r="F2572" s="475"/>
      <c r="G2572" s="476"/>
      <c r="H2572" s="475"/>
      <c r="I2572" s="476"/>
    </row>
    <row r="2573" spans="2:9" x14ac:dyDescent="0.25">
      <c r="B2573" s="476"/>
      <c r="C2573" s="476"/>
      <c r="D2573" s="475"/>
      <c r="E2573" s="476"/>
      <c r="F2573" s="475"/>
      <c r="G2573" s="476"/>
      <c r="H2573" s="475"/>
      <c r="I2573" s="476"/>
    </row>
    <row r="2574" spans="2:9" x14ac:dyDescent="0.25">
      <c r="B2574" s="476"/>
      <c r="C2574" s="476"/>
      <c r="D2574" s="475"/>
      <c r="E2574" s="476"/>
      <c r="F2574" s="475"/>
      <c r="G2574" s="476"/>
      <c r="H2574" s="475"/>
      <c r="I2574" s="476"/>
    </row>
    <row r="2575" spans="2:9" x14ac:dyDescent="0.25">
      <c r="B2575" s="476"/>
      <c r="C2575" s="476"/>
      <c r="D2575" s="475"/>
      <c r="E2575" s="476"/>
      <c r="F2575" s="475"/>
      <c r="G2575" s="476"/>
      <c r="H2575" s="475"/>
      <c r="I2575" s="476"/>
    </row>
    <row r="2576" spans="2:9" x14ac:dyDescent="0.25">
      <c r="B2576" s="476"/>
      <c r="C2576" s="476"/>
      <c r="D2576" s="475"/>
      <c r="E2576" s="476"/>
      <c r="F2576" s="475"/>
      <c r="G2576" s="476"/>
      <c r="H2576" s="475"/>
      <c r="I2576" s="476"/>
    </row>
    <row r="2577" spans="2:9" x14ac:dyDescent="0.25">
      <c r="B2577" s="476"/>
      <c r="C2577" s="476"/>
      <c r="D2577" s="475"/>
      <c r="E2577" s="476"/>
      <c r="F2577" s="475"/>
      <c r="G2577" s="476"/>
      <c r="H2577" s="475"/>
      <c r="I2577" s="476"/>
    </row>
    <row r="2578" spans="2:9" x14ac:dyDescent="0.25">
      <c r="B2578" s="476"/>
      <c r="C2578" s="476"/>
      <c r="D2578" s="475"/>
      <c r="E2578" s="476"/>
      <c r="F2578" s="475"/>
      <c r="G2578" s="476"/>
      <c r="H2578" s="475"/>
      <c r="I2578" s="476"/>
    </row>
    <row r="2579" spans="2:9" x14ac:dyDescent="0.25">
      <c r="B2579" s="476"/>
      <c r="C2579" s="476"/>
      <c r="D2579" s="475"/>
      <c r="E2579" s="476"/>
      <c r="F2579" s="475"/>
      <c r="G2579" s="476"/>
      <c r="H2579" s="475"/>
      <c r="I2579" s="476"/>
    </row>
    <row r="2580" spans="2:9" x14ac:dyDescent="0.25">
      <c r="B2580" s="476"/>
      <c r="C2580" s="476"/>
      <c r="D2580" s="475"/>
      <c r="E2580" s="476"/>
      <c r="F2580" s="475"/>
      <c r="G2580" s="476"/>
      <c r="H2580" s="475"/>
      <c r="I2580" s="476"/>
    </row>
    <row r="2581" spans="2:9" x14ac:dyDescent="0.25">
      <c r="B2581" s="476"/>
      <c r="C2581" s="476"/>
      <c r="D2581" s="475"/>
      <c r="E2581" s="476"/>
      <c r="F2581" s="475"/>
      <c r="G2581" s="476"/>
      <c r="H2581" s="475"/>
      <c r="I2581" s="476"/>
    </row>
    <row r="2582" spans="2:9" x14ac:dyDescent="0.25">
      <c r="B2582" s="476"/>
      <c r="C2582" s="476"/>
      <c r="D2582" s="475"/>
      <c r="E2582" s="476"/>
      <c r="F2582" s="475"/>
      <c r="G2582" s="476"/>
      <c r="H2582" s="475"/>
      <c r="I2582" s="476"/>
    </row>
    <row r="2583" spans="2:9" x14ac:dyDescent="0.25">
      <c r="B2583" s="476"/>
      <c r="C2583" s="476"/>
      <c r="D2583" s="475"/>
      <c r="E2583" s="476"/>
      <c r="F2583" s="475"/>
      <c r="G2583" s="476"/>
      <c r="H2583" s="475"/>
      <c r="I2583" s="476"/>
    </row>
    <row r="2584" spans="2:9" x14ac:dyDescent="0.25">
      <c r="B2584" s="476"/>
      <c r="C2584" s="476"/>
      <c r="D2584" s="475"/>
      <c r="E2584" s="476"/>
      <c r="F2584" s="475"/>
      <c r="G2584" s="476"/>
      <c r="H2584" s="475"/>
      <c r="I2584" s="476"/>
    </row>
    <row r="2585" spans="2:9" x14ac:dyDescent="0.25">
      <c r="B2585" s="476"/>
      <c r="C2585" s="476"/>
      <c r="D2585" s="475"/>
      <c r="E2585" s="476"/>
      <c r="F2585" s="475"/>
      <c r="G2585" s="476"/>
      <c r="H2585" s="475"/>
      <c r="I2585" s="476"/>
    </row>
    <row r="2586" spans="2:9" x14ac:dyDescent="0.25">
      <c r="B2586" s="476"/>
      <c r="C2586" s="476"/>
      <c r="D2586" s="475"/>
      <c r="E2586" s="476"/>
      <c r="F2586" s="475"/>
      <c r="G2586" s="476"/>
      <c r="H2586" s="475"/>
      <c r="I2586" s="476"/>
    </row>
    <row r="2587" spans="2:9" x14ac:dyDescent="0.25">
      <c r="B2587" s="476"/>
      <c r="C2587" s="476"/>
      <c r="D2587" s="475"/>
      <c r="E2587" s="476"/>
      <c r="F2587" s="475"/>
      <c r="G2587" s="476"/>
      <c r="H2587" s="475"/>
      <c r="I2587" s="476"/>
    </row>
    <row r="2588" spans="2:9" x14ac:dyDescent="0.25">
      <c r="B2588" s="476"/>
      <c r="C2588" s="476"/>
      <c r="D2588" s="475"/>
      <c r="E2588" s="476"/>
      <c r="F2588" s="475"/>
      <c r="G2588" s="476"/>
      <c r="H2588" s="475"/>
      <c r="I2588" s="476"/>
    </row>
    <row r="2589" spans="2:9" x14ac:dyDescent="0.25">
      <c r="B2589" s="476"/>
      <c r="C2589" s="476"/>
      <c r="D2589" s="475"/>
      <c r="E2589" s="476"/>
      <c r="F2589" s="475"/>
      <c r="G2589" s="476"/>
      <c r="H2589" s="475"/>
      <c r="I2589" s="476"/>
    </row>
    <row r="2590" spans="2:9" x14ac:dyDescent="0.25">
      <c r="B2590" s="476"/>
      <c r="C2590" s="476"/>
      <c r="D2590" s="475"/>
      <c r="E2590" s="476"/>
      <c r="F2590" s="475"/>
      <c r="G2590" s="476"/>
      <c r="H2590" s="475"/>
      <c r="I2590" s="476"/>
    </row>
    <row r="2591" spans="2:9" x14ac:dyDescent="0.25">
      <c r="B2591" s="476"/>
      <c r="C2591" s="476"/>
      <c r="D2591" s="475"/>
      <c r="E2591" s="476"/>
      <c r="F2591" s="475"/>
      <c r="G2591" s="476"/>
      <c r="H2591" s="475"/>
      <c r="I2591" s="476"/>
    </row>
    <row r="2592" spans="2:9" x14ac:dyDescent="0.25">
      <c r="B2592" s="476"/>
      <c r="C2592" s="476"/>
      <c r="D2592" s="475"/>
      <c r="E2592" s="476"/>
      <c r="F2592" s="475"/>
      <c r="G2592" s="476"/>
      <c r="H2592" s="475"/>
      <c r="I2592" s="476"/>
    </row>
    <row r="2593" spans="2:9" x14ac:dyDescent="0.25">
      <c r="B2593" s="476"/>
      <c r="C2593" s="476"/>
      <c r="D2593" s="475"/>
      <c r="E2593" s="476"/>
      <c r="F2593" s="475"/>
      <c r="G2593" s="476"/>
      <c r="H2593" s="475"/>
      <c r="I2593" s="476"/>
    </row>
    <row r="2594" spans="2:9" x14ac:dyDescent="0.25">
      <c r="B2594" s="476"/>
      <c r="C2594" s="476"/>
      <c r="D2594" s="475"/>
      <c r="E2594" s="476"/>
      <c r="F2594" s="475"/>
      <c r="G2594" s="476"/>
      <c r="H2594" s="475"/>
      <c r="I2594" s="476"/>
    </row>
    <row r="2595" spans="2:9" x14ac:dyDescent="0.25">
      <c r="B2595" s="476"/>
      <c r="C2595" s="476"/>
      <c r="D2595" s="475"/>
      <c r="E2595" s="476"/>
      <c r="F2595" s="475"/>
      <c r="G2595" s="476"/>
      <c r="H2595" s="475"/>
      <c r="I2595" s="476"/>
    </row>
    <row r="2596" spans="2:9" x14ac:dyDescent="0.25">
      <c r="B2596" s="476"/>
      <c r="C2596" s="476"/>
      <c r="D2596" s="475"/>
      <c r="E2596" s="476"/>
      <c r="F2596" s="475"/>
      <c r="G2596" s="476"/>
      <c r="H2596" s="475"/>
      <c r="I2596" s="476"/>
    </row>
    <row r="2597" spans="2:9" x14ac:dyDescent="0.25">
      <c r="B2597" s="476"/>
      <c r="C2597" s="476"/>
      <c r="D2597" s="475"/>
      <c r="E2597" s="476"/>
      <c r="F2597" s="475"/>
      <c r="G2597" s="476"/>
      <c r="H2597" s="475"/>
      <c r="I2597" s="476"/>
    </row>
    <row r="2598" spans="2:9" x14ac:dyDescent="0.25">
      <c r="B2598" s="476"/>
      <c r="C2598" s="476"/>
      <c r="D2598" s="475"/>
      <c r="E2598" s="476"/>
      <c r="F2598" s="475"/>
      <c r="G2598" s="476"/>
      <c r="H2598" s="475"/>
      <c r="I2598" s="476"/>
    </row>
    <row r="2599" spans="2:9" x14ac:dyDescent="0.25">
      <c r="B2599" s="476"/>
      <c r="C2599" s="476"/>
      <c r="D2599" s="475"/>
      <c r="E2599" s="476"/>
      <c r="F2599" s="475"/>
      <c r="G2599" s="476"/>
      <c r="H2599" s="475"/>
      <c r="I2599" s="476"/>
    </row>
    <row r="2600" spans="2:9" x14ac:dyDescent="0.25">
      <c r="B2600" s="476"/>
      <c r="C2600" s="476"/>
      <c r="D2600" s="475"/>
      <c r="E2600" s="476"/>
      <c r="F2600" s="475"/>
      <c r="G2600" s="476"/>
      <c r="H2600" s="475"/>
      <c r="I2600" s="476"/>
    </row>
    <row r="2601" spans="2:9" x14ac:dyDescent="0.25">
      <c r="B2601" s="476"/>
      <c r="C2601" s="476"/>
      <c r="D2601" s="475"/>
      <c r="E2601" s="476"/>
      <c r="F2601" s="475"/>
      <c r="G2601" s="476"/>
      <c r="H2601" s="475"/>
      <c r="I2601" s="476"/>
    </row>
    <row r="2602" spans="2:9" x14ac:dyDescent="0.25">
      <c r="B2602" s="476"/>
      <c r="C2602" s="476"/>
      <c r="D2602" s="475"/>
      <c r="E2602" s="476"/>
      <c r="F2602" s="475"/>
      <c r="G2602" s="476"/>
      <c r="H2602" s="475"/>
      <c r="I2602" s="476"/>
    </row>
    <row r="2603" spans="2:9" x14ac:dyDescent="0.25">
      <c r="B2603" s="476"/>
      <c r="C2603" s="476"/>
      <c r="D2603" s="475"/>
      <c r="E2603" s="476"/>
      <c r="F2603" s="475"/>
      <c r="G2603" s="476"/>
      <c r="H2603" s="475"/>
      <c r="I2603" s="476"/>
    </row>
    <row r="2604" spans="2:9" x14ac:dyDescent="0.25">
      <c r="B2604" s="476"/>
      <c r="C2604" s="476"/>
      <c r="D2604" s="475"/>
      <c r="E2604" s="476"/>
      <c r="F2604" s="475"/>
      <c r="G2604" s="476"/>
      <c r="H2604" s="475"/>
      <c r="I2604" s="476"/>
    </row>
    <row r="2605" spans="2:9" x14ac:dyDescent="0.25">
      <c r="B2605" s="476"/>
      <c r="C2605" s="476"/>
      <c r="D2605" s="475"/>
      <c r="E2605" s="476"/>
      <c r="F2605" s="475"/>
      <c r="G2605" s="476"/>
      <c r="H2605" s="475"/>
      <c r="I2605" s="476"/>
    </row>
    <row r="2606" spans="2:9" x14ac:dyDescent="0.25">
      <c r="B2606" s="476"/>
      <c r="C2606" s="476"/>
      <c r="D2606" s="475"/>
      <c r="E2606" s="476"/>
      <c r="F2606" s="475"/>
      <c r="G2606" s="476"/>
      <c r="H2606" s="475"/>
      <c r="I2606" s="476"/>
    </row>
    <row r="2607" spans="2:9" x14ac:dyDescent="0.25">
      <c r="B2607" s="476"/>
      <c r="C2607" s="476"/>
      <c r="D2607" s="475"/>
      <c r="E2607" s="476"/>
      <c r="F2607" s="475"/>
      <c r="G2607" s="476"/>
      <c r="H2607" s="475"/>
      <c r="I2607" s="476"/>
    </row>
    <row r="2608" spans="2:9" x14ac:dyDescent="0.25">
      <c r="B2608" s="476"/>
      <c r="C2608" s="476"/>
      <c r="D2608" s="475"/>
      <c r="E2608" s="476"/>
      <c r="F2608" s="475"/>
      <c r="G2608" s="476"/>
      <c r="H2608" s="475"/>
      <c r="I2608" s="476"/>
    </row>
    <row r="2609" spans="2:9" x14ac:dyDescent="0.25">
      <c r="B2609" s="476"/>
      <c r="C2609" s="476"/>
      <c r="D2609" s="475"/>
      <c r="E2609" s="476"/>
      <c r="F2609" s="475"/>
      <c r="G2609" s="476"/>
      <c r="H2609" s="475"/>
      <c r="I2609" s="476"/>
    </row>
    <row r="2610" spans="2:9" x14ac:dyDescent="0.25">
      <c r="B2610" s="476"/>
      <c r="C2610" s="476"/>
      <c r="D2610" s="475"/>
      <c r="E2610" s="476"/>
      <c r="F2610" s="475"/>
      <c r="G2610" s="476"/>
      <c r="H2610" s="475"/>
      <c r="I2610" s="476"/>
    </row>
    <row r="2611" spans="2:9" x14ac:dyDescent="0.25">
      <c r="B2611" s="476"/>
      <c r="C2611" s="476"/>
      <c r="D2611" s="475"/>
      <c r="E2611" s="476"/>
      <c r="F2611" s="475"/>
      <c r="G2611" s="476"/>
      <c r="H2611" s="475"/>
      <c r="I2611" s="476"/>
    </row>
    <row r="2612" spans="2:9" x14ac:dyDescent="0.25">
      <c r="B2612" s="476"/>
      <c r="C2612" s="476"/>
      <c r="D2612" s="475"/>
      <c r="E2612" s="476"/>
      <c r="F2612" s="475"/>
      <c r="G2612" s="476"/>
      <c r="H2612" s="475"/>
      <c r="I2612" s="476"/>
    </row>
    <row r="2613" spans="2:9" x14ac:dyDescent="0.25">
      <c r="B2613" s="476"/>
      <c r="C2613" s="476"/>
      <c r="D2613" s="475"/>
      <c r="E2613" s="476"/>
      <c r="F2613" s="475"/>
      <c r="G2613" s="476"/>
      <c r="H2613" s="475"/>
      <c r="I2613" s="476"/>
    </row>
    <row r="2614" spans="2:9" x14ac:dyDescent="0.25">
      <c r="B2614" s="476"/>
      <c r="C2614" s="476"/>
      <c r="D2614" s="475"/>
      <c r="E2614" s="476"/>
      <c r="F2614" s="475"/>
      <c r="G2614" s="476"/>
      <c r="H2614" s="475"/>
      <c r="I2614" s="476"/>
    </row>
    <row r="2615" spans="2:9" x14ac:dyDescent="0.25">
      <c r="B2615" s="476"/>
      <c r="C2615" s="476"/>
      <c r="D2615" s="475"/>
      <c r="E2615" s="476"/>
      <c r="F2615" s="475"/>
      <c r="G2615" s="476"/>
      <c r="H2615" s="475"/>
      <c r="I2615" s="476"/>
    </row>
    <row r="2616" spans="2:9" x14ac:dyDescent="0.25">
      <c r="B2616" s="476"/>
      <c r="C2616" s="476"/>
      <c r="D2616" s="475"/>
      <c r="E2616" s="476"/>
      <c r="F2616" s="475"/>
      <c r="G2616" s="476"/>
      <c r="H2616" s="475"/>
      <c r="I2616" s="476"/>
    </row>
    <row r="2617" spans="2:9" x14ac:dyDescent="0.25">
      <c r="B2617" s="476"/>
      <c r="C2617" s="476"/>
      <c r="D2617" s="475"/>
      <c r="E2617" s="476"/>
      <c r="F2617" s="475"/>
      <c r="G2617" s="476"/>
      <c r="H2617" s="475"/>
      <c r="I2617" s="476"/>
    </row>
    <row r="2618" spans="2:9" x14ac:dyDescent="0.25">
      <c r="B2618" s="476"/>
      <c r="C2618" s="476"/>
      <c r="D2618" s="475"/>
      <c r="E2618" s="476"/>
      <c r="F2618" s="475"/>
      <c r="G2618" s="476"/>
      <c r="H2618" s="475"/>
      <c r="I2618" s="476"/>
    </row>
    <row r="2619" spans="2:9" x14ac:dyDescent="0.25">
      <c r="B2619" s="476"/>
      <c r="C2619" s="476"/>
      <c r="D2619" s="475"/>
      <c r="E2619" s="476"/>
      <c r="F2619" s="475"/>
      <c r="G2619" s="476"/>
      <c r="H2619" s="475"/>
      <c r="I2619" s="476"/>
    </row>
    <row r="2620" spans="2:9" x14ac:dyDescent="0.25">
      <c r="B2620" s="476"/>
      <c r="C2620" s="476"/>
      <c r="D2620" s="475"/>
      <c r="E2620" s="476"/>
      <c r="F2620" s="475"/>
      <c r="G2620" s="476"/>
      <c r="H2620" s="475"/>
      <c r="I2620" s="476"/>
    </row>
    <row r="2621" spans="2:9" x14ac:dyDescent="0.25">
      <c r="B2621" s="476"/>
      <c r="C2621" s="476"/>
      <c r="D2621" s="475"/>
      <c r="E2621" s="476"/>
      <c r="F2621" s="475"/>
      <c r="G2621" s="476"/>
      <c r="H2621" s="475"/>
      <c r="I2621" s="476"/>
    </row>
    <row r="2622" spans="2:9" x14ac:dyDescent="0.25">
      <c r="B2622" s="476"/>
      <c r="C2622" s="476"/>
      <c r="D2622" s="475"/>
      <c r="E2622" s="476"/>
      <c r="F2622" s="475"/>
      <c r="G2622" s="476"/>
      <c r="H2622" s="475"/>
      <c r="I2622" s="476"/>
    </row>
    <row r="2623" spans="2:9" x14ac:dyDescent="0.25">
      <c r="B2623" s="476"/>
      <c r="C2623" s="476"/>
      <c r="D2623" s="475"/>
      <c r="E2623" s="476"/>
      <c r="F2623" s="475"/>
      <c r="G2623" s="476"/>
      <c r="H2623" s="475"/>
      <c r="I2623" s="476"/>
    </row>
    <row r="2624" spans="2:9" x14ac:dyDescent="0.25">
      <c r="B2624" s="476"/>
      <c r="C2624" s="476"/>
      <c r="D2624" s="475"/>
      <c r="E2624" s="476"/>
      <c r="F2624" s="475"/>
      <c r="G2624" s="476"/>
      <c r="H2624" s="475"/>
      <c r="I2624" s="476"/>
    </row>
    <row r="2625" spans="2:9" x14ac:dyDescent="0.25">
      <c r="B2625" s="476"/>
      <c r="C2625" s="476"/>
      <c r="D2625" s="475"/>
      <c r="E2625" s="476"/>
      <c r="F2625" s="475"/>
      <c r="G2625" s="476"/>
      <c r="H2625" s="475"/>
      <c r="I2625" s="476"/>
    </row>
    <row r="2626" spans="2:9" x14ac:dyDescent="0.25">
      <c r="B2626" s="476"/>
      <c r="C2626" s="476"/>
      <c r="D2626" s="475"/>
      <c r="E2626" s="476"/>
      <c r="F2626" s="475"/>
      <c r="G2626" s="476"/>
      <c r="H2626" s="475"/>
      <c r="I2626" s="476"/>
    </row>
    <row r="2627" spans="2:9" x14ac:dyDescent="0.25">
      <c r="B2627" s="476"/>
      <c r="C2627" s="476"/>
      <c r="D2627" s="475"/>
      <c r="E2627" s="476"/>
      <c r="F2627" s="475"/>
      <c r="G2627" s="476"/>
      <c r="H2627" s="475"/>
      <c r="I2627" s="476"/>
    </row>
    <row r="2628" spans="2:9" x14ac:dyDescent="0.25">
      <c r="B2628" s="476"/>
      <c r="C2628" s="476"/>
      <c r="D2628" s="475"/>
      <c r="E2628" s="476"/>
      <c r="F2628" s="475"/>
      <c r="G2628" s="476"/>
      <c r="H2628" s="475"/>
      <c r="I2628" s="476"/>
    </row>
    <row r="2629" spans="2:9" x14ac:dyDescent="0.25">
      <c r="B2629" s="476"/>
      <c r="C2629" s="476"/>
      <c r="D2629" s="475"/>
      <c r="E2629" s="476"/>
      <c r="F2629" s="475"/>
      <c r="G2629" s="476"/>
      <c r="H2629" s="475"/>
      <c r="I2629" s="476"/>
    </row>
    <row r="2630" spans="2:9" x14ac:dyDescent="0.25">
      <c r="B2630" s="476"/>
      <c r="C2630" s="476"/>
      <c r="D2630" s="475"/>
      <c r="E2630" s="476"/>
      <c r="F2630" s="475"/>
      <c r="G2630" s="476"/>
      <c r="H2630" s="475"/>
      <c r="I2630" s="476"/>
    </row>
    <row r="2631" spans="2:9" x14ac:dyDescent="0.25">
      <c r="B2631" s="476"/>
      <c r="C2631" s="476"/>
      <c r="D2631" s="475"/>
      <c r="E2631" s="476"/>
      <c r="F2631" s="475"/>
      <c r="G2631" s="476"/>
      <c r="H2631" s="475"/>
      <c r="I2631" s="476"/>
    </row>
    <row r="2632" spans="2:9" x14ac:dyDescent="0.25">
      <c r="B2632" s="476"/>
      <c r="C2632" s="476"/>
      <c r="D2632" s="475"/>
      <c r="E2632" s="476"/>
      <c r="F2632" s="475"/>
      <c r="G2632" s="476"/>
      <c r="H2632" s="475"/>
      <c r="I2632" s="476"/>
    </row>
    <row r="2633" spans="2:9" x14ac:dyDescent="0.25">
      <c r="B2633" s="476"/>
      <c r="C2633" s="476"/>
      <c r="D2633" s="475"/>
      <c r="E2633" s="476"/>
      <c r="F2633" s="475"/>
      <c r="G2633" s="476"/>
      <c r="H2633" s="475"/>
      <c r="I2633" s="476"/>
    </row>
    <row r="2634" spans="2:9" x14ac:dyDescent="0.25">
      <c r="B2634" s="476"/>
      <c r="C2634" s="476"/>
      <c r="D2634" s="475"/>
      <c r="E2634" s="476"/>
      <c r="F2634" s="475"/>
      <c r="G2634" s="476"/>
      <c r="H2634" s="475"/>
      <c r="I2634" s="476"/>
    </row>
    <row r="2635" spans="2:9" x14ac:dyDescent="0.25">
      <c r="B2635" s="476"/>
      <c r="C2635" s="476"/>
      <c r="D2635" s="475"/>
      <c r="E2635" s="476"/>
      <c r="F2635" s="475"/>
      <c r="G2635" s="476"/>
      <c r="H2635" s="475"/>
      <c r="I2635" s="476"/>
    </row>
    <row r="2636" spans="2:9" x14ac:dyDescent="0.25">
      <c r="B2636" s="476"/>
      <c r="C2636" s="476"/>
      <c r="D2636" s="475"/>
      <c r="E2636" s="476"/>
      <c r="F2636" s="475"/>
      <c r="G2636" s="476"/>
      <c r="H2636" s="475"/>
      <c r="I2636" s="476"/>
    </row>
    <row r="2637" spans="2:9" x14ac:dyDescent="0.25">
      <c r="B2637" s="476"/>
      <c r="C2637" s="476"/>
      <c r="D2637" s="475"/>
      <c r="E2637" s="476"/>
      <c r="F2637" s="475"/>
      <c r="G2637" s="476"/>
      <c r="H2637" s="475"/>
      <c r="I2637" s="476"/>
    </row>
    <row r="2638" spans="2:9" x14ac:dyDescent="0.25">
      <c r="B2638" s="476"/>
      <c r="C2638" s="476"/>
      <c r="D2638" s="475"/>
      <c r="E2638" s="476"/>
      <c r="F2638" s="475"/>
      <c r="G2638" s="476"/>
      <c r="H2638" s="475"/>
      <c r="I2638" s="476"/>
    </row>
    <row r="2639" spans="2:9" x14ac:dyDescent="0.25">
      <c r="B2639" s="476"/>
      <c r="C2639" s="476"/>
      <c r="D2639" s="475"/>
      <c r="E2639" s="476"/>
      <c r="F2639" s="475"/>
      <c r="G2639" s="476"/>
      <c r="H2639" s="475"/>
      <c r="I2639" s="476"/>
    </row>
    <row r="2640" spans="2:9" x14ac:dyDescent="0.25">
      <c r="B2640" s="476"/>
      <c r="C2640" s="476"/>
      <c r="D2640" s="475"/>
      <c r="E2640" s="476"/>
      <c r="F2640" s="475"/>
      <c r="G2640" s="476"/>
      <c r="H2640" s="475"/>
      <c r="I2640" s="476"/>
    </row>
    <row r="2641" spans="2:9" x14ac:dyDescent="0.25">
      <c r="B2641" s="476"/>
      <c r="C2641" s="476"/>
      <c r="D2641" s="475"/>
      <c r="E2641" s="476"/>
      <c r="F2641" s="475"/>
      <c r="G2641" s="476"/>
      <c r="H2641" s="475"/>
      <c r="I2641" s="476"/>
    </row>
    <row r="2642" spans="2:9" x14ac:dyDescent="0.25">
      <c r="B2642" s="476"/>
      <c r="C2642" s="476"/>
      <c r="D2642" s="475"/>
      <c r="E2642" s="476"/>
      <c r="F2642" s="475"/>
      <c r="G2642" s="476"/>
      <c r="H2642" s="475"/>
      <c r="I2642" s="476"/>
    </row>
    <row r="2643" spans="2:9" x14ac:dyDescent="0.25">
      <c r="B2643" s="476"/>
      <c r="C2643" s="476"/>
      <c r="D2643" s="475"/>
      <c r="E2643" s="476"/>
      <c r="F2643" s="475"/>
      <c r="G2643" s="476"/>
      <c r="H2643" s="475"/>
      <c r="I2643" s="476"/>
    </row>
    <row r="2644" spans="2:9" x14ac:dyDescent="0.25">
      <c r="B2644" s="476"/>
      <c r="C2644" s="476"/>
      <c r="D2644" s="475"/>
      <c r="E2644" s="476"/>
      <c r="F2644" s="475"/>
      <c r="G2644" s="476"/>
      <c r="H2644" s="475"/>
      <c r="I2644" s="476"/>
    </row>
    <row r="2645" spans="2:9" x14ac:dyDescent="0.25">
      <c r="B2645" s="476"/>
      <c r="C2645" s="476"/>
      <c r="D2645" s="475"/>
      <c r="E2645" s="476"/>
      <c r="F2645" s="475"/>
      <c r="G2645" s="476"/>
      <c r="H2645" s="475"/>
      <c r="I2645" s="476"/>
    </row>
    <row r="2646" spans="2:9" x14ac:dyDescent="0.25">
      <c r="B2646" s="476"/>
      <c r="C2646" s="476"/>
      <c r="D2646" s="475"/>
      <c r="E2646" s="476"/>
      <c r="F2646" s="475"/>
      <c r="G2646" s="476"/>
      <c r="H2646" s="475"/>
      <c r="I2646" s="476"/>
    </row>
    <row r="2647" spans="2:9" x14ac:dyDescent="0.25">
      <c r="B2647" s="476"/>
      <c r="C2647" s="476"/>
      <c r="D2647" s="475"/>
      <c r="E2647" s="476"/>
      <c r="F2647" s="475"/>
      <c r="G2647" s="476"/>
      <c r="H2647" s="475"/>
      <c r="I2647" s="476"/>
    </row>
    <row r="2648" spans="2:9" x14ac:dyDescent="0.25">
      <c r="B2648" s="476"/>
      <c r="C2648" s="476"/>
      <c r="D2648" s="475"/>
      <c r="E2648" s="476"/>
      <c r="F2648" s="475"/>
      <c r="G2648" s="476"/>
      <c r="H2648" s="475"/>
      <c r="I2648" s="476"/>
    </row>
    <row r="2649" spans="2:9" x14ac:dyDescent="0.25">
      <c r="B2649" s="476"/>
      <c r="C2649" s="476"/>
      <c r="D2649" s="475"/>
      <c r="E2649" s="476"/>
      <c r="F2649" s="475"/>
      <c r="G2649" s="476"/>
      <c r="H2649" s="475"/>
      <c r="I2649" s="476"/>
    </row>
    <row r="2650" spans="2:9" x14ac:dyDescent="0.25">
      <c r="B2650" s="476"/>
      <c r="C2650" s="476"/>
      <c r="D2650" s="475"/>
      <c r="E2650" s="476"/>
      <c r="F2650" s="475"/>
      <c r="G2650" s="476"/>
      <c r="H2650" s="475"/>
      <c r="I2650" s="476"/>
    </row>
    <row r="2651" spans="2:9" x14ac:dyDescent="0.25">
      <c r="B2651" s="476"/>
      <c r="C2651" s="476"/>
      <c r="D2651" s="475"/>
      <c r="E2651" s="476"/>
      <c r="F2651" s="475"/>
      <c r="G2651" s="476"/>
      <c r="H2651" s="475"/>
      <c r="I2651" s="476"/>
    </row>
    <row r="2652" spans="2:9" x14ac:dyDescent="0.25">
      <c r="B2652" s="476"/>
      <c r="C2652" s="476"/>
      <c r="D2652" s="475"/>
      <c r="E2652" s="476"/>
      <c r="F2652" s="475"/>
      <c r="G2652" s="476"/>
      <c r="H2652" s="475"/>
      <c r="I2652" s="476"/>
    </row>
    <row r="2653" spans="2:9" x14ac:dyDescent="0.25">
      <c r="B2653" s="476"/>
      <c r="C2653" s="476"/>
      <c r="D2653" s="475"/>
      <c r="E2653" s="476"/>
      <c r="F2653" s="475"/>
      <c r="G2653" s="476"/>
      <c r="H2653" s="475"/>
      <c r="I2653" s="476"/>
    </row>
    <row r="2654" spans="2:9" x14ac:dyDescent="0.25">
      <c r="B2654" s="476"/>
      <c r="C2654" s="476"/>
      <c r="D2654" s="475"/>
      <c r="E2654" s="476"/>
      <c r="F2654" s="475"/>
      <c r="G2654" s="476"/>
      <c r="H2654" s="475"/>
      <c r="I2654" s="476"/>
    </row>
    <row r="2655" spans="2:9" x14ac:dyDescent="0.25">
      <c r="B2655" s="476"/>
      <c r="C2655" s="476"/>
      <c r="D2655" s="475"/>
      <c r="E2655" s="476"/>
      <c r="F2655" s="475"/>
      <c r="G2655" s="476"/>
      <c r="H2655" s="475"/>
      <c r="I2655" s="476"/>
    </row>
    <row r="2656" spans="2:9" x14ac:dyDescent="0.25">
      <c r="B2656" s="476"/>
      <c r="C2656" s="476"/>
      <c r="D2656" s="475"/>
      <c r="E2656" s="476"/>
      <c r="F2656" s="475"/>
      <c r="G2656" s="476"/>
      <c r="H2656" s="475"/>
      <c r="I2656" s="476"/>
    </row>
    <row r="2657" spans="2:9" x14ac:dyDescent="0.25">
      <c r="B2657" s="476"/>
      <c r="C2657" s="476"/>
      <c r="D2657" s="475"/>
      <c r="E2657" s="476"/>
      <c r="F2657" s="475"/>
      <c r="G2657" s="476"/>
      <c r="H2657" s="475"/>
      <c r="I2657" s="476"/>
    </row>
    <row r="2658" spans="2:9" x14ac:dyDescent="0.25">
      <c r="B2658" s="476"/>
      <c r="C2658" s="476"/>
      <c r="D2658" s="475"/>
      <c r="E2658" s="476"/>
      <c r="F2658" s="475"/>
      <c r="G2658" s="476"/>
      <c r="H2658" s="475"/>
      <c r="I2658" s="476"/>
    </row>
    <row r="2659" spans="2:9" x14ac:dyDescent="0.25">
      <c r="B2659" s="476"/>
      <c r="C2659" s="476"/>
      <c r="D2659" s="475"/>
      <c r="E2659" s="476"/>
      <c r="F2659" s="475"/>
      <c r="G2659" s="476"/>
      <c r="H2659" s="475"/>
      <c r="I2659" s="476"/>
    </row>
    <row r="2660" spans="2:9" x14ac:dyDescent="0.25">
      <c r="B2660" s="476"/>
      <c r="C2660" s="476"/>
      <c r="D2660" s="475"/>
      <c r="E2660" s="476"/>
      <c r="F2660" s="475"/>
      <c r="G2660" s="476"/>
      <c r="H2660" s="475"/>
      <c r="I2660" s="476"/>
    </row>
    <row r="2661" spans="2:9" x14ac:dyDescent="0.25">
      <c r="B2661" s="476"/>
      <c r="C2661" s="476"/>
      <c r="D2661" s="475"/>
      <c r="E2661" s="476"/>
      <c r="F2661" s="475"/>
      <c r="G2661" s="476"/>
      <c r="H2661" s="475"/>
      <c r="I2661" s="476"/>
    </row>
    <row r="2662" spans="2:9" x14ac:dyDescent="0.25">
      <c r="B2662" s="476"/>
      <c r="C2662" s="476"/>
      <c r="D2662" s="475"/>
      <c r="E2662" s="476"/>
      <c r="F2662" s="475"/>
      <c r="G2662" s="476"/>
      <c r="H2662" s="475"/>
      <c r="I2662" s="476"/>
    </row>
    <row r="2663" spans="2:9" x14ac:dyDescent="0.25">
      <c r="B2663" s="476"/>
      <c r="C2663" s="476"/>
      <c r="D2663" s="475"/>
      <c r="E2663" s="476"/>
      <c r="F2663" s="475"/>
      <c r="G2663" s="476"/>
      <c r="H2663" s="475"/>
      <c r="I2663" s="476"/>
    </row>
    <row r="2664" spans="2:9" x14ac:dyDescent="0.25">
      <c r="B2664" s="476"/>
      <c r="C2664" s="476"/>
      <c r="D2664" s="475"/>
      <c r="E2664" s="476"/>
      <c r="F2664" s="475"/>
      <c r="G2664" s="476"/>
      <c r="H2664" s="475"/>
      <c r="I2664" s="476"/>
    </row>
    <row r="2665" spans="2:9" x14ac:dyDescent="0.25">
      <c r="B2665" s="476"/>
      <c r="C2665" s="476"/>
      <c r="D2665" s="475"/>
      <c r="E2665" s="476"/>
      <c r="F2665" s="475"/>
      <c r="G2665" s="476"/>
      <c r="H2665" s="475"/>
      <c r="I2665" s="476"/>
    </row>
    <row r="2666" spans="2:9" x14ac:dyDescent="0.25">
      <c r="B2666" s="476"/>
      <c r="C2666" s="476"/>
      <c r="D2666" s="475"/>
      <c r="E2666" s="476"/>
      <c r="F2666" s="475"/>
      <c r="G2666" s="476"/>
      <c r="H2666" s="475"/>
      <c r="I2666" s="476"/>
    </row>
    <row r="2667" spans="2:9" x14ac:dyDescent="0.25">
      <c r="B2667" s="476"/>
      <c r="C2667" s="476"/>
      <c r="D2667" s="475"/>
      <c r="E2667" s="476"/>
      <c r="F2667" s="475"/>
      <c r="G2667" s="476"/>
      <c r="H2667" s="475"/>
      <c r="I2667" s="476"/>
    </row>
    <row r="2668" spans="2:9" x14ac:dyDescent="0.25">
      <c r="B2668" s="476"/>
      <c r="C2668" s="476"/>
      <c r="D2668" s="475"/>
      <c r="E2668" s="476"/>
      <c r="F2668" s="475"/>
      <c r="G2668" s="476"/>
      <c r="H2668" s="475"/>
      <c r="I2668" s="476"/>
    </row>
    <row r="2669" spans="2:9" x14ac:dyDescent="0.25">
      <c r="B2669" s="476"/>
      <c r="C2669" s="476"/>
      <c r="D2669" s="475"/>
      <c r="E2669" s="476"/>
      <c r="F2669" s="475"/>
      <c r="G2669" s="476"/>
      <c r="H2669" s="475"/>
      <c r="I2669" s="476"/>
    </row>
    <row r="2670" spans="2:9" x14ac:dyDescent="0.25">
      <c r="B2670" s="476"/>
      <c r="C2670" s="476"/>
      <c r="D2670" s="475"/>
      <c r="E2670" s="476"/>
      <c r="F2670" s="475"/>
      <c r="G2670" s="476"/>
      <c r="H2670" s="475"/>
      <c r="I2670" s="476"/>
    </row>
    <row r="2671" spans="2:9" x14ac:dyDescent="0.25">
      <c r="B2671" s="476"/>
      <c r="C2671" s="476"/>
      <c r="D2671" s="475"/>
      <c r="E2671" s="476"/>
      <c r="F2671" s="475"/>
      <c r="G2671" s="476"/>
      <c r="H2671" s="475"/>
      <c r="I2671" s="476"/>
    </row>
    <row r="2672" spans="2:9" x14ac:dyDescent="0.25">
      <c r="B2672" s="476"/>
      <c r="C2672" s="476"/>
      <c r="D2672" s="475"/>
      <c r="E2672" s="476"/>
      <c r="F2672" s="475"/>
      <c r="G2672" s="476"/>
      <c r="H2672" s="475"/>
      <c r="I2672" s="476"/>
    </row>
    <row r="2673" spans="2:9" x14ac:dyDescent="0.25">
      <c r="B2673" s="476"/>
      <c r="C2673" s="476"/>
      <c r="D2673" s="475"/>
      <c r="E2673" s="476"/>
      <c r="F2673" s="475"/>
      <c r="G2673" s="476"/>
      <c r="H2673" s="475"/>
      <c r="I2673" s="476"/>
    </row>
    <row r="2674" spans="2:9" x14ac:dyDescent="0.25">
      <c r="B2674" s="476"/>
      <c r="C2674" s="476"/>
      <c r="D2674" s="475"/>
      <c r="E2674" s="476"/>
      <c r="F2674" s="475"/>
      <c r="G2674" s="476"/>
      <c r="H2674" s="475"/>
      <c r="I2674" s="476"/>
    </row>
    <row r="2675" spans="2:9" x14ac:dyDescent="0.25">
      <c r="B2675" s="476"/>
      <c r="C2675" s="476"/>
      <c r="D2675" s="475"/>
      <c r="E2675" s="476"/>
      <c r="F2675" s="475"/>
      <c r="G2675" s="476"/>
      <c r="H2675" s="475"/>
      <c r="I2675" s="476"/>
    </row>
    <row r="2676" spans="2:9" x14ac:dyDescent="0.25">
      <c r="B2676" s="476"/>
      <c r="C2676" s="476"/>
      <c r="D2676" s="475"/>
      <c r="E2676" s="476"/>
      <c r="F2676" s="475"/>
      <c r="G2676" s="476"/>
      <c r="H2676" s="475"/>
      <c r="I2676" s="476"/>
    </row>
    <row r="2677" spans="2:9" x14ac:dyDescent="0.25">
      <c r="B2677" s="476"/>
      <c r="C2677" s="476"/>
      <c r="D2677" s="475"/>
      <c r="E2677" s="476"/>
      <c r="F2677" s="475"/>
      <c r="G2677" s="476"/>
      <c r="H2677" s="475"/>
      <c r="I2677" s="476"/>
    </row>
    <row r="2678" spans="2:9" x14ac:dyDescent="0.25">
      <c r="B2678" s="476"/>
      <c r="C2678" s="476"/>
      <c r="D2678" s="475"/>
      <c r="E2678" s="476"/>
      <c r="F2678" s="475"/>
      <c r="G2678" s="476"/>
      <c r="H2678" s="475"/>
      <c r="I2678" s="476"/>
    </row>
    <row r="2679" spans="2:9" x14ac:dyDescent="0.25">
      <c r="B2679" s="476"/>
      <c r="C2679" s="476"/>
      <c r="D2679" s="475"/>
      <c r="E2679" s="476"/>
      <c r="F2679" s="475"/>
      <c r="G2679" s="476"/>
      <c r="H2679" s="475"/>
      <c r="I2679" s="476"/>
    </row>
    <row r="2680" spans="2:9" x14ac:dyDescent="0.25">
      <c r="B2680" s="476"/>
      <c r="C2680" s="476"/>
      <c r="D2680" s="475"/>
      <c r="E2680" s="476"/>
      <c r="F2680" s="475"/>
      <c r="G2680" s="476"/>
      <c r="H2680" s="475"/>
      <c r="I2680" s="476"/>
    </row>
    <row r="2681" spans="2:9" x14ac:dyDescent="0.25">
      <c r="B2681" s="476"/>
      <c r="C2681" s="476"/>
      <c r="D2681" s="475"/>
      <c r="E2681" s="476"/>
      <c r="F2681" s="475"/>
      <c r="G2681" s="476"/>
      <c r="H2681" s="475"/>
      <c r="I2681" s="476"/>
    </row>
    <row r="2682" spans="2:9" x14ac:dyDescent="0.25">
      <c r="B2682" s="476"/>
      <c r="C2682" s="476"/>
      <c r="D2682" s="475"/>
      <c r="E2682" s="476"/>
      <c r="F2682" s="475"/>
      <c r="G2682" s="476"/>
      <c r="H2682" s="475"/>
      <c r="I2682" s="476"/>
    </row>
    <row r="2683" spans="2:9" x14ac:dyDescent="0.25">
      <c r="B2683" s="476"/>
      <c r="C2683" s="476"/>
      <c r="D2683" s="475"/>
      <c r="E2683" s="476"/>
      <c r="F2683" s="475"/>
      <c r="G2683" s="476"/>
      <c r="H2683" s="475"/>
      <c r="I2683" s="476"/>
    </row>
    <row r="2684" spans="2:9" x14ac:dyDescent="0.25">
      <c r="B2684" s="476"/>
      <c r="C2684" s="476"/>
      <c r="D2684" s="475"/>
      <c r="E2684" s="476"/>
      <c r="F2684" s="475"/>
      <c r="G2684" s="476"/>
      <c r="H2684" s="475"/>
      <c r="I2684" s="476"/>
    </row>
    <row r="2685" spans="2:9" x14ac:dyDescent="0.25">
      <c r="B2685" s="476"/>
      <c r="C2685" s="476"/>
      <c r="D2685" s="475"/>
      <c r="E2685" s="476"/>
      <c r="F2685" s="475"/>
      <c r="G2685" s="476"/>
      <c r="H2685" s="475"/>
      <c r="I2685" s="476"/>
    </row>
    <row r="2686" spans="2:9" x14ac:dyDescent="0.25">
      <c r="B2686" s="476"/>
      <c r="C2686" s="476"/>
      <c r="D2686" s="475"/>
      <c r="E2686" s="476"/>
      <c r="F2686" s="475"/>
      <c r="G2686" s="476"/>
      <c r="H2686" s="475"/>
      <c r="I2686" s="476"/>
    </row>
    <row r="2687" spans="2:9" x14ac:dyDescent="0.25">
      <c r="B2687" s="476"/>
      <c r="C2687" s="476"/>
      <c r="D2687" s="475"/>
      <c r="E2687" s="476"/>
      <c r="F2687" s="475"/>
      <c r="G2687" s="476"/>
      <c r="H2687" s="475"/>
      <c r="I2687" s="476"/>
    </row>
    <row r="2688" spans="2:9" x14ac:dyDescent="0.25">
      <c r="B2688" s="476"/>
      <c r="C2688" s="476"/>
      <c r="D2688" s="475"/>
      <c r="E2688" s="476"/>
      <c r="F2688" s="475"/>
      <c r="G2688" s="476"/>
      <c r="H2688" s="475"/>
      <c r="I2688" s="476"/>
    </row>
    <row r="2689" spans="2:9" x14ac:dyDescent="0.25">
      <c r="B2689" s="476"/>
      <c r="C2689" s="476"/>
      <c r="D2689" s="475"/>
      <c r="E2689" s="476"/>
      <c r="F2689" s="475"/>
      <c r="G2689" s="476"/>
      <c r="H2689" s="475"/>
      <c r="I2689" s="476"/>
    </row>
    <row r="2690" spans="2:9" x14ac:dyDescent="0.25">
      <c r="B2690" s="476"/>
      <c r="C2690" s="476"/>
      <c r="D2690" s="475"/>
      <c r="E2690" s="476"/>
      <c r="F2690" s="475"/>
      <c r="G2690" s="476"/>
      <c r="H2690" s="475"/>
      <c r="I2690" s="476"/>
    </row>
    <row r="2691" spans="2:9" x14ac:dyDescent="0.25">
      <c r="B2691" s="476"/>
      <c r="C2691" s="476"/>
      <c r="D2691" s="475"/>
      <c r="E2691" s="476"/>
      <c r="F2691" s="475"/>
      <c r="G2691" s="476"/>
      <c r="H2691" s="475"/>
      <c r="I2691" s="476"/>
    </row>
    <row r="2692" spans="2:9" x14ac:dyDescent="0.25">
      <c r="B2692" s="476"/>
      <c r="C2692" s="476"/>
      <c r="D2692" s="475"/>
      <c r="E2692" s="476"/>
      <c r="F2692" s="475"/>
      <c r="G2692" s="476"/>
      <c r="H2692" s="475"/>
      <c r="I2692" s="476"/>
    </row>
    <row r="2693" spans="2:9" x14ac:dyDescent="0.25">
      <c r="B2693" s="476"/>
      <c r="C2693" s="476"/>
      <c r="D2693" s="475"/>
      <c r="E2693" s="476"/>
      <c r="F2693" s="475"/>
      <c r="G2693" s="476"/>
      <c r="H2693" s="475"/>
      <c r="I2693" s="476"/>
    </row>
    <row r="2694" spans="2:9" x14ac:dyDescent="0.25">
      <c r="B2694" s="476"/>
      <c r="C2694" s="476"/>
      <c r="D2694" s="475"/>
      <c r="E2694" s="476"/>
      <c r="F2694" s="475"/>
      <c r="G2694" s="476"/>
      <c r="H2694" s="475"/>
      <c r="I2694" s="476"/>
    </row>
    <row r="2695" spans="2:9" x14ac:dyDescent="0.25">
      <c r="B2695" s="476"/>
      <c r="C2695" s="476"/>
      <c r="D2695" s="475"/>
      <c r="E2695" s="476"/>
      <c r="F2695" s="475"/>
      <c r="G2695" s="476"/>
      <c r="H2695" s="475"/>
      <c r="I2695" s="476"/>
    </row>
    <row r="2696" spans="2:9" x14ac:dyDescent="0.25">
      <c r="B2696" s="476"/>
      <c r="C2696" s="476"/>
      <c r="D2696" s="475"/>
      <c r="E2696" s="476"/>
      <c r="F2696" s="475"/>
      <c r="G2696" s="476"/>
      <c r="H2696" s="475"/>
      <c r="I2696" s="476"/>
    </row>
    <row r="2697" spans="2:9" x14ac:dyDescent="0.25">
      <c r="B2697" s="476"/>
      <c r="C2697" s="476"/>
      <c r="D2697" s="475"/>
      <c r="E2697" s="476"/>
      <c r="F2697" s="475"/>
      <c r="G2697" s="476"/>
      <c r="H2697" s="475"/>
      <c r="I2697" s="476"/>
    </row>
    <row r="2698" spans="2:9" x14ac:dyDescent="0.25">
      <c r="B2698" s="476"/>
      <c r="C2698" s="476"/>
      <c r="D2698" s="475"/>
      <c r="E2698" s="476"/>
      <c r="F2698" s="475"/>
      <c r="G2698" s="476"/>
      <c r="H2698" s="475"/>
      <c r="I2698" s="476"/>
    </row>
    <row r="2699" spans="2:9" x14ac:dyDescent="0.25">
      <c r="B2699" s="476"/>
      <c r="C2699" s="476"/>
      <c r="D2699" s="475"/>
      <c r="E2699" s="476"/>
      <c r="F2699" s="475"/>
      <c r="G2699" s="476"/>
      <c r="H2699" s="475"/>
      <c r="I2699" s="476"/>
    </row>
    <row r="2700" spans="2:9" x14ac:dyDescent="0.25">
      <c r="B2700" s="476"/>
      <c r="C2700" s="476"/>
      <c r="D2700" s="475"/>
      <c r="E2700" s="476"/>
      <c r="F2700" s="475"/>
      <c r="G2700" s="476"/>
      <c r="H2700" s="475"/>
      <c r="I2700" s="476"/>
    </row>
    <row r="2701" spans="2:9" x14ac:dyDescent="0.25">
      <c r="B2701" s="476"/>
      <c r="C2701" s="476"/>
      <c r="D2701" s="475"/>
      <c r="E2701" s="476"/>
      <c r="F2701" s="475"/>
      <c r="G2701" s="476"/>
      <c r="H2701" s="475"/>
      <c r="I2701" s="476"/>
    </row>
    <row r="2702" spans="2:9" x14ac:dyDescent="0.25">
      <c r="B2702" s="476"/>
      <c r="C2702" s="476"/>
      <c r="D2702" s="475"/>
      <c r="E2702" s="476"/>
      <c r="F2702" s="475"/>
      <c r="G2702" s="476"/>
      <c r="H2702" s="475"/>
      <c r="I2702" s="476"/>
    </row>
    <row r="2703" spans="2:9" x14ac:dyDescent="0.25">
      <c r="B2703" s="476"/>
      <c r="C2703" s="476"/>
      <c r="D2703" s="475"/>
      <c r="E2703" s="476"/>
      <c r="F2703" s="475"/>
      <c r="G2703" s="476"/>
      <c r="H2703" s="475"/>
      <c r="I2703" s="476"/>
    </row>
    <row r="2704" spans="2:9" x14ac:dyDescent="0.25">
      <c r="B2704" s="476"/>
      <c r="C2704" s="476"/>
      <c r="D2704" s="475"/>
      <c r="E2704" s="476"/>
      <c r="F2704" s="475"/>
      <c r="G2704" s="476"/>
      <c r="H2704" s="475"/>
      <c r="I2704" s="476"/>
    </row>
    <row r="2705" spans="2:9" x14ac:dyDescent="0.25">
      <c r="B2705" s="476"/>
      <c r="C2705" s="476"/>
      <c r="D2705" s="475"/>
      <c r="E2705" s="476"/>
      <c r="F2705" s="475"/>
      <c r="G2705" s="476"/>
      <c r="H2705" s="475"/>
      <c r="I2705" s="476"/>
    </row>
    <row r="2706" spans="2:9" x14ac:dyDescent="0.25">
      <c r="B2706" s="476"/>
      <c r="C2706" s="476"/>
      <c r="D2706" s="475"/>
      <c r="E2706" s="476"/>
      <c r="F2706" s="475"/>
      <c r="G2706" s="476"/>
      <c r="H2706" s="475"/>
      <c r="I2706" s="476"/>
    </row>
    <row r="2707" spans="2:9" x14ac:dyDescent="0.25">
      <c r="B2707" s="476"/>
      <c r="C2707" s="476"/>
      <c r="D2707" s="475"/>
      <c r="E2707" s="476"/>
      <c r="F2707" s="475"/>
      <c r="G2707" s="476"/>
      <c r="H2707" s="475"/>
      <c r="I2707" s="476"/>
    </row>
    <row r="2708" spans="2:9" x14ac:dyDescent="0.25">
      <c r="B2708" s="476"/>
      <c r="C2708" s="476"/>
      <c r="D2708" s="475"/>
      <c r="E2708" s="476"/>
      <c r="F2708" s="475"/>
      <c r="G2708" s="476"/>
      <c r="H2708" s="475"/>
      <c r="I2708" s="476"/>
    </row>
    <row r="2709" spans="2:9" x14ac:dyDescent="0.25">
      <c r="B2709" s="476"/>
      <c r="C2709" s="476"/>
      <c r="D2709" s="475"/>
      <c r="E2709" s="476"/>
      <c r="F2709" s="475"/>
      <c r="G2709" s="476"/>
      <c r="H2709" s="475"/>
      <c r="I2709" s="476"/>
    </row>
    <row r="2710" spans="2:9" x14ac:dyDescent="0.25">
      <c r="B2710" s="476"/>
      <c r="C2710" s="476"/>
      <c r="D2710" s="475"/>
      <c r="E2710" s="476"/>
      <c r="F2710" s="475"/>
      <c r="G2710" s="476"/>
      <c r="H2710" s="475"/>
      <c r="I2710" s="476"/>
    </row>
    <row r="2711" spans="2:9" x14ac:dyDescent="0.25">
      <c r="B2711" s="476"/>
      <c r="C2711" s="476"/>
      <c r="D2711" s="475"/>
      <c r="E2711" s="476"/>
      <c r="F2711" s="475"/>
      <c r="G2711" s="476"/>
      <c r="H2711" s="475"/>
      <c r="I2711" s="476"/>
    </row>
    <row r="2712" spans="2:9" x14ac:dyDescent="0.25">
      <c r="B2712" s="476"/>
      <c r="C2712" s="476"/>
      <c r="D2712" s="475"/>
      <c r="E2712" s="476"/>
      <c r="F2712" s="475"/>
      <c r="G2712" s="476"/>
      <c r="H2712" s="475"/>
      <c r="I2712" s="476"/>
    </row>
    <row r="2713" spans="2:9" x14ac:dyDescent="0.25">
      <c r="B2713" s="476"/>
      <c r="C2713" s="476"/>
      <c r="D2713" s="475"/>
      <c r="E2713" s="476"/>
      <c r="F2713" s="475"/>
      <c r="G2713" s="476"/>
      <c r="H2713" s="475"/>
      <c r="I2713" s="476"/>
    </row>
    <row r="2714" spans="2:9" x14ac:dyDescent="0.25">
      <c r="B2714" s="476"/>
      <c r="C2714" s="476"/>
      <c r="D2714" s="475"/>
      <c r="E2714" s="476"/>
      <c r="F2714" s="475"/>
      <c r="G2714" s="476"/>
      <c r="H2714" s="475"/>
      <c r="I2714" s="476"/>
    </row>
    <row r="2715" spans="2:9" x14ac:dyDescent="0.25">
      <c r="B2715" s="476"/>
      <c r="C2715" s="476"/>
      <c r="D2715" s="475"/>
      <c r="E2715" s="476"/>
      <c r="F2715" s="475"/>
      <c r="G2715" s="476"/>
      <c r="H2715" s="475"/>
      <c r="I2715" s="476"/>
    </row>
    <row r="2716" spans="2:9" x14ac:dyDescent="0.25">
      <c r="B2716" s="476"/>
      <c r="C2716" s="476"/>
      <c r="D2716" s="475"/>
      <c r="E2716" s="476"/>
      <c r="F2716" s="475"/>
      <c r="G2716" s="476"/>
      <c r="H2716" s="475"/>
      <c r="I2716" s="476"/>
    </row>
    <row r="2717" spans="2:9" x14ac:dyDescent="0.25">
      <c r="B2717" s="476"/>
      <c r="C2717" s="476"/>
      <c r="D2717" s="475"/>
      <c r="E2717" s="476"/>
      <c r="F2717" s="475"/>
      <c r="G2717" s="476"/>
      <c r="H2717" s="475"/>
      <c r="I2717" s="476"/>
    </row>
    <row r="2718" spans="2:9" x14ac:dyDescent="0.25">
      <c r="B2718" s="476"/>
      <c r="C2718" s="476"/>
      <c r="D2718" s="475"/>
      <c r="E2718" s="476"/>
      <c r="F2718" s="475"/>
      <c r="G2718" s="476"/>
      <c r="H2718" s="475"/>
      <c r="I2718" s="476"/>
    </row>
    <row r="2719" spans="2:9" x14ac:dyDescent="0.25">
      <c r="B2719" s="476"/>
      <c r="C2719" s="476"/>
      <c r="D2719" s="475"/>
      <c r="E2719" s="476"/>
      <c r="F2719" s="475"/>
      <c r="G2719" s="476"/>
      <c r="H2719" s="475"/>
      <c r="I2719" s="476"/>
    </row>
    <row r="2720" spans="2:9" x14ac:dyDescent="0.25">
      <c r="B2720" s="476"/>
      <c r="C2720" s="476"/>
      <c r="D2720" s="475"/>
      <c r="E2720" s="476"/>
      <c r="F2720" s="475"/>
      <c r="G2720" s="476"/>
      <c r="H2720" s="475"/>
      <c r="I2720" s="476"/>
    </row>
    <row r="2721" spans="2:9" x14ac:dyDescent="0.25">
      <c r="B2721" s="476"/>
      <c r="C2721" s="476"/>
      <c r="D2721" s="475"/>
      <c r="E2721" s="476"/>
      <c r="F2721" s="475"/>
      <c r="G2721" s="476"/>
      <c r="H2721" s="475"/>
      <c r="I2721" s="476"/>
    </row>
    <row r="2722" spans="2:9" x14ac:dyDescent="0.25">
      <c r="B2722" s="476"/>
      <c r="C2722" s="476"/>
      <c r="D2722" s="475"/>
      <c r="E2722" s="476"/>
      <c r="F2722" s="475"/>
      <c r="G2722" s="476"/>
      <c r="H2722" s="475"/>
      <c r="I2722" s="476"/>
    </row>
    <row r="2723" spans="2:9" x14ac:dyDescent="0.25">
      <c r="B2723" s="476"/>
      <c r="C2723" s="476"/>
      <c r="D2723" s="475"/>
      <c r="E2723" s="476"/>
      <c r="F2723" s="475"/>
      <c r="G2723" s="476"/>
      <c r="H2723" s="475"/>
      <c r="I2723" s="476"/>
    </row>
    <row r="2724" spans="2:9" x14ac:dyDescent="0.25">
      <c r="B2724" s="476"/>
      <c r="C2724" s="476"/>
      <c r="D2724" s="475"/>
      <c r="E2724" s="476"/>
      <c r="F2724" s="475"/>
      <c r="G2724" s="476"/>
      <c r="H2724" s="475"/>
      <c r="I2724" s="476"/>
    </row>
    <row r="2725" spans="2:9" x14ac:dyDescent="0.25">
      <c r="B2725" s="476"/>
      <c r="C2725" s="476"/>
      <c r="D2725" s="475"/>
      <c r="E2725" s="476"/>
      <c r="F2725" s="475"/>
      <c r="G2725" s="476"/>
      <c r="H2725" s="475"/>
      <c r="I2725" s="476"/>
    </row>
    <row r="2726" spans="2:9" x14ac:dyDescent="0.25">
      <c r="B2726" s="476"/>
      <c r="C2726" s="476"/>
      <c r="D2726" s="475"/>
      <c r="E2726" s="476"/>
      <c r="F2726" s="475"/>
      <c r="G2726" s="476"/>
      <c r="H2726" s="475"/>
      <c r="I2726" s="476"/>
    </row>
    <row r="2727" spans="2:9" x14ac:dyDescent="0.25">
      <c r="B2727" s="476"/>
      <c r="C2727" s="476"/>
      <c r="D2727" s="475"/>
      <c r="E2727" s="476"/>
      <c r="F2727" s="475"/>
      <c r="G2727" s="476"/>
      <c r="H2727" s="475"/>
      <c r="I2727" s="476"/>
    </row>
    <row r="2728" spans="2:9" x14ac:dyDescent="0.25">
      <c r="B2728" s="476"/>
      <c r="C2728" s="476"/>
      <c r="D2728" s="475"/>
      <c r="E2728" s="476"/>
      <c r="F2728" s="475"/>
      <c r="G2728" s="476"/>
      <c r="H2728" s="475"/>
      <c r="I2728" s="476"/>
    </row>
    <row r="2729" spans="2:9" x14ac:dyDescent="0.25">
      <c r="B2729" s="476"/>
      <c r="C2729" s="476"/>
      <c r="D2729" s="475"/>
      <c r="E2729" s="476"/>
      <c r="F2729" s="475"/>
      <c r="G2729" s="476"/>
      <c r="H2729" s="475"/>
      <c r="I2729" s="476"/>
    </row>
    <row r="2730" spans="2:9" x14ac:dyDescent="0.25">
      <c r="B2730" s="476"/>
      <c r="C2730" s="476"/>
      <c r="D2730" s="475"/>
      <c r="E2730" s="476"/>
      <c r="F2730" s="475"/>
      <c r="G2730" s="476"/>
      <c r="H2730" s="475"/>
      <c r="I2730" s="476"/>
    </row>
    <row r="2731" spans="2:9" x14ac:dyDescent="0.25">
      <c r="B2731" s="476"/>
      <c r="C2731" s="476"/>
      <c r="D2731" s="475"/>
      <c r="E2731" s="476"/>
      <c r="F2731" s="475"/>
      <c r="G2731" s="476"/>
      <c r="H2731" s="475"/>
      <c r="I2731" s="476"/>
    </row>
    <row r="2732" spans="2:9" x14ac:dyDescent="0.25">
      <c r="B2732" s="476"/>
      <c r="C2732" s="476"/>
      <c r="D2732" s="475"/>
      <c r="E2732" s="476"/>
      <c r="F2732" s="475"/>
      <c r="G2732" s="476"/>
      <c r="H2732" s="475"/>
      <c r="I2732" s="476"/>
    </row>
    <row r="2733" spans="2:9" x14ac:dyDescent="0.25">
      <c r="B2733" s="476"/>
      <c r="C2733" s="476"/>
      <c r="D2733" s="475"/>
      <c r="E2733" s="476"/>
      <c r="F2733" s="475"/>
      <c r="G2733" s="476"/>
      <c r="H2733" s="475"/>
      <c r="I2733" s="476"/>
    </row>
    <row r="2734" spans="2:9" x14ac:dyDescent="0.25">
      <c r="B2734" s="476"/>
      <c r="C2734" s="476"/>
      <c r="D2734" s="475"/>
      <c r="E2734" s="476"/>
      <c r="F2734" s="475"/>
      <c r="G2734" s="476"/>
      <c r="H2734" s="475"/>
      <c r="I2734" s="476"/>
    </row>
    <row r="2735" spans="2:9" x14ac:dyDescent="0.25">
      <c r="B2735" s="476"/>
      <c r="C2735" s="476"/>
      <c r="D2735" s="475"/>
      <c r="E2735" s="476"/>
      <c r="F2735" s="475"/>
      <c r="G2735" s="476"/>
      <c r="H2735" s="475"/>
      <c r="I2735" s="476"/>
    </row>
    <row r="2736" spans="2:9" x14ac:dyDescent="0.25">
      <c r="B2736" s="476"/>
      <c r="C2736" s="476"/>
      <c r="D2736" s="475"/>
      <c r="E2736" s="476"/>
      <c r="F2736" s="475"/>
      <c r="G2736" s="476"/>
      <c r="H2736" s="475"/>
      <c r="I2736" s="476"/>
    </row>
    <row r="2737" spans="2:9" x14ac:dyDescent="0.25">
      <c r="B2737" s="476"/>
      <c r="C2737" s="476"/>
      <c r="D2737" s="475"/>
      <c r="E2737" s="476"/>
      <c r="F2737" s="475"/>
      <c r="G2737" s="476"/>
      <c r="H2737" s="475"/>
      <c r="I2737" s="476"/>
    </row>
    <row r="2738" spans="2:9" x14ac:dyDescent="0.25">
      <c r="B2738" s="476"/>
      <c r="C2738" s="476"/>
      <c r="D2738" s="475"/>
      <c r="E2738" s="476"/>
      <c r="F2738" s="475"/>
      <c r="G2738" s="476"/>
      <c r="H2738" s="475"/>
      <c r="I2738" s="476"/>
    </row>
    <row r="2739" spans="2:9" x14ac:dyDescent="0.25">
      <c r="B2739" s="476"/>
      <c r="C2739" s="476"/>
      <c r="D2739" s="475"/>
      <c r="E2739" s="476"/>
      <c r="F2739" s="475"/>
      <c r="G2739" s="476"/>
      <c r="H2739" s="475"/>
      <c r="I2739" s="476"/>
    </row>
    <row r="2740" spans="2:9" x14ac:dyDescent="0.25">
      <c r="B2740" s="476"/>
      <c r="C2740" s="476"/>
      <c r="D2740" s="475"/>
      <c r="E2740" s="476"/>
      <c r="F2740" s="475"/>
      <c r="G2740" s="476"/>
      <c r="H2740" s="475"/>
      <c r="I2740" s="476"/>
    </row>
    <row r="2741" spans="2:9" x14ac:dyDescent="0.25">
      <c r="B2741" s="476"/>
      <c r="C2741" s="476"/>
      <c r="D2741" s="475"/>
      <c r="E2741" s="476"/>
      <c r="F2741" s="475"/>
      <c r="G2741" s="476"/>
      <c r="H2741" s="475"/>
      <c r="I2741" s="476"/>
    </row>
    <row r="2742" spans="2:9" x14ac:dyDescent="0.25">
      <c r="B2742" s="476"/>
      <c r="C2742" s="476"/>
      <c r="D2742" s="475"/>
      <c r="E2742" s="476"/>
      <c r="F2742" s="475"/>
      <c r="G2742" s="476"/>
      <c r="H2742" s="475"/>
      <c r="I2742" s="476"/>
    </row>
    <row r="2743" spans="2:9" x14ac:dyDescent="0.25">
      <c r="B2743" s="476"/>
      <c r="C2743" s="476"/>
      <c r="D2743" s="475"/>
      <c r="E2743" s="476"/>
      <c r="F2743" s="475"/>
      <c r="G2743" s="476"/>
      <c r="H2743" s="475"/>
      <c r="I2743" s="476"/>
    </row>
    <row r="2744" spans="2:9" x14ac:dyDescent="0.25">
      <c r="B2744" s="476"/>
      <c r="C2744" s="476"/>
      <c r="D2744" s="475"/>
      <c r="E2744" s="476"/>
      <c r="F2744" s="475"/>
      <c r="G2744" s="476"/>
      <c r="H2744" s="475"/>
      <c r="I2744" s="476"/>
    </row>
    <row r="2745" spans="2:9" x14ac:dyDescent="0.25">
      <c r="B2745" s="476"/>
      <c r="C2745" s="476"/>
      <c r="D2745" s="475"/>
      <c r="E2745" s="476"/>
      <c r="F2745" s="475"/>
      <c r="G2745" s="476"/>
      <c r="H2745" s="475"/>
      <c r="I2745" s="476"/>
    </row>
    <row r="2746" spans="2:9" x14ac:dyDescent="0.25">
      <c r="B2746" s="476"/>
      <c r="C2746" s="476"/>
      <c r="D2746" s="475"/>
      <c r="E2746" s="476"/>
      <c r="F2746" s="475"/>
      <c r="G2746" s="476"/>
      <c r="H2746" s="475"/>
      <c r="I2746" s="476"/>
    </row>
    <row r="2747" spans="2:9" x14ac:dyDescent="0.25">
      <c r="B2747" s="476"/>
      <c r="C2747" s="476"/>
      <c r="D2747" s="475"/>
      <c r="E2747" s="476"/>
      <c r="F2747" s="475"/>
      <c r="G2747" s="476"/>
      <c r="H2747" s="475"/>
      <c r="I2747" s="476"/>
    </row>
    <row r="2748" spans="2:9" x14ac:dyDescent="0.25">
      <c r="B2748" s="476"/>
      <c r="C2748" s="476"/>
      <c r="D2748" s="475"/>
      <c r="E2748" s="476"/>
      <c r="F2748" s="475"/>
      <c r="G2748" s="476"/>
      <c r="H2748" s="475"/>
      <c r="I2748" s="476"/>
    </row>
    <row r="2749" spans="2:9" x14ac:dyDescent="0.25">
      <c r="B2749" s="476"/>
      <c r="C2749" s="476"/>
      <c r="D2749" s="475"/>
      <c r="E2749" s="476"/>
      <c r="F2749" s="475"/>
      <c r="G2749" s="476"/>
      <c r="H2749" s="475"/>
      <c r="I2749" s="476"/>
    </row>
    <row r="2750" spans="2:9" x14ac:dyDescent="0.25">
      <c r="B2750" s="476"/>
      <c r="C2750" s="476"/>
      <c r="D2750" s="475"/>
      <c r="E2750" s="476"/>
      <c r="F2750" s="475"/>
      <c r="G2750" s="476"/>
      <c r="H2750" s="475"/>
      <c r="I2750" s="476"/>
    </row>
    <row r="2751" spans="2:9" x14ac:dyDescent="0.25">
      <c r="B2751" s="476"/>
      <c r="C2751" s="476"/>
      <c r="D2751" s="475"/>
      <c r="E2751" s="476"/>
      <c r="F2751" s="475"/>
      <c r="G2751" s="476"/>
      <c r="H2751" s="475"/>
      <c r="I2751" s="476"/>
    </row>
    <row r="2752" spans="2:9" x14ac:dyDescent="0.25">
      <c r="B2752" s="476"/>
      <c r="C2752" s="476"/>
      <c r="D2752" s="475"/>
      <c r="E2752" s="476"/>
      <c r="F2752" s="475"/>
      <c r="G2752" s="476"/>
      <c r="H2752" s="475"/>
      <c r="I2752" s="476"/>
    </row>
    <row r="2753" spans="2:9" x14ac:dyDescent="0.25">
      <c r="B2753" s="476"/>
      <c r="C2753" s="476"/>
      <c r="D2753" s="475"/>
      <c r="E2753" s="476"/>
      <c r="F2753" s="475"/>
      <c r="G2753" s="476"/>
      <c r="H2753" s="475"/>
      <c r="I2753" s="476"/>
    </row>
    <row r="2754" spans="2:9" x14ac:dyDescent="0.25">
      <c r="B2754" s="476"/>
      <c r="C2754" s="476"/>
      <c r="D2754" s="475"/>
      <c r="E2754" s="476"/>
      <c r="F2754" s="475"/>
      <c r="G2754" s="476"/>
      <c r="H2754" s="475"/>
      <c r="I2754" s="476"/>
    </row>
    <row r="2755" spans="2:9" x14ac:dyDescent="0.25">
      <c r="B2755" s="476"/>
      <c r="C2755" s="476"/>
      <c r="D2755" s="475"/>
      <c r="E2755" s="476"/>
      <c r="F2755" s="475"/>
      <c r="G2755" s="476"/>
      <c r="H2755" s="475"/>
      <c r="I2755" s="476"/>
    </row>
    <row r="2756" spans="2:9" x14ac:dyDescent="0.25">
      <c r="B2756" s="476"/>
      <c r="C2756" s="476"/>
      <c r="D2756" s="475"/>
      <c r="E2756" s="476"/>
      <c r="F2756" s="475"/>
      <c r="G2756" s="476"/>
      <c r="H2756" s="475"/>
      <c r="I2756" s="476"/>
    </row>
    <row r="2757" spans="2:9" x14ac:dyDescent="0.25">
      <c r="B2757" s="476"/>
      <c r="C2757" s="476"/>
      <c r="D2757" s="475"/>
      <c r="E2757" s="476"/>
      <c r="F2757" s="475"/>
      <c r="G2757" s="476"/>
      <c r="H2757" s="475"/>
      <c r="I2757" s="476"/>
    </row>
    <row r="2758" spans="2:9" x14ac:dyDescent="0.25">
      <c r="B2758" s="476"/>
      <c r="C2758" s="476"/>
      <c r="D2758" s="475"/>
      <c r="E2758" s="476"/>
      <c r="F2758" s="475"/>
      <c r="G2758" s="476"/>
      <c r="H2758" s="475"/>
      <c r="I2758" s="476"/>
    </row>
    <row r="2759" spans="2:9" x14ac:dyDescent="0.25">
      <c r="B2759" s="476"/>
      <c r="C2759" s="476"/>
      <c r="D2759" s="475"/>
      <c r="E2759" s="476"/>
      <c r="F2759" s="475"/>
      <c r="G2759" s="476"/>
      <c r="H2759" s="475"/>
      <c r="I2759" s="476"/>
    </row>
    <row r="2760" spans="2:9" x14ac:dyDescent="0.25">
      <c r="B2760" s="476"/>
      <c r="C2760" s="476"/>
      <c r="D2760" s="475"/>
      <c r="E2760" s="476"/>
      <c r="F2760" s="475"/>
      <c r="G2760" s="476"/>
      <c r="H2760" s="475"/>
      <c r="I2760" s="476"/>
    </row>
    <row r="2761" spans="2:9" x14ac:dyDescent="0.25">
      <c r="B2761" s="476"/>
      <c r="C2761" s="476"/>
      <c r="D2761" s="475"/>
      <c r="E2761" s="476"/>
      <c r="F2761" s="475"/>
      <c r="G2761" s="476"/>
      <c r="H2761" s="475"/>
      <c r="I2761" s="476"/>
    </row>
    <row r="2762" spans="2:9" x14ac:dyDescent="0.25">
      <c r="B2762" s="476"/>
      <c r="C2762" s="476"/>
      <c r="D2762" s="475"/>
      <c r="E2762" s="476"/>
      <c r="F2762" s="475"/>
      <c r="G2762" s="476"/>
      <c r="H2762" s="475"/>
      <c r="I2762" s="476"/>
    </row>
    <row r="2763" spans="2:9" x14ac:dyDescent="0.25">
      <c r="B2763" s="476"/>
      <c r="C2763" s="476"/>
      <c r="D2763" s="475"/>
      <c r="E2763" s="476"/>
      <c r="F2763" s="475"/>
      <c r="G2763" s="476"/>
      <c r="H2763" s="475"/>
      <c r="I2763" s="476"/>
    </row>
    <row r="2764" spans="2:9" x14ac:dyDescent="0.25">
      <c r="B2764" s="476"/>
      <c r="C2764" s="476"/>
      <c r="D2764" s="475"/>
      <c r="E2764" s="476"/>
      <c r="F2764" s="475"/>
      <c r="G2764" s="476"/>
      <c r="H2764" s="475"/>
      <c r="I2764" s="476"/>
    </row>
    <row r="2765" spans="2:9" x14ac:dyDescent="0.25">
      <c r="B2765" s="476"/>
      <c r="C2765" s="476"/>
      <c r="D2765" s="475"/>
      <c r="E2765" s="476"/>
      <c r="F2765" s="475"/>
      <c r="G2765" s="476"/>
      <c r="H2765" s="475"/>
      <c r="I2765" s="476"/>
    </row>
    <row r="2766" spans="2:9" x14ac:dyDescent="0.25">
      <c r="B2766" s="476"/>
      <c r="C2766" s="476"/>
      <c r="D2766" s="475"/>
      <c r="E2766" s="476"/>
      <c r="F2766" s="475"/>
      <c r="G2766" s="476"/>
      <c r="H2766" s="475"/>
      <c r="I2766" s="476"/>
    </row>
    <row r="2767" spans="2:9" x14ac:dyDescent="0.25">
      <c r="B2767" s="476"/>
      <c r="C2767" s="476"/>
      <c r="D2767" s="475"/>
      <c r="E2767" s="476"/>
      <c r="F2767" s="475"/>
      <c r="G2767" s="476"/>
      <c r="H2767" s="475"/>
      <c r="I2767" s="476"/>
    </row>
    <row r="2768" spans="2:9" x14ac:dyDescent="0.25">
      <c r="B2768" s="476"/>
      <c r="C2768" s="476"/>
      <c r="D2768" s="475"/>
      <c r="E2768" s="476"/>
      <c r="F2768" s="475"/>
      <c r="G2768" s="476"/>
      <c r="H2768" s="475"/>
      <c r="I2768" s="476"/>
    </row>
    <row r="2769" spans="2:9" x14ac:dyDescent="0.25">
      <c r="B2769" s="476"/>
      <c r="C2769" s="476"/>
      <c r="D2769" s="475"/>
      <c r="E2769" s="476"/>
      <c r="F2769" s="475"/>
      <c r="G2769" s="476"/>
      <c r="H2769" s="475"/>
      <c r="I2769" s="476"/>
    </row>
    <row r="2770" spans="2:9" x14ac:dyDescent="0.25">
      <c r="B2770" s="476"/>
      <c r="C2770" s="476"/>
      <c r="D2770" s="475"/>
      <c r="E2770" s="476"/>
      <c r="F2770" s="475"/>
      <c r="G2770" s="476"/>
      <c r="H2770" s="475"/>
      <c r="I2770" s="476"/>
    </row>
    <row r="2771" spans="2:9" x14ac:dyDescent="0.25">
      <c r="B2771" s="476"/>
      <c r="C2771" s="476"/>
      <c r="D2771" s="475"/>
      <c r="E2771" s="476"/>
      <c r="F2771" s="475"/>
      <c r="G2771" s="476"/>
      <c r="H2771" s="475"/>
      <c r="I2771" s="476"/>
    </row>
    <row r="2772" spans="2:9" x14ac:dyDescent="0.25">
      <c r="B2772" s="476"/>
      <c r="C2772" s="476"/>
      <c r="D2772" s="475"/>
      <c r="E2772" s="476"/>
      <c r="F2772" s="475"/>
      <c r="G2772" s="476"/>
      <c r="H2772" s="475"/>
      <c r="I2772" s="476"/>
    </row>
    <row r="2773" spans="2:9" x14ac:dyDescent="0.25">
      <c r="B2773" s="476"/>
      <c r="C2773" s="476"/>
      <c r="D2773" s="475"/>
      <c r="E2773" s="476"/>
      <c r="F2773" s="475"/>
      <c r="G2773" s="476"/>
      <c r="H2773" s="475"/>
      <c r="I2773" s="476"/>
    </row>
    <row r="2774" spans="2:9" x14ac:dyDescent="0.25">
      <c r="B2774" s="476"/>
      <c r="C2774" s="476"/>
      <c r="D2774" s="475"/>
      <c r="E2774" s="476"/>
      <c r="F2774" s="475"/>
      <c r="G2774" s="476"/>
      <c r="H2774" s="475"/>
      <c r="I2774" s="476"/>
    </row>
    <row r="2775" spans="2:9" x14ac:dyDescent="0.25">
      <c r="B2775" s="476"/>
      <c r="C2775" s="476"/>
      <c r="D2775" s="475"/>
      <c r="E2775" s="476"/>
      <c r="F2775" s="475"/>
      <c r="G2775" s="476"/>
      <c r="H2775" s="475"/>
      <c r="I2775" s="476"/>
    </row>
    <row r="2776" spans="2:9" x14ac:dyDescent="0.25">
      <c r="B2776" s="476"/>
      <c r="C2776" s="476"/>
      <c r="D2776" s="475"/>
      <c r="E2776" s="476"/>
      <c r="F2776" s="475"/>
      <c r="G2776" s="476"/>
      <c r="H2776" s="475"/>
      <c r="I2776" s="476"/>
    </row>
    <row r="2777" spans="2:9" x14ac:dyDescent="0.25">
      <c r="B2777" s="476"/>
      <c r="C2777" s="476"/>
      <c r="D2777" s="475"/>
      <c r="E2777" s="476"/>
      <c r="F2777" s="475"/>
      <c r="G2777" s="476"/>
      <c r="H2777" s="475"/>
      <c r="I2777" s="476"/>
    </row>
    <row r="2778" spans="2:9" x14ac:dyDescent="0.25">
      <c r="B2778" s="476"/>
      <c r="C2778" s="476"/>
      <c r="D2778" s="475"/>
      <c r="E2778" s="476"/>
      <c r="F2778" s="475"/>
      <c r="G2778" s="476"/>
      <c r="H2778" s="475"/>
      <c r="I2778" s="476"/>
    </row>
    <row r="2779" spans="2:9" x14ac:dyDescent="0.25">
      <c r="B2779" s="476"/>
      <c r="C2779" s="476"/>
      <c r="D2779" s="475"/>
      <c r="E2779" s="476"/>
      <c r="F2779" s="475"/>
      <c r="G2779" s="476"/>
      <c r="H2779" s="475"/>
      <c r="I2779" s="476"/>
    </row>
    <row r="2780" spans="2:9" x14ac:dyDescent="0.25">
      <c r="B2780" s="476"/>
      <c r="C2780" s="476"/>
      <c r="D2780" s="475"/>
      <c r="E2780" s="476"/>
      <c r="F2780" s="475"/>
      <c r="G2780" s="476"/>
      <c r="H2780" s="475"/>
      <c r="I2780" s="476"/>
    </row>
    <row r="2781" spans="2:9" x14ac:dyDescent="0.25">
      <c r="B2781" s="476"/>
      <c r="C2781" s="476"/>
      <c r="D2781" s="475"/>
      <c r="E2781" s="476"/>
      <c r="F2781" s="475"/>
      <c r="G2781" s="476"/>
      <c r="H2781" s="475"/>
      <c r="I2781" s="476"/>
    </row>
    <row r="2782" spans="2:9" x14ac:dyDescent="0.25">
      <c r="B2782" s="476"/>
      <c r="C2782" s="476"/>
      <c r="D2782" s="475"/>
      <c r="E2782" s="476"/>
      <c r="F2782" s="475"/>
      <c r="G2782" s="476"/>
      <c r="H2782" s="475"/>
      <c r="I2782" s="476"/>
    </row>
    <row r="2783" spans="2:9" x14ac:dyDescent="0.25">
      <c r="B2783" s="476"/>
      <c r="C2783" s="476"/>
      <c r="D2783" s="475"/>
      <c r="E2783" s="476"/>
      <c r="F2783" s="475"/>
      <c r="G2783" s="476"/>
      <c r="H2783" s="475"/>
      <c r="I2783" s="476"/>
    </row>
    <row r="2784" spans="2:9" x14ac:dyDescent="0.25">
      <c r="B2784" s="476"/>
      <c r="C2784" s="476"/>
      <c r="D2784" s="475"/>
      <c r="E2784" s="476"/>
      <c r="F2784" s="475"/>
      <c r="G2784" s="476"/>
      <c r="H2784" s="475"/>
      <c r="I2784" s="476"/>
    </row>
    <row r="2785" spans="2:9" x14ac:dyDescent="0.25">
      <c r="B2785" s="476"/>
      <c r="C2785" s="476"/>
      <c r="D2785" s="475"/>
      <c r="E2785" s="476"/>
      <c r="F2785" s="475"/>
      <c r="G2785" s="476"/>
      <c r="H2785" s="475"/>
      <c r="I2785" s="476"/>
    </row>
    <row r="2786" spans="2:9" x14ac:dyDescent="0.25">
      <c r="B2786" s="476"/>
      <c r="C2786" s="476"/>
      <c r="D2786" s="475"/>
      <c r="E2786" s="476"/>
      <c r="F2786" s="475"/>
      <c r="G2786" s="476"/>
      <c r="H2786" s="475"/>
      <c r="I2786" s="476"/>
    </row>
    <row r="2787" spans="2:9" x14ac:dyDescent="0.25">
      <c r="B2787" s="476"/>
      <c r="C2787" s="476"/>
      <c r="D2787" s="475"/>
      <c r="E2787" s="476"/>
      <c r="F2787" s="475"/>
      <c r="G2787" s="476"/>
      <c r="H2787" s="475"/>
      <c r="I2787" s="476"/>
    </row>
    <row r="2788" spans="2:9" x14ac:dyDescent="0.25">
      <c r="B2788" s="476"/>
      <c r="C2788" s="476"/>
      <c r="D2788" s="475"/>
      <c r="E2788" s="476"/>
      <c r="F2788" s="475"/>
      <c r="G2788" s="476"/>
      <c r="H2788" s="475"/>
      <c r="I2788" s="476"/>
    </row>
    <row r="2789" spans="2:9" x14ac:dyDescent="0.25">
      <c r="B2789" s="476"/>
      <c r="C2789" s="476"/>
      <c r="D2789" s="475"/>
      <c r="E2789" s="476"/>
      <c r="F2789" s="475"/>
      <c r="G2789" s="476"/>
      <c r="H2789" s="475"/>
      <c r="I2789" s="476"/>
    </row>
    <row r="2790" spans="2:9" x14ac:dyDescent="0.25">
      <c r="B2790" s="476"/>
      <c r="C2790" s="476"/>
      <c r="D2790" s="475"/>
      <c r="E2790" s="476"/>
      <c r="F2790" s="475"/>
      <c r="G2790" s="476"/>
      <c r="H2790" s="475"/>
      <c r="I2790" s="476"/>
    </row>
    <row r="2791" spans="2:9" x14ac:dyDescent="0.25">
      <c r="B2791" s="476"/>
      <c r="C2791" s="476"/>
      <c r="D2791" s="475"/>
      <c r="E2791" s="476"/>
      <c r="F2791" s="475"/>
      <c r="G2791" s="476"/>
      <c r="H2791" s="475"/>
      <c r="I2791" s="476"/>
    </row>
    <row r="2792" spans="2:9" x14ac:dyDescent="0.25">
      <c r="B2792" s="476"/>
      <c r="C2792" s="476"/>
      <c r="D2792" s="475"/>
      <c r="E2792" s="476"/>
      <c r="F2792" s="475"/>
      <c r="G2792" s="476"/>
      <c r="H2792" s="475"/>
      <c r="I2792" s="476"/>
    </row>
    <row r="2793" spans="2:9" x14ac:dyDescent="0.25">
      <c r="B2793" s="476"/>
      <c r="C2793" s="476"/>
      <c r="D2793" s="475"/>
      <c r="E2793" s="476"/>
      <c r="F2793" s="475"/>
      <c r="G2793" s="476"/>
      <c r="H2793" s="475"/>
      <c r="I2793" s="476"/>
    </row>
    <row r="2794" spans="2:9" x14ac:dyDescent="0.25">
      <c r="B2794" s="476"/>
      <c r="C2794" s="476"/>
      <c r="D2794" s="475"/>
      <c r="E2794" s="476"/>
      <c r="F2794" s="475"/>
      <c r="G2794" s="476"/>
      <c r="H2794" s="475"/>
      <c r="I2794" s="476"/>
    </row>
    <row r="2795" spans="2:9" x14ac:dyDescent="0.25">
      <c r="B2795" s="476"/>
      <c r="C2795" s="476"/>
      <c r="D2795" s="475"/>
      <c r="E2795" s="476"/>
      <c r="F2795" s="475"/>
      <c r="G2795" s="476"/>
      <c r="H2795" s="475"/>
      <c r="I2795" s="476"/>
    </row>
    <row r="2796" spans="2:9" x14ac:dyDescent="0.25">
      <c r="B2796" s="476"/>
      <c r="C2796" s="476"/>
      <c r="D2796" s="475"/>
      <c r="E2796" s="476"/>
      <c r="F2796" s="475"/>
      <c r="G2796" s="476"/>
      <c r="H2796" s="475"/>
      <c r="I2796" s="476"/>
    </row>
    <row r="2797" spans="2:9" x14ac:dyDescent="0.25">
      <c r="B2797" s="476"/>
      <c r="C2797" s="476"/>
      <c r="D2797" s="475"/>
      <c r="E2797" s="476"/>
      <c r="F2797" s="475"/>
      <c r="G2797" s="476"/>
      <c r="H2797" s="475"/>
      <c r="I2797" s="476"/>
    </row>
    <row r="2798" spans="2:9" x14ac:dyDescent="0.25">
      <c r="B2798" s="476"/>
      <c r="C2798" s="476"/>
      <c r="D2798" s="475"/>
      <c r="E2798" s="476"/>
      <c r="F2798" s="475"/>
      <c r="G2798" s="476"/>
      <c r="H2798" s="475"/>
      <c r="I2798" s="476"/>
    </row>
    <row r="2799" spans="2:9" x14ac:dyDescent="0.25">
      <c r="B2799" s="476"/>
      <c r="C2799" s="476"/>
      <c r="D2799" s="475"/>
      <c r="E2799" s="476"/>
      <c r="F2799" s="475"/>
      <c r="G2799" s="476"/>
      <c r="H2799" s="475"/>
      <c r="I2799" s="476"/>
    </row>
    <row r="2800" spans="2:9" x14ac:dyDescent="0.25">
      <c r="B2800" s="476"/>
      <c r="C2800" s="476"/>
      <c r="D2800" s="475"/>
      <c r="E2800" s="476"/>
      <c r="F2800" s="475"/>
      <c r="G2800" s="476"/>
      <c r="H2800" s="475"/>
      <c r="I2800" s="476"/>
    </row>
    <row r="2801" spans="2:9" x14ac:dyDescent="0.25">
      <c r="B2801" s="476"/>
      <c r="C2801" s="476"/>
      <c r="D2801" s="475"/>
      <c r="E2801" s="476"/>
      <c r="F2801" s="475"/>
      <c r="G2801" s="476"/>
      <c r="H2801" s="475"/>
      <c r="I2801" s="476"/>
    </row>
    <row r="2802" spans="2:9" x14ac:dyDescent="0.25">
      <c r="B2802" s="476"/>
      <c r="C2802" s="476"/>
      <c r="D2802" s="475"/>
      <c r="E2802" s="476"/>
      <c r="F2802" s="475"/>
      <c r="G2802" s="476"/>
      <c r="H2802" s="475"/>
      <c r="I2802" s="476"/>
    </row>
    <row r="2803" spans="2:9" x14ac:dyDescent="0.25">
      <c r="B2803" s="476"/>
      <c r="C2803" s="476"/>
      <c r="D2803" s="475"/>
      <c r="E2803" s="476"/>
      <c r="F2803" s="475"/>
      <c r="G2803" s="476"/>
      <c r="H2803" s="475"/>
      <c r="I2803" s="476"/>
    </row>
    <row r="2804" spans="2:9" x14ac:dyDescent="0.25">
      <c r="B2804" s="476"/>
      <c r="C2804" s="476"/>
      <c r="D2804" s="475"/>
      <c r="E2804" s="476"/>
      <c r="F2804" s="475"/>
      <c r="G2804" s="476"/>
      <c r="H2804" s="475"/>
      <c r="I2804" s="476"/>
    </row>
    <row r="2805" spans="2:9" x14ac:dyDescent="0.25">
      <c r="B2805" s="476"/>
      <c r="C2805" s="476"/>
      <c r="D2805" s="475"/>
      <c r="E2805" s="476"/>
      <c r="F2805" s="475"/>
      <c r="G2805" s="476"/>
      <c r="H2805" s="475"/>
      <c r="I2805" s="476"/>
    </row>
    <row r="2806" spans="2:9" x14ac:dyDescent="0.25">
      <c r="B2806" s="476"/>
      <c r="C2806" s="476"/>
      <c r="D2806" s="475"/>
      <c r="E2806" s="476"/>
      <c r="F2806" s="475"/>
      <c r="G2806" s="476"/>
      <c r="H2806" s="475"/>
      <c r="I2806" s="476"/>
    </row>
    <row r="2807" spans="2:9" x14ac:dyDescent="0.25">
      <c r="B2807" s="476"/>
      <c r="C2807" s="476"/>
      <c r="D2807" s="475"/>
      <c r="E2807" s="476"/>
      <c r="F2807" s="475"/>
      <c r="G2807" s="476"/>
      <c r="H2807" s="475"/>
      <c r="I2807" s="476"/>
    </row>
    <row r="2808" spans="2:9" x14ac:dyDescent="0.25">
      <c r="B2808" s="476"/>
      <c r="C2808" s="476"/>
      <c r="D2808" s="475"/>
      <c r="E2808" s="476"/>
      <c r="F2808" s="475"/>
      <c r="G2808" s="476"/>
      <c r="H2808" s="475"/>
      <c r="I2808" s="476"/>
    </row>
    <row r="2809" spans="2:9" x14ac:dyDescent="0.25">
      <c r="B2809" s="476"/>
      <c r="C2809" s="476"/>
      <c r="D2809" s="475"/>
      <c r="E2809" s="476"/>
      <c r="F2809" s="475"/>
      <c r="G2809" s="476"/>
      <c r="H2809" s="475"/>
      <c r="I2809" s="476"/>
    </row>
    <row r="2810" spans="2:9" x14ac:dyDescent="0.25">
      <c r="B2810" s="476"/>
      <c r="C2810" s="476"/>
      <c r="D2810" s="475"/>
      <c r="E2810" s="476"/>
      <c r="F2810" s="475"/>
      <c r="G2810" s="476"/>
      <c r="H2810" s="475"/>
      <c r="I2810" s="476"/>
    </row>
    <row r="2811" spans="2:9" x14ac:dyDescent="0.25">
      <c r="B2811" s="476"/>
      <c r="C2811" s="476"/>
      <c r="D2811" s="475"/>
      <c r="E2811" s="476"/>
      <c r="F2811" s="475"/>
      <c r="G2811" s="476"/>
      <c r="H2811" s="475"/>
      <c r="I2811" s="476"/>
    </row>
    <row r="2812" spans="2:9" x14ac:dyDescent="0.25">
      <c r="B2812" s="476"/>
      <c r="C2812" s="476"/>
      <c r="D2812" s="475"/>
      <c r="E2812" s="476"/>
      <c r="F2812" s="475"/>
      <c r="G2812" s="476"/>
      <c r="H2812" s="475"/>
      <c r="I2812" s="476"/>
    </row>
    <row r="2813" spans="2:9" x14ac:dyDescent="0.25">
      <c r="B2813" s="476"/>
      <c r="C2813" s="476"/>
      <c r="D2813" s="475"/>
      <c r="E2813" s="476"/>
      <c r="F2813" s="475"/>
      <c r="G2813" s="476"/>
      <c r="H2813" s="475"/>
      <c r="I2813" s="476"/>
    </row>
    <row r="2814" spans="2:9" x14ac:dyDescent="0.25">
      <c r="B2814" s="476"/>
      <c r="C2814" s="476"/>
      <c r="D2814" s="475"/>
      <c r="E2814" s="476"/>
      <c r="F2814" s="475"/>
      <c r="G2814" s="476"/>
      <c r="H2814" s="475"/>
      <c r="I2814" s="476"/>
    </row>
    <row r="2815" spans="2:9" x14ac:dyDescent="0.25">
      <c r="B2815" s="476"/>
      <c r="C2815" s="476"/>
      <c r="D2815" s="475"/>
      <c r="E2815" s="476"/>
      <c r="F2815" s="475"/>
      <c r="G2815" s="476"/>
      <c r="H2815" s="475"/>
      <c r="I2815" s="476"/>
    </row>
    <row r="2816" spans="2:9" x14ac:dyDescent="0.25">
      <c r="B2816" s="476"/>
      <c r="C2816" s="476"/>
      <c r="D2816" s="475"/>
      <c r="E2816" s="476"/>
      <c r="F2816" s="475"/>
      <c r="G2816" s="476"/>
      <c r="H2816" s="475"/>
      <c r="I2816" s="476"/>
    </row>
    <row r="2817" spans="2:9" x14ac:dyDescent="0.25">
      <c r="B2817" s="476"/>
      <c r="C2817" s="476"/>
      <c r="D2817" s="475"/>
      <c r="E2817" s="476"/>
      <c r="F2817" s="475"/>
      <c r="G2817" s="476"/>
      <c r="H2817" s="475"/>
      <c r="I2817" s="476"/>
    </row>
    <row r="2818" spans="2:9" x14ac:dyDescent="0.25">
      <c r="B2818" s="476"/>
      <c r="C2818" s="476"/>
      <c r="D2818" s="475"/>
      <c r="E2818" s="476"/>
      <c r="F2818" s="475"/>
      <c r="G2818" s="476"/>
      <c r="H2818" s="475"/>
      <c r="I2818" s="476"/>
    </row>
    <row r="2819" spans="2:9" x14ac:dyDescent="0.25">
      <c r="B2819" s="476"/>
      <c r="C2819" s="476"/>
      <c r="D2819" s="475"/>
      <c r="E2819" s="476"/>
      <c r="F2819" s="475"/>
      <c r="G2819" s="476"/>
      <c r="H2819" s="475"/>
      <c r="I2819" s="476"/>
    </row>
    <row r="2820" spans="2:9" x14ac:dyDescent="0.25">
      <c r="B2820" s="476"/>
      <c r="C2820" s="476"/>
      <c r="D2820" s="475"/>
      <c r="E2820" s="476"/>
      <c r="F2820" s="475"/>
      <c r="G2820" s="476"/>
      <c r="H2820" s="475"/>
      <c r="I2820" s="476"/>
    </row>
    <row r="2821" spans="2:9" x14ac:dyDescent="0.25">
      <c r="B2821" s="476"/>
      <c r="C2821" s="476"/>
      <c r="D2821" s="475"/>
      <c r="E2821" s="476"/>
      <c r="F2821" s="475"/>
      <c r="G2821" s="476"/>
      <c r="H2821" s="475"/>
      <c r="I2821" s="476"/>
    </row>
    <row r="2822" spans="2:9" x14ac:dyDescent="0.25">
      <c r="B2822" s="476"/>
      <c r="C2822" s="476"/>
      <c r="D2822" s="475"/>
      <c r="E2822" s="476"/>
      <c r="F2822" s="475"/>
      <c r="G2822" s="476"/>
      <c r="H2822" s="475"/>
      <c r="I2822" s="476"/>
    </row>
    <row r="2823" spans="2:9" x14ac:dyDescent="0.25">
      <c r="B2823" s="476"/>
      <c r="C2823" s="476"/>
      <c r="D2823" s="475"/>
      <c r="E2823" s="476"/>
      <c r="F2823" s="475"/>
      <c r="G2823" s="476"/>
      <c r="H2823" s="475"/>
      <c r="I2823" s="476"/>
    </row>
    <row r="2824" spans="2:9" x14ac:dyDescent="0.25">
      <c r="B2824" s="476"/>
      <c r="C2824" s="476"/>
      <c r="D2824" s="475"/>
      <c r="E2824" s="476"/>
      <c r="F2824" s="475"/>
      <c r="G2824" s="476"/>
      <c r="H2824" s="475"/>
      <c r="I2824" s="476"/>
    </row>
    <row r="2825" spans="2:9" x14ac:dyDescent="0.25">
      <c r="B2825" s="476"/>
      <c r="C2825" s="476"/>
      <c r="D2825" s="475"/>
      <c r="E2825" s="476"/>
      <c r="F2825" s="475"/>
      <c r="G2825" s="476"/>
      <c r="H2825" s="475"/>
      <c r="I2825" s="476"/>
    </row>
    <row r="2826" spans="2:9" x14ac:dyDescent="0.25">
      <c r="B2826" s="476"/>
      <c r="C2826" s="476"/>
      <c r="D2826" s="475"/>
      <c r="E2826" s="476"/>
      <c r="F2826" s="475"/>
      <c r="G2826" s="476"/>
      <c r="H2826" s="475"/>
      <c r="I2826" s="476"/>
    </row>
    <row r="2827" spans="2:9" x14ac:dyDescent="0.25">
      <c r="B2827" s="476"/>
      <c r="C2827" s="476"/>
      <c r="D2827" s="475"/>
      <c r="E2827" s="476"/>
      <c r="F2827" s="475"/>
      <c r="G2827" s="476"/>
      <c r="H2827" s="475"/>
      <c r="I2827" s="476"/>
    </row>
    <row r="2828" spans="2:9" x14ac:dyDescent="0.25">
      <c r="B2828" s="476"/>
      <c r="C2828" s="476"/>
      <c r="D2828" s="475"/>
      <c r="E2828" s="476"/>
      <c r="F2828" s="475"/>
      <c r="G2828" s="476"/>
      <c r="H2828" s="475"/>
      <c r="I2828" s="476"/>
    </row>
    <row r="2829" spans="2:9" x14ac:dyDescent="0.25">
      <c r="B2829" s="476"/>
      <c r="C2829" s="476"/>
      <c r="D2829" s="475"/>
      <c r="E2829" s="476"/>
      <c r="F2829" s="475"/>
      <c r="G2829" s="476"/>
      <c r="H2829" s="475"/>
      <c r="I2829" s="476"/>
    </row>
    <row r="2830" spans="2:9" x14ac:dyDescent="0.25">
      <c r="B2830" s="476"/>
      <c r="C2830" s="476"/>
      <c r="D2830" s="475"/>
      <c r="E2830" s="476"/>
      <c r="F2830" s="475"/>
      <c r="G2830" s="476"/>
      <c r="H2830" s="475"/>
      <c r="I2830" s="476"/>
    </row>
    <row r="2831" spans="2:9" x14ac:dyDescent="0.25">
      <c r="B2831" s="476"/>
      <c r="C2831" s="476"/>
      <c r="D2831" s="475"/>
      <c r="E2831" s="476"/>
      <c r="F2831" s="475"/>
      <c r="G2831" s="476"/>
      <c r="H2831" s="475"/>
      <c r="I2831" s="476"/>
    </row>
    <row r="2832" spans="2:9" x14ac:dyDescent="0.25">
      <c r="B2832" s="476"/>
      <c r="C2832" s="476"/>
      <c r="D2832" s="475"/>
      <c r="E2832" s="476"/>
      <c r="F2832" s="475"/>
      <c r="G2832" s="476"/>
      <c r="H2832" s="475"/>
      <c r="I2832" s="476"/>
    </row>
    <row r="2833" spans="2:9" x14ac:dyDescent="0.25">
      <c r="B2833" s="476"/>
      <c r="C2833" s="476"/>
      <c r="D2833" s="475"/>
      <c r="E2833" s="476"/>
      <c r="F2833" s="475"/>
      <c r="G2833" s="476"/>
      <c r="H2833" s="475"/>
      <c r="I2833" s="476"/>
    </row>
    <row r="2834" spans="2:9" x14ac:dyDescent="0.25">
      <c r="B2834" s="476"/>
      <c r="C2834" s="476"/>
      <c r="D2834" s="475"/>
      <c r="E2834" s="476"/>
      <c r="F2834" s="475"/>
      <c r="G2834" s="476"/>
      <c r="H2834" s="475"/>
      <c r="I2834" s="476"/>
    </row>
    <row r="2835" spans="2:9" x14ac:dyDescent="0.25">
      <c r="B2835" s="476"/>
      <c r="C2835" s="476"/>
      <c r="D2835" s="475"/>
      <c r="E2835" s="476"/>
      <c r="F2835" s="475"/>
      <c r="G2835" s="476"/>
      <c r="H2835" s="475"/>
      <c r="I2835" s="476"/>
    </row>
    <row r="2836" spans="2:9" x14ac:dyDescent="0.25">
      <c r="B2836" s="476"/>
      <c r="C2836" s="476"/>
      <c r="D2836" s="475"/>
      <c r="E2836" s="476"/>
      <c r="F2836" s="475"/>
      <c r="G2836" s="476"/>
      <c r="H2836" s="475"/>
      <c r="I2836" s="476"/>
    </row>
    <row r="2837" spans="2:9" x14ac:dyDescent="0.25">
      <c r="B2837" s="476"/>
      <c r="C2837" s="476"/>
      <c r="D2837" s="475"/>
      <c r="E2837" s="476"/>
      <c r="F2837" s="475"/>
      <c r="G2837" s="476"/>
      <c r="H2837" s="475"/>
      <c r="I2837" s="476"/>
    </row>
    <row r="2838" spans="2:9" x14ac:dyDescent="0.25">
      <c r="B2838" s="476"/>
      <c r="C2838" s="476"/>
      <c r="D2838" s="475"/>
      <c r="E2838" s="476"/>
      <c r="F2838" s="475"/>
      <c r="G2838" s="476"/>
      <c r="H2838" s="475"/>
      <c r="I2838" s="476"/>
    </row>
    <row r="2839" spans="2:9" x14ac:dyDescent="0.25">
      <c r="B2839" s="476"/>
      <c r="C2839" s="476"/>
      <c r="D2839" s="475"/>
      <c r="E2839" s="476"/>
      <c r="F2839" s="475"/>
      <c r="G2839" s="476"/>
      <c r="H2839" s="475"/>
      <c r="I2839" s="476"/>
    </row>
    <row r="2840" spans="2:9" x14ac:dyDescent="0.25">
      <c r="B2840" s="476"/>
      <c r="C2840" s="476"/>
      <c r="D2840" s="475"/>
      <c r="E2840" s="476"/>
      <c r="F2840" s="475"/>
      <c r="G2840" s="476"/>
      <c r="H2840" s="475"/>
      <c r="I2840" s="476"/>
    </row>
    <row r="2841" spans="2:9" x14ac:dyDescent="0.25">
      <c r="B2841" s="476"/>
      <c r="C2841" s="476"/>
      <c r="D2841" s="475"/>
      <c r="E2841" s="476"/>
      <c r="F2841" s="475"/>
      <c r="G2841" s="476"/>
      <c r="H2841" s="475"/>
      <c r="I2841" s="476"/>
    </row>
    <row r="2842" spans="2:9" x14ac:dyDescent="0.25">
      <c r="B2842" s="476"/>
      <c r="C2842" s="476"/>
      <c r="D2842" s="475"/>
      <c r="E2842" s="476"/>
      <c r="F2842" s="475"/>
      <c r="G2842" s="476"/>
      <c r="H2842" s="475"/>
      <c r="I2842" s="476"/>
    </row>
    <row r="2843" spans="2:9" x14ac:dyDescent="0.25">
      <c r="B2843" s="476"/>
      <c r="C2843" s="476"/>
      <c r="D2843" s="475"/>
      <c r="E2843" s="476"/>
      <c r="F2843" s="475"/>
      <c r="G2843" s="476"/>
      <c r="H2843" s="475"/>
      <c r="I2843" s="476"/>
    </row>
    <row r="2844" spans="2:9" x14ac:dyDescent="0.25">
      <c r="B2844" s="476"/>
      <c r="C2844" s="476"/>
      <c r="D2844" s="475"/>
      <c r="E2844" s="476"/>
      <c r="F2844" s="475"/>
      <c r="G2844" s="476"/>
      <c r="H2844" s="475"/>
      <c r="I2844" s="476"/>
    </row>
    <row r="2845" spans="2:9" x14ac:dyDescent="0.25">
      <c r="B2845" s="476"/>
      <c r="C2845" s="476"/>
      <c r="D2845" s="475"/>
      <c r="E2845" s="476"/>
      <c r="F2845" s="475"/>
      <c r="G2845" s="476"/>
      <c r="H2845" s="475"/>
      <c r="I2845" s="476"/>
    </row>
    <row r="2846" spans="2:9" x14ac:dyDescent="0.25">
      <c r="B2846" s="476"/>
      <c r="C2846" s="476"/>
      <c r="D2846" s="475"/>
      <c r="E2846" s="476"/>
      <c r="F2846" s="475"/>
      <c r="G2846" s="476"/>
      <c r="H2846" s="475"/>
      <c r="I2846" s="476"/>
    </row>
    <row r="2847" spans="2:9" x14ac:dyDescent="0.25">
      <c r="B2847" s="476"/>
      <c r="C2847" s="476"/>
      <c r="D2847" s="475"/>
      <c r="E2847" s="476"/>
      <c r="F2847" s="475"/>
      <c r="G2847" s="476"/>
      <c r="H2847" s="475"/>
      <c r="I2847" s="476"/>
    </row>
    <row r="2848" spans="2:9" x14ac:dyDescent="0.25">
      <c r="B2848" s="476"/>
      <c r="C2848" s="476"/>
      <c r="D2848" s="475"/>
      <c r="E2848" s="476"/>
      <c r="F2848" s="475"/>
      <c r="G2848" s="476"/>
      <c r="H2848" s="475"/>
      <c r="I2848" s="476"/>
    </row>
    <row r="2849" spans="2:9" x14ac:dyDescent="0.25">
      <c r="B2849" s="476"/>
      <c r="C2849" s="476"/>
      <c r="D2849" s="475"/>
      <c r="E2849" s="476"/>
      <c r="F2849" s="475"/>
      <c r="G2849" s="476"/>
      <c r="H2849" s="475"/>
      <c r="I2849" s="476"/>
    </row>
    <row r="2850" spans="2:9" x14ac:dyDescent="0.25">
      <c r="B2850" s="476"/>
      <c r="C2850" s="476"/>
      <c r="D2850" s="475"/>
      <c r="E2850" s="476"/>
      <c r="F2850" s="475"/>
      <c r="G2850" s="476"/>
      <c r="H2850" s="475"/>
      <c r="I2850" s="476"/>
    </row>
    <row r="2851" spans="2:9" x14ac:dyDescent="0.25">
      <c r="B2851" s="476"/>
      <c r="C2851" s="476"/>
      <c r="D2851" s="475"/>
      <c r="E2851" s="476"/>
      <c r="F2851" s="475"/>
      <c r="G2851" s="476"/>
      <c r="H2851" s="475"/>
      <c r="I2851" s="476"/>
    </row>
    <row r="2852" spans="2:9" x14ac:dyDescent="0.25">
      <c r="B2852" s="476"/>
      <c r="C2852" s="476"/>
      <c r="D2852" s="475"/>
      <c r="E2852" s="476"/>
      <c r="F2852" s="475"/>
      <c r="G2852" s="476"/>
      <c r="H2852" s="475"/>
      <c r="I2852" s="476"/>
    </row>
    <row r="2853" spans="2:9" x14ac:dyDescent="0.25">
      <c r="B2853" s="476"/>
      <c r="C2853" s="476"/>
      <c r="D2853" s="475"/>
      <c r="E2853" s="476"/>
      <c r="F2853" s="475"/>
      <c r="G2853" s="476"/>
      <c r="H2853" s="475"/>
      <c r="I2853" s="476"/>
    </row>
    <row r="2854" spans="2:9" x14ac:dyDescent="0.25">
      <c r="B2854" s="476"/>
      <c r="C2854" s="476"/>
      <c r="D2854" s="475"/>
      <c r="E2854" s="476"/>
      <c r="F2854" s="475"/>
      <c r="G2854" s="476"/>
      <c r="H2854" s="475"/>
      <c r="I2854" s="476"/>
    </row>
    <row r="2855" spans="2:9" x14ac:dyDescent="0.25">
      <c r="B2855" s="476"/>
      <c r="C2855" s="476"/>
      <c r="D2855" s="475"/>
      <c r="E2855" s="476"/>
      <c r="F2855" s="475"/>
      <c r="G2855" s="476"/>
      <c r="H2855" s="475"/>
      <c r="I2855" s="476"/>
    </row>
    <row r="2856" spans="2:9" x14ac:dyDescent="0.25">
      <c r="B2856" s="476"/>
      <c r="C2856" s="476"/>
      <c r="D2856" s="475"/>
      <c r="E2856" s="476"/>
      <c r="F2856" s="475"/>
      <c r="G2856" s="476"/>
      <c r="H2856" s="475"/>
      <c r="I2856" s="476"/>
    </row>
    <row r="2857" spans="2:9" x14ac:dyDescent="0.25">
      <c r="B2857" s="476"/>
      <c r="C2857" s="476"/>
      <c r="D2857" s="475"/>
      <c r="E2857" s="476"/>
      <c r="F2857" s="475"/>
      <c r="G2857" s="476"/>
      <c r="H2857" s="475"/>
      <c r="I2857" s="476"/>
    </row>
    <row r="2858" spans="2:9" x14ac:dyDescent="0.25">
      <c r="B2858" s="476"/>
      <c r="C2858" s="476"/>
      <c r="D2858" s="475"/>
      <c r="E2858" s="476"/>
      <c r="F2858" s="475"/>
      <c r="G2858" s="476"/>
      <c r="H2858" s="475"/>
      <c r="I2858" s="476"/>
    </row>
    <row r="2859" spans="2:9" x14ac:dyDescent="0.25">
      <c r="B2859" s="476"/>
      <c r="C2859" s="476"/>
      <c r="D2859" s="475"/>
      <c r="E2859" s="476"/>
      <c r="F2859" s="475"/>
      <c r="G2859" s="476"/>
      <c r="H2859" s="475"/>
      <c r="I2859" s="476"/>
    </row>
    <row r="2860" spans="2:9" x14ac:dyDescent="0.25">
      <c r="B2860" s="476"/>
      <c r="C2860" s="476"/>
      <c r="D2860" s="475"/>
      <c r="E2860" s="476"/>
      <c r="F2860" s="475"/>
      <c r="G2860" s="476"/>
      <c r="H2860" s="475"/>
      <c r="I2860" s="476"/>
    </row>
    <row r="2861" spans="2:9" x14ac:dyDescent="0.25">
      <c r="B2861" s="476"/>
      <c r="C2861" s="476"/>
      <c r="D2861" s="475"/>
      <c r="E2861" s="476"/>
      <c r="F2861" s="475"/>
      <c r="G2861" s="476"/>
      <c r="H2861" s="475"/>
      <c r="I2861" s="476"/>
    </row>
    <row r="2862" spans="2:9" x14ac:dyDescent="0.25">
      <c r="B2862" s="476"/>
      <c r="C2862" s="476"/>
      <c r="D2862" s="475"/>
      <c r="E2862" s="476"/>
      <c r="F2862" s="475"/>
      <c r="G2862" s="476"/>
      <c r="H2862" s="475"/>
      <c r="I2862" s="476"/>
    </row>
    <row r="2863" spans="2:9" x14ac:dyDescent="0.25">
      <c r="B2863" s="476"/>
      <c r="C2863" s="476"/>
      <c r="D2863" s="475"/>
      <c r="E2863" s="476"/>
      <c r="F2863" s="475"/>
      <c r="G2863" s="476"/>
      <c r="H2863" s="475"/>
      <c r="I2863" s="476"/>
    </row>
    <row r="2864" spans="2:9" x14ac:dyDescent="0.25">
      <c r="B2864" s="476"/>
      <c r="C2864" s="476"/>
      <c r="D2864" s="475"/>
      <c r="E2864" s="476"/>
      <c r="F2864" s="475"/>
      <c r="G2864" s="476"/>
      <c r="H2864" s="475"/>
      <c r="I2864" s="476"/>
    </row>
    <row r="2865" spans="2:9" x14ac:dyDescent="0.25">
      <c r="B2865" s="476"/>
      <c r="C2865" s="476"/>
      <c r="D2865" s="475"/>
      <c r="E2865" s="476"/>
      <c r="F2865" s="475"/>
      <c r="G2865" s="476"/>
      <c r="H2865" s="475"/>
      <c r="I2865" s="476"/>
    </row>
    <row r="2866" spans="2:9" x14ac:dyDescent="0.25">
      <c r="B2866" s="476"/>
      <c r="C2866" s="476"/>
      <c r="D2866" s="475"/>
      <c r="E2866" s="476"/>
      <c r="F2866" s="475"/>
      <c r="G2866" s="476"/>
      <c r="H2866" s="475"/>
      <c r="I2866" s="476"/>
    </row>
    <row r="2867" spans="2:9" x14ac:dyDescent="0.25">
      <c r="B2867" s="476"/>
      <c r="C2867" s="476"/>
      <c r="D2867" s="475"/>
      <c r="E2867" s="476"/>
      <c r="F2867" s="475"/>
      <c r="G2867" s="476"/>
      <c r="H2867" s="475"/>
      <c r="I2867" s="476"/>
    </row>
    <row r="2868" spans="2:9" x14ac:dyDescent="0.25">
      <c r="B2868" s="476"/>
      <c r="C2868" s="476"/>
      <c r="D2868" s="475"/>
      <c r="E2868" s="476"/>
      <c r="F2868" s="475"/>
      <c r="G2868" s="476"/>
      <c r="H2868" s="475"/>
      <c r="I2868" s="476"/>
    </row>
    <row r="2869" spans="2:9" x14ac:dyDescent="0.25">
      <c r="B2869" s="476"/>
      <c r="C2869" s="476"/>
      <c r="D2869" s="475"/>
      <c r="E2869" s="476"/>
      <c r="F2869" s="475"/>
      <c r="G2869" s="476"/>
      <c r="H2869" s="475"/>
      <c r="I2869" s="476"/>
    </row>
    <row r="2870" spans="2:9" x14ac:dyDescent="0.25">
      <c r="B2870" s="476"/>
      <c r="C2870" s="476"/>
      <c r="D2870" s="475"/>
      <c r="E2870" s="476"/>
      <c r="F2870" s="475"/>
      <c r="G2870" s="476"/>
      <c r="H2870" s="475"/>
      <c r="I2870" s="476"/>
    </row>
    <row r="2871" spans="2:9" x14ac:dyDescent="0.25">
      <c r="B2871" s="476"/>
      <c r="C2871" s="476"/>
      <c r="D2871" s="475"/>
      <c r="E2871" s="476"/>
      <c r="F2871" s="475"/>
      <c r="G2871" s="476"/>
      <c r="H2871" s="475"/>
      <c r="I2871" s="476"/>
    </row>
    <row r="2872" spans="2:9" x14ac:dyDescent="0.25">
      <c r="B2872" s="476"/>
      <c r="C2872" s="476"/>
      <c r="D2872" s="475"/>
      <c r="E2872" s="476"/>
      <c r="F2872" s="475"/>
      <c r="G2872" s="476"/>
      <c r="H2872" s="475"/>
      <c r="I2872" s="476"/>
    </row>
    <row r="2873" spans="2:9" x14ac:dyDescent="0.25">
      <c r="B2873" s="476"/>
      <c r="C2873" s="476"/>
      <c r="D2873" s="475"/>
      <c r="E2873" s="476"/>
      <c r="F2873" s="475"/>
      <c r="G2873" s="476"/>
      <c r="H2873" s="475"/>
      <c r="I2873" s="476"/>
    </row>
    <row r="2874" spans="2:9" x14ac:dyDescent="0.25">
      <c r="B2874" s="476"/>
      <c r="C2874" s="476"/>
      <c r="D2874" s="475"/>
      <c r="E2874" s="476"/>
      <c r="F2874" s="475"/>
      <c r="G2874" s="476"/>
      <c r="H2874" s="475"/>
      <c r="I2874" s="476"/>
    </row>
    <row r="2875" spans="2:9" x14ac:dyDescent="0.25">
      <c r="B2875" s="476"/>
      <c r="C2875" s="476"/>
      <c r="D2875" s="475"/>
      <c r="E2875" s="476"/>
      <c r="F2875" s="475"/>
      <c r="G2875" s="476"/>
      <c r="H2875" s="475"/>
      <c r="I2875" s="476"/>
    </row>
    <row r="2876" spans="2:9" x14ac:dyDescent="0.25">
      <c r="B2876" s="476"/>
      <c r="C2876" s="476"/>
      <c r="D2876" s="475"/>
      <c r="E2876" s="476"/>
      <c r="F2876" s="475"/>
      <c r="G2876" s="476"/>
      <c r="H2876" s="475"/>
      <c r="I2876" s="476"/>
    </row>
    <row r="2877" spans="2:9" x14ac:dyDescent="0.25">
      <c r="B2877" s="476"/>
      <c r="C2877" s="476"/>
      <c r="D2877" s="475"/>
      <c r="E2877" s="476"/>
      <c r="F2877" s="475"/>
      <c r="G2877" s="476"/>
      <c r="H2877" s="475"/>
      <c r="I2877" s="476"/>
    </row>
    <row r="2878" spans="2:9" x14ac:dyDescent="0.25">
      <c r="B2878" s="476"/>
      <c r="C2878" s="476"/>
      <c r="D2878" s="475"/>
      <c r="E2878" s="476"/>
      <c r="F2878" s="475"/>
      <c r="G2878" s="476"/>
      <c r="H2878" s="475"/>
      <c r="I2878" s="476"/>
    </row>
    <row r="2879" spans="2:9" x14ac:dyDescent="0.25">
      <c r="B2879" s="476"/>
      <c r="C2879" s="476"/>
      <c r="D2879" s="475"/>
      <c r="E2879" s="476"/>
      <c r="F2879" s="475"/>
      <c r="G2879" s="476"/>
      <c r="H2879" s="475"/>
      <c r="I2879" s="476"/>
    </row>
    <row r="2880" spans="2:9" x14ac:dyDescent="0.25">
      <c r="B2880" s="476"/>
      <c r="C2880" s="476"/>
      <c r="D2880" s="475"/>
      <c r="E2880" s="476"/>
      <c r="F2880" s="475"/>
      <c r="G2880" s="476"/>
      <c r="H2880" s="475"/>
      <c r="I2880" s="476"/>
    </row>
    <row r="2881" spans="2:9" x14ac:dyDescent="0.25">
      <c r="B2881" s="476"/>
      <c r="C2881" s="476"/>
      <c r="D2881" s="475"/>
      <c r="E2881" s="476"/>
      <c r="F2881" s="475"/>
      <c r="G2881" s="476"/>
      <c r="H2881" s="475"/>
      <c r="I2881" s="476"/>
    </row>
    <row r="2882" spans="2:9" x14ac:dyDescent="0.25">
      <c r="B2882" s="476"/>
      <c r="C2882" s="476"/>
      <c r="D2882" s="475"/>
      <c r="E2882" s="476"/>
      <c r="F2882" s="475"/>
      <c r="G2882" s="476"/>
      <c r="H2882" s="475"/>
      <c r="I2882" s="476"/>
    </row>
    <row r="2883" spans="2:9" x14ac:dyDescent="0.25">
      <c r="B2883" s="476"/>
      <c r="C2883" s="476"/>
      <c r="D2883" s="475"/>
      <c r="E2883" s="476"/>
      <c r="F2883" s="475"/>
      <c r="G2883" s="476"/>
      <c r="H2883" s="475"/>
      <c r="I2883" s="476"/>
    </row>
    <row r="2884" spans="2:9" x14ac:dyDescent="0.25">
      <c r="B2884" s="476"/>
      <c r="C2884" s="476"/>
      <c r="D2884" s="475"/>
      <c r="E2884" s="476"/>
      <c r="F2884" s="475"/>
      <c r="G2884" s="476"/>
      <c r="H2884" s="475"/>
      <c r="I2884" s="476"/>
    </row>
    <row r="2885" spans="2:9" x14ac:dyDescent="0.25">
      <c r="B2885" s="476"/>
      <c r="C2885" s="476"/>
      <c r="D2885" s="475"/>
      <c r="E2885" s="476"/>
      <c r="F2885" s="475"/>
      <c r="G2885" s="476"/>
      <c r="H2885" s="475"/>
      <c r="I2885" s="476"/>
    </row>
    <row r="2886" spans="2:9" x14ac:dyDescent="0.25">
      <c r="B2886" s="476"/>
      <c r="C2886" s="476"/>
      <c r="D2886" s="475"/>
      <c r="E2886" s="476"/>
      <c r="F2886" s="475"/>
      <c r="G2886" s="476"/>
      <c r="H2886" s="475"/>
      <c r="I2886" s="476"/>
    </row>
    <row r="2887" spans="2:9" x14ac:dyDescent="0.25">
      <c r="B2887" s="476"/>
      <c r="C2887" s="476"/>
      <c r="D2887" s="475"/>
      <c r="E2887" s="476"/>
      <c r="F2887" s="475"/>
      <c r="G2887" s="476"/>
      <c r="H2887" s="475"/>
      <c r="I2887" s="476"/>
    </row>
    <row r="2888" spans="2:9" x14ac:dyDescent="0.25">
      <c r="B2888" s="476"/>
      <c r="C2888" s="476"/>
      <c r="D2888" s="475"/>
      <c r="E2888" s="476"/>
      <c r="F2888" s="475"/>
      <c r="G2888" s="476"/>
      <c r="H2888" s="475"/>
      <c r="I2888" s="476"/>
    </row>
    <row r="2889" spans="2:9" x14ac:dyDescent="0.25">
      <c r="B2889" s="476"/>
      <c r="C2889" s="476"/>
      <c r="D2889" s="475"/>
      <c r="E2889" s="476"/>
      <c r="F2889" s="475"/>
      <c r="G2889" s="476"/>
      <c r="H2889" s="475"/>
      <c r="I2889" s="476"/>
    </row>
    <row r="2890" spans="2:9" x14ac:dyDescent="0.25">
      <c r="B2890" s="476"/>
      <c r="C2890" s="476"/>
      <c r="D2890" s="475"/>
      <c r="E2890" s="476"/>
      <c r="F2890" s="475"/>
      <c r="G2890" s="476"/>
      <c r="H2890" s="475"/>
      <c r="I2890" s="476"/>
    </row>
    <row r="2891" spans="2:9" x14ac:dyDescent="0.25">
      <c r="B2891" s="476"/>
      <c r="C2891" s="476"/>
      <c r="D2891" s="475"/>
      <c r="E2891" s="476"/>
      <c r="F2891" s="475"/>
      <c r="G2891" s="476"/>
      <c r="H2891" s="475"/>
      <c r="I2891" s="476"/>
    </row>
    <row r="2892" spans="2:9" x14ac:dyDescent="0.25">
      <c r="B2892" s="476"/>
      <c r="C2892" s="476"/>
      <c r="D2892" s="475"/>
      <c r="E2892" s="476"/>
      <c r="F2892" s="475"/>
      <c r="G2892" s="476"/>
      <c r="H2892" s="475"/>
      <c r="I2892" s="476"/>
    </row>
    <row r="2893" spans="2:9" x14ac:dyDescent="0.25">
      <c r="B2893" s="476"/>
      <c r="C2893" s="476"/>
      <c r="D2893" s="475"/>
      <c r="E2893" s="476"/>
      <c r="F2893" s="475"/>
      <c r="G2893" s="476"/>
      <c r="H2893" s="475"/>
      <c r="I2893" s="476"/>
    </row>
    <row r="2894" spans="2:9" x14ac:dyDescent="0.25">
      <c r="B2894" s="476"/>
      <c r="C2894" s="476"/>
      <c r="D2894" s="475"/>
      <c r="E2894" s="476"/>
      <c r="F2894" s="475"/>
      <c r="G2894" s="476"/>
      <c r="H2894" s="475"/>
      <c r="I2894" s="476"/>
    </row>
    <row r="2895" spans="2:9" x14ac:dyDescent="0.25">
      <c r="B2895" s="476"/>
      <c r="C2895" s="476"/>
      <c r="D2895" s="475"/>
      <c r="E2895" s="476"/>
      <c r="F2895" s="475"/>
      <c r="G2895" s="476"/>
      <c r="H2895" s="475"/>
      <c r="I2895" s="476"/>
    </row>
    <row r="2896" spans="2:9" x14ac:dyDescent="0.25">
      <c r="B2896" s="476"/>
      <c r="C2896" s="476"/>
      <c r="D2896" s="475"/>
      <c r="E2896" s="476"/>
      <c r="F2896" s="475"/>
      <c r="G2896" s="476"/>
      <c r="H2896" s="475"/>
      <c r="I2896" s="476"/>
    </row>
    <row r="2897" spans="2:9" x14ac:dyDescent="0.25">
      <c r="B2897" s="476"/>
      <c r="C2897" s="476"/>
      <c r="D2897" s="475"/>
      <c r="E2897" s="476"/>
      <c r="F2897" s="475"/>
      <c r="G2897" s="476"/>
      <c r="H2897" s="475"/>
      <c r="I2897" s="476"/>
    </row>
    <row r="2898" spans="2:9" x14ac:dyDescent="0.25">
      <c r="B2898" s="476"/>
      <c r="C2898" s="476"/>
      <c r="D2898" s="475"/>
      <c r="E2898" s="476"/>
      <c r="F2898" s="475"/>
      <c r="G2898" s="476"/>
      <c r="H2898" s="475"/>
      <c r="I2898" s="476"/>
    </row>
    <row r="2899" spans="2:9" x14ac:dyDescent="0.25">
      <c r="B2899" s="476"/>
      <c r="C2899" s="476"/>
      <c r="D2899" s="475"/>
      <c r="E2899" s="476"/>
      <c r="F2899" s="475"/>
      <c r="G2899" s="476"/>
      <c r="H2899" s="475"/>
      <c r="I2899" s="476"/>
    </row>
    <row r="2900" spans="2:9" x14ac:dyDescent="0.25">
      <c r="B2900" s="476"/>
      <c r="C2900" s="476"/>
      <c r="D2900" s="475"/>
      <c r="E2900" s="476"/>
      <c r="F2900" s="475"/>
      <c r="G2900" s="476"/>
      <c r="H2900" s="475"/>
      <c r="I2900" s="476"/>
    </row>
    <row r="2901" spans="2:9" x14ac:dyDescent="0.25">
      <c r="B2901" s="476"/>
      <c r="C2901" s="476"/>
      <c r="D2901" s="475"/>
      <c r="E2901" s="476"/>
      <c r="F2901" s="475"/>
      <c r="G2901" s="476"/>
      <c r="H2901" s="475"/>
      <c r="I2901" s="476"/>
    </row>
    <row r="2902" spans="2:9" x14ac:dyDescent="0.25">
      <c r="B2902" s="476"/>
      <c r="C2902" s="476"/>
      <c r="D2902" s="475"/>
      <c r="E2902" s="476"/>
      <c r="F2902" s="475"/>
      <c r="G2902" s="476"/>
      <c r="H2902" s="475"/>
      <c r="I2902" s="476"/>
    </row>
    <row r="2903" spans="2:9" x14ac:dyDescent="0.25">
      <c r="B2903" s="476"/>
      <c r="C2903" s="476"/>
      <c r="D2903" s="475"/>
      <c r="E2903" s="476"/>
      <c r="F2903" s="475"/>
      <c r="G2903" s="476"/>
      <c r="H2903" s="475"/>
      <c r="I2903" s="476"/>
    </row>
    <row r="2904" spans="2:9" x14ac:dyDescent="0.25">
      <c r="B2904" s="476"/>
      <c r="C2904" s="476"/>
      <c r="D2904" s="475"/>
      <c r="E2904" s="476"/>
      <c r="F2904" s="475"/>
      <c r="G2904" s="476"/>
      <c r="H2904" s="475"/>
      <c r="I2904" s="476"/>
    </row>
    <row r="2905" spans="2:9" x14ac:dyDescent="0.25">
      <c r="B2905" s="476"/>
      <c r="C2905" s="476"/>
      <c r="D2905" s="475"/>
      <c r="E2905" s="476"/>
      <c r="F2905" s="475"/>
      <c r="G2905" s="476"/>
      <c r="H2905" s="475"/>
      <c r="I2905" s="476"/>
    </row>
    <row r="2906" spans="2:9" x14ac:dyDescent="0.25">
      <c r="B2906" s="476"/>
      <c r="C2906" s="476"/>
      <c r="D2906" s="475"/>
      <c r="E2906" s="476"/>
      <c r="F2906" s="475"/>
      <c r="G2906" s="476"/>
      <c r="H2906" s="475"/>
      <c r="I2906" s="476"/>
    </row>
    <row r="2907" spans="2:9" x14ac:dyDescent="0.25">
      <c r="B2907" s="476"/>
      <c r="C2907" s="476"/>
      <c r="D2907" s="475"/>
      <c r="E2907" s="476"/>
      <c r="F2907" s="475"/>
      <c r="G2907" s="476"/>
      <c r="H2907" s="475"/>
      <c r="I2907" s="476"/>
    </row>
    <row r="2908" spans="2:9" x14ac:dyDescent="0.25">
      <c r="B2908" s="476"/>
      <c r="C2908" s="476"/>
      <c r="D2908" s="475"/>
      <c r="E2908" s="476"/>
      <c r="F2908" s="475"/>
      <c r="G2908" s="476"/>
      <c r="H2908" s="475"/>
      <c r="I2908" s="476"/>
    </row>
    <row r="2909" spans="2:9" x14ac:dyDescent="0.25">
      <c r="B2909" s="476"/>
      <c r="C2909" s="476"/>
      <c r="D2909" s="475"/>
      <c r="E2909" s="476"/>
      <c r="F2909" s="475"/>
      <c r="G2909" s="476"/>
      <c r="H2909" s="475"/>
      <c r="I2909" s="476"/>
    </row>
    <row r="2910" spans="2:9" x14ac:dyDescent="0.25">
      <c r="B2910" s="476"/>
      <c r="C2910" s="476"/>
      <c r="D2910" s="475"/>
      <c r="E2910" s="476"/>
      <c r="F2910" s="475"/>
      <c r="G2910" s="476"/>
      <c r="H2910" s="475"/>
      <c r="I2910" s="476"/>
    </row>
    <row r="2911" spans="2:9" x14ac:dyDescent="0.25">
      <c r="B2911" s="476"/>
      <c r="C2911" s="476"/>
      <c r="D2911" s="475"/>
      <c r="E2911" s="476"/>
      <c r="F2911" s="475"/>
      <c r="G2911" s="476"/>
      <c r="H2911" s="475"/>
      <c r="I2911" s="476"/>
    </row>
    <row r="2912" spans="2:9" x14ac:dyDescent="0.25">
      <c r="B2912" s="476"/>
      <c r="C2912" s="476"/>
      <c r="D2912" s="475"/>
      <c r="E2912" s="476"/>
      <c r="F2912" s="475"/>
      <c r="G2912" s="476"/>
      <c r="H2912" s="475"/>
      <c r="I2912" s="476"/>
    </row>
    <row r="2913" spans="2:9" x14ac:dyDescent="0.25">
      <c r="B2913" s="476"/>
      <c r="C2913" s="476"/>
      <c r="D2913" s="475"/>
      <c r="E2913" s="476"/>
      <c r="F2913" s="475"/>
      <c r="G2913" s="476"/>
      <c r="H2913" s="475"/>
      <c r="I2913" s="476"/>
    </row>
    <row r="2914" spans="2:9" x14ac:dyDescent="0.25">
      <c r="B2914" s="476"/>
      <c r="C2914" s="476"/>
      <c r="D2914" s="475"/>
      <c r="E2914" s="476"/>
      <c r="F2914" s="475"/>
      <c r="G2914" s="476"/>
      <c r="H2914" s="475"/>
      <c r="I2914" s="476"/>
    </row>
    <row r="2915" spans="2:9" x14ac:dyDescent="0.25">
      <c r="B2915" s="476"/>
      <c r="C2915" s="476"/>
      <c r="D2915" s="475"/>
      <c r="E2915" s="476"/>
      <c r="F2915" s="475"/>
      <c r="G2915" s="476"/>
      <c r="H2915" s="475"/>
      <c r="I2915" s="476"/>
    </row>
    <row r="2916" spans="2:9" x14ac:dyDescent="0.25">
      <c r="B2916" s="476"/>
      <c r="C2916" s="476"/>
      <c r="D2916" s="475"/>
      <c r="E2916" s="476"/>
      <c r="F2916" s="475"/>
      <c r="G2916" s="476"/>
      <c r="H2916" s="475"/>
      <c r="I2916" s="476"/>
    </row>
    <row r="2917" spans="2:9" x14ac:dyDescent="0.25">
      <c r="B2917" s="476"/>
      <c r="C2917" s="476"/>
      <c r="D2917" s="475"/>
      <c r="E2917" s="476"/>
      <c r="F2917" s="475"/>
      <c r="G2917" s="476"/>
      <c r="H2917" s="475"/>
      <c r="I2917" s="476"/>
    </row>
    <row r="2918" spans="2:9" x14ac:dyDescent="0.25">
      <c r="B2918" s="476"/>
      <c r="C2918" s="476"/>
      <c r="D2918" s="475"/>
      <c r="E2918" s="476"/>
      <c r="F2918" s="475"/>
      <c r="G2918" s="476"/>
      <c r="H2918" s="475"/>
      <c r="I2918" s="476"/>
    </row>
    <row r="2919" spans="2:9" x14ac:dyDescent="0.25">
      <c r="B2919" s="476"/>
      <c r="C2919" s="476"/>
      <c r="D2919" s="475"/>
      <c r="E2919" s="476"/>
      <c r="F2919" s="475"/>
      <c r="G2919" s="476"/>
      <c r="H2919" s="475"/>
      <c r="I2919" s="476"/>
    </row>
    <row r="2920" spans="2:9" x14ac:dyDescent="0.25">
      <c r="B2920" s="476"/>
      <c r="C2920" s="476"/>
      <c r="D2920" s="475"/>
      <c r="E2920" s="476"/>
      <c r="F2920" s="475"/>
      <c r="G2920" s="476"/>
      <c r="H2920" s="475"/>
      <c r="I2920" s="476"/>
    </row>
    <row r="2921" spans="2:9" x14ac:dyDescent="0.25">
      <c r="B2921" s="476"/>
      <c r="C2921" s="476"/>
      <c r="D2921" s="475"/>
      <c r="E2921" s="476"/>
      <c r="F2921" s="475"/>
      <c r="G2921" s="476"/>
      <c r="H2921" s="475"/>
      <c r="I2921" s="476"/>
    </row>
    <row r="2922" spans="2:9" x14ac:dyDescent="0.25">
      <c r="B2922" s="476"/>
      <c r="C2922" s="476"/>
      <c r="D2922" s="475"/>
      <c r="E2922" s="476"/>
      <c r="F2922" s="475"/>
      <c r="G2922" s="476"/>
      <c r="H2922" s="475"/>
      <c r="I2922" s="476"/>
    </row>
    <row r="2923" spans="2:9" x14ac:dyDescent="0.25">
      <c r="B2923" s="476"/>
      <c r="C2923" s="476"/>
      <c r="D2923" s="475"/>
      <c r="E2923" s="476"/>
      <c r="F2923" s="475"/>
      <c r="G2923" s="476"/>
      <c r="H2923" s="475"/>
      <c r="I2923" s="476"/>
    </row>
    <row r="2924" spans="2:9" x14ac:dyDescent="0.25">
      <c r="B2924" s="476"/>
      <c r="C2924" s="476"/>
      <c r="D2924" s="475"/>
      <c r="E2924" s="476"/>
      <c r="F2924" s="475"/>
      <c r="G2924" s="476"/>
      <c r="H2924" s="475"/>
      <c r="I2924" s="476"/>
    </row>
    <row r="2925" spans="2:9" x14ac:dyDescent="0.25">
      <c r="B2925" s="476"/>
      <c r="C2925" s="476"/>
      <c r="D2925" s="475"/>
      <c r="E2925" s="476"/>
      <c r="F2925" s="475"/>
      <c r="G2925" s="476"/>
      <c r="H2925" s="475"/>
      <c r="I2925" s="476"/>
    </row>
    <row r="2926" spans="2:9" x14ac:dyDescent="0.25">
      <c r="B2926" s="476"/>
      <c r="C2926" s="476"/>
      <c r="D2926" s="475"/>
      <c r="E2926" s="476"/>
      <c r="F2926" s="475"/>
      <c r="G2926" s="476"/>
      <c r="H2926" s="475"/>
      <c r="I2926" s="476"/>
    </row>
    <row r="2927" spans="2:9" x14ac:dyDescent="0.25">
      <c r="B2927" s="476"/>
      <c r="C2927" s="476"/>
      <c r="D2927" s="475"/>
      <c r="E2927" s="476"/>
      <c r="F2927" s="475"/>
      <c r="G2927" s="476"/>
      <c r="H2927" s="475"/>
      <c r="I2927" s="476"/>
    </row>
    <row r="2928" spans="2:9" x14ac:dyDescent="0.25">
      <c r="B2928" s="476"/>
      <c r="C2928" s="476"/>
      <c r="D2928" s="475"/>
      <c r="E2928" s="476"/>
      <c r="F2928" s="475"/>
      <c r="G2928" s="476"/>
      <c r="H2928" s="475"/>
      <c r="I2928" s="476"/>
    </row>
    <row r="2929" spans="2:9" x14ac:dyDescent="0.25">
      <c r="B2929" s="476"/>
      <c r="C2929" s="476"/>
      <c r="D2929" s="475"/>
      <c r="E2929" s="476"/>
      <c r="F2929" s="475"/>
      <c r="G2929" s="476"/>
      <c r="H2929" s="475"/>
      <c r="I2929" s="476"/>
    </row>
    <row r="2930" spans="2:9" x14ac:dyDescent="0.25">
      <c r="B2930" s="476"/>
      <c r="C2930" s="476"/>
      <c r="D2930" s="475"/>
      <c r="E2930" s="476"/>
      <c r="F2930" s="475"/>
      <c r="G2930" s="476"/>
      <c r="H2930" s="475"/>
      <c r="I2930" s="476"/>
    </row>
    <row r="2931" spans="2:9" x14ac:dyDescent="0.25">
      <c r="B2931" s="476"/>
      <c r="C2931" s="476"/>
      <c r="D2931" s="475"/>
      <c r="E2931" s="476"/>
      <c r="F2931" s="475"/>
      <c r="G2931" s="476"/>
      <c r="H2931" s="475"/>
      <c r="I2931" s="476"/>
    </row>
    <row r="2932" spans="2:9" x14ac:dyDescent="0.25">
      <c r="B2932" s="476"/>
      <c r="C2932" s="476"/>
      <c r="D2932" s="475"/>
      <c r="E2932" s="476"/>
      <c r="F2932" s="475"/>
      <c r="G2932" s="476"/>
      <c r="H2932" s="475"/>
      <c r="I2932" s="476"/>
    </row>
    <row r="2933" spans="2:9" x14ac:dyDescent="0.25">
      <c r="B2933" s="476"/>
      <c r="C2933" s="476"/>
      <c r="D2933" s="475"/>
      <c r="E2933" s="476"/>
      <c r="F2933" s="475"/>
      <c r="G2933" s="476"/>
      <c r="H2933" s="475"/>
      <c r="I2933" s="476"/>
    </row>
    <row r="2934" spans="2:9" x14ac:dyDescent="0.25">
      <c r="B2934" s="476"/>
      <c r="C2934" s="476"/>
      <c r="D2934" s="475"/>
      <c r="E2934" s="476"/>
      <c r="F2934" s="475"/>
      <c r="G2934" s="476"/>
      <c r="H2934" s="475"/>
      <c r="I2934" s="476"/>
    </row>
    <row r="2935" spans="2:9" x14ac:dyDescent="0.25">
      <c r="B2935" s="476"/>
      <c r="C2935" s="476"/>
      <c r="D2935" s="475"/>
      <c r="E2935" s="476"/>
      <c r="F2935" s="475"/>
      <c r="G2935" s="476"/>
      <c r="H2935" s="475"/>
      <c r="I2935" s="476"/>
    </row>
    <row r="2936" spans="2:9" x14ac:dyDescent="0.25">
      <c r="B2936" s="476"/>
      <c r="C2936" s="476"/>
      <c r="D2936" s="475"/>
      <c r="E2936" s="476"/>
      <c r="F2936" s="475"/>
      <c r="G2936" s="476"/>
      <c r="H2936" s="475"/>
      <c r="I2936" s="476"/>
    </row>
    <row r="2937" spans="2:9" x14ac:dyDescent="0.25">
      <c r="B2937" s="476"/>
      <c r="C2937" s="476"/>
      <c r="D2937" s="475"/>
      <c r="E2937" s="476"/>
      <c r="F2937" s="475"/>
      <c r="G2937" s="476"/>
      <c r="H2937" s="475"/>
      <c r="I2937" s="476"/>
    </row>
    <row r="2938" spans="2:9" x14ac:dyDescent="0.25">
      <c r="B2938" s="476"/>
      <c r="C2938" s="476"/>
      <c r="D2938" s="475"/>
      <c r="E2938" s="476"/>
      <c r="F2938" s="475"/>
      <c r="G2938" s="476"/>
      <c r="H2938" s="475"/>
      <c r="I2938" s="476"/>
    </row>
    <row r="2939" spans="2:9" x14ac:dyDescent="0.25">
      <c r="B2939" s="476"/>
      <c r="C2939" s="476"/>
      <c r="D2939" s="475"/>
      <c r="E2939" s="476"/>
      <c r="F2939" s="475"/>
      <c r="G2939" s="476"/>
      <c r="H2939" s="475"/>
      <c r="I2939" s="476"/>
    </row>
    <row r="2940" spans="2:9" x14ac:dyDescent="0.25">
      <c r="B2940" s="476"/>
      <c r="C2940" s="476"/>
      <c r="D2940" s="475"/>
      <c r="E2940" s="476"/>
      <c r="F2940" s="475"/>
      <c r="G2940" s="476"/>
      <c r="H2940" s="475"/>
      <c r="I2940" s="476"/>
    </row>
    <row r="2941" spans="2:9" x14ac:dyDescent="0.25">
      <c r="B2941" s="476"/>
      <c r="C2941" s="476"/>
      <c r="D2941" s="475"/>
      <c r="E2941" s="476"/>
      <c r="F2941" s="475"/>
      <c r="G2941" s="476"/>
      <c r="H2941" s="475"/>
      <c r="I2941" s="476"/>
    </row>
    <row r="2942" spans="2:9" x14ac:dyDescent="0.25">
      <c r="B2942" s="476"/>
      <c r="C2942" s="476"/>
      <c r="D2942" s="475"/>
      <c r="E2942" s="476"/>
      <c r="F2942" s="475"/>
      <c r="G2942" s="476"/>
      <c r="H2942" s="475"/>
      <c r="I2942" s="476"/>
    </row>
    <row r="2943" spans="2:9" x14ac:dyDescent="0.25">
      <c r="B2943" s="476"/>
      <c r="C2943" s="476"/>
      <c r="D2943" s="475"/>
      <c r="E2943" s="476"/>
      <c r="F2943" s="475"/>
      <c r="G2943" s="476"/>
      <c r="H2943" s="475"/>
      <c r="I2943" s="476"/>
    </row>
    <row r="2944" spans="2:9" x14ac:dyDescent="0.25">
      <c r="B2944" s="476"/>
      <c r="C2944" s="476"/>
      <c r="D2944" s="475"/>
      <c r="E2944" s="476"/>
      <c r="F2944" s="475"/>
      <c r="G2944" s="476"/>
      <c r="H2944" s="475"/>
      <c r="I2944" s="476"/>
    </row>
    <row r="2945" spans="2:9" x14ac:dyDescent="0.25">
      <c r="B2945" s="476"/>
      <c r="C2945" s="476"/>
      <c r="D2945" s="475"/>
      <c r="E2945" s="476"/>
      <c r="F2945" s="475"/>
      <c r="G2945" s="476"/>
      <c r="H2945" s="475"/>
      <c r="I2945" s="476"/>
    </row>
    <row r="2946" spans="2:9" x14ac:dyDescent="0.25">
      <c r="B2946" s="476"/>
      <c r="C2946" s="476"/>
      <c r="D2946" s="475"/>
      <c r="E2946" s="476"/>
      <c r="F2946" s="475"/>
      <c r="G2946" s="476"/>
      <c r="H2946" s="475"/>
      <c r="I2946" s="476"/>
    </row>
    <row r="2947" spans="2:9" x14ac:dyDescent="0.25">
      <c r="B2947" s="476"/>
      <c r="C2947" s="476"/>
      <c r="D2947" s="475"/>
      <c r="E2947" s="476"/>
      <c r="F2947" s="475"/>
      <c r="G2947" s="476"/>
      <c r="H2947" s="475"/>
      <c r="I2947" s="476"/>
    </row>
    <row r="2948" spans="2:9" x14ac:dyDescent="0.25">
      <c r="B2948" s="476"/>
      <c r="C2948" s="476"/>
      <c r="D2948" s="475"/>
      <c r="E2948" s="476"/>
      <c r="F2948" s="475"/>
      <c r="G2948" s="476"/>
      <c r="H2948" s="475"/>
      <c r="I2948" s="476"/>
    </row>
    <row r="2949" spans="2:9" x14ac:dyDescent="0.25">
      <c r="B2949" s="476"/>
      <c r="C2949" s="476"/>
      <c r="D2949" s="475"/>
      <c r="E2949" s="476"/>
      <c r="F2949" s="475"/>
      <c r="G2949" s="476"/>
      <c r="H2949" s="475"/>
      <c r="I2949" s="476"/>
    </row>
    <row r="2950" spans="2:9" x14ac:dyDescent="0.25">
      <c r="B2950" s="476"/>
      <c r="C2950" s="476"/>
      <c r="D2950" s="475"/>
      <c r="E2950" s="476"/>
      <c r="F2950" s="475"/>
      <c r="G2950" s="476"/>
      <c r="H2950" s="475"/>
      <c r="I2950" s="476"/>
    </row>
    <row r="2951" spans="2:9" x14ac:dyDescent="0.25">
      <c r="B2951" s="476"/>
      <c r="C2951" s="476"/>
      <c r="D2951" s="475"/>
      <c r="E2951" s="476"/>
      <c r="F2951" s="475"/>
      <c r="G2951" s="476"/>
      <c r="H2951" s="475"/>
      <c r="I2951" s="476"/>
    </row>
    <row r="2952" spans="2:9" x14ac:dyDescent="0.25">
      <c r="B2952" s="476"/>
      <c r="C2952" s="476"/>
      <c r="D2952" s="475"/>
      <c r="E2952" s="476"/>
      <c r="F2952" s="475"/>
      <c r="G2952" s="476"/>
      <c r="H2952" s="475"/>
      <c r="I2952" s="476"/>
    </row>
    <row r="2953" spans="2:9" x14ac:dyDescent="0.25">
      <c r="B2953" s="476"/>
      <c r="C2953" s="476"/>
      <c r="D2953" s="475"/>
      <c r="E2953" s="476"/>
      <c r="F2953" s="475"/>
      <c r="G2953" s="476"/>
      <c r="H2953" s="475"/>
      <c r="I2953" s="476"/>
    </row>
    <row r="2954" spans="2:9" x14ac:dyDescent="0.25">
      <c r="B2954" s="476"/>
      <c r="C2954" s="476"/>
      <c r="D2954" s="475"/>
      <c r="E2954" s="476"/>
      <c r="F2954" s="475"/>
      <c r="G2954" s="476"/>
      <c r="H2954" s="475"/>
      <c r="I2954" s="476"/>
    </row>
    <row r="2955" spans="2:9" x14ac:dyDescent="0.25">
      <c r="B2955" s="476"/>
      <c r="C2955" s="476"/>
      <c r="D2955" s="475"/>
      <c r="E2955" s="476"/>
      <c r="F2955" s="475"/>
      <c r="G2955" s="476"/>
      <c r="H2955" s="475"/>
      <c r="I2955" s="476"/>
    </row>
    <row r="2956" spans="2:9" x14ac:dyDescent="0.25">
      <c r="B2956" s="476"/>
      <c r="C2956" s="476"/>
      <c r="D2956" s="475"/>
      <c r="E2956" s="476"/>
      <c r="F2956" s="475"/>
      <c r="G2956" s="476"/>
      <c r="H2956" s="475"/>
      <c r="I2956" s="476"/>
    </row>
    <row r="2957" spans="2:9" x14ac:dyDescent="0.25">
      <c r="B2957" s="476"/>
      <c r="C2957" s="476"/>
      <c r="D2957" s="475"/>
      <c r="E2957" s="476"/>
      <c r="F2957" s="475"/>
      <c r="G2957" s="476"/>
      <c r="H2957" s="475"/>
      <c r="I2957" s="476"/>
    </row>
    <row r="2958" spans="2:9" x14ac:dyDescent="0.25">
      <c r="B2958" s="476"/>
      <c r="C2958" s="476"/>
      <c r="D2958" s="475"/>
      <c r="E2958" s="476"/>
      <c r="F2958" s="475"/>
      <c r="G2958" s="476"/>
      <c r="H2958" s="475"/>
      <c r="I2958" s="476"/>
    </row>
    <row r="2959" spans="2:9" x14ac:dyDescent="0.25">
      <c r="B2959" s="476"/>
      <c r="C2959" s="476"/>
      <c r="D2959" s="475"/>
      <c r="E2959" s="476"/>
      <c r="F2959" s="475"/>
      <c r="G2959" s="476"/>
      <c r="H2959" s="475"/>
      <c r="I2959" s="476"/>
    </row>
    <row r="2960" spans="2:9" x14ac:dyDescent="0.25">
      <c r="B2960" s="476"/>
      <c r="C2960" s="476"/>
      <c r="D2960" s="475"/>
      <c r="E2960" s="476"/>
      <c r="F2960" s="475"/>
      <c r="G2960" s="476"/>
      <c r="H2960" s="475"/>
      <c r="I2960" s="476"/>
    </row>
    <row r="2961" spans="2:9" x14ac:dyDescent="0.25">
      <c r="B2961" s="476"/>
      <c r="C2961" s="476"/>
      <c r="D2961" s="475"/>
      <c r="E2961" s="476"/>
      <c r="F2961" s="475"/>
      <c r="G2961" s="476"/>
      <c r="H2961" s="475"/>
      <c r="I2961" s="476"/>
    </row>
    <row r="2962" spans="2:9" x14ac:dyDescent="0.25">
      <c r="B2962" s="476"/>
      <c r="C2962" s="476"/>
      <c r="D2962" s="475"/>
      <c r="E2962" s="476"/>
      <c r="F2962" s="475"/>
      <c r="G2962" s="476"/>
      <c r="H2962" s="475"/>
      <c r="I2962" s="476"/>
    </row>
    <row r="2963" spans="2:9" x14ac:dyDescent="0.25">
      <c r="B2963" s="476"/>
      <c r="C2963" s="476"/>
      <c r="D2963" s="475"/>
      <c r="E2963" s="476"/>
      <c r="F2963" s="475"/>
      <c r="G2963" s="476"/>
      <c r="H2963" s="475"/>
      <c r="I2963" s="476"/>
    </row>
    <row r="2964" spans="2:9" x14ac:dyDescent="0.25">
      <c r="B2964" s="476"/>
      <c r="C2964" s="476"/>
      <c r="D2964" s="475"/>
      <c r="E2964" s="476"/>
      <c r="F2964" s="475"/>
      <c r="G2964" s="476"/>
      <c r="H2964" s="475"/>
      <c r="I2964" s="476"/>
    </row>
    <row r="2965" spans="2:9" x14ac:dyDescent="0.25">
      <c r="B2965" s="476"/>
      <c r="C2965" s="476"/>
      <c r="D2965" s="475"/>
      <c r="E2965" s="476"/>
      <c r="F2965" s="475"/>
      <c r="G2965" s="476"/>
      <c r="H2965" s="475"/>
      <c r="I2965" s="476"/>
    </row>
    <row r="2966" spans="2:9" x14ac:dyDescent="0.25">
      <c r="B2966" s="476"/>
      <c r="C2966" s="476"/>
      <c r="D2966" s="475"/>
      <c r="E2966" s="476"/>
      <c r="F2966" s="475"/>
      <c r="G2966" s="476"/>
      <c r="H2966" s="475"/>
      <c r="I2966" s="476"/>
    </row>
    <row r="2967" spans="2:9" x14ac:dyDescent="0.25">
      <c r="B2967" s="476"/>
      <c r="C2967" s="476"/>
      <c r="D2967" s="475"/>
      <c r="E2967" s="476"/>
      <c r="F2967" s="475"/>
      <c r="G2967" s="476"/>
      <c r="H2967" s="475"/>
      <c r="I2967" s="476"/>
    </row>
    <row r="2968" spans="2:9" x14ac:dyDescent="0.25">
      <c r="B2968" s="476"/>
      <c r="C2968" s="476"/>
      <c r="D2968" s="475"/>
      <c r="E2968" s="476"/>
      <c r="F2968" s="475"/>
      <c r="G2968" s="476"/>
      <c r="H2968" s="475"/>
      <c r="I2968" s="476"/>
    </row>
    <row r="2969" spans="2:9" x14ac:dyDescent="0.25">
      <c r="B2969" s="476"/>
      <c r="C2969" s="476"/>
      <c r="D2969" s="475"/>
      <c r="E2969" s="476"/>
      <c r="F2969" s="475"/>
      <c r="G2969" s="476"/>
      <c r="H2969" s="475"/>
      <c r="I2969" s="476"/>
    </row>
    <row r="2970" spans="2:9" x14ac:dyDescent="0.25">
      <c r="B2970" s="476"/>
      <c r="C2970" s="476"/>
      <c r="D2970" s="475"/>
      <c r="E2970" s="476"/>
      <c r="F2970" s="475"/>
      <c r="G2970" s="476"/>
      <c r="H2970" s="475"/>
      <c r="I2970" s="476"/>
    </row>
    <row r="2971" spans="2:9" x14ac:dyDescent="0.25">
      <c r="B2971" s="476"/>
      <c r="C2971" s="476"/>
      <c r="D2971" s="475"/>
      <c r="E2971" s="476"/>
      <c r="F2971" s="475"/>
      <c r="G2971" s="476"/>
      <c r="H2971" s="475"/>
      <c r="I2971" s="476"/>
    </row>
    <row r="2972" spans="2:9" x14ac:dyDescent="0.25">
      <c r="B2972" s="476"/>
      <c r="C2972" s="476"/>
      <c r="D2972" s="475"/>
      <c r="E2972" s="476"/>
      <c r="F2972" s="475"/>
      <c r="G2972" s="476"/>
      <c r="H2972" s="475"/>
      <c r="I2972" s="476"/>
    </row>
    <row r="2973" spans="2:9" x14ac:dyDescent="0.25">
      <c r="B2973" s="476"/>
      <c r="C2973" s="476"/>
      <c r="D2973" s="475"/>
      <c r="E2973" s="476"/>
      <c r="F2973" s="475"/>
      <c r="G2973" s="476"/>
      <c r="H2973" s="475"/>
      <c r="I2973" s="476"/>
    </row>
    <row r="2974" spans="2:9" x14ac:dyDescent="0.25">
      <c r="B2974" s="476"/>
      <c r="C2974" s="476"/>
      <c r="D2974" s="475"/>
      <c r="E2974" s="476"/>
      <c r="F2974" s="475"/>
      <c r="G2974" s="476"/>
      <c r="H2974" s="475"/>
      <c r="I2974" s="476"/>
    </row>
    <row r="2975" spans="2:9" x14ac:dyDescent="0.25">
      <c r="B2975" s="476"/>
      <c r="C2975" s="476"/>
      <c r="D2975" s="475"/>
      <c r="E2975" s="476"/>
      <c r="F2975" s="475"/>
      <c r="G2975" s="476"/>
      <c r="H2975" s="475"/>
      <c r="I2975" s="476"/>
    </row>
    <row r="2976" spans="2:9" x14ac:dyDescent="0.25">
      <c r="B2976" s="476"/>
      <c r="C2976" s="476"/>
      <c r="D2976" s="475"/>
      <c r="E2976" s="476"/>
      <c r="F2976" s="475"/>
      <c r="G2976" s="476"/>
      <c r="H2976" s="475"/>
      <c r="I2976" s="476"/>
    </row>
    <row r="2977" spans="2:9" x14ac:dyDescent="0.25">
      <c r="B2977" s="476"/>
      <c r="C2977" s="476"/>
      <c r="D2977" s="475"/>
      <c r="E2977" s="476"/>
      <c r="F2977" s="475"/>
      <c r="G2977" s="476"/>
      <c r="H2977" s="475"/>
      <c r="I2977" s="476"/>
    </row>
    <row r="2978" spans="2:9" x14ac:dyDescent="0.25">
      <c r="B2978" s="476"/>
      <c r="C2978" s="476"/>
      <c r="D2978" s="475"/>
      <c r="E2978" s="476"/>
      <c r="F2978" s="475"/>
      <c r="G2978" s="476"/>
      <c r="H2978" s="475"/>
      <c r="I2978" s="476"/>
    </row>
    <row r="2979" spans="2:9" x14ac:dyDescent="0.25">
      <c r="B2979" s="476"/>
      <c r="C2979" s="476"/>
      <c r="D2979" s="475"/>
      <c r="E2979" s="476"/>
      <c r="F2979" s="475"/>
      <c r="G2979" s="476"/>
      <c r="H2979" s="475"/>
      <c r="I2979" s="476"/>
    </row>
    <row r="2980" spans="2:9" x14ac:dyDescent="0.25">
      <c r="B2980" s="476"/>
      <c r="C2980" s="476"/>
      <c r="D2980" s="475"/>
      <c r="E2980" s="476"/>
      <c r="F2980" s="475"/>
      <c r="G2980" s="476"/>
      <c r="H2980" s="475"/>
      <c r="I2980" s="476"/>
    </row>
    <row r="2981" spans="2:9" x14ac:dyDescent="0.25">
      <c r="B2981" s="476"/>
      <c r="C2981" s="476"/>
      <c r="D2981" s="475"/>
      <c r="E2981" s="476"/>
      <c r="F2981" s="475"/>
      <c r="G2981" s="476"/>
      <c r="H2981" s="475"/>
      <c r="I2981" s="476"/>
    </row>
    <row r="2982" spans="2:9" x14ac:dyDescent="0.25">
      <c r="B2982" s="476"/>
      <c r="C2982" s="476"/>
      <c r="D2982" s="475"/>
      <c r="E2982" s="476"/>
      <c r="F2982" s="475"/>
      <c r="G2982" s="476"/>
      <c r="H2982" s="475"/>
      <c r="I2982" s="476"/>
    </row>
    <row r="2983" spans="2:9" x14ac:dyDescent="0.25">
      <c r="B2983" s="476"/>
      <c r="C2983" s="476"/>
      <c r="D2983" s="475"/>
      <c r="E2983" s="476"/>
      <c r="F2983" s="475"/>
      <c r="G2983" s="476"/>
      <c r="H2983" s="475"/>
      <c r="I2983" s="476"/>
    </row>
    <row r="2984" spans="2:9" x14ac:dyDescent="0.25">
      <c r="B2984" s="476"/>
      <c r="C2984" s="476"/>
      <c r="D2984" s="475"/>
      <c r="E2984" s="476"/>
      <c r="F2984" s="475"/>
      <c r="G2984" s="476"/>
      <c r="H2984" s="475"/>
      <c r="I2984" s="476"/>
    </row>
    <row r="2985" spans="2:9" x14ac:dyDescent="0.25">
      <c r="B2985" s="476"/>
      <c r="C2985" s="476"/>
      <c r="D2985" s="475"/>
      <c r="E2985" s="476"/>
      <c r="F2985" s="475"/>
      <c r="G2985" s="476"/>
      <c r="H2985" s="475"/>
      <c r="I2985" s="476"/>
    </row>
    <row r="2986" spans="2:9" x14ac:dyDescent="0.25">
      <c r="B2986" s="476"/>
      <c r="C2986" s="476"/>
      <c r="D2986" s="475"/>
      <c r="E2986" s="476"/>
      <c r="F2986" s="475"/>
      <c r="G2986" s="476"/>
      <c r="H2986" s="475"/>
      <c r="I2986" s="476"/>
    </row>
    <row r="2987" spans="2:9" x14ac:dyDescent="0.25">
      <c r="B2987" s="476"/>
      <c r="C2987" s="476"/>
      <c r="D2987" s="475"/>
      <c r="E2987" s="476"/>
      <c r="F2987" s="475"/>
      <c r="G2987" s="476"/>
      <c r="H2987" s="475"/>
      <c r="I2987" s="476"/>
    </row>
    <row r="2988" spans="2:9" x14ac:dyDescent="0.25">
      <c r="B2988" s="476"/>
      <c r="C2988" s="476"/>
      <c r="D2988" s="475"/>
      <c r="E2988" s="476"/>
      <c r="F2988" s="475"/>
      <c r="G2988" s="476"/>
      <c r="H2988" s="475"/>
      <c r="I2988" s="476"/>
    </row>
    <row r="2989" spans="2:9" x14ac:dyDescent="0.25">
      <c r="B2989" s="476"/>
      <c r="C2989" s="476"/>
      <c r="D2989" s="475"/>
      <c r="E2989" s="476"/>
      <c r="F2989" s="475"/>
      <c r="G2989" s="476"/>
      <c r="H2989" s="475"/>
      <c r="I2989" s="476"/>
    </row>
    <row r="2990" spans="2:9" x14ac:dyDescent="0.25">
      <c r="B2990" s="476"/>
      <c r="C2990" s="476"/>
      <c r="D2990" s="475"/>
      <c r="E2990" s="476"/>
      <c r="F2990" s="475"/>
      <c r="G2990" s="476"/>
      <c r="H2990" s="475"/>
      <c r="I2990" s="476"/>
    </row>
    <row r="2991" spans="2:9" x14ac:dyDescent="0.25">
      <c r="B2991" s="476"/>
      <c r="C2991" s="476"/>
      <c r="D2991" s="475"/>
      <c r="E2991" s="476"/>
      <c r="F2991" s="475"/>
      <c r="G2991" s="476"/>
      <c r="H2991" s="475"/>
      <c r="I2991" s="476"/>
    </row>
    <row r="2992" spans="2:9" x14ac:dyDescent="0.25">
      <c r="B2992" s="476"/>
      <c r="C2992" s="476"/>
      <c r="D2992" s="475"/>
      <c r="E2992" s="476"/>
      <c r="F2992" s="475"/>
      <c r="G2992" s="476"/>
      <c r="H2992" s="475"/>
      <c r="I2992" s="476"/>
    </row>
    <row r="2993" spans="2:9" x14ac:dyDescent="0.25">
      <c r="B2993" s="476"/>
      <c r="C2993" s="476"/>
      <c r="D2993" s="475"/>
      <c r="E2993" s="476"/>
      <c r="F2993" s="475"/>
      <c r="G2993" s="476"/>
      <c r="H2993" s="475"/>
      <c r="I2993" s="476"/>
    </row>
    <row r="2994" spans="2:9" x14ac:dyDescent="0.25">
      <c r="B2994" s="476"/>
      <c r="C2994" s="476"/>
      <c r="D2994" s="475"/>
      <c r="E2994" s="476"/>
      <c r="F2994" s="475"/>
      <c r="G2994" s="476"/>
      <c r="H2994" s="475"/>
      <c r="I2994" s="476"/>
    </row>
    <row r="2995" spans="2:9" x14ac:dyDescent="0.25">
      <c r="B2995" s="476"/>
      <c r="C2995" s="476"/>
      <c r="D2995" s="475"/>
      <c r="E2995" s="476"/>
      <c r="F2995" s="475"/>
      <c r="G2995" s="476"/>
      <c r="H2995" s="475"/>
      <c r="I2995" s="476"/>
    </row>
    <row r="2996" spans="2:9" x14ac:dyDescent="0.25">
      <c r="B2996" s="476"/>
      <c r="C2996" s="476"/>
      <c r="D2996" s="475"/>
      <c r="E2996" s="476"/>
      <c r="F2996" s="475"/>
      <c r="G2996" s="476"/>
      <c r="H2996" s="475"/>
      <c r="I2996" s="476"/>
    </row>
    <row r="2997" spans="2:9" x14ac:dyDescent="0.25">
      <c r="B2997" s="476"/>
      <c r="C2997" s="476"/>
      <c r="D2997" s="475"/>
      <c r="E2997" s="476"/>
      <c r="F2997" s="475"/>
      <c r="G2997" s="476"/>
      <c r="H2997" s="475"/>
      <c r="I2997" s="476"/>
    </row>
    <row r="2998" spans="2:9" x14ac:dyDescent="0.25">
      <c r="B2998" s="476"/>
      <c r="C2998" s="476"/>
      <c r="D2998" s="475"/>
      <c r="E2998" s="476"/>
      <c r="F2998" s="475"/>
      <c r="G2998" s="476"/>
      <c r="H2998" s="475"/>
      <c r="I2998" s="476"/>
    </row>
    <row r="2999" spans="2:9" x14ac:dyDescent="0.25">
      <c r="B2999" s="476"/>
      <c r="C2999" s="476"/>
      <c r="D2999" s="475"/>
      <c r="E2999" s="476"/>
      <c r="F2999" s="475"/>
      <c r="G2999" s="476"/>
      <c r="H2999" s="475"/>
      <c r="I2999" s="476"/>
    </row>
    <row r="3000" spans="2:9" x14ac:dyDescent="0.25">
      <c r="B3000" s="476"/>
      <c r="C3000" s="476"/>
      <c r="D3000" s="475"/>
      <c r="E3000" s="476"/>
      <c r="F3000" s="475"/>
      <c r="G3000" s="476"/>
      <c r="H3000" s="475"/>
      <c r="I3000" s="476"/>
    </row>
    <row r="3001" spans="2:9" x14ac:dyDescent="0.25">
      <c r="B3001" s="476"/>
      <c r="C3001" s="476"/>
      <c r="D3001" s="475"/>
      <c r="E3001" s="476"/>
      <c r="F3001" s="475"/>
      <c r="G3001" s="476"/>
      <c r="H3001" s="475"/>
      <c r="I3001" s="476"/>
    </row>
    <row r="3002" spans="2:9" x14ac:dyDescent="0.25">
      <c r="B3002" s="476"/>
      <c r="C3002" s="476"/>
      <c r="D3002" s="475"/>
      <c r="E3002" s="476"/>
      <c r="F3002" s="475"/>
      <c r="G3002" s="476"/>
      <c r="H3002" s="475"/>
      <c r="I3002" s="476"/>
    </row>
    <row r="3003" spans="2:9" x14ac:dyDescent="0.25">
      <c r="B3003" s="476"/>
      <c r="C3003" s="476"/>
      <c r="D3003" s="475"/>
      <c r="E3003" s="476"/>
      <c r="F3003" s="475"/>
      <c r="G3003" s="476"/>
      <c r="H3003" s="475"/>
      <c r="I3003" s="476"/>
    </row>
    <row r="3004" spans="2:9" x14ac:dyDescent="0.25">
      <c r="B3004" s="476"/>
      <c r="C3004" s="476"/>
      <c r="D3004" s="475"/>
      <c r="E3004" s="476"/>
      <c r="F3004" s="475"/>
      <c r="G3004" s="476"/>
      <c r="H3004" s="475"/>
      <c r="I3004" s="476"/>
    </row>
    <row r="3005" spans="2:9" x14ac:dyDescent="0.25">
      <c r="B3005" s="476"/>
      <c r="C3005" s="476"/>
      <c r="D3005" s="475"/>
      <c r="E3005" s="476"/>
      <c r="F3005" s="475"/>
      <c r="G3005" s="476"/>
      <c r="H3005" s="475"/>
      <c r="I3005" s="476"/>
    </row>
    <row r="3006" spans="2:9" x14ac:dyDescent="0.25">
      <c r="B3006" s="476"/>
      <c r="C3006" s="476"/>
      <c r="D3006" s="475"/>
      <c r="E3006" s="476"/>
      <c r="F3006" s="475"/>
      <c r="G3006" s="476"/>
      <c r="H3006" s="475"/>
      <c r="I3006" s="476"/>
    </row>
    <row r="3007" spans="2:9" x14ac:dyDescent="0.25">
      <c r="B3007" s="476"/>
      <c r="C3007" s="476"/>
      <c r="D3007" s="475"/>
      <c r="E3007" s="476"/>
      <c r="F3007" s="475"/>
      <c r="G3007" s="476"/>
      <c r="H3007" s="475"/>
      <c r="I3007" s="476"/>
    </row>
    <row r="3008" spans="2:9" x14ac:dyDescent="0.25">
      <c r="B3008" s="476"/>
      <c r="C3008" s="476"/>
      <c r="D3008" s="475"/>
      <c r="E3008" s="476"/>
      <c r="F3008" s="475"/>
      <c r="G3008" s="476"/>
      <c r="H3008" s="475"/>
      <c r="I3008" s="476"/>
    </row>
    <row r="3009" spans="2:9" x14ac:dyDescent="0.25">
      <c r="B3009" s="476"/>
      <c r="C3009" s="476"/>
      <c r="D3009" s="475"/>
      <c r="E3009" s="476"/>
      <c r="F3009" s="475"/>
      <c r="G3009" s="476"/>
      <c r="H3009" s="475"/>
      <c r="I3009" s="476"/>
    </row>
    <row r="3010" spans="2:9" x14ac:dyDescent="0.25">
      <c r="B3010" s="476"/>
      <c r="C3010" s="476"/>
      <c r="D3010" s="475"/>
      <c r="E3010" s="476"/>
      <c r="F3010" s="475"/>
      <c r="G3010" s="476"/>
      <c r="H3010" s="475"/>
      <c r="I3010" s="476"/>
    </row>
    <row r="3011" spans="2:9" x14ac:dyDescent="0.25">
      <c r="B3011" s="476"/>
      <c r="C3011" s="476"/>
      <c r="D3011" s="475"/>
      <c r="E3011" s="476"/>
      <c r="F3011" s="475"/>
      <c r="G3011" s="476"/>
      <c r="H3011" s="475"/>
      <c r="I3011" s="476"/>
    </row>
    <row r="3012" spans="2:9" x14ac:dyDescent="0.25">
      <c r="B3012" s="476"/>
      <c r="C3012" s="476"/>
      <c r="D3012" s="475"/>
      <c r="E3012" s="476"/>
      <c r="F3012" s="475"/>
      <c r="G3012" s="476"/>
      <c r="H3012" s="475"/>
      <c r="I3012" s="476"/>
    </row>
    <row r="3013" spans="2:9" x14ac:dyDescent="0.25">
      <c r="B3013" s="476"/>
      <c r="C3013" s="476"/>
      <c r="D3013" s="475"/>
      <c r="E3013" s="476"/>
      <c r="F3013" s="475"/>
      <c r="G3013" s="476"/>
      <c r="H3013" s="475"/>
      <c r="I3013" s="476"/>
    </row>
    <row r="3014" spans="2:9" x14ac:dyDescent="0.25">
      <c r="B3014" s="476"/>
      <c r="C3014" s="476"/>
      <c r="D3014" s="475"/>
      <c r="E3014" s="476"/>
      <c r="F3014" s="475"/>
      <c r="G3014" s="476"/>
      <c r="H3014" s="475"/>
      <c r="I3014" s="476"/>
    </row>
    <row r="3015" spans="2:9" x14ac:dyDescent="0.25">
      <c r="B3015" s="476"/>
      <c r="C3015" s="476"/>
      <c r="D3015" s="475"/>
      <c r="E3015" s="476"/>
      <c r="F3015" s="475"/>
      <c r="G3015" s="476"/>
      <c r="H3015" s="475"/>
      <c r="I3015" s="476"/>
    </row>
    <row r="3016" spans="2:9" x14ac:dyDescent="0.25">
      <c r="B3016" s="476"/>
      <c r="C3016" s="476"/>
      <c r="D3016" s="475"/>
      <c r="E3016" s="476"/>
      <c r="F3016" s="475"/>
      <c r="G3016" s="476"/>
      <c r="H3016" s="475"/>
      <c r="I3016" s="476"/>
    </row>
    <row r="3017" spans="2:9" x14ac:dyDescent="0.25">
      <c r="B3017" s="476"/>
      <c r="C3017" s="476"/>
      <c r="D3017" s="475"/>
      <c r="E3017" s="476"/>
      <c r="F3017" s="475"/>
      <c r="G3017" s="476"/>
      <c r="H3017" s="475"/>
      <c r="I3017" s="476"/>
    </row>
    <row r="3018" spans="2:9" x14ac:dyDescent="0.25">
      <c r="B3018" s="476"/>
      <c r="C3018" s="476"/>
      <c r="D3018" s="475"/>
      <c r="E3018" s="476"/>
      <c r="F3018" s="475"/>
      <c r="G3018" s="476"/>
      <c r="H3018" s="475"/>
      <c r="I3018" s="476"/>
    </row>
    <row r="3019" spans="2:9" x14ac:dyDescent="0.25">
      <c r="B3019" s="476"/>
      <c r="C3019" s="476"/>
      <c r="D3019" s="475"/>
      <c r="E3019" s="476"/>
      <c r="F3019" s="475"/>
      <c r="G3019" s="476"/>
      <c r="H3019" s="475"/>
      <c r="I3019" s="476"/>
    </row>
    <row r="3020" spans="2:9" x14ac:dyDescent="0.25">
      <c r="B3020" s="476"/>
      <c r="C3020" s="476"/>
      <c r="D3020" s="475"/>
      <c r="E3020" s="476"/>
      <c r="F3020" s="475"/>
      <c r="G3020" s="476"/>
      <c r="H3020" s="475"/>
      <c r="I3020" s="476"/>
    </row>
    <row r="3021" spans="2:9" x14ac:dyDescent="0.25">
      <c r="B3021" s="476"/>
      <c r="C3021" s="476"/>
      <c r="D3021" s="475"/>
      <c r="E3021" s="476"/>
      <c r="F3021" s="475"/>
      <c r="G3021" s="476"/>
      <c r="H3021" s="475"/>
      <c r="I3021" s="476"/>
    </row>
    <row r="3022" spans="2:9" x14ac:dyDescent="0.25">
      <c r="B3022" s="476"/>
      <c r="C3022" s="476"/>
      <c r="D3022" s="475"/>
      <c r="E3022" s="476"/>
      <c r="F3022" s="475"/>
      <c r="G3022" s="476"/>
      <c r="H3022" s="475"/>
      <c r="I3022" s="476"/>
    </row>
    <row r="3023" spans="2:9" x14ac:dyDescent="0.25">
      <c r="B3023" s="476"/>
      <c r="C3023" s="476"/>
      <c r="D3023" s="475"/>
      <c r="E3023" s="476"/>
      <c r="F3023" s="475"/>
      <c r="G3023" s="476"/>
      <c r="H3023" s="475"/>
      <c r="I3023" s="476"/>
    </row>
    <row r="3024" spans="2:9" x14ac:dyDescent="0.25">
      <c r="B3024" s="476"/>
      <c r="C3024" s="476"/>
      <c r="D3024" s="475"/>
      <c r="E3024" s="476"/>
      <c r="F3024" s="475"/>
      <c r="G3024" s="476"/>
      <c r="H3024" s="475"/>
      <c r="I3024" s="476"/>
    </row>
    <row r="3025" spans="2:9" x14ac:dyDescent="0.25">
      <c r="B3025" s="476"/>
      <c r="C3025" s="476"/>
      <c r="D3025" s="475"/>
      <c r="E3025" s="476"/>
      <c r="F3025" s="475"/>
      <c r="G3025" s="476"/>
      <c r="H3025" s="475"/>
      <c r="I3025" s="476"/>
    </row>
    <row r="3026" spans="2:9" x14ac:dyDescent="0.25">
      <c r="B3026" s="476"/>
      <c r="C3026" s="476"/>
      <c r="D3026" s="475"/>
      <c r="E3026" s="476"/>
      <c r="F3026" s="475"/>
      <c r="G3026" s="476"/>
      <c r="H3026" s="475"/>
      <c r="I3026" s="476"/>
    </row>
    <row r="3027" spans="2:9" x14ac:dyDescent="0.25">
      <c r="B3027" s="476"/>
      <c r="C3027" s="476"/>
      <c r="D3027" s="475"/>
      <c r="E3027" s="476"/>
      <c r="F3027" s="475"/>
      <c r="G3027" s="476"/>
      <c r="H3027" s="475"/>
      <c r="I3027" s="476"/>
    </row>
    <row r="3028" spans="2:9" x14ac:dyDescent="0.25">
      <c r="B3028" s="476"/>
      <c r="C3028" s="476"/>
      <c r="D3028" s="475"/>
      <c r="E3028" s="476"/>
      <c r="F3028" s="475"/>
      <c r="G3028" s="476"/>
      <c r="H3028" s="475"/>
      <c r="I3028" s="476"/>
    </row>
    <row r="3029" spans="2:9" x14ac:dyDescent="0.25">
      <c r="B3029" s="476"/>
      <c r="C3029" s="476"/>
      <c r="D3029" s="475"/>
      <c r="E3029" s="476"/>
      <c r="F3029" s="475"/>
      <c r="G3029" s="476"/>
      <c r="H3029" s="475"/>
      <c r="I3029" s="476"/>
    </row>
    <row r="3030" spans="2:9" x14ac:dyDescent="0.25">
      <c r="B3030" s="476"/>
      <c r="C3030" s="476"/>
      <c r="D3030" s="475"/>
      <c r="E3030" s="476"/>
      <c r="F3030" s="475"/>
      <c r="G3030" s="476"/>
      <c r="H3030" s="475"/>
      <c r="I3030" s="476"/>
    </row>
    <row r="3031" spans="2:9" x14ac:dyDescent="0.25">
      <c r="B3031" s="476"/>
      <c r="C3031" s="476"/>
      <c r="D3031" s="475"/>
      <c r="E3031" s="476"/>
      <c r="F3031" s="475"/>
      <c r="G3031" s="476"/>
      <c r="H3031" s="475"/>
      <c r="I3031" s="476"/>
    </row>
    <row r="3032" spans="2:9" x14ac:dyDescent="0.25">
      <c r="B3032" s="476"/>
      <c r="C3032" s="476"/>
      <c r="D3032" s="475"/>
      <c r="E3032" s="476"/>
      <c r="F3032" s="475"/>
      <c r="G3032" s="476"/>
      <c r="H3032" s="475"/>
      <c r="I3032" s="476"/>
    </row>
    <row r="3033" spans="2:9" x14ac:dyDescent="0.25">
      <c r="B3033" s="476"/>
      <c r="C3033" s="476"/>
      <c r="D3033" s="475"/>
      <c r="E3033" s="476"/>
      <c r="F3033" s="475"/>
      <c r="G3033" s="476"/>
      <c r="H3033" s="475"/>
      <c r="I3033" s="476"/>
    </row>
    <row r="3034" spans="2:9" x14ac:dyDescent="0.25">
      <c r="B3034" s="476"/>
      <c r="C3034" s="476"/>
      <c r="D3034" s="475"/>
      <c r="E3034" s="476"/>
      <c r="F3034" s="475"/>
      <c r="G3034" s="476"/>
      <c r="H3034" s="475"/>
      <c r="I3034" s="476"/>
    </row>
    <row r="3035" spans="2:9" x14ac:dyDescent="0.25">
      <c r="B3035" s="476"/>
      <c r="C3035" s="476"/>
      <c r="D3035" s="475"/>
      <c r="E3035" s="476"/>
      <c r="F3035" s="475"/>
      <c r="G3035" s="476"/>
      <c r="H3035" s="475"/>
      <c r="I3035" s="476"/>
    </row>
    <row r="3036" spans="2:9" x14ac:dyDescent="0.25">
      <c r="B3036" s="476"/>
      <c r="C3036" s="476"/>
      <c r="D3036" s="475"/>
      <c r="E3036" s="476"/>
      <c r="F3036" s="475"/>
      <c r="G3036" s="476"/>
      <c r="H3036" s="475"/>
      <c r="I3036" s="476"/>
    </row>
    <row r="3037" spans="2:9" x14ac:dyDescent="0.25">
      <c r="B3037" s="476"/>
      <c r="C3037" s="476"/>
      <c r="D3037" s="475"/>
      <c r="E3037" s="476"/>
      <c r="F3037" s="475"/>
      <c r="G3037" s="476"/>
      <c r="H3037" s="475"/>
      <c r="I3037" s="476"/>
    </row>
    <row r="3038" spans="2:9" x14ac:dyDescent="0.25">
      <c r="B3038" s="476"/>
      <c r="C3038" s="476"/>
      <c r="D3038" s="475"/>
      <c r="E3038" s="476"/>
      <c r="F3038" s="475"/>
      <c r="G3038" s="476"/>
      <c r="H3038" s="475"/>
      <c r="I3038" s="476"/>
    </row>
    <row r="3039" spans="2:9" x14ac:dyDescent="0.25">
      <c r="B3039" s="476"/>
      <c r="C3039" s="476"/>
      <c r="D3039" s="475"/>
      <c r="E3039" s="476"/>
      <c r="F3039" s="475"/>
      <c r="G3039" s="476"/>
      <c r="H3039" s="475"/>
      <c r="I3039" s="476"/>
    </row>
    <row r="3040" spans="2:9" x14ac:dyDescent="0.25">
      <c r="B3040" s="476"/>
      <c r="C3040" s="476"/>
      <c r="D3040" s="475"/>
      <c r="E3040" s="476"/>
      <c r="F3040" s="475"/>
      <c r="G3040" s="476"/>
      <c r="H3040" s="475"/>
      <c r="I3040" s="476"/>
    </row>
    <row r="3041" spans="2:9" x14ac:dyDescent="0.25">
      <c r="B3041" s="476"/>
      <c r="C3041" s="476"/>
      <c r="D3041" s="475"/>
      <c r="E3041" s="476"/>
      <c r="F3041" s="475"/>
      <c r="G3041" s="476"/>
      <c r="H3041" s="475"/>
      <c r="I3041" s="476"/>
    </row>
    <row r="3042" spans="2:9" x14ac:dyDescent="0.25">
      <c r="B3042" s="476"/>
      <c r="C3042" s="476"/>
      <c r="D3042" s="475"/>
      <c r="E3042" s="476"/>
      <c r="F3042" s="475"/>
      <c r="G3042" s="476"/>
      <c r="H3042" s="475"/>
      <c r="I3042" s="476"/>
    </row>
    <row r="3043" spans="2:9" x14ac:dyDescent="0.25">
      <c r="B3043" s="476"/>
      <c r="C3043" s="476"/>
      <c r="D3043" s="475"/>
      <c r="E3043" s="476"/>
      <c r="F3043" s="475"/>
      <c r="G3043" s="476"/>
      <c r="H3043" s="475"/>
      <c r="I3043" s="476"/>
    </row>
    <row r="3044" spans="2:9" x14ac:dyDescent="0.25">
      <c r="B3044" s="476"/>
      <c r="C3044" s="476"/>
      <c r="D3044" s="475"/>
      <c r="E3044" s="476"/>
      <c r="F3044" s="475"/>
      <c r="G3044" s="476"/>
      <c r="H3044" s="475"/>
      <c r="I3044" s="476"/>
    </row>
    <row r="3045" spans="2:9" x14ac:dyDescent="0.25">
      <c r="B3045" s="476"/>
      <c r="C3045" s="476"/>
      <c r="D3045" s="475"/>
      <c r="E3045" s="476"/>
      <c r="F3045" s="475"/>
      <c r="G3045" s="476"/>
      <c r="H3045" s="475"/>
      <c r="I3045" s="476"/>
    </row>
    <row r="3046" spans="2:9" x14ac:dyDescent="0.25">
      <c r="B3046" s="476"/>
      <c r="C3046" s="476"/>
      <c r="D3046" s="475"/>
      <c r="E3046" s="476"/>
      <c r="F3046" s="475"/>
      <c r="G3046" s="476"/>
      <c r="H3046" s="475"/>
      <c r="I3046" s="476"/>
    </row>
    <row r="3047" spans="2:9" x14ac:dyDescent="0.25">
      <c r="B3047" s="476"/>
      <c r="C3047" s="476"/>
      <c r="D3047" s="475"/>
      <c r="E3047" s="476"/>
      <c r="F3047" s="475"/>
      <c r="G3047" s="476"/>
      <c r="H3047" s="475"/>
      <c r="I3047" s="476"/>
    </row>
    <row r="3048" spans="2:9" x14ac:dyDescent="0.25">
      <c r="B3048" s="476"/>
      <c r="C3048" s="476"/>
      <c r="D3048" s="475"/>
      <c r="E3048" s="476"/>
      <c r="F3048" s="475"/>
      <c r="G3048" s="476"/>
      <c r="H3048" s="475"/>
      <c r="I3048" s="476"/>
    </row>
    <row r="3049" spans="2:9" x14ac:dyDescent="0.25">
      <c r="B3049" s="476"/>
      <c r="C3049" s="476"/>
      <c r="D3049" s="475"/>
      <c r="E3049" s="476"/>
      <c r="F3049" s="475"/>
      <c r="G3049" s="476"/>
      <c r="H3049" s="475"/>
      <c r="I3049" s="476"/>
    </row>
    <row r="3050" spans="2:9" x14ac:dyDescent="0.25">
      <c r="B3050" s="476"/>
      <c r="C3050" s="476"/>
      <c r="D3050" s="475"/>
      <c r="E3050" s="476"/>
      <c r="F3050" s="475"/>
      <c r="G3050" s="476"/>
      <c r="H3050" s="475"/>
      <c r="I3050" s="476"/>
    </row>
    <row r="3051" spans="2:9" x14ac:dyDescent="0.25">
      <c r="B3051" s="476"/>
      <c r="C3051" s="476"/>
      <c r="D3051" s="475"/>
      <c r="E3051" s="476"/>
      <c r="F3051" s="475"/>
      <c r="G3051" s="476"/>
      <c r="H3051" s="475"/>
      <c r="I3051" s="476"/>
    </row>
    <row r="3052" spans="2:9" x14ac:dyDescent="0.25">
      <c r="B3052" s="476"/>
      <c r="C3052" s="476"/>
      <c r="D3052" s="475"/>
      <c r="E3052" s="476"/>
      <c r="F3052" s="475"/>
      <c r="G3052" s="476"/>
      <c r="H3052" s="475"/>
      <c r="I3052" s="476"/>
    </row>
    <row r="3053" spans="2:9" x14ac:dyDescent="0.25">
      <c r="B3053" s="476"/>
      <c r="C3053" s="476"/>
      <c r="D3053" s="475"/>
      <c r="E3053" s="476"/>
      <c r="F3053" s="475"/>
      <c r="G3053" s="476"/>
      <c r="H3053" s="475"/>
      <c r="I3053" s="476"/>
    </row>
    <row r="3054" spans="2:9" x14ac:dyDescent="0.25">
      <c r="B3054" s="476"/>
      <c r="C3054" s="476"/>
      <c r="D3054" s="475"/>
      <c r="E3054" s="476"/>
      <c r="F3054" s="475"/>
      <c r="G3054" s="476"/>
      <c r="H3054" s="475"/>
      <c r="I3054" s="476"/>
    </row>
    <row r="3055" spans="2:9" x14ac:dyDescent="0.25">
      <c r="B3055" s="476"/>
      <c r="C3055" s="476"/>
      <c r="D3055" s="475"/>
      <c r="E3055" s="476"/>
      <c r="F3055" s="475"/>
      <c r="G3055" s="476"/>
      <c r="H3055" s="475"/>
      <c r="I3055" s="476"/>
    </row>
    <row r="3056" spans="2:9" x14ac:dyDescent="0.25">
      <c r="B3056" s="476"/>
      <c r="C3056" s="476"/>
      <c r="D3056" s="475"/>
      <c r="E3056" s="476"/>
      <c r="F3056" s="475"/>
      <c r="G3056" s="476"/>
      <c r="H3056" s="475"/>
      <c r="I3056" s="476"/>
    </row>
    <row r="3057" spans="2:9" x14ac:dyDescent="0.25">
      <c r="B3057" s="476"/>
      <c r="C3057" s="476"/>
      <c r="D3057" s="475"/>
      <c r="E3057" s="476"/>
      <c r="F3057" s="475"/>
      <c r="G3057" s="476"/>
      <c r="H3057" s="475"/>
      <c r="I3057" s="476"/>
    </row>
    <row r="3058" spans="2:9" x14ac:dyDescent="0.25">
      <c r="B3058" s="476"/>
      <c r="C3058" s="476"/>
      <c r="D3058" s="475"/>
      <c r="E3058" s="476"/>
      <c r="F3058" s="475"/>
      <c r="G3058" s="476"/>
      <c r="H3058" s="475"/>
      <c r="I3058" s="476"/>
    </row>
    <row r="3059" spans="2:9" x14ac:dyDescent="0.25">
      <c r="B3059" s="476"/>
      <c r="C3059" s="476"/>
      <c r="D3059" s="475"/>
      <c r="E3059" s="476"/>
      <c r="F3059" s="475"/>
      <c r="G3059" s="476"/>
      <c r="H3059" s="475"/>
      <c r="I3059" s="476"/>
    </row>
    <row r="3060" spans="2:9" x14ac:dyDescent="0.25">
      <c r="B3060" s="476"/>
      <c r="C3060" s="476"/>
      <c r="D3060" s="475"/>
      <c r="E3060" s="476"/>
      <c r="F3060" s="475"/>
      <c r="G3060" s="476"/>
      <c r="H3060" s="475"/>
      <c r="I3060" s="476"/>
    </row>
    <row r="3061" spans="2:9" x14ac:dyDescent="0.25">
      <c r="B3061" s="476"/>
      <c r="C3061" s="476"/>
      <c r="D3061" s="475"/>
      <c r="E3061" s="476"/>
      <c r="F3061" s="475"/>
      <c r="G3061" s="476"/>
      <c r="H3061" s="475"/>
      <c r="I3061" s="476"/>
    </row>
    <row r="3062" spans="2:9" x14ac:dyDescent="0.25">
      <c r="B3062" s="476"/>
      <c r="C3062" s="476"/>
      <c r="D3062" s="475"/>
      <c r="E3062" s="476"/>
      <c r="F3062" s="475"/>
      <c r="G3062" s="476"/>
      <c r="H3062" s="475"/>
      <c r="I3062" s="476"/>
    </row>
    <row r="3063" spans="2:9" x14ac:dyDescent="0.25">
      <c r="B3063" s="476"/>
      <c r="C3063" s="476"/>
      <c r="D3063" s="475"/>
      <c r="E3063" s="476"/>
      <c r="F3063" s="475"/>
      <c r="G3063" s="476"/>
      <c r="H3063" s="475"/>
      <c r="I3063" s="476"/>
    </row>
    <row r="3064" spans="2:9" x14ac:dyDescent="0.25">
      <c r="B3064" s="476"/>
      <c r="C3064" s="476"/>
      <c r="D3064" s="475"/>
      <c r="E3064" s="476"/>
      <c r="F3064" s="475"/>
      <c r="G3064" s="476"/>
      <c r="H3064" s="475"/>
      <c r="I3064" s="476"/>
    </row>
    <row r="3065" spans="2:9" x14ac:dyDescent="0.25">
      <c r="B3065" s="476"/>
      <c r="C3065" s="476"/>
      <c r="D3065" s="475"/>
      <c r="E3065" s="476"/>
      <c r="F3065" s="475"/>
      <c r="G3065" s="476"/>
      <c r="H3065" s="475"/>
      <c r="I3065" s="476"/>
    </row>
    <row r="3066" spans="2:9" x14ac:dyDescent="0.25">
      <c r="B3066" s="476"/>
      <c r="C3066" s="476"/>
      <c r="D3066" s="475"/>
      <c r="E3066" s="476"/>
      <c r="F3066" s="475"/>
      <c r="G3066" s="476"/>
      <c r="H3066" s="475"/>
      <c r="I3066" s="476"/>
    </row>
    <row r="3067" spans="2:9" x14ac:dyDescent="0.25">
      <c r="B3067" s="476"/>
      <c r="C3067" s="476"/>
      <c r="D3067" s="475"/>
      <c r="E3067" s="476"/>
      <c r="F3067" s="475"/>
      <c r="G3067" s="476"/>
      <c r="H3067" s="475"/>
      <c r="I3067" s="476"/>
    </row>
    <row r="3068" spans="2:9" x14ac:dyDescent="0.25">
      <c r="B3068" s="476"/>
      <c r="C3068" s="476"/>
      <c r="D3068" s="475"/>
      <c r="E3068" s="476"/>
      <c r="F3068" s="475"/>
      <c r="G3068" s="476"/>
      <c r="H3068" s="475"/>
      <c r="I3068" s="476"/>
    </row>
    <row r="3069" spans="2:9" x14ac:dyDescent="0.25">
      <c r="B3069" s="476"/>
      <c r="C3069" s="476"/>
      <c r="D3069" s="475"/>
      <c r="E3069" s="476"/>
      <c r="F3069" s="475"/>
      <c r="G3069" s="476"/>
      <c r="H3069" s="475"/>
      <c r="I3069" s="476"/>
    </row>
    <row r="3070" spans="2:9" x14ac:dyDescent="0.25">
      <c r="B3070" s="476"/>
      <c r="C3070" s="476"/>
      <c r="D3070" s="475"/>
      <c r="E3070" s="476"/>
      <c r="F3070" s="475"/>
      <c r="G3070" s="476"/>
      <c r="H3070" s="475"/>
      <c r="I3070" s="476"/>
    </row>
    <row r="3071" spans="2:9" x14ac:dyDescent="0.25">
      <c r="B3071" s="476"/>
      <c r="C3071" s="476"/>
      <c r="D3071" s="475"/>
      <c r="E3071" s="476"/>
      <c r="F3071" s="475"/>
      <c r="G3071" s="476"/>
      <c r="H3071" s="475"/>
      <c r="I3071" s="476"/>
    </row>
    <row r="3072" spans="2:9" x14ac:dyDescent="0.25">
      <c r="B3072" s="476"/>
      <c r="C3072" s="476"/>
      <c r="D3072" s="475"/>
      <c r="E3072" s="476"/>
      <c r="F3072" s="475"/>
      <c r="G3072" s="476"/>
      <c r="H3072" s="475"/>
      <c r="I3072" s="476"/>
    </row>
    <row r="3073" spans="2:9" x14ac:dyDescent="0.25">
      <c r="B3073" s="476"/>
      <c r="C3073" s="476"/>
      <c r="D3073" s="475"/>
      <c r="E3073" s="476"/>
      <c r="F3073" s="475"/>
      <c r="G3073" s="476"/>
      <c r="H3073" s="475"/>
      <c r="I3073" s="476"/>
    </row>
    <row r="3074" spans="2:9" x14ac:dyDescent="0.25">
      <c r="B3074" s="476"/>
      <c r="C3074" s="476"/>
      <c r="D3074" s="475"/>
      <c r="E3074" s="476"/>
      <c r="F3074" s="475"/>
      <c r="G3074" s="476"/>
      <c r="H3074" s="475"/>
      <c r="I3074" s="476"/>
    </row>
    <row r="3075" spans="2:9" x14ac:dyDescent="0.25">
      <c r="B3075" s="476"/>
      <c r="C3075" s="476"/>
      <c r="D3075" s="475"/>
      <c r="E3075" s="476"/>
      <c r="F3075" s="475"/>
      <c r="G3075" s="476"/>
      <c r="H3075" s="475"/>
      <c r="I3075" s="476"/>
    </row>
    <row r="3076" spans="2:9" x14ac:dyDescent="0.25">
      <c r="B3076" s="476"/>
      <c r="C3076" s="476"/>
      <c r="D3076" s="475"/>
      <c r="E3076" s="476"/>
      <c r="F3076" s="475"/>
      <c r="G3076" s="476"/>
      <c r="H3076" s="475"/>
      <c r="I3076" s="476"/>
    </row>
    <row r="3077" spans="2:9" x14ac:dyDescent="0.25">
      <c r="B3077" s="476"/>
      <c r="C3077" s="476"/>
      <c r="D3077" s="475"/>
      <c r="E3077" s="476"/>
      <c r="F3077" s="475"/>
      <c r="G3077" s="476"/>
      <c r="H3077" s="475"/>
      <c r="I3077" s="476"/>
    </row>
    <row r="3078" spans="2:9" x14ac:dyDescent="0.25">
      <c r="B3078" s="476"/>
      <c r="C3078" s="476"/>
      <c r="D3078" s="475"/>
      <c r="E3078" s="476"/>
      <c r="F3078" s="475"/>
      <c r="G3078" s="476"/>
      <c r="H3078" s="475"/>
      <c r="I3078" s="476"/>
    </row>
    <row r="3079" spans="2:9" x14ac:dyDescent="0.25">
      <c r="B3079" s="476"/>
      <c r="C3079" s="476"/>
      <c r="D3079" s="475"/>
      <c r="E3079" s="476"/>
      <c r="F3079" s="475"/>
      <c r="G3079" s="476"/>
      <c r="H3079" s="475"/>
      <c r="I3079" s="476"/>
    </row>
    <row r="3080" spans="2:9" x14ac:dyDescent="0.25">
      <c r="B3080" s="476"/>
      <c r="C3080" s="476"/>
      <c r="D3080" s="475"/>
      <c r="E3080" s="476"/>
      <c r="F3080" s="475"/>
      <c r="G3080" s="476"/>
      <c r="H3080" s="475"/>
      <c r="I3080" s="476"/>
    </row>
    <row r="3081" spans="2:9" x14ac:dyDescent="0.25">
      <c r="B3081" s="476"/>
      <c r="C3081" s="476"/>
      <c r="D3081" s="475"/>
      <c r="E3081" s="476"/>
      <c r="F3081" s="475"/>
      <c r="G3081" s="476"/>
      <c r="H3081" s="475"/>
      <c r="I3081" s="476"/>
    </row>
    <row r="3082" spans="2:9" x14ac:dyDescent="0.25">
      <c r="B3082" s="476"/>
      <c r="C3082" s="476"/>
      <c r="D3082" s="475"/>
      <c r="E3082" s="476"/>
      <c r="F3082" s="475"/>
      <c r="G3082" s="476"/>
      <c r="H3082" s="475"/>
      <c r="I3082" s="476"/>
    </row>
    <row r="3083" spans="2:9" x14ac:dyDescent="0.25">
      <c r="B3083" s="476"/>
      <c r="C3083" s="476"/>
      <c r="D3083" s="475"/>
      <c r="E3083" s="476"/>
      <c r="F3083" s="475"/>
      <c r="G3083" s="476"/>
      <c r="H3083" s="475"/>
      <c r="I3083" s="476"/>
    </row>
    <row r="3084" spans="2:9" x14ac:dyDescent="0.25">
      <c r="B3084" s="476"/>
      <c r="C3084" s="476"/>
      <c r="D3084" s="475"/>
      <c r="E3084" s="476"/>
      <c r="F3084" s="475"/>
      <c r="G3084" s="476"/>
      <c r="H3084" s="475"/>
      <c r="I3084" s="476"/>
    </row>
    <row r="3085" spans="2:9" x14ac:dyDescent="0.25">
      <c r="B3085" s="476"/>
      <c r="C3085" s="476"/>
      <c r="D3085" s="475"/>
      <c r="E3085" s="476"/>
      <c r="F3085" s="475"/>
      <c r="G3085" s="476"/>
      <c r="H3085" s="475"/>
      <c r="I3085" s="476"/>
    </row>
    <row r="3086" spans="2:9" x14ac:dyDescent="0.25">
      <c r="B3086" s="476"/>
      <c r="C3086" s="476"/>
      <c r="D3086" s="475"/>
      <c r="E3086" s="476"/>
      <c r="F3086" s="475"/>
      <c r="G3086" s="476"/>
      <c r="H3086" s="475"/>
      <c r="I3086" s="476"/>
    </row>
    <row r="3087" spans="2:9" x14ac:dyDescent="0.25">
      <c r="B3087" s="476"/>
      <c r="C3087" s="476"/>
      <c r="D3087" s="475"/>
      <c r="E3087" s="476"/>
      <c r="F3087" s="475"/>
      <c r="G3087" s="476"/>
      <c r="H3087" s="475"/>
      <c r="I3087" s="476"/>
    </row>
    <row r="3088" spans="2:9" x14ac:dyDescent="0.25">
      <c r="B3088" s="476"/>
      <c r="C3088" s="476"/>
      <c r="D3088" s="475"/>
      <c r="E3088" s="476"/>
      <c r="F3088" s="475"/>
      <c r="G3088" s="476"/>
      <c r="H3088" s="475"/>
      <c r="I3088" s="476"/>
    </row>
    <row r="3089" spans="2:9" x14ac:dyDescent="0.25">
      <c r="B3089" s="476"/>
      <c r="C3089" s="476"/>
      <c r="D3089" s="475"/>
      <c r="E3089" s="476"/>
      <c r="F3089" s="475"/>
      <c r="G3089" s="476"/>
      <c r="H3089" s="475"/>
      <c r="I3089" s="476"/>
    </row>
    <row r="3090" spans="2:9" x14ac:dyDescent="0.25">
      <c r="B3090" s="476"/>
      <c r="C3090" s="476"/>
      <c r="D3090" s="475"/>
      <c r="E3090" s="476"/>
      <c r="F3090" s="475"/>
      <c r="G3090" s="476"/>
      <c r="H3090" s="475"/>
      <c r="I3090" s="476"/>
    </row>
    <row r="3091" spans="2:9" x14ac:dyDescent="0.25">
      <c r="B3091" s="476"/>
      <c r="C3091" s="476"/>
      <c r="D3091" s="475"/>
      <c r="E3091" s="476"/>
      <c r="F3091" s="475"/>
      <c r="G3091" s="476"/>
      <c r="H3091" s="475"/>
      <c r="I3091" s="476"/>
    </row>
    <row r="3092" spans="2:9" x14ac:dyDescent="0.25">
      <c r="B3092" s="476"/>
      <c r="C3092" s="476"/>
      <c r="D3092" s="475"/>
      <c r="E3092" s="476"/>
      <c r="F3092" s="475"/>
      <c r="G3092" s="476"/>
      <c r="H3092" s="475"/>
      <c r="I3092" s="476"/>
    </row>
    <row r="3093" spans="2:9" x14ac:dyDescent="0.25">
      <c r="B3093" s="476"/>
      <c r="C3093" s="476"/>
      <c r="D3093" s="475"/>
      <c r="E3093" s="476"/>
      <c r="F3093" s="475"/>
      <c r="G3093" s="476"/>
      <c r="H3093" s="475"/>
      <c r="I3093" s="476"/>
    </row>
    <row r="3094" spans="2:9" x14ac:dyDescent="0.25">
      <c r="B3094" s="476"/>
      <c r="C3094" s="476"/>
      <c r="D3094" s="475"/>
      <c r="E3094" s="476"/>
      <c r="F3094" s="475"/>
      <c r="G3094" s="476"/>
      <c r="H3094" s="475"/>
      <c r="I3094" s="476"/>
    </row>
    <row r="3095" spans="2:9" x14ac:dyDescent="0.25">
      <c r="B3095" s="476"/>
      <c r="C3095" s="476"/>
      <c r="D3095" s="475"/>
      <c r="E3095" s="476"/>
      <c r="F3095" s="475"/>
      <c r="G3095" s="476"/>
      <c r="H3095" s="475"/>
      <c r="I3095" s="476"/>
    </row>
    <row r="3096" spans="2:9" x14ac:dyDescent="0.25">
      <c r="B3096" s="476"/>
      <c r="C3096" s="476"/>
      <c r="D3096" s="475"/>
      <c r="E3096" s="476"/>
      <c r="F3096" s="475"/>
      <c r="G3096" s="476"/>
      <c r="H3096" s="475"/>
      <c r="I3096" s="476"/>
    </row>
    <row r="3097" spans="2:9" x14ac:dyDescent="0.25">
      <c r="B3097" s="476"/>
      <c r="C3097" s="476"/>
      <c r="D3097" s="475"/>
      <c r="E3097" s="476"/>
      <c r="F3097" s="475"/>
      <c r="G3097" s="476"/>
      <c r="H3097" s="475"/>
      <c r="I3097" s="476"/>
    </row>
    <row r="3098" spans="2:9" x14ac:dyDescent="0.25">
      <c r="B3098" s="476"/>
      <c r="C3098" s="476"/>
      <c r="D3098" s="475"/>
      <c r="E3098" s="476"/>
      <c r="F3098" s="475"/>
      <c r="G3098" s="476"/>
      <c r="H3098" s="475"/>
      <c r="I3098" s="476"/>
    </row>
    <row r="3099" spans="2:9" x14ac:dyDescent="0.25">
      <c r="B3099" s="476"/>
      <c r="C3099" s="476"/>
      <c r="D3099" s="475"/>
      <c r="E3099" s="476"/>
      <c r="F3099" s="475"/>
      <c r="G3099" s="476"/>
      <c r="H3099" s="475"/>
      <c r="I3099" s="476"/>
    </row>
    <row r="3100" spans="2:9" x14ac:dyDescent="0.25">
      <c r="B3100" s="476"/>
      <c r="C3100" s="476"/>
      <c r="D3100" s="475"/>
      <c r="E3100" s="476"/>
      <c r="F3100" s="475"/>
      <c r="G3100" s="476"/>
      <c r="H3100" s="475"/>
      <c r="I3100" s="476"/>
    </row>
    <row r="3101" spans="2:9" x14ac:dyDescent="0.25">
      <c r="B3101" s="476"/>
      <c r="C3101" s="476"/>
      <c r="D3101" s="475"/>
      <c r="E3101" s="476"/>
      <c r="F3101" s="475"/>
      <c r="G3101" s="476"/>
      <c r="H3101" s="475"/>
      <c r="I3101" s="476"/>
    </row>
    <row r="3102" spans="2:9" x14ac:dyDescent="0.25">
      <c r="B3102" s="476"/>
      <c r="C3102" s="476"/>
      <c r="D3102" s="475"/>
      <c r="E3102" s="476"/>
      <c r="F3102" s="475"/>
      <c r="G3102" s="476"/>
      <c r="H3102" s="475"/>
      <c r="I3102" s="476"/>
    </row>
    <row r="3103" spans="2:9" x14ac:dyDescent="0.25">
      <c r="B3103" s="476"/>
      <c r="C3103" s="476"/>
      <c r="D3103" s="475"/>
      <c r="E3103" s="476"/>
      <c r="F3103" s="475"/>
      <c r="G3103" s="476"/>
      <c r="H3103" s="475"/>
      <c r="I3103" s="476"/>
    </row>
    <row r="3104" spans="2:9" x14ac:dyDescent="0.25">
      <c r="B3104" s="476"/>
      <c r="C3104" s="476"/>
      <c r="D3104" s="475"/>
      <c r="E3104" s="476"/>
      <c r="F3104" s="475"/>
      <c r="G3104" s="476"/>
      <c r="H3104" s="475"/>
      <c r="I3104" s="476"/>
    </row>
    <row r="3105" spans="2:9" x14ac:dyDescent="0.25">
      <c r="B3105" s="476"/>
      <c r="C3105" s="476"/>
      <c r="D3105" s="475"/>
      <c r="E3105" s="476"/>
      <c r="F3105" s="475"/>
      <c r="G3105" s="476"/>
      <c r="H3105" s="475"/>
      <c r="I3105" s="476"/>
    </row>
    <row r="3106" spans="2:9" x14ac:dyDescent="0.25">
      <c r="B3106" s="476"/>
      <c r="C3106" s="476"/>
      <c r="D3106" s="475"/>
      <c r="E3106" s="476"/>
      <c r="F3106" s="475"/>
      <c r="G3106" s="476"/>
      <c r="H3106" s="475"/>
      <c r="I3106" s="476"/>
    </row>
    <row r="3107" spans="2:9" x14ac:dyDescent="0.25">
      <c r="B3107" s="476"/>
      <c r="C3107" s="476"/>
      <c r="D3107" s="475"/>
      <c r="E3107" s="476"/>
      <c r="F3107" s="475"/>
      <c r="G3107" s="476"/>
      <c r="H3107" s="475"/>
      <c r="I3107" s="476"/>
    </row>
    <row r="3108" spans="2:9" x14ac:dyDescent="0.25">
      <c r="B3108" s="476"/>
      <c r="C3108" s="476"/>
      <c r="D3108" s="475"/>
      <c r="E3108" s="476"/>
      <c r="F3108" s="475"/>
      <c r="G3108" s="476"/>
      <c r="H3108" s="475"/>
      <c r="I3108" s="476"/>
    </row>
    <row r="3109" spans="2:9" x14ac:dyDescent="0.25">
      <c r="B3109" s="476"/>
      <c r="C3109" s="476"/>
      <c r="D3109" s="475"/>
      <c r="E3109" s="476"/>
      <c r="F3109" s="475"/>
      <c r="G3109" s="476"/>
      <c r="H3109" s="475"/>
      <c r="I3109" s="476"/>
    </row>
    <row r="3110" spans="2:9" x14ac:dyDescent="0.25">
      <c r="B3110" s="476"/>
      <c r="C3110" s="476"/>
      <c r="D3110" s="475"/>
      <c r="E3110" s="476"/>
      <c r="F3110" s="475"/>
      <c r="G3110" s="476"/>
      <c r="H3110" s="475"/>
      <c r="I3110" s="476"/>
    </row>
    <row r="3111" spans="2:9" x14ac:dyDescent="0.25">
      <c r="B3111" s="476"/>
      <c r="C3111" s="476"/>
      <c r="D3111" s="475"/>
      <c r="E3111" s="476"/>
      <c r="F3111" s="475"/>
      <c r="G3111" s="476"/>
      <c r="H3111" s="475"/>
      <c r="I3111" s="476"/>
    </row>
    <row r="3112" spans="2:9" x14ac:dyDescent="0.25">
      <c r="B3112" s="476"/>
      <c r="C3112" s="476"/>
      <c r="D3112" s="475"/>
      <c r="E3112" s="476"/>
      <c r="F3112" s="475"/>
      <c r="G3112" s="476"/>
      <c r="H3112" s="475"/>
      <c r="I3112" s="476"/>
    </row>
    <row r="3113" spans="2:9" x14ac:dyDescent="0.25">
      <c r="B3113" s="476"/>
      <c r="C3113" s="476"/>
      <c r="D3113" s="475"/>
      <c r="E3113" s="476"/>
      <c r="F3113" s="475"/>
      <c r="G3113" s="476"/>
      <c r="H3113" s="475"/>
      <c r="I3113" s="476"/>
    </row>
    <row r="3114" spans="2:9" x14ac:dyDescent="0.25">
      <c r="B3114" s="476"/>
      <c r="C3114" s="476"/>
      <c r="D3114" s="475"/>
      <c r="E3114" s="476"/>
      <c r="F3114" s="475"/>
      <c r="G3114" s="476"/>
      <c r="H3114" s="475"/>
      <c r="I3114" s="476"/>
    </row>
    <row r="3115" spans="2:9" x14ac:dyDescent="0.25">
      <c r="B3115" s="476"/>
      <c r="C3115" s="476"/>
      <c r="D3115" s="475"/>
      <c r="E3115" s="476"/>
      <c r="F3115" s="475"/>
      <c r="G3115" s="476"/>
      <c r="H3115" s="475"/>
      <c r="I3115" s="476"/>
    </row>
    <row r="3116" spans="2:9" x14ac:dyDescent="0.25">
      <c r="B3116" s="476"/>
      <c r="C3116" s="476"/>
      <c r="D3116" s="475"/>
      <c r="E3116" s="476"/>
      <c r="F3116" s="475"/>
      <c r="G3116" s="476"/>
      <c r="H3116" s="475"/>
      <c r="I3116" s="476"/>
    </row>
    <row r="3117" spans="2:9" x14ac:dyDescent="0.25">
      <c r="B3117" s="476"/>
      <c r="C3117" s="476"/>
      <c r="D3117" s="475"/>
      <c r="E3117" s="476"/>
      <c r="F3117" s="475"/>
      <c r="G3117" s="476"/>
      <c r="H3117" s="475"/>
      <c r="I3117" s="476"/>
    </row>
    <row r="3118" spans="2:9" x14ac:dyDescent="0.25">
      <c r="B3118" s="476"/>
      <c r="C3118" s="476"/>
      <c r="D3118" s="475"/>
      <c r="E3118" s="476"/>
      <c r="F3118" s="475"/>
      <c r="G3118" s="476"/>
      <c r="H3118" s="475"/>
      <c r="I3118" s="476"/>
    </row>
    <row r="3119" spans="2:9" x14ac:dyDescent="0.25">
      <c r="B3119" s="476"/>
      <c r="C3119" s="476"/>
      <c r="D3119" s="475"/>
      <c r="E3119" s="476"/>
      <c r="F3119" s="475"/>
      <c r="G3119" s="476"/>
      <c r="H3119" s="475"/>
      <c r="I3119" s="476"/>
    </row>
    <row r="3120" spans="2:9" x14ac:dyDescent="0.25">
      <c r="B3120" s="476"/>
      <c r="C3120" s="476"/>
      <c r="D3120" s="475"/>
      <c r="E3120" s="476"/>
      <c r="F3120" s="475"/>
      <c r="G3120" s="476"/>
      <c r="H3120" s="475"/>
      <c r="I3120" s="476"/>
    </row>
    <row r="3121" spans="2:9" x14ac:dyDescent="0.25">
      <c r="B3121" s="476"/>
      <c r="C3121" s="476"/>
      <c r="D3121" s="475"/>
      <c r="E3121" s="476"/>
      <c r="F3121" s="475"/>
      <c r="G3121" s="476"/>
      <c r="H3121" s="475"/>
      <c r="I3121" s="476"/>
    </row>
    <row r="3122" spans="2:9" x14ac:dyDescent="0.25">
      <c r="B3122" s="476"/>
      <c r="C3122" s="476"/>
      <c r="D3122" s="475"/>
      <c r="E3122" s="476"/>
      <c r="F3122" s="475"/>
      <c r="G3122" s="476"/>
      <c r="H3122" s="475"/>
      <c r="I3122" s="476"/>
    </row>
    <row r="3123" spans="2:9" x14ac:dyDescent="0.25">
      <c r="B3123" s="476"/>
      <c r="C3123" s="476"/>
      <c r="D3123" s="475"/>
      <c r="E3123" s="476"/>
      <c r="F3123" s="475"/>
      <c r="G3123" s="476"/>
      <c r="H3123" s="475"/>
      <c r="I3123" s="476"/>
    </row>
    <row r="3124" spans="2:9" x14ac:dyDescent="0.25">
      <c r="B3124" s="476"/>
      <c r="C3124" s="476"/>
      <c r="D3124" s="475"/>
      <c r="E3124" s="476"/>
      <c r="F3124" s="475"/>
      <c r="G3124" s="476"/>
      <c r="H3124" s="475"/>
      <c r="I3124" s="476"/>
    </row>
    <row r="3125" spans="2:9" x14ac:dyDescent="0.25">
      <c r="B3125" s="476"/>
      <c r="C3125" s="476"/>
      <c r="D3125" s="475"/>
      <c r="E3125" s="476"/>
      <c r="F3125" s="475"/>
      <c r="G3125" s="476"/>
      <c r="H3125" s="475"/>
      <c r="I3125" s="476"/>
    </row>
    <row r="3126" spans="2:9" x14ac:dyDescent="0.25">
      <c r="B3126" s="476"/>
      <c r="C3126" s="476"/>
      <c r="D3126" s="475"/>
      <c r="E3126" s="476"/>
      <c r="F3126" s="475"/>
      <c r="G3126" s="476"/>
      <c r="H3126" s="475"/>
      <c r="I3126" s="476"/>
    </row>
    <row r="3127" spans="2:9" x14ac:dyDescent="0.25">
      <c r="B3127" s="476"/>
      <c r="C3127" s="476"/>
      <c r="D3127" s="475"/>
      <c r="E3127" s="476"/>
      <c r="F3127" s="475"/>
      <c r="G3127" s="476"/>
      <c r="H3127" s="475"/>
      <c r="I3127" s="476"/>
    </row>
    <row r="3128" spans="2:9" x14ac:dyDescent="0.25">
      <c r="B3128" s="476"/>
      <c r="C3128" s="476"/>
      <c r="D3128" s="475"/>
      <c r="E3128" s="476"/>
      <c r="F3128" s="475"/>
      <c r="G3128" s="476"/>
      <c r="H3128" s="475"/>
      <c r="I3128" s="476"/>
    </row>
    <row r="3129" spans="2:9" x14ac:dyDescent="0.25">
      <c r="B3129" s="476"/>
      <c r="C3129" s="476"/>
      <c r="D3129" s="475"/>
      <c r="E3129" s="476"/>
      <c r="F3129" s="475"/>
      <c r="G3129" s="476"/>
      <c r="H3129" s="475"/>
      <c r="I3129" s="476"/>
    </row>
    <row r="3130" spans="2:9" x14ac:dyDescent="0.25">
      <c r="B3130" s="476"/>
      <c r="C3130" s="476"/>
      <c r="D3130" s="475"/>
      <c r="E3130" s="476"/>
      <c r="F3130" s="475"/>
      <c r="G3130" s="476"/>
      <c r="H3130" s="475"/>
      <c r="I3130" s="476"/>
    </row>
    <row r="3131" spans="2:9" x14ac:dyDescent="0.25">
      <c r="B3131" s="476"/>
      <c r="C3131" s="476"/>
      <c r="D3131" s="475"/>
      <c r="E3131" s="476"/>
      <c r="F3131" s="475"/>
      <c r="G3131" s="476"/>
      <c r="H3131" s="475"/>
      <c r="I3131" s="476"/>
    </row>
    <row r="3132" spans="2:9" x14ac:dyDescent="0.25">
      <c r="B3132" s="476"/>
      <c r="C3132" s="476"/>
      <c r="D3132" s="475"/>
      <c r="E3132" s="476"/>
      <c r="F3132" s="475"/>
      <c r="G3132" s="476"/>
      <c r="H3132" s="475"/>
      <c r="I3132" s="476"/>
    </row>
    <row r="3133" spans="2:9" x14ac:dyDescent="0.25">
      <c r="B3133" s="476"/>
      <c r="C3133" s="476"/>
      <c r="D3133" s="475"/>
      <c r="E3133" s="476"/>
      <c r="F3133" s="475"/>
      <c r="G3133" s="476"/>
      <c r="H3133" s="475"/>
      <c r="I3133" s="476"/>
    </row>
    <row r="3134" spans="2:9" x14ac:dyDescent="0.25">
      <c r="B3134" s="476"/>
      <c r="C3134" s="476"/>
      <c r="D3134" s="475"/>
      <c r="E3134" s="476"/>
      <c r="F3134" s="475"/>
      <c r="G3134" s="476"/>
      <c r="H3134" s="475"/>
      <c r="I3134" s="476"/>
    </row>
    <row r="3135" spans="2:9" x14ac:dyDescent="0.25">
      <c r="B3135" s="476"/>
      <c r="C3135" s="476"/>
      <c r="D3135" s="475"/>
      <c r="E3135" s="476"/>
      <c r="F3135" s="475"/>
      <c r="G3135" s="476"/>
      <c r="H3135" s="475"/>
      <c r="I3135" s="476"/>
    </row>
    <row r="3136" spans="2:9" x14ac:dyDescent="0.25">
      <c r="B3136" s="476"/>
      <c r="C3136" s="476"/>
      <c r="D3136" s="475"/>
      <c r="E3136" s="476"/>
      <c r="F3136" s="475"/>
      <c r="G3136" s="476"/>
      <c r="H3136" s="475"/>
      <c r="I3136" s="476"/>
    </row>
    <row r="3137" spans="2:9" x14ac:dyDescent="0.25">
      <c r="B3137" s="476"/>
      <c r="C3137" s="476"/>
      <c r="D3137" s="475"/>
      <c r="E3137" s="476"/>
      <c r="F3137" s="475"/>
      <c r="G3137" s="476"/>
      <c r="H3137" s="475"/>
      <c r="I3137" s="476"/>
    </row>
    <row r="3138" spans="2:9" x14ac:dyDescent="0.25">
      <c r="B3138" s="476"/>
      <c r="C3138" s="476"/>
      <c r="D3138" s="475"/>
      <c r="E3138" s="476"/>
      <c r="F3138" s="475"/>
      <c r="G3138" s="476"/>
      <c r="H3138" s="475"/>
      <c r="I3138" s="476"/>
    </row>
    <row r="3139" spans="2:9" x14ac:dyDescent="0.25">
      <c r="B3139" s="476"/>
      <c r="C3139" s="476"/>
      <c r="D3139" s="475"/>
      <c r="E3139" s="476"/>
      <c r="F3139" s="475"/>
      <c r="G3139" s="476"/>
      <c r="H3139" s="475"/>
      <c r="I3139" s="476"/>
    </row>
    <row r="3140" spans="2:9" x14ac:dyDescent="0.25">
      <c r="B3140" s="476"/>
      <c r="C3140" s="476"/>
      <c r="D3140" s="475"/>
      <c r="E3140" s="476"/>
      <c r="F3140" s="475"/>
      <c r="G3140" s="476"/>
      <c r="H3140" s="475"/>
      <c r="I3140" s="476"/>
    </row>
    <row r="3141" spans="2:9" x14ac:dyDescent="0.25">
      <c r="B3141" s="476"/>
      <c r="C3141" s="476"/>
      <c r="D3141" s="475"/>
      <c r="E3141" s="476"/>
      <c r="F3141" s="475"/>
      <c r="G3141" s="476"/>
      <c r="H3141" s="475"/>
      <c r="I3141" s="476"/>
    </row>
    <row r="3142" spans="2:9" x14ac:dyDescent="0.25">
      <c r="B3142" s="476"/>
      <c r="C3142" s="476"/>
      <c r="D3142" s="475"/>
      <c r="E3142" s="476"/>
      <c r="F3142" s="475"/>
      <c r="G3142" s="476"/>
      <c r="H3142" s="475"/>
      <c r="I3142" s="476"/>
    </row>
    <row r="3143" spans="2:9" x14ac:dyDescent="0.25">
      <c r="B3143" s="476"/>
      <c r="C3143" s="476"/>
      <c r="D3143" s="475"/>
      <c r="E3143" s="476"/>
      <c r="F3143" s="475"/>
      <c r="G3143" s="476"/>
      <c r="H3143" s="475"/>
      <c r="I3143" s="476"/>
    </row>
    <row r="3144" spans="2:9" x14ac:dyDescent="0.25">
      <c r="B3144" s="476"/>
      <c r="C3144" s="476"/>
      <c r="D3144" s="475"/>
      <c r="E3144" s="476"/>
      <c r="F3144" s="475"/>
      <c r="G3144" s="476"/>
      <c r="H3144" s="475"/>
      <c r="I3144" s="476"/>
    </row>
    <row r="3145" spans="2:9" x14ac:dyDescent="0.25">
      <c r="B3145" s="476"/>
      <c r="C3145" s="476"/>
      <c r="D3145" s="475"/>
      <c r="E3145" s="476"/>
      <c r="F3145" s="475"/>
      <c r="G3145" s="476"/>
      <c r="H3145" s="475"/>
      <c r="I3145" s="476"/>
    </row>
    <row r="3146" spans="2:9" x14ac:dyDescent="0.25">
      <c r="B3146" s="476"/>
      <c r="C3146" s="476"/>
      <c r="D3146" s="475"/>
      <c r="E3146" s="476"/>
      <c r="F3146" s="475"/>
      <c r="G3146" s="476"/>
      <c r="H3146" s="475"/>
      <c r="I3146" s="476"/>
    </row>
    <row r="3147" spans="2:9" x14ac:dyDescent="0.25">
      <c r="B3147" s="476"/>
      <c r="C3147" s="476"/>
      <c r="D3147" s="475"/>
      <c r="E3147" s="476"/>
      <c r="F3147" s="475"/>
      <c r="G3147" s="476"/>
      <c r="H3147" s="475"/>
      <c r="I3147" s="476"/>
    </row>
    <row r="3148" spans="2:9" x14ac:dyDescent="0.25">
      <c r="B3148" s="476"/>
      <c r="C3148" s="476"/>
      <c r="D3148" s="475"/>
      <c r="E3148" s="476"/>
      <c r="F3148" s="475"/>
      <c r="G3148" s="476"/>
      <c r="H3148" s="475"/>
      <c r="I3148" s="476"/>
    </row>
    <row r="3149" spans="2:9" x14ac:dyDescent="0.25">
      <c r="B3149" s="476"/>
      <c r="C3149" s="476"/>
      <c r="D3149" s="475"/>
      <c r="E3149" s="476"/>
      <c r="F3149" s="475"/>
      <c r="G3149" s="476"/>
      <c r="H3149" s="475"/>
      <c r="I3149" s="476"/>
    </row>
    <row r="3150" spans="2:9" x14ac:dyDescent="0.25">
      <c r="B3150" s="476"/>
      <c r="C3150" s="476"/>
      <c r="D3150" s="475"/>
      <c r="E3150" s="476"/>
      <c r="F3150" s="475"/>
      <c r="G3150" s="476"/>
      <c r="H3150" s="475"/>
      <c r="I3150" s="476"/>
    </row>
    <row r="3151" spans="2:9" x14ac:dyDescent="0.25">
      <c r="B3151" s="476"/>
      <c r="C3151" s="476"/>
      <c r="D3151" s="475"/>
      <c r="E3151" s="476"/>
      <c r="F3151" s="475"/>
      <c r="G3151" s="476"/>
      <c r="H3151" s="475"/>
      <c r="I3151" s="476"/>
    </row>
    <row r="3152" spans="2:9" x14ac:dyDescent="0.25">
      <c r="B3152" s="476"/>
      <c r="C3152" s="476"/>
      <c r="D3152" s="475"/>
      <c r="E3152" s="476"/>
      <c r="F3152" s="475"/>
      <c r="G3152" s="476"/>
      <c r="H3152" s="475"/>
      <c r="I3152" s="476"/>
    </row>
    <row r="3153" spans="2:9" x14ac:dyDescent="0.25">
      <c r="B3153" s="476"/>
      <c r="C3153" s="476"/>
      <c r="D3153" s="475"/>
      <c r="E3153" s="476"/>
      <c r="F3153" s="475"/>
      <c r="G3153" s="476"/>
      <c r="H3153" s="475"/>
      <c r="I3153" s="476"/>
    </row>
    <row r="3154" spans="2:9" x14ac:dyDescent="0.25">
      <c r="B3154" s="476"/>
      <c r="C3154" s="476"/>
      <c r="D3154" s="475"/>
      <c r="E3154" s="476"/>
      <c r="F3154" s="475"/>
      <c r="G3154" s="476"/>
      <c r="H3154" s="475"/>
      <c r="I3154" s="476"/>
    </row>
    <row r="3155" spans="2:9" x14ac:dyDescent="0.25">
      <c r="B3155" s="476"/>
      <c r="C3155" s="476"/>
      <c r="D3155" s="475"/>
      <c r="E3155" s="476"/>
      <c r="F3155" s="475"/>
      <c r="G3155" s="476"/>
      <c r="H3155" s="475"/>
      <c r="I3155" s="476"/>
    </row>
    <row r="3156" spans="2:9" x14ac:dyDescent="0.25">
      <c r="B3156" s="476"/>
      <c r="C3156" s="476"/>
      <c r="D3156" s="475"/>
      <c r="E3156" s="476"/>
      <c r="F3156" s="475"/>
      <c r="G3156" s="476"/>
      <c r="H3156" s="475"/>
      <c r="I3156" s="476"/>
    </row>
    <row r="3157" spans="2:9" x14ac:dyDescent="0.25">
      <c r="B3157" s="476"/>
      <c r="C3157" s="476"/>
      <c r="D3157" s="475"/>
      <c r="E3157" s="476"/>
      <c r="F3157" s="475"/>
      <c r="G3157" s="476"/>
      <c r="H3157" s="475"/>
      <c r="I3157" s="476"/>
    </row>
    <row r="3158" spans="2:9" x14ac:dyDescent="0.25">
      <c r="B3158" s="476"/>
      <c r="C3158" s="476"/>
      <c r="D3158" s="475"/>
      <c r="E3158" s="476"/>
      <c r="F3158" s="475"/>
      <c r="G3158" s="476"/>
      <c r="H3158" s="475"/>
      <c r="I3158" s="476"/>
    </row>
    <row r="3159" spans="2:9" x14ac:dyDescent="0.25">
      <c r="B3159" s="476"/>
      <c r="C3159" s="476"/>
      <c r="D3159" s="475"/>
      <c r="E3159" s="476"/>
      <c r="F3159" s="475"/>
      <c r="G3159" s="476"/>
      <c r="H3159" s="475"/>
      <c r="I3159" s="476"/>
    </row>
    <row r="3160" spans="2:9" x14ac:dyDescent="0.25">
      <c r="B3160" s="476"/>
      <c r="C3160" s="476"/>
      <c r="D3160" s="475"/>
      <c r="E3160" s="476"/>
      <c r="F3160" s="475"/>
      <c r="G3160" s="476"/>
      <c r="H3160" s="475"/>
      <c r="I3160" s="476"/>
    </row>
    <row r="3161" spans="2:9" x14ac:dyDescent="0.25">
      <c r="B3161" s="476"/>
      <c r="C3161" s="476"/>
      <c r="D3161" s="475"/>
      <c r="E3161" s="476"/>
      <c r="F3161" s="475"/>
      <c r="G3161" s="476"/>
      <c r="H3161" s="475"/>
      <c r="I3161" s="476"/>
    </row>
    <row r="3162" spans="2:9" x14ac:dyDescent="0.25">
      <c r="B3162" s="476"/>
      <c r="C3162" s="476"/>
      <c r="D3162" s="475"/>
      <c r="E3162" s="476"/>
      <c r="F3162" s="475"/>
      <c r="G3162" s="476"/>
      <c r="H3162" s="475"/>
      <c r="I3162" s="476"/>
    </row>
    <row r="3163" spans="2:9" x14ac:dyDescent="0.25">
      <c r="B3163" s="476"/>
      <c r="C3163" s="476"/>
      <c r="D3163" s="475"/>
      <c r="E3163" s="476"/>
      <c r="F3163" s="475"/>
      <c r="G3163" s="476"/>
      <c r="H3163" s="475"/>
      <c r="I3163" s="476"/>
    </row>
    <row r="3164" spans="2:9" x14ac:dyDescent="0.25">
      <c r="B3164" s="476"/>
      <c r="C3164" s="476"/>
      <c r="D3164" s="475"/>
      <c r="E3164" s="476"/>
      <c r="F3164" s="475"/>
      <c r="G3164" s="476"/>
      <c r="H3164" s="475"/>
      <c r="I3164" s="476"/>
    </row>
    <row r="3165" spans="2:9" x14ac:dyDescent="0.25">
      <c r="B3165" s="476"/>
      <c r="C3165" s="476"/>
      <c r="D3165" s="475"/>
      <c r="E3165" s="476"/>
      <c r="F3165" s="475"/>
      <c r="G3165" s="476"/>
      <c r="H3165" s="475"/>
      <c r="I3165" s="476"/>
    </row>
    <row r="3166" spans="2:9" x14ac:dyDescent="0.25">
      <c r="B3166" s="476"/>
      <c r="C3166" s="476"/>
      <c r="D3166" s="475"/>
      <c r="E3166" s="476"/>
      <c r="F3166" s="475"/>
      <c r="G3166" s="476"/>
      <c r="H3166" s="475"/>
      <c r="I3166" s="476"/>
    </row>
    <row r="3167" spans="2:9" x14ac:dyDescent="0.25">
      <c r="B3167" s="476"/>
      <c r="C3167" s="476"/>
      <c r="D3167" s="475"/>
      <c r="E3167" s="476"/>
      <c r="F3167" s="475"/>
      <c r="G3167" s="476"/>
      <c r="H3167" s="475"/>
      <c r="I3167" s="476"/>
    </row>
    <row r="3168" spans="2:9" x14ac:dyDescent="0.25">
      <c r="B3168" s="476"/>
      <c r="C3168" s="476"/>
      <c r="D3168" s="475"/>
      <c r="E3168" s="476"/>
      <c r="F3168" s="475"/>
      <c r="G3168" s="476"/>
      <c r="H3168" s="475"/>
      <c r="I3168" s="476"/>
    </row>
    <row r="3169" spans="2:9" x14ac:dyDescent="0.25">
      <c r="B3169" s="476"/>
      <c r="C3169" s="476"/>
      <c r="D3169" s="475"/>
      <c r="E3169" s="476"/>
      <c r="F3169" s="475"/>
      <c r="G3169" s="476"/>
      <c r="H3169" s="475"/>
      <c r="I3169" s="476"/>
    </row>
    <row r="3170" spans="2:9" x14ac:dyDescent="0.25">
      <c r="B3170" s="476"/>
      <c r="C3170" s="476"/>
      <c r="D3170" s="475"/>
      <c r="E3170" s="476"/>
      <c r="F3170" s="475"/>
      <c r="G3170" s="476"/>
      <c r="H3170" s="475"/>
      <c r="I3170" s="476"/>
    </row>
    <row r="3171" spans="2:9" x14ac:dyDescent="0.25">
      <c r="B3171" s="476"/>
      <c r="C3171" s="476"/>
      <c r="D3171" s="475"/>
      <c r="E3171" s="476"/>
      <c r="F3171" s="475"/>
      <c r="G3171" s="476"/>
      <c r="H3171" s="475"/>
      <c r="I3171" s="476"/>
    </row>
    <row r="3172" spans="2:9" x14ac:dyDescent="0.25">
      <c r="B3172" s="476"/>
      <c r="C3172" s="476"/>
      <c r="D3172" s="475"/>
      <c r="E3172" s="476"/>
      <c r="F3172" s="475"/>
      <c r="G3172" s="476"/>
      <c r="H3172" s="475"/>
      <c r="I3172" s="476"/>
    </row>
    <row r="3173" spans="2:9" x14ac:dyDescent="0.25">
      <c r="B3173" s="476"/>
      <c r="C3173" s="476"/>
      <c r="D3173" s="475"/>
      <c r="E3173" s="476"/>
      <c r="F3173" s="475"/>
      <c r="G3173" s="476"/>
      <c r="H3173" s="475"/>
      <c r="I3173" s="476"/>
    </row>
    <row r="3174" spans="2:9" x14ac:dyDescent="0.25">
      <c r="B3174" s="476"/>
      <c r="C3174" s="476"/>
      <c r="D3174" s="475"/>
      <c r="E3174" s="476"/>
      <c r="F3174" s="475"/>
      <c r="G3174" s="476"/>
      <c r="H3174" s="475"/>
      <c r="I3174" s="476"/>
    </row>
    <row r="3175" spans="2:9" x14ac:dyDescent="0.25">
      <c r="B3175" s="476"/>
      <c r="C3175" s="476"/>
      <c r="D3175" s="475"/>
      <c r="E3175" s="476"/>
      <c r="F3175" s="475"/>
      <c r="G3175" s="476"/>
      <c r="H3175" s="475"/>
      <c r="I3175" s="476"/>
    </row>
    <row r="3176" spans="2:9" x14ac:dyDescent="0.25">
      <c r="B3176" s="476"/>
      <c r="C3176" s="476"/>
      <c r="D3176" s="475"/>
      <c r="E3176" s="476"/>
      <c r="F3176" s="475"/>
      <c r="G3176" s="476"/>
      <c r="H3176" s="475"/>
      <c r="I3176" s="476"/>
    </row>
    <row r="3177" spans="2:9" x14ac:dyDescent="0.25">
      <c r="B3177" s="476"/>
      <c r="C3177" s="476"/>
      <c r="D3177" s="475"/>
      <c r="E3177" s="476"/>
      <c r="F3177" s="475"/>
      <c r="G3177" s="476"/>
      <c r="H3177" s="475"/>
      <c r="I3177" s="476"/>
    </row>
    <row r="3178" spans="2:9" x14ac:dyDescent="0.25">
      <c r="B3178" s="476"/>
      <c r="C3178" s="476"/>
      <c r="D3178" s="475"/>
      <c r="E3178" s="476"/>
      <c r="F3178" s="475"/>
      <c r="G3178" s="476"/>
      <c r="H3178" s="475"/>
      <c r="I3178" s="476"/>
    </row>
    <row r="3179" spans="2:9" x14ac:dyDescent="0.25">
      <c r="B3179" s="476"/>
      <c r="C3179" s="476"/>
      <c r="D3179" s="475"/>
      <c r="E3179" s="476"/>
      <c r="F3179" s="475"/>
      <c r="G3179" s="476"/>
      <c r="H3179" s="475"/>
      <c r="I3179" s="476"/>
    </row>
    <row r="3180" spans="2:9" x14ac:dyDescent="0.25">
      <c r="B3180" s="476"/>
      <c r="C3180" s="476"/>
      <c r="D3180" s="475"/>
      <c r="E3180" s="476"/>
      <c r="F3180" s="475"/>
      <c r="G3180" s="476"/>
      <c r="H3180" s="475"/>
      <c r="I3180" s="476"/>
    </row>
    <row r="3181" spans="2:9" x14ac:dyDescent="0.25">
      <c r="B3181" s="476"/>
      <c r="C3181" s="476"/>
      <c r="D3181" s="475"/>
      <c r="E3181" s="476"/>
      <c r="F3181" s="475"/>
      <c r="G3181" s="476"/>
      <c r="H3181" s="475"/>
      <c r="I3181" s="476"/>
    </row>
    <row r="3182" spans="2:9" x14ac:dyDescent="0.25">
      <c r="B3182" s="476"/>
      <c r="C3182" s="476"/>
      <c r="D3182" s="475"/>
      <c r="E3182" s="476"/>
      <c r="F3182" s="475"/>
      <c r="G3182" s="476"/>
      <c r="H3182" s="475"/>
      <c r="I3182" s="476"/>
    </row>
    <row r="3183" spans="2:9" x14ac:dyDescent="0.25">
      <c r="B3183" s="476"/>
      <c r="C3183" s="476"/>
      <c r="D3183" s="475"/>
      <c r="E3183" s="476"/>
      <c r="F3183" s="475"/>
      <c r="G3183" s="476"/>
      <c r="H3183" s="475"/>
      <c r="I3183" s="476"/>
    </row>
    <row r="3184" spans="2:9" x14ac:dyDescent="0.25">
      <c r="B3184" s="476"/>
      <c r="C3184" s="476"/>
      <c r="D3184" s="475"/>
      <c r="E3184" s="476"/>
      <c r="F3184" s="475"/>
      <c r="G3184" s="476"/>
      <c r="H3184" s="475"/>
      <c r="I3184" s="476"/>
    </row>
    <row r="3185" spans="2:9" x14ac:dyDescent="0.25">
      <c r="B3185" s="476"/>
      <c r="C3185" s="476"/>
      <c r="D3185" s="475"/>
      <c r="E3185" s="476"/>
      <c r="F3185" s="475"/>
      <c r="G3185" s="476"/>
      <c r="H3185" s="475"/>
      <c r="I3185" s="476"/>
    </row>
    <row r="3186" spans="2:9" x14ac:dyDescent="0.25">
      <c r="B3186" s="476"/>
      <c r="C3186" s="476"/>
      <c r="D3186" s="475"/>
      <c r="E3186" s="476"/>
      <c r="F3186" s="475"/>
      <c r="G3186" s="476"/>
      <c r="H3186" s="475"/>
      <c r="I3186" s="476"/>
    </row>
    <row r="3187" spans="2:9" x14ac:dyDescent="0.25">
      <c r="B3187" s="476"/>
      <c r="C3187" s="476"/>
      <c r="D3187" s="475"/>
      <c r="E3187" s="476"/>
      <c r="F3187" s="475"/>
      <c r="G3187" s="476"/>
      <c r="H3187" s="475"/>
      <c r="I3187" s="476"/>
    </row>
    <row r="3188" spans="2:9" x14ac:dyDescent="0.25">
      <c r="B3188" s="476"/>
      <c r="C3188" s="476"/>
      <c r="D3188" s="475"/>
      <c r="E3188" s="476"/>
      <c r="F3188" s="475"/>
      <c r="G3188" s="476"/>
      <c r="H3188" s="475"/>
      <c r="I3188" s="476"/>
    </row>
    <row r="3189" spans="2:9" x14ac:dyDescent="0.25">
      <c r="B3189" s="476"/>
      <c r="C3189" s="476"/>
      <c r="D3189" s="475"/>
      <c r="E3189" s="476"/>
      <c r="F3189" s="475"/>
      <c r="G3189" s="476"/>
      <c r="H3189" s="475"/>
      <c r="I3189" s="476"/>
    </row>
    <row r="3190" spans="2:9" x14ac:dyDescent="0.25">
      <c r="B3190" s="476"/>
      <c r="C3190" s="476"/>
      <c r="D3190" s="475"/>
      <c r="E3190" s="476"/>
      <c r="F3190" s="475"/>
      <c r="G3190" s="476"/>
      <c r="H3190" s="475"/>
      <c r="I3190" s="476"/>
    </row>
    <row r="3191" spans="2:9" x14ac:dyDescent="0.25">
      <c r="B3191" s="476"/>
      <c r="C3191" s="476"/>
      <c r="D3191" s="475"/>
      <c r="E3191" s="476"/>
      <c r="F3191" s="475"/>
      <c r="G3191" s="476"/>
      <c r="H3191" s="475"/>
      <c r="I3191" s="476"/>
    </row>
    <row r="3192" spans="2:9" x14ac:dyDescent="0.25">
      <c r="B3192" s="476"/>
      <c r="C3192" s="476"/>
      <c r="D3192" s="475"/>
      <c r="E3192" s="476"/>
      <c r="F3192" s="475"/>
      <c r="G3192" s="476"/>
      <c r="H3192" s="475"/>
      <c r="I3192" s="476"/>
    </row>
    <row r="3193" spans="2:9" x14ac:dyDescent="0.25">
      <c r="B3193" s="476"/>
      <c r="C3193" s="476"/>
      <c r="D3193" s="475"/>
      <c r="E3193" s="476"/>
      <c r="F3193" s="475"/>
      <c r="G3193" s="476"/>
      <c r="H3193" s="475"/>
      <c r="I3193" s="476"/>
    </row>
    <row r="3194" spans="2:9" x14ac:dyDescent="0.25">
      <c r="B3194" s="476"/>
      <c r="C3194" s="476"/>
      <c r="D3194" s="475"/>
      <c r="E3194" s="476"/>
      <c r="F3194" s="475"/>
      <c r="G3194" s="476"/>
      <c r="H3194" s="475"/>
      <c r="I3194" s="476"/>
    </row>
    <row r="3195" spans="2:9" x14ac:dyDescent="0.25">
      <c r="B3195" s="476"/>
      <c r="C3195" s="476"/>
      <c r="D3195" s="475"/>
      <c r="E3195" s="476"/>
      <c r="F3195" s="475"/>
      <c r="G3195" s="476"/>
      <c r="H3195" s="475"/>
      <c r="I3195" s="476"/>
    </row>
    <row r="3196" spans="2:9" x14ac:dyDescent="0.25">
      <c r="B3196" s="476"/>
      <c r="C3196" s="476"/>
      <c r="D3196" s="475"/>
      <c r="E3196" s="476"/>
      <c r="F3196" s="475"/>
      <c r="G3196" s="476"/>
      <c r="H3196" s="475"/>
      <c r="I3196" s="476"/>
    </row>
    <row r="3197" spans="2:9" x14ac:dyDescent="0.25">
      <c r="B3197" s="476"/>
      <c r="C3197" s="476"/>
      <c r="D3197" s="475"/>
      <c r="E3197" s="476"/>
      <c r="F3197" s="475"/>
      <c r="G3197" s="476"/>
      <c r="H3197" s="475"/>
      <c r="I3197" s="476"/>
    </row>
    <row r="3198" spans="2:9" x14ac:dyDescent="0.25">
      <c r="B3198" s="476"/>
      <c r="C3198" s="476"/>
      <c r="D3198" s="475"/>
      <c r="E3198" s="476"/>
      <c r="F3198" s="475"/>
      <c r="G3198" s="476"/>
      <c r="H3198" s="475"/>
      <c r="I3198" s="476"/>
    </row>
    <row r="3199" spans="2:9" x14ac:dyDescent="0.25">
      <c r="B3199" s="476"/>
      <c r="C3199" s="476"/>
      <c r="D3199" s="475"/>
      <c r="E3199" s="476"/>
      <c r="F3199" s="475"/>
      <c r="G3199" s="476"/>
      <c r="H3199" s="475"/>
      <c r="I3199" s="476"/>
    </row>
    <row r="3200" spans="2:9" x14ac:dyDescent="0.25">
      <c r="B3200" s="476"/>
      <c r="C3200" s="476"/>
      <c r="D3200" s="475"/>
      <c r="E3200" s="476"/>
      <c r="F3200" s="475"/>
      <c r="G3200" s="476"/>
      <c r="H3200" s="475"/>
      <c r="I3200" s="476"/>
    </row>
    <row r="3201" spans="2:9" x14ac:dyDescent="0.25">
      <c r="B3201" s="476"/>
      <c r="C3201" s="476"/>
      <c r="D3201" s="475"/>
      <c r="E3201" s="476"/>
      <c r="F3201" s="475"/>
      <c r="G3201" s="476"/>
      <c r="H3201" s="475"/>
      <c r="I3201" s="476"/>
    </row>
    <row r="3202" spans="2:9" x14ac:dyDescent="0.25">
      <c r="B3202" s="476"/>
      <c r="C3202" s="476"/>
      <c r="D3202" s="475"/>
      <c r="E3202" s="476"/>
      <c r="F3202" s="475"/>
      <c r="G3202" s="476"/>
      <c r="H3202" s="475"/>
      <c r="I3202" s="476"/>
    </row>
    <row r="3203" spans="2:9" x14ac:dyDescent="0.25">
      <c r="B3203" s="476"/>
      <c r="C3203" s="476"/>
      <c r="D3203" s="475"/>
      <c r="E3203" s="476"/>
      <c r="F3203" s="475"/>
      <c r="G3203" s="476"/>
      <c r="H3203" s="475"/>
      <c r="I3203" s="476"/>
    </row>
    <row r="3204" spans="2:9" x14ac:dyDescent="0.25">
      <c r="B3204" s="476"/>
      <c r="C3204" s="476"/>
      <c r="D3204" s="475"/>
      <c r="E3204" s="476"/>
      <c r="F3204" s="475"/>
      <c r="G3204" s="476"/>
      <c r="H3204" s="475"/>
      <c r="I3204" s="476"/>
    </row>
    <row r="3205" spans="2:9" x14ac:dyDescent="0.25">
      <c r="B3205" s="476"/>
      <c r="C3205" s="476"/>
      <c r="D3205" s="475"/>
      <c r="E3205" s="476"/>
      <c r="F3205" s="475"/>
      <c r="G3205" s="476"/>
      <c r="H3205" s="475"/>
      <c r="I3205" s="476"/>
    </row>
    <row r="3206" spans="2:9" x14ac:dyDescent="0.25">
      <c r="B3206" s="476"/>
      <c r="C3206" s="476"/>
      <c r="D3206" s="475"/>
      <c r="E3206" s="476"/>
      <c r="F3206" s="475"/>
      <c r="G3206" s="476"/>
      <c r="H3206" s="475"/>
      <c r="I3206" s="476"/>
    </row>
    <row r="3207" spans="2:9" x14ac:dyDescent="0.25">
      <c r="B3207" s="476"/>
      <c r="C3207" s="476"/>
      <c r="D3207" s="475"/>
      <c r="E3207" s="476"/>
      <c r="F3207" s="475"/>
      <c r="G3207" s="476"/>
      <c r="H3207" s="475"/>
      <c r="I3207" s="476"/>
    </row>
    <row r="3208" spans="2:9" x14ac:dyDescent="0.25">
      <c r="B3208" s="476"/>
      <c r="C3208" s="476"/>
      <c r="D3208" s="475"/>
      <c r="E3208" s="476"/>
      <c r="F3208" s="475"/>
      <c r="G3208" s="476"/>
      <c r="H3208" s="475"/>
      <c r="I3208" s="476"/>
    </row>
    <row r="3209" spans="2:9" x14ac:dyDescent="0.25">
      <c r="B3209" s="476"/>
      <c r="C3209" s="476"/>
      <c r="D3209" s="475"/>
      <c r="E3209" s="476"/>
      <c r="F3209" s="475"/>
      <c r="G3209" s="476"/>
      <c r="H3209" s="475"/>
      <c r="I3209" s="476"/>
    </row>
    <row r="3210" spans="2:9" x14ac:dyDescent="0.25">
      <c r="B3210" s="476"/>
      <c r="C3210" s="476"/>
      <c r="D3210" s="475"/>
      <c r="E3210" s="476"/>
      <c r="F3210" s="475"/>
      <c r="G3210" s="476"/>
      <c r="H3210" s="475"/>
      <c r="I3210" s="476"/>
    </row>
    <row r="3211" spans="2:9" x14ac:dyDescent="0.25">
      <c r="B3211" s="476"/>
      <c r="C3211" s="476"/>
      <c r="D3211" s="475"/>
      <c r="E3211" s="476"/>
      <c r="F3211" s="475"/>
      <c r="G3211" s="476"/>
      <c r="H3211" s="475"/>
      <c r="I3211" s="476"/>
    </row>
    <row r="3212" spans="2:9" x14ac:dyDescent="0.25">
      <c r="B3212" s="476"/>
      <c r="C3212" s="476"/>
      <c r="D3212" s="475"/>
      <c r="E3212" s="476"/>
      <c r="F3212" s="475"/>
      <c r="G3212" s="476"/>
      <c r="H3212" s="475"/>
      <c r="I3212" s="476"/>
    </row>
    <row r="3213" spans="2:9" x14ac:dyDescent="0.25">
      <c r="B3213" s="476"/>
      <c r="C3213" s="476"/>
      <c r="D3213" s="475"/>
      <c r="E3213" s="476"/>
      <c r="F3213" s="475"/>
      <c r="G3213" s="476"/>
      <c r="H3213" s="475"/>
      <c r="I3213" s="476"/>
    </row>
    <row r="3214" spans="2:9" x14ac:dyDescent="0.25">
      <c r="B3214" s="476"/>
      <c r="C3214" s="476"/>
      <c r="D3214" s="475"/>
      <c r="E3214" s="476"/>
      <c r="F3214" s="475"/>
      <c r="G3214" s="476"/>
      <c r="H3214" s="475"/>
      <c r="I3214" s="476"/>
    </row>
    <row r="3215" spans="2:9" x14ac:dyDescent="0.25">
      <c r="B3215" s="476"/>
      <c r="C3215" s="476"/>
      <c r="D3215" s="475"/>
      <c r="E3215" s="476"/>
      <c r="F3215" s="475"/>
      <c r="G3215" s="476"/>
      <c r="H3215" s="475"/>
      <c r="I3215" s="476"/>
    </row>
    <row r="3216" spans="2:9" x14ac:dyDescent="0.25">
      <c r="B3216" s="476"/>
      <c r="C3216" s="476"/>
      <c r="D3216" s="475"/>
      <c r="E3216" s="476"/>
      <c r="F3216" s="475"/>
      <c r="G3216" s="476"/>
      <c r="H3216" s="475"/>
      <c r="I3216" s="476"/>
    </row>
    <row r="3217" spans="2:9" x14ac:dyDescent="0.25">
      <c r="B3217" s="476"/>
      <c r="C3217" s="476"/>
      <c r="D3217" s="475"/>
      <c r="E3217" s="476"/>
      <c r="F3217" s="475"/>
      <c r="G3217" s="476"/>
      <c r="H3217" s="475"/>
      <c r="I3217" s="476"/>
    </row>
    <row r="3218" spans="2:9" x14ac:dyDescent="0.25">
      <c r="B3218" s="476"/>
      <c r="C3218" s="476"/>
      <c r="D3218" s="475"/>
      <c r="E3218" s="476"/>
      <c r="F3218" s="475"/>
      <c r="G3218" s="476"/>
      <c r="H3218" s="475"/>
      <c r="I3218" s="476"/>
    </row>
    <row r="3219" spans="2:9" x14ac:dyDescent="0.25">
      <c r="B3219" s="476"/>
      <c r="C3219" s="476"/>
      <c r="D3219" s="475"/>
      <c r="E3219" s="476"/>
      <c r="F3219" s="475"/>
      <c r="G3219" s="476"/>
      <c r="H3219" s="475"/>
      <c r="I3219" s="476"/>
    </row>
    <row r="3220" spans="2:9" x14ac:dyDescent="0.25">
      <c r="B3220" s="476"/>
      <c r="C3220" s="476"/>
      <c r="D3220" s="475"/>
      <c r="E3220" s="476"/>
      <c r="F3220" s="475"/>
      <c r="G3220" s="476"/>
      <c r="H3220" s="475"/>
      <c r="I3220" s="476"/>
    </row>
    <row r="3221" spans="2:9" x14ac:dyDescent="0.25">
      <c r="B3221" s="476"/>
      <c r="C3221" s="476"/>
      <c r="D3221" s="475"/>
      <c r="E3221" s="476"/>
      <c r="F3221" s="475"/>
      <c r="G3221" s="476"/>
      <c r="H3221" s="475"/>
      <c r="I3221" s="476"/>
    </row>
    <row r="3222" spans="2:9" x14ac:dyDescent="0.25">
      <c r="B3222" s="476"/>
      <c r="C3222" s="476"/>
      <c r="D3222" s="475"/>
      <c r="E3222" s="476"/>
      <c r="F3222" s="475"/>
      <c r="G3222" s="476"/>
      <c r="H3222" s="475"/>
      <c r="I3222" s="476"/>
    </row>
    <row r="3223" spans="2:9" x14ac:dyDescent="0.25">
      <c r="B3223" s="476"/>
      <c r="C3223" s="476"/>
      <c r="D3223" s="475"/>
      <c r="E3223" s="476"/>
      <c r="F3223" s="475"/>
      <c r="G3223" s="476"/>
      <c r="H3223" s="475"/>
      <c r="I3223" s="476"/>
    </row>
    <row r="3224" spans="2:9" x14ac:dyDescent="0.25">
      <c r="B3224" s="476"/>
      <c r="C3224" s="476"/>
      <c r="D3224" s="475"/>
      <c r="E3224" s="476"/>
      <c r="F3224" s="475"/>
      <c r="G3224" s="476"/>
      <c r="H3224" s="475"/>
      <c r="I3224" s="476"/>
    </row>
    <row r="3225" spans="2:9" x14ac:dyDescent="0.25">
      <c r="B3225" s="476"/>
      <c r="C3225" s="476"/>
      <c r="D3225" s="475"/>
      <c r="E3225" s="476"/>
      <c r="F3225" s="475"/>
      <c r="G3225" s="476"/>
      <c r="H3225" s="475"/>
      <c r="I3225" s="476"/>
    </row>
    <row r="3226" spans="2:9" x14ac:dyDescent="0.25">
      <c r="B3226" s="476"/>
      <c r="C3226" s="476"/>
      <c r="D3226" s="475"/>
      <c r="E3226" s="476"/>
      <c r="F3226" s="475"/>
      <c r="G3226" s="476"/>
      <c r="H3226" s="475"/>
      <c r="I3226" s="476"/>
    </row>
    <row r="3227" spans="2:9" x14ac:dyDescent="0.25">
      <c r="B3227" s="476"/>
      <c r="C3227" s="476"/>
      <c r="D3227" s="475"/>
      <c r="E3227" s="476"/>
      <c r="F3227" s="475"/>
      <c r="G3227" s="476"/>
      <c r="H3227" s="475"/>
      <c r="I3227" s="476"/>
    </row>
    <row r="3228" spans="2:9" x14ac:dyDescent="0.25">
      <c r="B3228" s="476"/>
      <c r="C3228" s="476"/>
      <c r="D3228" s="475"/>
      <c r="E3228" s="476"/>
      <c r="F3228" s="475"/>
      <c r="G3228" s="476"/>
      <c r="H3228" s="475"/>
      <c r="I3228" s="476"/>
    </row>
    <row r="3229" spans="2:9" x14ac:dyDescent="0.25">
      <c r="B3229" s="476"/>
      <c r="C3229" s="476"/>
      <c r="D3229" s="475"/>
      <c r="E3229" s="476"/>
      <c r="F3229" s="475"/>
      <c r="G3229" s="476"/>
      <c r="H3229" s="475"/>
      <c r="I3229" s="476"/>
    </row>
    <row r="3230" spans="2:9" x14ac:dyDescent="0.25">
      <c r="B3230" s="476"/>
      <c r="C3230" s="476"/>
      <c r="D3230" s="475"/>
      <c r="E3230" s="476"/>
      <c r="F3230" s="475"/>
      <c r="G3230" s="476"/>
      <c r="H3230" s="475"/>
      <c r="I3230" s="476"/>
    </row>
    <row r="3231" spans="2:9" x14ac:dyDescent="0.25">
      <c r="B3231" s="476"/>
      <c r="C3231" s="476"/>
      <c r="D3231" s="475"/>
      <c r="E3231" s="476"/>
      <c r="F3231" s="475"/>
      <c r="G3231" s="476"/>
      <c r="H3231" s="475"/>
      <c r="I3231" s="476"/>
    </row>
    <row r="3232" spans="2:9" x14ac:dyDescent="0.25">
      <c r="B3232" s="476"/>
      <c r="C3232" s="476"/>
      <c r="D3232" s="475"/>
      <c r="E3232" s="476"/>
      <c r="F3232" s="475"/>
      <c r="G3232" s="476"/>
      <c r="H3232" s="475"/>
      <c r="I3232" s="476"/>
    </row>
    <row r="3233" spans="2:9" x14ac:dyDescent="0.25">
      <c r="B3233" s="476"/>
      <c r="C3233" s="476"/>
      <c r="D3233" s="475"/>
      <c r="E3233" s="476"/>
      <c r="F3233" s="475"/>
      <c r="G3233" s="476"/>
      <c r="H3233" s="475"/>
      <c r="I3233" s="476"/>
    </row>
    <row r="3234" spans="2:9" x14ac:dyDescent="0.25">
      <c r="B3234" s="476"/>
      <c r="C3234" s="476"/>
      <c r="D3234" s="475"/>
      <c r="E3234" s="476"/>
      <c r="F3234" s="475"/>
      <c r="G3234" s="476"/>
      <c r="H3234" s="475"/>
      <c r="I3234" s="476"/>
    </row>
    <row r="3235" spans="2:9" x14ac:dyDescent="0.25">
      <c r="B3235" s="476"/>
      <c r="C3235" s="476"/>
      <c r="D3235" s="475"/>
      <c r="E3235" s="476"/>
      <c r="F3235" s="475"/>
      <c r="G3235" s="476"/>
      <c r="H3235" s="475"/>
      <c r="I3235" s="476"/>
    </row>
    <row r="3236" spans="2:9" x14ac:dyDescent="0.25">
      <c r="B3236" s="476"/>
      <c r="C3236" s="476"/>
      <c r="D3236" s="475"/>
      <c r="E3236" s="476"/>
      <c r="F3236" s="475"/>
      <c r="G3236" s="476"/>
      <c r="H3236" s="475"/>
      <c r="I3236" s="476"/>
    </row>
    <row r="3237" spans="2:9" x14ac:dyDescent="0.25">
      <c r="B3237" s="476"/>
      <c r="C3237" s="476"/>
      <c r="D3237" s="475"/>
      <c r="E3237" s="476"/>
      <c r="F3237" s="475"/>
      <c r="G3237" s="476"/>
      <c r="H3237" s="475"/>
      <c r="I3237" s="476"/>
    </row>
    <row r="3238" spans="2:9" x14ac:dyDescent="0.25">
      <c r="B3238" s="476"/>
      <c r="C3238" s="476"/>
      <c r="D3238" s="475"/>
      <c r="E3238" s="476"/>
      <c r="F3238" s="475"/>
      <c r="G3238" s="476"/>
      <c r="H3238" s="475"/>
      <c r="I3238" s="476"/>
    </row>
    <row r="3239" spans="2:9" x14ac:dyDescent="0.25">
      <c r="B3239" s="476"/>
      <c r="C3239" s="476"/>
      <c r="D3239" s="475"/>
      <c r="E3239" s="476"/>
      <c r="F3239" s="475"/>
      <c r="G3239" s="476"/>
      <c r="H3239" s="475"/>
      <c r="I3239" s="476"/>
    </row>
    <row r="3240" spans="2:9" x14ac:dyDescent="0.25">
      <c r="B3240" s="476"/>
      <c r="C3240" s="476"/>
      <c r="D3240" s="475"/>
      <c r="E3240" s="476"/>
      <c r="F3240" s="475"/>
      <c r="G3240" s="476"/>
      <c r="H3240" s="475"/>
      <c r="I3240" s="476"/>
    </row>
    <row r="3241" spans="2:9" x14ac:dyDescent="0.25">
      <c r="B3241" s="476"/>
      <c r="C3241" s="476"/>
      <c r="D3241" s="475"/>
      <c r="E3241" s="476"/>
      <c r="F3241" s="475"/>
      <c r="G3241" s="476"/>
      <c r="H3241" s="475"/>
      <c r="I3241" s="476"/>
    </row>
    <row r="3242" spans="2:9" x14ac:dyDescent="0.25">
      <c r="B3242" s="476"/>
      <c r="C3242" s="476"/>
      <c r="D3242" s="475"/>
      <c r="E3242" s="476"/>
      <c r="F3242" s="475"/>
      <c r="G3242" s="476"/>
      <c r="H3242" s="475"/>
      <c r="I3242" s="476"/>
    </row>
    <row r="3243" spans="2:9" x14ac:dyDescent="0.25">
      <c r="B3243" s="476"/>
      <c r="C3243" s="476"/>
      <c r="D3243" s="475"/>
      <c r="E3243" s="476"/>
      <c r="F3243" s="475"/>
      <c r="G3243" s="476"/>
      <c r="H3243" s="475"/>
      <c r="I3243" s="476"/>
    </row>
    <row r="3244" spans="2:9" x14ac:dyDescent="0.25">
      <c r="B3244" s="476"/>
      <c r="C3244" s="476"/>
      <c r="D3244" s="475"/>
      <c r="E3244" s="476"/>
      <c r="F3244" s="475"/>
      <c r="G3244" s="476"/>
      <c r="H3244" s="475"/>
      <c r="I3244" s="476"/>
    </row>
    <row r="3245" spans="2:9" x14ac:dyDescent="0.25">
      <c r="B3245" s="476"/>
      <c r="C3245" s="476"/>
      <c r="D3245" s="475"/>
      <c r="E3245" s="476"/>
      <c r="F3245" s="475"/>
      <c r="G3245" s="476"/>
      <c r="H3245" s="475"/>
      <c r="I3245" s="476"/>
    </row>
    <row r="3246" spans="2:9" x14ac:dyDescent="0.25">
      <c r="B3246" s="476"/>
      <c r="C3246" s="476"/>
      <c r="D3246" s="475"/>
      <c r="E3246" s="476"/>
      <c r="F3246" s="475"/>
      <c r="G3246" s="476"/>
      <c r="H3246" s="475"/>
      <c r="I3246" s="476"/>
    </row>
    <row r="3247" spans="2:9" x14ac:dyDescent="0.25">
      <c r="B3247" s="476"/>
      <c r="C3247" s="476"/>
      <c r="D3247" s="475"/>
      <c r="E3247" s="476"/>
      <c r="F3247" s="475"/>
      <c r="G3247" s="476"/>
      <c r="H3247" s="475"/>
      <c r="I3247" s="476"/>
    </row>
    <row r="3248" spans="2:9" x14ac:dyDescent="0.25">
      <c r="B3248" s="476"/>
      <c r="C3248" s="476"/>
      <c r="D3248" s="475"/>
      <c r="E3248" s="476"/>
      <c r="F3248" s="475"/>
      <c r="G3248" s="476"/>
      <c r="H3248" s="475"/>
      <c r="I3248" s="476"/>
    </row>
    <row r="3249" spans="2:9" x14ac:dyDescent="0.25">
      <c r="B3249" s="476"/>
      <c r="C3249" s="476"/>
      <c r="D3249" s="475"/>
      <c r="E3249" s="476"/>
      <c r="F3249" s="475"/>
      <c r="G3249" s="476"/>
      <c r="H3249" s="475"/>
      <c r="I3249" s="476"/>
    </row>
    <row r="3250" spans="2:9" x14ac:dyDescent="0.25">
      <c r="B3250" s="476"/>
      <c r="C3250" s="476"/>
      <c r="D3250" s="475"/>
      <c r="E3250" s="476"/>
      <c r="F3250" s="475"/>
      <c r="G3250" s="476"/>
      <c r="H3250" s="475"/>
      <c r="I3250" s="476"/>
    </row>
    <row r="3251" spans="2:9" x14ac:dyDescent="0.25">
      <c r="B3251" s="476"/>
      <c r="C3251" s="476"/>
      <c r="D3251" s="475"/>
      <c r="E3251" s="476"/>
      <c r="F3251" s="475"/>
      <c r="G3251" s="476"/>
      <c r="H3251" s="475"/>
      <c r="I3251" s="476"/>
    </row>
    <row r="3252" spans="2:9" x14ac:dyDescent="0.25">
      <c r="B3252" s="476"/>
      <c r="C3252" s="476"/>
      <c r="D3252" s="475"/>
      <c r="E3252" s="476"/>
      <c r="F3252" s="475"/>
      <c r="G3252" s="476"/>
      <c r="H3252" s="475"/>
      <c r="I3252" s="476"/>
    </row>
    <row r="3253" spans="2:9" x14ac:dyDescent="0.25">
      <c r="B3253" s="476"/>
      <c r="C3253" s="476"/>
      <c r="D3253" s="475"/>
      <c r="E3253" s="476"/>
      <c r="F3253" s="475"/>
      <c r="G3253" s="476"/>
      <c r="H3253" s="475"/>
      <c r="I3253" s="476"/>
    </row>
    <row r="3254" spans="2:9" x14ac:dyDescent="0.25">
      <c r="B3254" s="476"/>
      <c r="C3254" s="476"/>
      <c r="D3254" s="475"/>
      <c r="E3254" s="476"/>
      <c r="F3254" s="475"/>
      <c r="G3254" s="476"/>
      <c r="H3254" s="475"/>
      <c r="I3254" s="476"/>
    </row>
    <row r="3255" spans="2:9" x14ac:dyDescent="0.25">
      <c r="B3255" s="476"/>
      <c r="C3255" s="476"/>
      <c r="D3255" s="475"/>
      <c r="E3255" s="476"/>
      <c r="F3255" s="475"/>
      <c r="G3255" s="476"/>
      <c r="H3255" s="475"/>
      <c r="I3255" s="476"/>
    </row>
    <row r="3256" spans="2:9" x14ac:dyDescent="0.25">
      <c r="B3256" s="476"/>
      <c r="C3256" s="476"/>
      <c r="D3256" s="475"/>
      <c r="E3256" s="476"/>
      <c r="F3256" s="475"/>
      <c r="G3256" s="476"/>
      <c r="H3256" s="475"/>
      <c r="I3256" s="476"/>
    </row>
    <row r="3257" spans="2:9" x14ac:dyDescent="0.25">
      <c r="B3257" s="476"/>
      <c r="C3257" s="476"/>
      <c r="D3257" s="475"/>
      <c r="E3257" s="476"/>
      <c r="F3257" s="475"/>
      <c r="G3257" s="476"/>
      <c r="H3257" s="475"/>
      <c r="I3257" s="476"/>
    </row>
    <row r="3258" spans="2:9" x14ac:dyDescent="0.25">
      <c r="B3258" s="476"/>
      <c r="C3258" s="476"/>
      <c r="D3258" s="475"/>
      <c r="E3258" s="476"/>
      <c r="F3258" s="475"/>
      <c r="G3258" s="476"/>
      <c r="H3258" s="475"/>
      <c r="I3258" s="476"/>
    </row>
    <row r="3259" spans="2:9" x14ac:dyDescent="0.25">
      <c r="B3259" s="476"/>
      <c r="C3259" s="476"/>
      <c r="D3259" s="475"/>
      <c r="E3259" s="476"/>
      <c r="F3259" s="475"/>
      <c r="G3259" s="476"/>
      <c r="H3259" s="475"/>
      <c r="I3259" s="476"/>
    </row>
    <row r="3260" spans="2:9" x14ac:dyDescent="0.25">
      <c r="B3260" s="476"/>
      <c r="C3260" s="476"/>
      <c r="D3260" s="475"/>
      <c r="E3260" s="476"/>
      <c r="F3260" s="475"/>
      <c r="G3260" s="476"/>
      <c r="H3260" s="475"/>
      <c r="I3260" s="476"/>
    </row>
    <row r="3261" spans="2:9" x14ac:dyDescent="0.25">
      <c r="B3261" s="476"/>
      <c r="C3261" s="476"/>
      <c r="D3261" s="475"/>
      <c r="E3261" s="476"/>
      <c r="F3261" s="475"/>
      <c r="G3261" s="476"/>
      <c r="H3261" s="475"/>
      <c r="I3261" s="476"/>
    </row>
    <row r="3262" spans="2:9" x14ac:dyDescent="0.25">
      <c r="B3262" s="476"/>
      <c r="C3262" s="476"/>
      <c r="D3262" s="475"/>
      <c r="E3262" s="476"/>
      <c r="F3262" s="475"/>
      <c r="G3262" s="476"/>
      <c r="H3262" s="475"/>
      <c r="I3262" s="476"/>
    </row>
    <row r="3263" spans="2:9" x14ac:dyDescent="0.25">
      <c r="B3263" s="476"/>
      <c r="C3263" s="476"/>
      <c r="D3263" s="475"/>
      <c r="E3263" s="476"/>
      <c r="F3263" s="475"/>
      <c r="G3263" s="476"/>
      <c r="H3263" s="475"/>
      <c r="I3263" s="476"/>
    </row>
    <row r="3264" spans="2:9" x14ac:dyDescent="0.25">
      <c r="B3264" s="476"/>
      <c r="C3264" s="476"/>
      <c r="D3264" s="475"/>
      <c r="E3264" s="476"/>
      <c r="F3264" s="475"/>
      <c r="G3264" s="476"/>
      <c r="H3264" s="475"/>
      <c r="I3264" s="476"/>
    </row>
    <row r="3265" spans="2:9" x14ac:dyDescent="0.25">
      <c r="B3265" s="476"/>
      <c r="C3265" s="476"/>
      <c r="D3265" s="475"/>
      <c r="E3265" s="476"/>
      <c r="F3265" s="475"/>
      <c r="G3265" s="476"/>
      <c r="H3265" s="475"/>
      <c r="I3265" s="476"/>
    </row>
    <row r="3266" spans="2:9" x14ac:dyDescent="0.25">
      <c r="B3266" s="476"/>
      <c r="C3266" s="476"/>
      <c r="D3266" s="475"/>
      <c r="E3266" s="476"/>
      <c r="F3266" s="475"/>
      <c r="G3266" s="476"/>
      <c r="H3266" s="475"/>
      <c r="I3266" s="476"/>
    </row>
    <row r="3267" spans="2:9" x14ac:dyDescent="0.25">
      <c r="B3267" s="476"/>
      <c r="C3267" s="476"/>
      <c r="D3267" s="475"/>
      <c r="E3267" s="476"/>
      <c r="F3267" s="475"/>
      <c r="G3267" s="476"/>
      <c r="H3267" s="475"/>
      <c r="I3267" s="476"/>
    </row>
    <row r="3268" spans="2:9" x14ac:dyDescent="0.25">
      <c r="B3268" s="476"/>
      <c r="C3268" s="476"/>
      <c r="D3268" s="475"/>
      <c r="E3268" s="476"/>
      <c r="F3268" s="475"/>
      <c r="G3268" s="476"/>
      <c r="H3268" s="475"/>
      <c r="I3268" s="476"/>
    </row>
    <row r="3269" spans="2:9" x14ac:dyDescent="0.25">
      <c r="B3269" s="476"/>
      <c r="C3269" s="476"/>
      <c r="D3269" s="475"/>
      <c r="E3269" s="476"/>
      <c r="F3269" s="475"/>
      <c r="G3269" s="476"/>
      <c r="H3269" s="475"/>
      <c r="I3269" s="476"/>
    </row>
    <row r="3270" spans="2:9" x14ac:dyDescent="0.25">
      <c r="B3270" s="476"/>
      <c r="C3270" s="476"/>
      <c r="D3270" s="475"/>
      <c r="E3270" s="476"/>
      <c r="F3270" s="475"/>
      <c r="G3270" s="476"/>
      <c r="H3270" s="475"/>
      <c r="I3270" s="476"/>
    </row>
    <row r="3271" spans="2:9" x14ac:dyDescent="0.25">
      <c r="B3271" s="476"/>
      <c r="C3271" s="476"/>
      <c r="D3271" s="475"/>
      <c r="E3271" s="476"/>
      <c r="F3271" s="475"/>
      <c r="G3271" s="476"/>
      <c r="H3271" s="475"/>
      <c r="I3271" s="476"/>
    </row>
    <row r="3272" spans="2:9" x14ac:dyDescent="0.25">
      <c r="B3272" s="476"/>
      <c r="C3272" s="476"/>
      <c r="D3272" s="475"/>
      <c r="E3272" s="476"/>
      <c r="F3272" s="475"/>
      <c r="G3272" s="476"/>
      <c r="H3272" s="475"/>
      <c r="I3272" s="476"/>
    </row>
    <row r="3273" spans="2:9" x14ac:dyDescent="0.25">
      <c r="B3273" s="476"/>
      <c r="C3273" s="476"/>
      <c r="D3273" s="475"/>
      <c r="E3273" s="476"/>
      <c r="F3273" s="475"/>
      <c r="G3273" s="476"/>
      <c r="H3273" s="475"/>
      <c r="I3273" s="476"/>
    </row>
    <row r="3274" spans="2:9" x14ac:dyDescent="0.25">
      <c r="B3274" s="476"/>
      <c r="C3274" s="476"/>
      <c r="D3274" s="475"/>
      <c r="E3274" s="476"/>
      <c r="F3274" s="475"/>
      <c r="G3274" s="476"/>
      <c r="H3274" s="475"/>
      <c r="I3274" s="476"/>
    </row>
    <row r="3275" spans="2:9" x14ac:dyDescent="0.25">
      <c r="B3275" s="476"/>
      <c r="C3275" s="476"/>
      <c r="D3275" s="475"/>
      <c r="E3275" s="476"/>
      <c r="F3275" s="475"/>
      <c r="G3275" s="476"/>
      <c r="H3275" s="475"/>
      <c r="I3275" s="476"/>
    </row>
    <row r="3276" spans="2:9" x14ac:dyDescent="0.25">
      <c r="B3276" s="476"/>
      <c r="C3276" s="476"/>
      <c r="D3276" s="475"/>
      <c r="E3276" s="476"/>
      <c r="F3276" s="475"/>
      <c r="G3276" s="476"/>
      <c r="H3276" s="475"/>
      <c r="I3276" s="476"/>
    </row>
    <row r="3277" spans="2:9" x14ac:dyDescent="0.25">
      <c r="B3277" s="476"/>
      <c r="C3277" s="476"/>
      <c r="D3277" s="475"/>
      <c r="E3277" s="476"/>
      <c r="F3277" s="475"/>
      <c r="G3277" s="476"/>
      <c r="H3277" s="475"/>
      <c r="I3277" s="476"/>
    </row>
    <row r="3278" spans="2:9" x14ac:dyDescent="0.25">
      <c r="B3278" s="476"/>
      <c r="C3278" s="476"/>
      <c r="D3278" s="475"/>
      <c r="E3278" s="476"/>
      <c r="F3278" s="475"/>
      <c r="G3278" s="476"/>
      <c r="H3278" s="475"/>
      <c r="I3278" s="476"/>
    </row>
    <row r="3279" spans="2:9" x14ac:dyDescent="0.25">
      <c r="B3279" s="476"/>
      <c r="C3279" s="476"/>
      <c r="D3279" s="475"/>
      <c r="E3279" s="476"/>
      <c r="F3279" s="475"/>
      <c r="G3279" s="476"/>
      <c r="H3279" s="475"/>
      <c r="I3279" s="476"/>
    </row>
    <row r="3280" spans="2:9" x14ac:dyDescent="0.25">
      <c r="B3280" s="476"/>
      <c r="C3280" s="476"/>
      <c r="D3280" s="475"/>
      <c r="E3280" s="476"/>
      <c r="F3280" s="475"/>
      <c r="G3280" s="476"/>
      <c r="H3280" s="475"/>
      <c r="I3280" s="476"/>
    </row>
    <row r="3281" spans="2:9" x14ac:dyDescent="0.25">
      <c r="B3281" s="476"/>
      <c r="C3281" s="476"/>
      <c r="D3281" s="475"/>
      <c r="E3281" s="476"/>
      <c r="F3281" s="475"/>
      <c r="G3281" s="476"/>
      <c r="H3281" s="475"/>
      <c r="I3281" s="476"/>
    </row>
    <row r="3282" spans="2:9" x14ac:dyDescent="0.25">
      <c r="B3282" s="476"/>
      <c r="C3282" s="476"/>
      <c r="D3282" s="475"/>
      <c r="E3282" s="476"/>
      <c r="F3282" s="475"/>
      <c r="G3282" s="476"/>
      <c r="H3282" s="475"/>
      <c r="I3282" s="476"/>
    </row>
    <row r="3283" spans="2:9" x14ac:dyDescent="0.25">
      <c r="B3283" s="476"/>
      <c r="C3283" s="476"/>
      <c r="D3283" s="475"/>
      <c r="E3283" s="476"/>
      <c r="F3283" s="475"/>
      <c r="G3283" s="476"/>
      <c r="H3283" s="475"/>
      <c r="I3283" s="476"/>
    </row>
    <row r="3284" spans="2:9" x14ac:dyDescent="0.25">
      <c r="B3284" s="476"/>
      <c r="C3284" s="476"/>
      <c r="D3284" s="475"/>
      <c r="E3284" s="476"/>
      <c r="F3284" s="475"/>
      <c r="G3284" s="476"/>
      <c r="H3284" s="475"/>
      <c r="I3284" s="476"/>
    </row>
    <row r="3285" spans="2:9" x14ac:dyDescent="0.25">
      <c r="B3285" s="476"/>
      <c r="C3285" s="476"/>
      <c r="D3285" s="475"/>
      <c r="E3285" s="476"/>
      <c r="F3285" s="475"/>
      <c r="G3285" s="476"/>
      <c r="H3285" s="475"/>
      <c r="I3285" s="476"/>
    </row>
    <row r="3286" spans="2:9" x14ac:dyDescent="0.25">
      <c r="B3286" s="476"/>
      <c r="C3286" s="476"/>
      <c r="D3286" s="475"/>
      <c r="E3286" s="476"/>
      <c r="F3286" s="475"/>
      <c r="G3286" s="476"/>
      <c r="H3286" s="475"/>
      <c r="I3286" s="476"/>
    </row>
    <row r="3287" spans="2:9" x14ac:dyDescent="0.25">
      <c r="B3287" s="476"/>
      <c r="C3287" s="476"/>
      <c r="D3287" s="475"/>
      <c r="E3287" s="476"/>
      <c r="F3287" s="475"/>
      <c r="G3287" s="476"/>
      <c r="H3287" s="475"/>
      <c r="I3287" s="476"/>
    </row>
    <row r="3288" spans="2:9" x14ac:dyDescent="0.25">
      <c r="B3288" s="476"/>
      <c r="C3288" s="476"/>
      <c r="D3288" s="475"/>
      <c r="E3288" s="476"/>
      <c r="F3288" s="475"/>
      <c r="G3288" s="476"/>
      <c r="H3288" s="475"/>
      <c r="I3288" s="476"/>
    </row>
    <row r="3289" spans="2:9" x14ac:dyDescent="0.25">
      <c r="B3289" s="476"/>
      <c r="C3289" s="476"/>
      <c r="D3289" s="475"/>
      <c r="E3289" s="476"/>
      <c r="F3289" s="475"/>
      <c r="G3289" s="476"/>
      <c r="H3289" s="475"/>
      <c r="I3289" s="476"/>
    </row>
    <row r="3290" spans="2:9" x14ac:dyDescent="0.25">
      <c r="B3290" s="476"/>
      <c r="C3290" s="476"/>
      <c r="D3290" s="475"/>
      <c r="E3290" s="476"/>
      <c r="F3290" s="475"/>
      <c r="G3290" s="476"/>
      <c r="H3290" s="475"/>
      <c r="I3290" s="476"/>
    </row>
    <row r="3291" spans="2:9" x14ac:dyDescent="0.25">
      <c r="B3291" s="476"/>
      <c r="C3291" s="476"/>
      <c r="D3291" s="475"/>
      <c r="E3291" s="476"/>
      <c r="F3291" s="475"/>
      <c r="G3291" s="476"/>
      <c r="H3291" s="475"/>
      <c r="I3291" s="476"/>
    </row>
    <row r="3292" spans="2:9" x14ac:dyDescent="0.25">
      <c r="B3292" s="476"/>
      <c r="C3292" s="476"/>
      <c r="D3292" s="475"/>
      <c r="E3292" s="476"/>
      <c r="F3292" s="475"/>
      <c r="G3292" s="476"/>
      <c r="H3292" s="475"/>
      <c r="I3292" s="476"/>
    </row>
    <row r="3293" spans="2:9" x14ac:dyDescent="0.25">
      <c r="B3293" s="476"/>
      <c r="C3293" s="476"/>
      <c r="D3293" s="475"/>
      <c r="E3293" s="476"/>
      <c r="F3293" s="475"/>
      <c r="G3293" s="476"/>
      <c r="H3293" s="475"/>
      <c r="I3293" s="476"/>
    </row>
    <row r="3294" spans="2:9" x14ac:dyDescent="0.25">
      <c r="B3294" s="476"/>
      <c r="C3294" s="476"/>
      <c r="D3294" s="475"/>
      <c r="E3294" s="476"/>
      <c r="F3294" s="475"/>
      <c r="G3294" s="476"/>
      <c r="H3294" s="475"/>
      <c r="I3294" s="476"/>
    </row>
    <row r="3295" spans="2:9" x14ac:dyDescent="0.25">
      <c r="B3295" s="476"/>
      <c r="C3295" s="476"/>
      <c r="D3295" s="475"/>
      <c r="E3295" s="476"/>
      <c r="F3295" s="475"/>
      <c r="G3295" s="476"/>
      <c r="H3295" s="475"/>
      <c r="I3295" s="476"/>
    </row>
    <row r="3296" spans="2:9" x14ac:dyDescent="0.25">
      <c r="B3296" s="476"/>
      <c r="C3296" s="476"/>
      <c r="D3296" s="475"/>
      <c r="E3296" s="476"/>
      <c r="F3296" s="475"/>
      <c r="G3296" s="476"/>
      <c r="H3296" s="475"/>
      <c r="I3296" s="476"/>
    </row>
    <row r="3297" spans="2:9" x14ac:dyDescent="0.25">
      <c r="B3297" s="476"/>
      <c r="C3297" s="476"/>
      <c r="D3297" s="475"/>
      <c r="E3297" s="476"/>
      <c r="F3297" s="475"/>
      <c r="G3297" s="476"/>
      <c r="H3297" s="475"/>
      <c r="I3297" s="476"/>
    </row>
    <row r="3298" spans="2:9" x14ac:dyDescent="0.25">
      <c r="B3298" s="476"/>
      <c r="C3298" s="476"/>
      <c r="D3298" s="475"/>
      <c r="E3298" s="476"/>
      <c r="F3298" s="475"/>
      <c r="G3298" s="476"/>
      <c r="H3298" s="475"/>
      <c r="I3298" s="476"/>
    </row>
    <row r="3299" spans="2:9" x14ac:dyDescent="0.25">
      <c r="B3299" s="476"/>
      <c r="C3299" s="476"/>
      <c r="D3299" s="475"/>
      <c r="E3299" s="476"/>
      <c r="F3299" s="475"/>
      <c r="G3299" s="476"/>
      <c r="H3299" s="475"/>
      <c r="I3299" s="476"/>
    </row>
    <row r="3300" spans="2:9" x14ac:dyDescent="0.25">
      <c r="B3300" s="476"/>
      <c r="C3300" s="476"/>
      <c r="D3300" s="475"/>
      <c r="E3300" s="476"/>
      <c r="F3300" s="475"/>
      <c r="G3300" s="476"/>
      <c r="H3300" s="475"/>
      <c r="I3300" s="476"/>
    </row>
    <row r="3301" spans="2:9" x14ac:dyDescent="0.25">
      <c r="B3301" s="476"/>
      <c r="C3301" s="476"/>
      <c r="D3301" s="475"/>
      <c r="E3301" s="476"/>
      <c r="F3301" s="475"/>
      <c r="G3301" s="476"/>
      <c r="H3301" s="475"/>
      <c r="I3301" s="476"/>
    </row>
    <row r="3302" spans="2:9" x14ac:dyDescent="0.25">
      <c r="B3302" s="476"/>
      <c r="C3302" s="476"/>
      <c r="D3302" s="475"/>
      <c r="E3302" s="476"/>
      <c r="F3302" s="475"/>
      <c r="G3302" s="476"/>
      <c r="H3302" s="475"/>
      <c r="I3302" s="476"/>
    </row>
    <row r="3303" spans="2:9" x14ac:dyDescent="0.25">
      <c r="B3303" s="476"/>
      <c r="C3303" s="476"/>
      <c r="D3303" s="475"/>
      <c r="E3303" s="476"/>
      <c r="F3303" s="475"/>
      <c r="G3303" s="476"/>
      <c r="H3303" s="475"/>
      <c r="I3303" s="476"/>
    </row>
    <row r="3304" spans="2:9" x14ac:dyDescent="0.25">
      <c r="B3304" s="476"/>
      <c r="C3304" s="476"/>
      <c r="D3304" s="475"/>
      <c r="E3304" s="476"/>
      <c r="F3304" s="475"/>
      <c r="G3304" s="476"/>
      <c r="H3304" s="475"/>
      <c r="I3304" s="476"/>
    </row>
    <row r="3305" spans="2:9" x14ac:dyDescent="0.25">
      <c r="B3305" s="476"/>
      <c r="C3305" s="476"/>
      <c r="D3305" s="475"/>
      <c r="E3305" s="476"/>
      <c r="F3305" s="475"/>
      <c r="G3305" s="476"/>
      <c r="H3305" s="475"/>
      <c r="I3305" s="476"/>
    </row>
    <row r="3306" spans="2:9" x14ac:dyDescent="0.25">
      <c r="B3306" s="476"/>
      <c r="C3306" s="476"/>
      <c r="D3306" s="475"/>
      <c r="E3306" s="476"/>
      <c r="F3306" s="475"/>
      <c r="G3306" s="476"/>
      <c r="H3306" s="475"/>
      <c r="I3306" s="476"/>
    </row>
    <row r="3307" spans="2:9" x14ac:dyDescent="0.25">
      <c r="B3307" s="476"/>
      <c r="C3307" s="476"/>
      <c r="D3307" s="475"/>
      <c r="E3307" s="476"/>
      <c r="F3307" s="475"/>
      <c r="G3307" s="476"/>
      <c r="H3307" s="475"/>
      <c r="I3307" s="476"/>
    </row>
    <row r="3308" spans="2:9" x14ac:dyDescent="0.25">
      <c r="B3308" s="476"/>
      <c r="C3308" s="476"/>
      <c r="D3308" s="475"/>
      <c r="E3308" s="476"/>
      <c r="F3308" s="475"/>
      <c r="G3308" s="476"/>
      <c r="H3308" s="475"/>
      <c r="I3308" s="476"/>
    </row>
    <row r="3309" spans="2:9" x14ac:dyDescent="0.25">
      <c r="B3309" s="476"/>
      <c r="C3309" s="476"/>
      <c r="D3309" s="475"/>
      <c r="E3309" s="476"/>
      <c r="F3309" s="475"/>
      <c r="G3309" s="476"/>
      <c r="H3309" s="475"/>
      <c r="I3309" s="476"/>
    </row>
    <row r="3310" spans="2:9" x14ac:dyDescent="0.25">
      <c r="B3310" s="476"/>
      <c r="C3310" s="476"/>
      <c r="D3310" s="475"/>
      <c r="E3310" s="476"/>
      <c r="F3310" s="475"/>
      <c r="G3310" s="476"/>
      <c r="H3310" s="475"/>
      <c r="I3310" s="476"/>
    </row>
    <row r="3311" spans="2:9" x14ac:dyDescent="0.25">
      <c r="B3311" s="476"/>
      <c r="C3311" s="476"/>
      <c r="D3311" s="475"/>
      <c r="E3311" s="476"/>
      <c r="F3311" s="475"/>
      <c r="G3311" s="476"/>
      <c r="H3311" s="475"/>
      <c r="I3311" s="476"/>
    </row>
    <row r="3312" spans="2:9" x14ac:dyDescent="0.25">
      <c r="B3312" s="476"/>
      <c r="C3312" s="476"/>
      <c r="D3312" s="475"/>
      <c r="E3312" s="476"/>
      <c r="F3312" s="475"/>
      <c r="G3312" s="476"/>
      <c r="H3312" s="475"/>
      <c r="I3312" s="476"/>
    </row>
    <row r="3313" spans="2:9" x14ac:dyDescent="0.25">
      <c r="B3313" s="476"/>
      <c r="C3313" s="476"/>
      <c r="D3313" s="475"/>
      <c r="E3313" s="476"/>
      <c r="F3313" s="475"/>
      <c r="G3313" s="476"/>
      <c r="H3313" s="475"/>
      <c r="I3313" s="476"/>
    </row>
    <row r="3314" spans="2:9" x14ac:dyDescent="0.25">
      <c r="B3314" s="476"/>
      <c r="C3314" s="476"/>
      <c r="D3314" s="475"/>
      <c r="E3314" s="476"/>
      <c r="F3314" s="475"/>
      <c r="G3314" s="476"/>
      <c r="H3314" s="475"/>
      <c r="I3314" s="476"/>
    </row>
    <row r="3315" spans="2:9" x14ac:dyDescent="0.25">
      <c r="B3315" s="476"/>
      <c r="C3315" s="476"/>
      <c r="D3315" s="475"/>
      <c r="E3315" s="476"/>
      <c r="F3315" s="475"/>
      <c r="G3315" s="476"/>
      <c r="H3315" s="475"/>
      <c r="I3315" s="476"/>
    </row>
    <row r="3316" spans="2:9" x14ac:dyDescent="0.25">
      <c r="B3316" s="476"/>
      <c r="C3316" s="476"/>
      <c r="D3316" s="475"/>
      <c r="E3316" s="476"/>
      <c r="F3316" s="475"/>
      <c r="G3316" s="476"/>
      <c r="H3316" s="475"/>
      <c r="I3316" s="476"/>
    </row>
    <row r="3317" spans="2:9" x14ac:dyDescent="0.25">
      <c r="B3317" s="476"/>
      <c r="C3317" s="476"/>
      <c r="D3317" s="475"/>
      <c r="E3317" s="476"/>
      <c r="F3317" s="475"/>
      <c r="G3317" s="476"/>
      <c r="H3317" s="475"/>
      <c r="I3317" s="476"/>
    </row>
    <row r="3318" spans="2:9" x14ac:dyDescent="0.25">
      <c r="B3318" s="476"/>
      <c r="C3318" s="476"/>
      <c r="D3318" s="475"/>
      <c r="E3318" s="476"/>
      <c r="F3318" s="475"/>
      <c r="G3318" s="476"/>
      <c r="H3318" s="475"/>
      <c r="I3318" s="476"/>
    </row>
    <row r="3319" spans="2:9" x14ac:dyDescent="0.25">
      <c r="B3319" s="476"/>
      <c r="C3319" s="476"/>
      <c r="D3319" s="475"/>
      <c r="E3319" s="476"/>
      <c r="F3319" s="475"/>
      <c r="G3319" s="476"/>
      <c r="H3319" s="475"/>
      <c r="I3319" s="476"/>
    </row>
    <row r="3320" spans="2:9" x14ac:dyDescent="0.25">
      <c r="B3320" s="476"/>
      <c r="C3320" s="476"/>
      <c r="D3320" s="475"/>
      <c r="E3320" s="476"/>
      <c r="F3320" s="475"/>
      <c r="G3320" s="476"/>
      <c r="H3320" s="475"/>
      <c r="I3320" s="476"/>
    </row>
    <row r="3321" spans="2:9" x14ac:dyDescent="0.25">
      <c r="B3321" s="476"/>
      <c r="C3321" s="476"/>
      <c r="D3321" s="475"/>
      <c r="E3321" s="476"/>
      <c r="F3321" s="475"/>
      <c r="G3321" s="476"/>
      <c r="H3321" s="475"/>
      <c r="I3321" s="476"/>
    </row>
    <row r="3322" spans="2:9" x14ac:dyDescent="0.25">
      <c r="B3322" s="476"/>
      <c r="C3322" s="476"/>
      <c r="D3322" s="475"/>
      <c r="E3322" s="476"/>
      <c r="F3322" s="475"/>
      <c r="G3322" s="476"/>
      <c r="H3322" s="475"/>
      <c r="I3322" s="476"/>
    </row>
    <row r="3323" spans="2:9" x14ac:dyDescent="0.25">
      <c r="B3323" s="476"/>
      <c r="C3323" s="476"/>
      <c r="D3323" s="475"/>
      <c r="E3323" s="476"/>
      <c r="F3323" s="475"/>
      <c r="G3323" s="476"/>
      <c r="H3323" s="475"/>
      <c r="I3323" s="476"/>
    </row>
    <row r="3324" spans="2:9" x14ac:dyDescent="0.25">
      <c r="B3324" s="476"/>
      <c r="C3324" s="476"/>
      <c r="D3324" s="475"/>
      <c r="E3324" s="476"/>
      <c r="F3324" s="475"/>
      <c r="G3324" s="476"/>
      <c r="H3324" s="475"/>
      <c r="I3324" s="476"/>
    </row>
    <row r="3325" spans="2:9" x14ac:dyDescent="0.25">
      <c r="B3325" s="476"/>
      <c r="C3325" s="476"/>
      <c r="D3325" s="475"/>
      <c r="E3325" s="476"/>
      <c r="F3325" s="475"/>
      <c r="G3325" s="476"/>
      <c r="H3325" s="475"/>
      <c r="I3325" s="476"/>
    </row>
    <row r="3326" spans="2:9" x14ac:dyDescent="0.25">
      <c r="B3326" s="476"/>
      <c r="C3326" s="476"/>
      <c r="D3326" s="475"/>
      <c r="E3326" s="476"/>
      <c r="F3326" s="475"/>
      <c r="G3326" s="476"/>
      <c r="H3326" s="475"/>
      <c r="I3326" s="476"/>
    </row>
    <row r="3327" spans="2:9" x14ac:dyDescent="0.25">
      <c r="B3327" s="476"/>
      <c r="C3327" s="476"/>
      <c r="D3327" s="475"/>
      <c r="E3327" s="476"/>
      <c r="F3327" s="475"/>
      <c r="G3327" s="476"/>
      <c r="H3327" s="475"/>
      <c r="I3327" s="476"/>
    </row>
    <row r="3328" spans="2:9" x14ac:dyDescent="0.25">
      <c r="B3328" s="476"/>
      <c r="C3328" s="476"/>
      <c r="D3328" s="475"/>
      <c r="E3328" s="476"/>
      <c r="F3328" s="475"/>
      <c r="G3328" s="476"/>
      <c r="H3328" s="475"/>
      <c r="I3328" s="476"/>
    </row>
    <row r="3329" spans="2:9" x14ac:dyDescent="0.25">
      <c r="B3329" s="476"/>
      <c r="C3329" s="476"/>
      <c r="D3329" s="475"/>
      <c r="E3329" s="476"/>
      <c r="F3329" s="475"/>
      <c r="G3329" s="476"/>
      <c r="H3329" s="475"/>
      <c r="I3329" s="476"/>
    </row>
    <row r="3330" spans="2:9" x14ac:dyDescent="0.25">
      <c r="B3330" s="476"/>
      <c r="C3330" s="476"/>
      <c r="D3330" s="475"/>
      <c r="E3330" s="476"/>
      <c r="F3330" s="475"/>
      <c r="G3330" s="476"/>
      <c r="H3330" s="475"/>
      <c r="I3330" s="476"/>
    </row>
    <row r="3331" spans="2:9" x14ac:dyDescent="0.25">
      <c r="B3331" s="476"/>
      <c r="C3331" s="476"/>
      <c r="D3331" s="475"/>
      <c r="E3331" s="476"/>
      <c r="F3331" s="475"/>
      <c r="G3331" s="476"/>
      <c r="H3331" s="475"/>
      <c r="I3331" s="476"/>
    </row>
    <row r="3332" spans="2:9" x14ac:dyDescent="0.25">
      <c r="B3332" s="476"/>
      <c r="C3332" s="476"/>
      <c r="D3332" s="475"/>
      <c r="E3332" s="476"/>
      <c r="F3332" s="475"/>
      <c r="G3332" s="476"/>
      <c r="H3332" s="475"/>
      <c r="I3332" s="476"/>
    </row>
    <row r="3333" spans="2:9" x14ac:dyDescent="0.25">
      <c r="B3333" s="476"/>
      <c r="C3333" s="476"/>
      <c r="D3333" s="475"/>
      <c r="E3333" s="476"/>
      <c r="F3333" s="475"/>
      <c r="G3333" s="476"/>
      <c r="H3333" s="475"/>
      <c r="I3333" s="476"/>
    </row>
    <row r="3334" spans="2:9" x14ac:dyDescent="0.25">
      <c r="B3334" s="476"/>
      <c r="C3334" s="476"/>
      <c r="D3334" s="475"/>
      <c r="E3334" s="476"/>
      <c r="F3334" s="475"/>
      <c r="G3334" s="476"/>
      <c r="H3334" s="475"/>
      <c r="I3334" s="476"/>
    </row>
    <row r="3335" spans="2:9" x14ac:dyDescent="0.25">
      <c r="B3335" s="476"/>
      <c r="C3335" s="476"/>
      <c r="D3335" s="475"/>
      <c r="E3335" s="476"/>
      <c r="F3335" s="475"/>
      <c r="G3335" s="476"/>
      <c r="H3335" s="475"/>
      <c r="I3335" s="476"/>
    </row>
    <row r="3336" spans="2:9" x14ac:dyDescent="0.25">
      <c r="B3336" s="476"/>
      <c r="C3336" s="476"/>
      <c r="D3336" s="475"/>
      <c r="E3336" s="476"/>
      <c r="F3336" s="475"/>
      <c r="G3336" s="476"/>
      <c r="H3336" s="475"/>
      <c r="I3336" s="476"/>
    </row>
    <row r="3337" spans="2:9" x14ac:dyDescent="0.25">
      <c r="B3337" s="476"/>
      <c r="C3337" s="476"/>
      <c r="D3337" s="475"/>
      <c r="E3337" s="476"/>
      <c r="F3337" s="475"/>
      <c r="G3337" s="476"/>
      <c r="H3337" s="475"/>
      <c r="I3337" s="476"/>
    </row>
    <row r="3338" spans="2:9" x14ac:dyDescent="0.25">
      <c r="B3338" s="476"/>
      <c r="C3338" s="476"/>
      <c r="D3338" s="475"/>
      <c r="E3338" s="476"/>
      <c r="F3338" s="475"/>
      <c r="G3338" s="476"/>
      <c r="H3338" s="475"/>
      <c r="I3338" s="476"/>
    </row>
    <row r="3339" spans="2:9" x14ac:dyDescent="0.25">
      <c r="B3339" s="476"/>
      <c r="C3339" s="476"/>
      <c r="D3339" s="475"/>
      <c r="E3339" s="476"/>
      <c r="F3339" s="475"/>
      <c r="G3339" s="476"/>
      <c r="H3339" s="475"/>
      <c r="I3339" s="476"/>
    </row>
    <row r="3340" spans="2:9" x14ac:dyDescent="0.25">
      <c r="B3340" s="476"/>
      <c r="C3340" s="476"/>
      <c r="D3340" s="475"/>
      <c r="E3340" s="476"/>
      <c r="F3340" s="475"/>
      <c r="G3340" s="476"/>
      <c r="H3340" s="475"/>
      <c r="I3340" s="476"/>
    </row>
    <row r="3341" spans="2:9" x14ac:dyDescent="0.25">
      <c r="B3341" s="476"/>
      <c r="C3341" s="476"/>
      <c r="D3341" s="475"/>
      <c r="E3341" s="476"/>
      <c r="F3341" s="475"/>
      <c r="G3341" s="476"/>
      <c r="H3341" s="475"/>
      <c r="I3341" s="476"/>
    </row>
    <row r="3342" spans="2:9" x14ac:dyDescent="0.25">
      <c r="B3342" s="476"/>
      <c r="C3342" s="476"/>
      <c r="D3342" s="475"/>
      <c r="E3342" s="476"/>
      <c r="F3342" s="475"/>
      <c r="G3342" s="476"/>
      <c r="H3342" s="475"/>
      <c r="I3342" s="476"/>
    </row>
    <row r="3343" spans="2:9" x14ac:dyDescent="0.25">
      <c r="B3343" s="476"/>
      <c r="C3343" s="476"/>
      <c r="D3343" s="475"/>
      <c r="E3343" s="476"/>
      <c r="F3343" s="475"/>
      <c r="G3343" s="476"/>
      <c r="H3343" s="475"/>
      <c r="I3343" s="476"/>
    </row>
    <row r="3344" spans="2:9" x14ac:dyDescent="0.25">
      <c r="B3344" s="476"/>
      <c r="C3344" s="476"/>
      <c r="D3344" s="475"/>
      <c r="E3344" s="476"/>
      <c r="F3344" s="475"/>
      <c r="G3344" s="476"/>
      <c r="H3344" s="475"/>
      <c r="I3344" s="476"/>
    </row>
    <row r="3345" spans="2:9" x14ac:dyDescent="0.25">
      <c r="B3345" s="476"/>
      <c r="C3345" s="476"/>
      <c r="D3345" s="475"/>
      <c r="E3345" s="476"/>
      <c r="F3345" s="475"/>
      <c r="G3345" s="476"/>
      <c r="H3345" s="475"/>
      <c r="I3345" s="476"/>
    </row>
    <row r="3346" spans="2:9" x14ac:dyDescent="0.25">
      <c r="B3346" s="476"/>
      <c r="C3346" s="476"/>
      <c r="D3346" s="475"/>
      <c r="E3346" s="476"/>
      <c r="F3346" s="475"/>
      <c r="G3346" s="476"/>
      <c r="H3346" s="475"/>
      <c r="I3346" s="476"/>
    </row>
    <row r="3347" spans="2:9" x14ac:dyDescent="0.25">
      <c r="B3347" s="476"/>
      <c r="C3347" s="476"/>
      <c r="D3347" s="475"/>
      <c r="E3347" s="476"/>
      <c r="F3347" s="475"/>
      <c r="G3347" s="476"/>
      <c r="H3347" s="475"/>
      <c r="I3347" s="476"/>
    </row>
    <row r="3348" spans="2:9" x14ac:dyDescent="0.25">
      <c r="B3348" s="476"/>
      <c r="C3348" s="476"/>
      <c r="D3348" s="475"/>
      <c r="E3348" s="476"/>
      <c r="F3348" s="475"/>
      <c r="G3348" s="476"/>
      <c r="H3348" s="475"/>
      <c r="I3348" s="476"/>
    </row>
    <row r="3349" spans="2:9" x14ac:dyDescent="0.25">
      <c r="B3349" s="476"/>
      <c r="C3349" s="476"/>
      <c r="D3349" s="475"/>
      <c r="E3349" s="476"/>
      <c r="F3349" s="475"/>
      <c r="G3349" s="476"/>
      <c r="H3349" s="475"/>
      <c r="I3349" s="476"/>
    </row>
    <row r="3350" spans="2:9" x14ac:dyDescent="0.25">
      <c r="B3350" s="476"/>
      <c r="C3350" s="476"/>
      <c r="D3350" s="475"/>
      <c r="E3350" s="476"/>
      <c r="F3350" s="475"/>
      <c r="G3350" s="476"/>
      <c r="H3350" s="475"/>
      <c r="I3350" s="476"/>
    </row>
    <row r="3351" spans="2:9" x14ac:dyDescent="0.25">
      <c r="B3351" s="476"/>
      <c r="C3351" s="476"/>
      <c r="D3351" s="475"/>
      <c r="E3351" s="476"/>
      <c r="F3351" s="475"/>
      <c r="G3351" s="476"/>
      <c r="H3351" s="475"/>
      <c r="I3351" s="476"/>
    </row>
    <row r="3352" spans="2:9" x14ac:dyDescent="0.25">
      <c r="B3352" s="476"/>
      <c r="C3352" s="476"/>
      <c r="D3352" s="475"/>
      <c r="E3352" s="476"/>
      <c r="F3352" s="475"/>
      <c r="G3352" s="476"/>
      <c r="H3352" s="475"/>
      <c r="I3352" s="476"/>
    </row>
    <row r="3353" spans="2:9" x14ac:dyDescent="0.25">
      <c r="B3353" s="476"/>
      <c r="C3353" s="476"/>
      <c r="D3353" s="475"/>
      <c r="E3353" s="476"/>
      <c r="F3353" s="475"/>
      <c r="G3353" s="476"/>
      <c r="H3353" s="475"/>
      <c r="I3353" s="476"/>
    </row>
    <row r="3354" spans="2:9" x14ac:dyDescent="0.25">
      <c r="B3354" s="476"/>
      <c r="C3354" s="476"/>
      <c r="D3354" s="475"/>
      <c r="E3354" s="476"/>
      <c r="F3354" s="475"/>
      <c r="G3354" s="476"/>
      <c r="H3354" s="475"/>
      <c r="I3354" s="476"/>
    </row>
    <row r="3355" spans="2:9" x14ac:dyDescent="0.25">
      <c r="B3355" s="476"/>
      <c r="C3355" s="476"/>
      <c r="D3355" s="475"/>
      <c r="E3355" s="476"/>
      <c r="F3355" s="475"/>
      <c r="G3355" s="476"/>
      <c r="H3355" s="475"/>
      <c r="I3355" s="476"/>
    </row>
    <row r="3356" spans="2:9" x14ac:dyDescent="0.25">
      <c r="B3356" s="476"/>
      <c r="C3356" s="476"/>
      <c r="D3356" s="475"/>
      <c r="E3356" s="476"/>
      <c r="F3356" s="475"/>
      <c r="G3356" s="476"/>
      <c r="H3356" s="475"/>
      <c r="I3356" s="476"/>
    </row>
    <row r="3357" spans="2:9" x14ac:dyDescent="0.25">
      <c r="B3357" s="476"/>
      <c r="C3357" s="476"/>
      <c r="D3357" s="475"/>
      <c r="E3357" s="476"/>
      <c r="F3357" s="475"/>
      <c r="G3357" s="476"/>
      <c r="H3357" s="475"/>
      <c r="I3357" s="476"/>
    </row>
    <row r="3358" spans="2:9" x14ac:dyDescent="0.25">
      <c r="B3358" s="476"/>
      <c r="C3358" s="476"/>
      <c r="D3358" s="475"/>
      <c r="E3358" s="476"/>
      <c r="F3358" s="475"/>
      <c r="G3358" s="476"/>
      <c r="H3358" s="475"/>
      <c r="I3358" s="476"/>
    </row>
    <row r="3359" spans="2:9" x14ac:dyDescent="0.25">
      <c r="B3359" s="476"/>
      <c r="C3359" s="476"/>
      <c r="D3359" s="475"/>
      <c r="E3359" s="476"/>
      <c r="F3359" s="475"/>
      <c r="G3359" s="476"/>
      <c r="H3359" s="475"/>
      <c r="I3359" s="476"/>
    </row>
    <row r="3360" spans="2:9" x14ac:dyDescent="0.25">
      <c r="B3360" s="476"/>
      <c r="C3360" s="476"/>
      <c r="D3360" s="475"/>
      <c r="E3360" s="476"/>
      <c r="F3360" s="475"/>
      <c r="G3360" s="476"/>
      <c r="H3360" s="475"/>
      <c r="I3360" s="476"/>
    </row>
    <row r="3361" spans="2:9" x14ac:dyDescent="0.25">
      <c r="B3361" s="476"/>
      <c r="C3361" s="476"/>
      <c r="D3361" s="475"/>
      <c r="E3361" s="476"/>
      <c r="F3361" s="475"/>
      <c r="G3361" s="476"/>
      <c r="H3361" s="475"/>
      <c r="I3361" s="476"/>
    </row>
    <row r="3362" spans="2:9" x14ac:dyDescent="0.25">
      <c r="B3362" s="476"/>
      <c r="C3362" s="476"/>
      <c r="D3362" s="475"/>
      <c r="E3362" s="476"/>
      <c r="F3362" s="475"/>
      <c r="G3362" s="476"/>
      <c r="H3362" s="475"/>
      <c r="I3362" s="476"/>
    </row>
    <row r="3363" spans="2:9" x14ac:dyDescent="0.25">
      <c r="B3363" s="476"/>
      <c r="C3363" s="476"/>
      <c r="D3363" s="475"/>
      <c r="E3363" s="476"/>
      <c r="F3363" s="475"/>
      <c r="G3363" s="476"/>
      <c r="H3363" s="475"/>
      <c r="I3363" s="476"/>
    </row>
    <row r="3364" spans="2:9" x14ac:dyDescent="0.25">
      <c r="B3364" s="476"/>
      <c r="C3364" s="476"/>
      <c r="D3364" s="475"/>
      <c r="E3364" s="476"/>
      <c r="F3364" s="475"/>
      <c r="G3364" s="476"/>
      <c r="H3364" s="475"/>
      <c r="I3364" s="476"/>
    </row>
    <row r="3365" spans="2:9" x14ac:dyDescent="0.25">
      <c r="B3365" s="476"/>
      <c r="C3365" s="476"/>
      <c r="D3365" s="475"/>
      <c r="E3365" s="476"/>
      <c r="F3365" s="475"/>
      <c r="G3365" s="476"/>
      <c r="H3365" s="475"/>
      <c r="I3365" s="476"/>
    </row>
    <row r="3366" spans="2:9" x14ac:dyDescent="0.25">
      <c r="B3366" s="476"/>
      <c r="C3366" s="476"/>
      <c r="D3366" s="475"/>
      <c r="E3366" s="476"/>
      <c r="F3366" s="475"/>
      <c r="G3366" s="476"/>
      <c r="H3366" s="475"/>
      <c r="I3366" s="476"/>
    </row>
    <row r="3367" spans="2:9" x14ac:dyDescent="0.25">
      <c r="B3367" s="476"/>
      <c r="C3367" s="476"/>
      <c r="D3367" s="475"/>
      <c r="E3367" s="476"/>
      <c r="F3367" s="475"/>
      <c r="G3367" s="476"/>
      <c r="H3367" s="475"/>
      <c r="I3367" s="476"/>
    </row>
    <row r="3368" spans="2:9" x14ac:dyDescent="0.25">
      <c r="B3368" s="476"/>
      <c r="C3368" s="476"/>
      <c r="D3368" s="475"/>
      <c r="E3368" s="476"/>
      <c r="F3368" s="475"/>
      <c r="G3368" s="476"/>
      <c r="H3368" s="475"/>
      <c r="I3368" s="476"/>
    </row>
    <row r="3369" spans="2:9" x14ac:dyDescent="0.25">
      <c r="B3369" s="476"/>
      <c r="C3369" s="476"/>
      <c r="D3369" s="475"/>
      <c r="E3369" s="476"/>
      <c r="F3369" s="475"/>
      <c r="G3369" s="476"/>
      <c r="H3369" s="475"/>
      <c r="I3369" s="476"/>
    </row>
    <row r="3370" spans="2:9" x14ac:dyDescent="0.25">
      <c r="B3370" s="476"/>
      <c r="C3370" s="476"/>
      <c r="D3370" s="475"/>
      <c r="E3370" s="476"/>
      <c r="F3370" s="475"/>
      <c r="G3370" s="476"/>
      <c r="H3370" s="475"/>
      <c r="I3370" s="476"/>
    </row>
    <row r="3371" spans="2:9" x14ac:dyDescent="0.25">
      <c r="B3371" s="476"/>
      <c r="C3371" s="476"/>
      <c r="D3371" s="475"/>
      <c r="E3371" s="476"/>
      <c r="F3371" s="475"/>
      <c r="G3371" s="476"/>
      <c r="H3371" s="475"/>
      <c r="I3371" s="476"/>
    </row>
    <row r="3372" spans="2:9" x14ac:dyDescent="0.25">
      <c r="B3372" s="476"/>
      <c r="C3372" s="476"/>
      <c r="D3372" s="475"/>
      <c r="E3372" s="476"/>
      <c r="F3372" s="475"/>
      <c r="G3372" s="476"/>
      <c r="H3372" s="475"/>
      <c r="I3372" s="476"/>
    </row>
    <row r="3373" spans="2:9" x14ac:dyDescent="0.25">
      <c r="B3373" s="476"/>
      <c r="C3373" s="476"/>
      <c r="D3373" s="475"/>
      <c r="E3373" s="476"/>
      <c r="F3373" s="475"/>
      <c r="G3373" s="476"/>
      <c r="H3373" s="475"/>
      <c r="I3373" s="476"/>
    </row>
    <row r="3374" spans="2:9" x14ac:dyDescent="0.25">
      <c r="B3374" s="476"/>
      <c r="C3374" s="476"/>
      <c r="D3374" s="475"/>
      <c r="E3374" s="476"/>
      <c r="F3374" s="475"/>
      <c r="G3374" s="476"/>
      <c r="H3374" s="475"/>
      <c r="I3374" s="476"/>
    </row>
    <row r="3375" spans="2:9" x14ac:dyDescent="0.25">
      <c r="B3375" s="476"/>
      <c r="C3375" s="476"/>
      <c r="D3375" s="475"/>
      <c r="E3375" s="476"/>
      <c r="F3375" s="475"/>
      <c r="G3375" s="476"/>
      <c r="H3375" s="475"/>
      <c r="I3375" s="476"/>
    </row>
    <row r="3376" spans="2:9" x14ac:dyDescent="0.25">
      <c r="B3376" s="476"/>
      <c r="C3376" s="476"/>
      <c r="D3376" s="475"/>
      <c r="E3376" s="476"/>
      <c r="F3376" s="475"/>
      <c r="G3376" s="476"/>
      <c r="H3376" s="475"/>
      <c r="I3376" s="476"/>
    </row>
    <row r="3377" spans="2:9" x14ac:dyDescent="0.25">
      <c r="B3377" s="476"/>
      <c r="C3377" s="476"/>
      <c r="D3377" s="475"/>
      <c r="E3377" s="476"/>
      <c r="F3377" s="475"/>
      <c r="G3377" s="476"/>
      <c r="H3377" s="475"/>
      <c r="I3377" s="476"/>
    </row>
    <row r="3378" spans="2:9" x14ac:dyDescent="0.25">
      <c r="B3378" s="476"/>
      <c r="C3378" s="476"/>
      <c r="D3378" s="475"/>
      <c r="E3378" s="476"/>
      <c r="F3378" s="475"/>
      <c r="G3378" s="476"/>
      <c r="H3378" s="475"/>
      <c r="I3378" s="476"/>
    </row>
    <row r="3379" spans="2:9" x14ac:dyDescent="0.25">
      <c r="B3379" s="476"/>
      <c r="C3379" s="476"/>
      <c r="D3379" s="475"/>
      <c r="E3379" s="476"/>
      <c r="F3379" s="475"/>
      <c r="G3379" s="476"/>
      <c r="H3379" s="475"/>
      <c r="I3379" s="476"/>
    </row>
    <row r="3380" spans="2:9" x14ac:dyDescent="0.25">
      <c r="B3380" s="476"/>
      <c r="C3380" s="476"/>
      <c r="D3380" s="475"/>
      <c r="E3380" s="476"/>
      <c r="F3380" s="475"/>
      <c r="G3380" s="476"/>
      <c r="H3380" s="475"/>
      <c r="I3380" s="476"/>
    </row>
    <row r="3381" spans="2:9" x14ac:dyDescent="0.25">
      <c r="B3381" s="476"/>
      <c r="C3381" s="476"/>
      <c r="D3381" s="475"/>
      <c r="E3381" s="476"/>
      <c r="F3381" s="475"/>
      <c r="G3381" s="476"/>
      <c r="H3381" s="475"/>
      <c r="I3381" s="476"/>
    </row>
    <row r="3382" spans="2:9" x14ac:dyDescent="0.25">
      <c r="B3382" s="476"/>
      <c r="C3382" s="476"/>
      <c r="D3382" s="475"/>
      <c r="E3382" s="476"/>
      <c r="F3382" s="475"/>
      <c r="G3382" s="476"/>
      <c r="H3382" s="475"/>
      <c r="I3382" s="476"/>
    </row>
    <row r="3383" spans="2:9" x14ac:dyDescent="0.25">
      <c r="B3383" s="476"/>
      <c r="C3383" s="476"/>
      <c r="D3383" s="475"/>
      <c r="E3383" s="476"/>
      <c r="F3383" s="475"/>
      <c r="G3383" s="476"/>
      <c r="H3383" s="475"/>
      <c r="I3383" s="476"/>
    </row>
    <row r="3384" spans="2:9" x14ac:dyDescent="0.25">
      <c r="B3384" s="476"/>
      <c r="C3384" s="476"/>
      <c r="D3384" s="475"/>
      <c r="E3384" s="476"/>
      <c r="F3384" s="475"/>
      <c r="G3384" s="476"/>
      <c r="H3384" s="475"/>
      <c r="I3384" s="476"/>
    </row>
    <row r="3385" spans="2:9" x14ac:dyDescent="0.25">
      <c r="B3385" s="476"/>
      <c r="C3385" s="476"/>
      <c r="D3385" s="475"/>
      <c r="E3385" s="476"/>
      <c r="F3385" s="475"/>
      <c r="G3385" s="476"/>
      <c r="H3385" s="475"/>
      <c r="I3385" s="476"/>
    </row>
    <row r="3386" spans="2:9" x14ac:dyDescent="0.25">
      <c r="B3386" s="476"/>
      <c r="C3386" s="476"/>
      <c r="D3386" s="475"/>
      <c r="E3386" s="476"/>
      <c r="F3386" s="475"/>
      <c r="G3386" s="476"/>
      <c r="H3386" s="475"/>
      <c r="I3386" s="476"/>
    </row>
    <row r="3387" spans="2:9" x14ac:dyDescent="0.25">
      <c r="B3387" s="476"/>
      <c r="C3387" s="476"/>
      <c r="D3387" s="475"/>
      <c r="E3387" s="476"/>
      <c r="F3387" s="475"/>
      <c r="G3387" s="476"/>
      <c r="H3387" s="475"/>
      <c r="I3387" s="476"/>
    </row>
    <row r="3388" spans="2:9" x14ac:dyDescent="0.25">
      <c r="B3388" s="476"/>
      <c r="C3388" s="476"/>
      <c r="D3388" s="475"/>
      <c r="E3388" s="476"/>
      <c r="F3388" s="475"/>
      <c r="G3388" s="476"/>
      <c r="H3388" s="475"/>
      <c r="I3388" s="476"/>
    </row>
    <row r="3389" spans="2:9" x14ac:dyDescent="0.25">
      <c r="B3389" s="476"/>
      <c r="C3389" s="476"/>
      <c r="D3389" s="475"/>
      <c r="E3389" s="476"/>
      <c r="F3389" s="475"/>
      <c r="G3389" s="476"/>
      <c r="H3389" s="475"/>
      <c r="I3389" s="476"/>
    </row>
    <row r="3390" spans="2:9" x14ac:dyDescent="0.25">
      <c r="B3390" s="476"/>
      <c r="C3390" s="476"/>
      <c r="D3390" s="475"/>
      <c r="E3390" s="476"/>
      <c r="F3390" s="475"/>
      <c r="G3390" s="476"/>
      <c r="H3390" s="475"/>
      <c r="I3390" s="476"/>
    </row>
    <row r="3391" spans="2:9" x14ac:dyDescent="0.25">
      <c r="B3391" s="476"/>
      <c r="C3391" s="476"/>
      <c r="D3391" s="475"/>
      <c r="E3391" s="476"/>
      <c r="F3391" s="475"/>
      <c r="G3391" s="476"/>
      <c r="H3391" s="475"/>
      <c r="I3391" s="476"/>
    </row>
    <row r="3392" spans="2:9" x14ac:dyDescent="0.25">
      <c r="B3392" s="476"/>
      <c r="C3392" s="476"/>
      <c r="D3392" s="475"/>
      <c r="E3392" s="476"/>
      <c r="F3392" s="475"/>
      <c r="G3392" s="476"/>
      <c r="H3392" s="475"/>
      <c r="I3392" s="476"/>
    </row>
    <row r="3393" spans="2:9" x14ac:dyDescent="0.25">
      <c r="B3393" s="476"/>
      <c r="C3393" s="476"/>
      <c r="D3393" s="475"/>
      <c r="E3393" s="476"/>
      <c r="F3393" s="475"/>
      <c r="G3393" s="476"/>
      <c r="H3393" s="475"/>
      <c r="I3393" s="476"/>
    </row>
    <row r="3394" spans="2:9" x14ac:dyDescent="0.25">
      <c r="B3394" s="476"/>
      <c r="C3394" s="476"/>
      <c r="D3394" s="475"/>
      <c r="E3394" s="476"/>
      <c r="F3394" s="475"/>
      <c r="G3394" s="476"/>
      <c r="H3394" s="475"/>
      <c r="I3394" s="476"/>
    </row>
    <row r="3395" spans="2:9" x14ac:dyDescent="0.25">
      <c r="B3395" s="476"/>
      <c r="C3395" s="476"/>
      <c r="D3395" s="475"/>
      <c r="E3395" s="476"/>
      <c r="F3395" s="475"/>
      <c r="G3395" s="476"/>
      <c r="H3395" s="475"/>
      <c r="I3395" s="476"/>
    </row>
    <row r="3396" spans="2:9" x14ac:dyDescent="0.25">
      <c r="B3396" s="476"/>
      <c r="C3396" s="476"/>
      <c r="D3396" s="475"/>
      <c r="E3396" s="476"/>
      <c r="F3396" s="475"/>
      <c r="G3396" s="476"/>
      <c r="H3396" s="475"/>
      <c r="I3396" s="476"/>
    </row>
    <row r="3397" spans="2:9" x14ac:dyDescent="0.25">
      <c r="B3397" s="476"/>
      <c r="C3397" s="476"/>
      <c r="D3397" s="475"/>
      <c r="E3397" s="476"/>
      <c r="F3397" s="475"/>
      <c r="G3397" s="476"/>
      <c r="H3397" s="475"/>
      <c r="I3397" s="476"/>
    </row>
    <row r="3398" spans="2:9" x14ac:dyDescent="0.25">
      <c r="B3398" s="476"/>
      <c r="C3398" s="476"/>
      <c r="D3398" s="475"/>
      <c r="E3398" s="476"/>
      <c r="F3398" s="475"/>
      <c r="G3398" s="476"/>
      <c r="H3398" s="475"/>
      <c r="I3398" s="476"/>
    </row>
    <row r="3399" spans="2:9" x14ac:dyDescent="0.25">
      <c r="B3399" s="476"/>
      <c r="C3399" s="476"/>
      <c r="D3399" s="475"/>
      <c r="E3399" s="476"/>
      <c r="F3399" s="475"/>
      <c r="G3399" s="476"/>
      <c r="H3399" s="475"/>
      <c r="I3399" s="476"/>
    </row>
    <row r="3400" spans="2:9" x14ac:dyDescent="0.25">
      <c r="B3400" s="476"/>
      <c r="C3400" s="476"/>
      <c r="D3400" s="475"/>
      <c r="E3400" s="476"/>
      <c r="F3400" s="475"/>
      <c r="G3400" s="476"/>
      <c r="H3400" s="475"/>
      <c r="I3400" s="476"/>
    </row>
    <row r="3401" spans="2:9" x14ac:dyDescent="0.25">
      <c r="B3401" s="476"/>
      <c r="C3401" s="476"/>
      <c r="D3401" s="475"/>
      <c r="E3401" s="476"/>
      <c r="F3401" s="475"/>
      <c r="G3401" s="476"/>
      <c r="H3401" s="475"/>
      <c r="I3401" s="476"/>
    </row>
    <row r="3402" spans="2:9" x14ac:dyDescent="0.25">
      <c r="B3402" s="476"/>
      <c r="C3402" s="476"/>
      <c r="D3402" s="475"/>
      <c r="E3402" s="476"/>
      <c r="F3402" s="475"/>
      <c r="G3402" s="476"/>
      <c r="H3402" s="475"/>
      <c r="I3402" s="476"/>
    </row>
    <row r="3403" spans="2:9" x14ac:dyDescent="0.25">
      <c r="B3403" s="476"/>
      <c r="C3403" s="476"/>
      <c r="D3403" s="475"/>
      <c r="E3403" s="476"/>
      <c r="F3403" s="475"/>
      <c r="G3403" s="476"/>
      <c r="H3403" s="475"/>
      <c r="I3403" s="476"/>
    </row>
    <row r="3404" spans="2:9" x14ac:dyDescent="0.25">
      <c r="B3404" s="476"/>
      <c r="C3404" s="476"/>
      <c r="D3404" s="475"/>
      <c r="E3404" s="476"/>
      <c r="F3404" s="475"/>
      <c r="G3404" s="476"/>
      <c r="H3404" s="475"/>
      <c r="I3404" s="476"/>
    </row>
    <row r="3405" spans="2:9" x14ac:dyDescent="0.25">
      <c r="B3405" s="476"/>
      <c r="C3405" s="476"/>
      <c r="D3405" s="475"/>
      <c r="E3405" s="476"/>
      <c r="F3405" s="475"/>
      <c r="G3405" s="476"/>
      <c r="H3405" s="475"/>
      <c r="I3405" s="476"/>
    </row>
    <row r="3406" spans="2:9" x14ac:dyDescent="0.25">
      <c r="B3406" s="476"/>
      <c r="C3406" s="476"/>
      <c r="D3406" s="475"/>
      <c r="E3406" s="476"/>
      <c r="F3406" s="475"/>
      <c r="G3406" s="476"/>
      <c r="H3406" s="475"/>
      <c r="I3406" s="476"/>
    </row>
    <row r="3407" spans="2:9" x14ac:dyDescent="0.25">
      <c r="B3407" s="476"/>
      <c r="C3407" s="476"/>
      <c r="D3407" s="475"/>
      <c r="E3407" s="476"/>
      <c r="F3407" s="475"/>
      <c r="G3407" s="476"/>
      <c r="H3407" s="475"/>
      <c r="I3407" s="476"/>
    </row>
    <row r="3408" spans="2:9" x14ac:dyDescent="0.25">
      <c r="B3408" s="476"/>
      <c r="C3408" s="476"/>
      <c r="D3408" s="475"/>
      <c r="E3408" s="476"/>
      <c r="F3408" s="475"/>
      <c r="G3408" s="476"/>
      <c r="H3408" s="475"/>
      <c r="I3408" s="476"/>
    </row>
    <row r="3409" spans="2:9" x14ac:dyDescent="0.25">
      <c r="B3409" s="476"/>
      <c r="C3409" s="476"/>
      <c r="D3409" s="475"/>
      <c r="E3409" s="476"/>
      <c r="F3409" s="475"/>
      <c r="G3409" s="476"/>
      <c r="H3409" s="475"/>
      <c r="I3409" s="476"/>
    </row>
    <row r="3410" spans="2:9" x14ac:dyDescent="0.25">
      <c r="B3410" s="476"/>
      <c r="C3410" s="476"/>
      <c r="D3410" s="475"/>
      <c r="E3410" s="476"/>
      <c r="F3410" s="475"/>
      <c r="G3410" s="476"/>
      <c r="H3410" s="475"/>
      <c r="I3410" s="476"/>
    </row>
    <row r="3411" spans="2:9" x14ac:dyDescent="0.25">
      <c r="B3411" s="476"/>
      <c r="C3411" s="476"/>
      <c r="D3411" s="475"/>
      <c r="E3411" s="476"/>
      <c r="F3411" s="475"/>
      <c r="G3411" s="476"/>
      <c r="H3411" s="475"/>
      <c r="I3411" s="476"/>
    </row>
    <row r="3412" spans="2:9" x14ac:dyDescent="0.25">
      <c r="B3412" s="476"/>
      <c r="C3412" s="476"/>
      <c r="D3412" s="475"/>
      <c r="E3412" s="476"/>
      <c r="F3412" s="475"/>
      <c r="G3412" s="476"/>
      <c r="H3412" s="475"/>
      <c r="I3412" s="476"/>
    </row>
    <row r="3413" spans="2:9" x14ac:dyDescent="0.25">
      <c r="B3413" s="476"/>
      <c r="C3413" s="476"/>
      <c r="D3413" s="475"/>
      <c r="E3413" s="476"/>
      <c r="F3413" s="475"/>
      <c r="G3413" s="476"/>
      <c r="H3413" s="475"/>
      <c r="I3413" s="476"/>
    </row>
    <row r="3414" spans="2:9" x14ac:dyDescent="0.25">
      <c r="B3414" s="476"/>
      <c r="C3414" s="476"/>
      <c r="D3414" s="475"/>
      <c r="E3414" s="476"/>
      <c r="F3414" s="475"/>
      <c r="G3414" s="476"/>
      <c r="H3414" s="475"/>
      <c r="I3414" s="476"/>
    </row>
    <row r="3415" spans="2:9" x14ac:dyDescent="0.25">
      <c r="B3415" s="476"/>
      <c r="C3415" s="476"/>
      <c r="D3415" s="475"/>
      <c r="E3415" s="476"/>
      <c r="F3415" s="475"/>
      <c r="G3415" s="476"/>
      <c r="H3415" s="475"/>
      <c r="I3415" s="476"/>
    </row>
    <row r="3416" spans="2:9" x14ac:dyDescent="0.25">
      <c r="B3416" s="476"/>
      <c r="C3416" s="476"/>
      <c r="D3416" s="475"/>
      <c r="E3416" s="476"/>
      <c r="F3416" s="475"/>
      <c r="G3416" s="476"/>
      <c r="H3416" s="475"/>
      <c r="I3416" s="476"/>
    </row>
    <row r="3417" spans="2:9" x14ac:dyDescent="0.25">
      <c r="B3417" s="476"/>
      <c r="C3417" s="476"/>
      <c r="D3417" s="475"/>
      <c r="E3417" s="476"/>
      <c r="F3417" s="475"/>
      <c r="G3417" s="476"/>
      <c r="H3417" s="475"/>
      <c r="I3417" s="476"/>
    </row>
    <row r="3418" spans="2:9" x14ac:dyDescent="0.25">
      <c r="B3418" s="476"/>
      <c r="C3418" s="476"/>
      <c r="D3418" s="475"/>
      <c r="E3418" s="476"/>
      <c r="F3418" s="475"/>
      <c r="G3418" s="476"/>
      <c r="H3418" s="475"/>
      <c r="I3418" s="476"/>
    </row>
    <row r="3419" spans="2:9" x14ac:dyDescent="0.25">
      <c r="B3419" s="476"/>
      <c r="C3419" s="476"/>
      <c r="D3419" s="475"/>
      <c r="E3419" s="476"/>
      <c r="F3419" s="475"/>
      <c r="G3419" s="476"/>
      <c r="H3419" s="475"/>
      <c r="I3419" s="476"/>
    </row>
    <row r="3420" spans="2:9" x14ac:dyDescent="0.25">
      <c r="B3420" s="476"/>
      <c r="C3420" s="476"/>
      <c r="D3420" s="475"/>
      <c r="E3420" s="476"/>
      <c r="F3420" s="475"/>
      <c r="G3420" s="476"/>
      <c r="H3420" s="475"/>
      <c r="I3420" s="476"/>
    </row>
    <row r="3421" spans="2:9" x14ac:dyDescent="0.25">
      <c r="B3421" s="476"/>
      <c r="C3421" s="476"/>
      <c r="D3421" s="475"/>
      <c r="E3421" s="476"/>
      <c r="F3421" s="475"/>
      <c r="G3421" s="476"/>
      <c r="H3421" s="475"/>
      <c r="I3421" s="476"/>
    </row>
    <row r="3422" spans="2:9" x14ac:dyDescent="0.25">
      <c r="B3422" s="476"/>
      <c r="C3422" s="476"/>
      <c r="D3422" s="475"/>
      <c r="E3422" s="476"/>
      <c r="F3422" s="475"/>
      <c r="G3422" s="476"/>
      <c r="H3422" s="475"/>
      <c r="I3422" s="476"/>
    </row>
    <row r="3423" spans="2:9" x14ac:dyDescent="0.25">
      <c r="B3423" s="476"/>
      <c r="C3423" s="476"/>
      <c r="D3423" s="475"/>
      <c r="E3423" s="476"/>
      <c r="F3423" s="475"/>
      <c r="G3423" s="476"/>
      <c r="H3423" s="475"/>
      <c r="I3423" s="476"/>
    </row>
    <row r="3424" spans="2:9" x14ac:dyDescent="0.25">
      <c r="B3424" s="476"/>
      <c r="C3424" s="476"/>
      <c r="D3424" s="475"/>
      <c r="E3424" s="476"/>
      <c r="F3424" s="475"/>
      <c r="G3424" s="476"/>
      <c r="H3424" s="475"/>
      <c r="I3424" s="476"/>
    </row>
    <row r="3425" spans="2:9" x14ac:dyDescent="0.25">
      <c r="B3425" s="476"/>
      <c r="C3425" s="476"/>
      <c r="D3425" s="475"/>
      <c r="E3425" s="476"/>
      <c r="F3425" s="475"/>
      <c r="G3425" s="476"/>
      <c r="H3425" s="475"/>
      <c r="I3425" s="476"/>
    </row>
    <row r="3426" spans="2:9" x14ac:dyDescent="0.25">
      <c r="B3426" s="476"/>
      <c r="C3426" s="476"/>
      <c r="D3426" s="475"/>
      <c r="E3426" s="476"/>
      <c r="F3426" s="475"/>
      <c r="G3426" s="476"/>
      <c r="H3426" s="475"/>
      <c r="I3426" s="476"/>
    </row>
    <row r="3427" spans="2:9" x14ac:dyDescent="0.25">
      <c r="B3427" s="476"/>
      <c r="C3427" s="476"/>
      <c r="D3427" s="475"/>
      <c r="E3427" s="476"/>
      <c r="F3427" s="475"/>
      <c r="G3427" s="476"/>
      <c r="H3427" s="475"/>
      <c r="I3427" s="476"/>
    </row>
    <row r="3428" spans="2:9" x14ac:dyDescent="0.25">
      <c r="B3428" s="476"/>
      <c r="C3428" s="476"/>
      <c r="D3428" s="475"/>
      <c r="E3428" s="476"/>
      <c r="F3428" s="475"/>
      <c r="G3428" s="476"/>
      <c r="H3428" s="475"/>
      <c r="I3428" s="476"/>
    </row>
    <row r="3429" spans="2:9" x14ac:dyDescent="0.25">
      <c r="B3429" s="476"/>
      <c r="C3429" s="476"/>
      <c r="D3429" s="475"/>
      <c r="E3429" s="476"/>
      <c r="F3429" s="475"/>
      <c r="G3429" s="476"/>
      <c r="H3429" s="475"/>
      <c r="I3429" s="476"/>
    </row>
    <row r="3430" spans="2:9" x14ac:dyDescent="0.25">
      <c r="B3430" s="476"/>
      <c r="C3430" s="476"/>
      <c r="D3430" s="475"/>
      <c r="E3430" s="476"/>
      <c r="F3430" s="475"/>
      <c r="G3430" s="476"/>
      <c r="H3430" s="475"/>
      <c r="I3430" s="476"/>
    </row>
    <row r="3431" spans="2:9" x14ac:dyDescent="0.25">
      <c r="B3431" s="476"/>
      <c r="C3431" s="476"/>
      <c r="D3431" s="475"/>
      <c r="E3431" s="476"/>
      <c r="F3431" s="475"/>
      <c r="G3431" s="476"/>
      <c r="H3431" s="475"/>
      <c r="I3431" s="476"/>
    </row>
    <row r="3432" spans="2:9" x14ac:dyDescent="0.25">
      <c r="B3432" s="476"/>
      <c r="C3432" s="476"/>
      <c r="D3432" s="475"/>
      <c r="E3432" s="476"/>
      <c r="F3432" s="475"/>
      <c r="G3432" s="476"/>
      <c r="H3432" s="475"/>
      <c r="I3432" s="476"/>
    </row>
    <row r="3433" spans="2:9" x14ac:dyDescent="0.25">
      <c r="B3433" s="476"/>
      <c r="C3433" s="476"/>
      <c r="D3433" s="475"/>
      <c r="E3433" s="476"/>
      <c r="F3433" s="475"/>
      <c r="G3433" s="476"/>
      <c r="H3433" s="475"/>
      <c r="I3433" s="476"/>
    </row>
    <row r="3434" spans="2:9" x14ac:dyDescent="0.25">
      <c r="B3434" s="476"/>
      <c r="C3434" s="476"/>
      <c r="D3434" s="475"/>
      <c r="E3434" s="476"/>
      <c r="F3434" s="475"/>
      <c r="G3434" s="476"/>
      <c r="H3434" s="475"/>
      <c r="I3434" s="476"/>
    </row>
    <row r="3435" spans="2:9" x14ac:dyDescent="0.25">
      <c r="B3435" s="476"/>
      <c r="C3435" s="476"/>
      <c r="D3435" s="475"/>
      <c r="E3435" s="476"/>
      <c r="F3435" s="475"/>
      <c r="G3435" s="476"/>
      <c r="H3435" s="475"/>
      <c r="I3435" s="476"/>
    </row>
    <row r="3436" spans="2:9" x14ac:dyDescent="0.25">
      <c r="B3436" s="476"/>
      <c r="C3436" s="476"/>
      <c r="D3436" s="475"/>
      <c r="E3436" s="476"/>
      <c r="F3436" s="475"/>
      <c r="G3436" s="476"/>
      <c r="H3436" s="475"/>
      <c r="I3436" s="476"/>
    </row>
    <row r="3437" spans="2:9" x14ac:dyDescent="0.25">
      <c r="B3437" s="476"/>
      <c r="C3437" s="476"/>
      <c r="D3437" s="475"/>
      <c r="E3437" s="476"/>
      <c r="F3437" s="475"/>
      <c r="G3437" s="476"/>
      <c r="H3437" s="475"/>
      <c r="I3437" s="476"/>
    </row>
    <row r="3438" spans="2:9" x14ac:dyDescent="0.25">
      <c r="B3438" s="476"/>
      <c r="C3438" s="476"/>
      <c r="D3438" s="475"/>
      <c r="E3438" s="476"/>
      <c r="F3438" s="475"/>
      <c r="G3438" s="476"/>
      <c r="H3438" s="475"/>
      <c r="I3438" s="476"/>
    </row>
    <row r="3439" spans="2:9" x14ac:dyDescent="0.25">
      <c r="B3439" s="476"/>
      <c r="C3439" s="476"/>
      <c r="D3439" s="475"/>
      <c r="E3439" s="476"/>
      <c r="F3439" s="475"/>
      <c r="G3439" s="476"/>
      <c r="H3439" s="475"/>
      <c r="I3439" s="476"/>
    </row>
    <row r="3440" spans="2:9" x14ac:dyDescent="0.25">
      <c r="B3440" s="476"/>
      <c r="C3440" s="476"/>
      <c r="D3440" s="475"/>
      <c r="E3440" s="476"/>
      <c r="F3440" s="475"/>
      <c r="G3440" s="476"/>
      <c r="H3440" s="475"/>
      <c r="I3440" s="476"/>
    </row>
    <row r="3441" spans="2:9" x14ac:dyDescent="0.25">
      <c r="B3441" s="476"/>
      <c r="C3441" s="476"/>
      <c r="D3441" s="475"/>
      <c r="E3441" s="476"/>
      <c r="F3441" s="475"/>
      <c r="G3441" s="476"/>
      <c r="H3441" s="475"/>
      <c r="I3441" s="476"/>
    </row>
    <row r="3442" spans="2:9" x14ac:dyDescent="0.25">
      <c r="B3442" s="476"/>
      <c r="C3442" s="476"/>
      <c r="D3442" s="475"/>
      <c r="E3442" s="476"/>
      <c r="F3442" s="475"/>
      <c r="G3442" s="476"/>
      <c r="H3442" s="475"/>
      <c r="I3442" s="476"/>
    </row>
    <row r="3443" spans="2:9" x14ac:dyDescent="0.25">
      <c r="B3443" s="476"/>
      <c r="C3443" s="476"/>
      <c r="D3443" s="475"/>
      <c r="E3443" s="476"/>
      <c r="F3443" s="475"/>
      <c r="G3443" s="476"/>
      <c r="H3443" s="475"/>
      <c r="I3443" s="476"/>
    </row>
    <row r="3444" spans="2:9" x14ac:dyDescent="0.25">
      <c r="B3444" s="476"/>
      <c r="C3444" s="476"/>
      <c r="D3444" s="475"/>
      <c r="E3444" s="476"/>
      <c r="F3444" s="475"/>
      <c r="G3444" s="476"/>
      <c r="H3444" s="475"/>
      <c r="I3444" s="476"/>
    </row>
    <row r="3445" spans="2:9" x14ac:dyDescent="0.25">
      <c r="B3445" s="476"/>
      <c r="C3445" s="476"/>
      <c r="D3445" s="475"/>
      <c r="E3445" s="476"/>
      <c r="F3445" s="475"/>
      <c r="G3445" s="476"/>
      <c r="H3445" s="475"/>
      <c r="I3445" s="476"/>
    </row>
    <row r="3446" spans="2:9" x14ac:dyDescent="0.25">
      <c r="B3446" s="476"/>
      <c r="C3446" s="476"/>
      <c r="D3446" s="475"/>
      <c r="E3446" s="476"/>
      <c r="F3446" s="475"/>
      <c r="G3446" s="476"/>
      <c r="H3446" s="475"/>
      <c r="I3446" s="476"/>
    </row>
    <row r="3447" spans="2:9" x14ac:dyDescent="0.25">
      <c r="B3447" s="476"/>
      <c r="C3447" s="476"/>
      <c r="D3447" s="475"/>
      <c r="E3447" s="476"/>
      <c r="F3447" s="475"/>
      <c r="G3447" s="476"/>
      <c r="H3447" s="475"/>
      <c r="I3447" s="476"/>
    </row>
    <row r="3448" spans="2:9" x14ac:dyDescent="0.25">
      <c r="B3448" s="476"/>
      <c r="C3448" s="476"/>
      <c r="D3448" s="475"/>
      <c r="E3448" s="476"/>
      <c r="F3448" s="475"/>
      <c r="G3448" s="476"/>
      <c r="H3448" s="475"/>
      <c r="I3448" s="476"/>
    </row>
    <row r="3449" spans="2:9" x14ac:dyDescent="0.25">
      <c r="B3449" s="476"/>
      <c r="C3449" s="476"/>
      <c r="D3449" s="475"/>
      <c r="E3449" s="476"/>
      <c r="F3449" s="475"/>
      <c r="G3449" s="476"/>
      <c r="H3449" s="475"/>
      <c r="I3449" s="476"/>
    </row>
    <row r="3450" spans="2:9" x14ac:dyDescent="0.25">
      <c r="B3450" s="476"/>
      <c r="C3450" s="476"/>
      <c r="D3450" s="475"/>
      <c r="E3450" s="476"/>
      <c r="F3450" s="475"/>
      <c r="G3450" s="476"/>
      <c r="H3450" s="475"/>
      <c r="I3450" s="476"/>
    </row>
    <row r="3451" spans="2:9" x14ac:dyDescent="0.25">
      <c r="B3451" s="476"/>
      <c r="C3451" s="476"/>
      <c r="D3451" s="475"/>
      <c r="E3451" s="476"/>
      <c r="F3451" s="475"/>
      <c r="G3451" s="476"/>
      <c r="H3451" s="475"/>
      <c r="I3451" s="476"/>
    </row>
    <row r="3452" spans="2:9" x14ac:dyDescent="0.25">
      <c r="B3452" s="476"/>
      <c r="C3452" s="476"/>
      <c r="D3452" s="475"/>
      <c r="E3452" s="476"/>
      <c r="F3452" s="475"/>
      <c r="G3452" s="476"/>
      <c r="H3452" s="475"/>
      <c r="I3452" s="476"/>
    </row>
    <row r="3453" spans="2:9" x14ac:dyDescent="0.25">
      <c r="B3453" s="476"/>
      <c r="C3453" s="476"/>
      <c r="D3453" s="475"/>
      <c r="E3453" s="476"/>
      <c r="F3453" s="475"/>
      <c r="G3453" s="476"/>
      <c r="H3453" s="475"/>
      <c r="I3453" s="476"/>
    </row>
    <row r="3454" spans="2:9" x14ac:dyDescent="0.25">
      <c r="B3454" s="476"/>
      <c r="C3454" s="476"/>
      <c r="D3454" s="475"/>
      <c r="E3454" s="476"/>
      <c r="F3454" s="475"/>
      <c r="G3454" s="476"/>
      <c r="H3454" s="475"/>
      <c r="I3454" s="476"/>
    </row>
    <row r="3455" spans="2:9" x14ac:dyDescent="0.25">
      <c r="B3455" s="476"/>
      <c r="C3455" s="476"/>
      <c r="D3455" s="475"/>
      <c r="E3455" s="476"/>
      <c r="F3455" s="475"/>
      <c r="G3455" s="476"/>
      <c r="H3455" s="475"/>
      <c r="I3455" s="476"/>
    </row>
    <row r="3456" spans="2:9" x14ac:dyDescent="0.25">
      <c r="B3456" s="476"/>
      <c r="C3456" s="476"/>
      <c r="D3456" s="475"/>
      <c r="E3456" s="476"/>
      <c r="F3456" s="475"/>
      <c r="G3456" s="476"/>
      <c r="H3456" s="475"/>
      <c r="I3456" s="476"/>
    </row>
    <row r="3457" spans="2:9" x14ac:dyDescent="0.25">
      <c r="B3457" s="476"/>
      <c r="C3457" s="476"/>
      <c r="D3457" s="475"/>
      <c r="E3457" s="476"/>
      <c r="F3457" s="475"/>
      <c r="G3457" s="476"/>
      <c r="H3457" s="475"/>
      <c r="I3457" s="476"/>
    </row>
    <row r="3458" spans="2:9" x14ac:dyDescent="0.25">
      <c r="B3458" s="476"/>
      <c r="C3458" s="476"/>
      <c r="D3458" s="475"/>
      <c r="E3458" s="476"/>
      <c r="F3458" s="475"/>
      <c r="G3458" s="476"/>
      <c r="H3458" s="475"/>
      <c r="I3458" s="476"/>
    </row>
    <row r="3459" spans="2:9" x14ac:dyDescent="0.25">
      <c r="B3459" s="476"/>
      <c r="C3459" s="476"/>
      <c r="D3459" s="475"/>
      <c r="E3459" s="476"/>
      <c r="F3459" s="475"/>
      <c r="G3459" s="476"/>
      <c r="H3459" s="475"/>
      <c r="I3459" s="476"/>
    </row>
    <row r="3460" spans="2:9" x14ac:dyDescent="0.25">
      <c r="B3460" s="476"/>
      <c r="C3460" s="476"/>
      <c r="D3460" s="475"/>
      <c r="E3460" s="476"/>
      <c r="F3460" s="475"/>
      <c r="G3460" s="476"/>
      <c r="H3460" s="475"/>
      <c r="I3460" s="476"/>
    </row>
    <row r="3461" spans="2:9" x14ac:dyDescent="0.25">
      <c r="B3461" s="476"/>
      <c r="C3461" s="476"/>
      <c r="D3461" s="475"/>
      <c r="E3461" s="476"/>
      <c r="F3461" s="475"/>
      <c r="G3461" s="476"/>
      <c r="H3461" s="475"/>
      <c r="I3461" s="476"/>
    </row>
    <row r="3462" spans="2:9" x14ac:dyDescent="0.25">
      <c r="B3462" s="476"/>
      <c r="C3462" s="476"/>
      <c r="D3462" s="475"/>
      <c r="E3462" s="476"/>
      <c r="F3462" s="475"/>
      <c r="G3462" s="476"/>
      <c r="H3462" s="475"/>
      <c r="I3462" s="476"/>
    </row>
    <row r="3463" spans="2:9" x14ac:dyDescent="0.25">
      <c r="B3463" s="476"/>
      <c r="C3463" s="476"/>
      <c r="D3463" s="475"/>
      <c r="E3463" s="476"/>
      <c r="F3463" s="475"/>
      <c r="G3463" s="476"/>
      <c r="H3463" s="475"/>
      <c r="I3463" s="476"/>
    </row>
    <row r="3464" spans="2:9" x14ac:dyDescent="0.25">
      <c r="B3464" s="476"/>
      <c r="C3464" s="476"/>
      <c r="D3464" s="475"/>
      <c r="E3464" s="476"/>
      <c r="F3464" s="475"/>
      <c r="G3464" s="476"/>
      <c r="H3464" s="475"/>
      <c r="I3464" s="476"/>
    </row>
    <row r="3465" spans="2:9" x14ac:dyDescent="0.25">
      <c r="B3465" s="476"/>
      <c r="C3465" s="476"/>
      <c r="D3465" s="475"/>
      <c r="E3465" s="476"/>
      <c r="F3465" s="475"/>
      <c r="G3465" s="476"/>
      <c r="H3465" s="475"/>
      <c r="I3465" s="476"/>
    </row>
    <row r="3466" spans="2:9" x14ac:dyDescent="0.25">
      <c r="B3466" s="476"/>
      <c r="C3466" s="476"/>
      <c r="D3466" s="475"/>
      <c r="E3466" s="476"/>
      <c r="F3466" s="475"/>
      <c r="G3466" s="476"/>
      <c r="H3466" s="475"/>
      <c r="I3466" s="476"/>
    </row>
    <row r="3467" spans="2:9" x14ac:dyDescent="0.25">
      <c r="B3467" s="476"/>
      <c r="C3467" s="476"/>
      <c r="D3467" s="475"/>
      <c r="E3467" s="476"/>
      <c r="F3467" s="475"/>
      <c r="G3467" s="476"/>
      <c r="H3467" s="475"/>
      <c r="I3467" s="476"/>
    </row>
    <row r="3468" spans="2:9" x14ac:dyDescent="0.25">
      <c r="B3468" s="476"/>
      <c r="C3468" s="476"/>
      <c r="D3468" s="475"/>
      <c r="E3468" s="476"/>
      <c r="F3468" s="475"/>
      <c r="G3468" s="476"/>
      <c r="H3468" s="475"/>
      <c r="I3468" s="476"/>
    </row>
    <row r="3469" spans="2:9" x14ac:dyDescent="0.25">
      <c r="B3469" s="476"/>
      <c r="C3469" s="476"/>
      <c r="D3469" s="475"/>
      <c r="E3469" s="476"/>
      <c r="F3469" s="475"/>
      <c r="G3469" s="476"/>
      <c r="H3469" s="475"/>
      <c r="I3469" s="476"/>
    </row>
    <row r="3470" spans="2:9" x14ac:dyDescent="0.25">
      <c r="B3470" s="476"/>
      <c r="C3470" s="476"/>
      <c r="D3470" s="475"/>
      <c r="E3470" s="476"/>
      <c r="F3470" s="475"/>
      <c r="G3470" s="476"/>
      <c r="H3470" s="475"/>
      <c r="I3470" s="476"/>
    </row>
    <row r="3471" spans="2:9" x14ac:dyDescent="0.25">
      <c r="B3471" s="476"/>
      <c r="C3471" s="476"/>
      <c r="D3471" s="475"/>
      <c r="E3471" s="476"/>
      <c r="F3471" s="475"/>
      <c r="G3471" s="476"/>
      <c r="H3471" s="475"/>
      <c r="I3471" s="476"/>
    </row>
    <row r="3472" spans="2:9" x14ac:dyDescent="0.25">
      <c r="B3472" s="476"/>
      <c r="C3472" s="476"/>
      <c r="D3472" s="475"/>
      <c r="E3472" s="476"/>
      <c r="F3472" s="475"/>
      <c r="G3472" s="476"/>
      <c r="H3472" s="475"/>
      <c r="I3472" s="476"/>
    </row>
    <row r="3473" spans="2:9" x14ac:dyDescent="0.25">
      <c r="B3473" s="476"/>
      <c r="C3473" s="476"/>
      <c r="D3473" s="475"/>
      <c r="E3473" s="476"/>
      <c r="F3473" s="475"/>
      <c r="G3473" s="476"/>
      <c r="H3473" s="475"/>
      <c r="I3473" s="476"/>
    </row>
    <row r="3474" spans="2:9" x14ac:dyDescent="0.25">
      <c r="B3474" s="476"/>
      <c r="C3474" s="476"/>
      <c r="D3474" s="475"/>
      <c r="E3474" s="476"/>
      <c r="F3474" s="475"/>
      <c r="G3474" s="476"/>
      <c r="H3474" s="475"/>
      <c r="I3474" s="476"/>
    </row>
    <row r="3475" spans="2:9" x14ac:dyDescent="0.25">
      <c r="B3475" s="476"/>
      <c r="C3475" s="476"/>
      <c r="D3475" s="475"/>
      <c r="E3475" s="476"/>
      <c r="F3475" s="475"/>
      <c r="G3475" s="476"/>
      <c r="H3475" s="475"/>
      <c r="I3475" s="476"/>
    </row>
    <row r="3476" spans="2:9" x14ac:dyDescent="0.25">
      <c r="B3476" s="476"/>
      <c r="C3476" s="476"/>
      <c r="D3476" s="475"/>
      <c r="E3476" s="476"/>
      <c r="F3476" s="475"/>
      <c r="G3476" s="476"/>
      <c r="H3476" s="475"/>
      <c r="I3476" s="476"/>
    </row>
    <row r="3477" spans="2:9" x14ac:dyDescent="0.25">
      <c r="B3477" s="476"/>
      <c r="C3477" s="476"/>
      <c r="D3477" s="475"/>
      <c r="E3477" s="476"/>
      <c r="F3477" s="475"/>
      <c r="G3477" s="476"/>
      <c r="H3477" s="475"/>
      <c r="I3477" s="476"/>
    </row>
    <row r="3478" spans="2:9" x14ac:dyDescent="0.25">
      <c r="B3478" s="476"/>
      <c r="C3478" s="476"/>
      <c r="D3478" s="475"/>
      <c r="E3478" s="476"/>
      <c r="F3478" s="475"/>
      <c r="G3478" s="476"/>
      <c r="H3478" s="475"/>
      <c r="I3478" s="476"/>
    </row>
    <row r="3479" spans="2:9" x14ac:dyDescent="0.25">
      <c r="B3479" s="476"/>
      <c r="C3479" s="476"/>
      <c r="D3479" s="475"/>
      <c r="E3479" s="476"/>
      <c r="F3479" s="475"/>
      <c r="G3479" s="476"/>
      <c r="H3479" s="475"/>
      <c r="I3479" s="476"/>
    </row>
    <row r="3480" spans="2:9" x14ac:dyDescent="0.25">
      <c r="B3480" s="476"/>
      <c r="C3480" s="476"/>
      <c r="D3480" s="475"/>
      <c r="E3480" s="476"/>
      <c r="F3480" s="475"/>
      <c r="G3480" s="476"/>
      <c r="H3480" s="475"/>
      <c r="I3480" s="476"/>
    </row>
    <row r="3481" spans="2:9" x14ac:dyDescent="0.25">
      <c r="B3481" s="476"/>
      <c r="C3481" s="476"/>
      <c r="D3481" s="475"/>
      <c r="E3481" s="476"/>
      <c r="F3481" s="475"/>
      <c r="G3481" s="476"/>
      <c r="H3481" s="475"/>
      <c r="I3481" s="476"/>
    </row>
    <row r="3482" spans="2:9" x14ac:dyDescent="0.25">
      <c r="B3482" s="476"/>
      <c r="C3482" s="476"/>
      <c r="D3482" s="475"/>
      <c r="E3482" s="476"/>
      <c r="F3482" s="475"/>
      <c r="G3482" s="476"/>
      <c r="H3482" s="475"/>
      <c r="I3482" s="476"/>
    </row>
    <row r="3483" spans="2:9" x14ac:dyDescent="0.25">
      <c r="B3483" s="476"/>
      <c r="C3483" s="476"/>
      <c r="D3483" s="475"/>
      <c r="E3483" s="476"/>
      <c r="F3483" s="475"/>
      <c r="G3483" s="476"/>
      <c r="H3483" s="475"/>
      <c r="I3483" s="476"/>
    </row>
    <row r="3484" spans="2:9" x14ac:dyDescent="0.25">
      <c r="B3484" s="476"/>
      <c r="C3484" s="476"/>
      <c r="D3484" s="475"/>
      <c r="E3484" s="476"/>
      <c r="F3484" s="475"/>
      <c r="G3484" s="476"/>
      <c r="H3484" s="475"/>
      <c r="I3484" s="476"/>
    </row>
    <row r="3485" spans="2:9" x14ac:dyDescent="0.25">
      <c r="B3485" s="476"/>
      <c r="C3485" s="476"/>
      <c r="D3485" s="475"/>
      <c r="E3485" s="476"/>
      <c r="F3485" s="475"/>
      <c r="G3485" s="476"/>
      <c r="H3485" s="475"/>
      <c r="I3485" s="476"/>
    </row>
    <row r="3486" spans="2:9" x14ac:dyDescent="0.25">
      <c r="B3486" s="476"/>
      <c r="C3486" s="476"/>
      <c r="D3486" s="475"/>
      <c r="E3486" s="476"/>
      <c r="F3486" s="475"/>
      <c r="G3486" s="476"/>
      <c r="H3486" s="475"/>
      <c r="I3486" s="476"/>
    </row>
    <row r="3487" spans="2:9" x14ac:dyDescent="0.25">
      <c r="B3487" s="476"/>
      <c r="C3487" s="476"/>
      <c r="D3487" s="475"/>
      <c r="E3487" s="476"/>
      <c r="F3487" s="475"/>
      <c r="G3487" s="476"/>
      <c r="H3487" s="475"/>
      <c r="I3487" s="476"/>
    </row>
    <row r="3488" spans="2:9" x14ac:dyDescent="0.25">
      <c r="B3488" s="476"/>
      <c r="C3488" s="476"/>
      <c r="D3488" s="475"/>
      <c r="E3488" s="476"/>
      <c r="F3488" s="475"/>
      <c r="G3488" s="476"/>
      <c r="H3488" s="475"/>
      <c r="I3488" s="476"/>
    </row>
    <row r="3489" spans="2:9" x14ac:dyDescent="0.25">
      <c r="B3489" s="476"/>
      <c r="C3489" s="476"/>
      <c r="D3489" s="475"/>
      <c r="E3489" s="476"/>
      <c r="F3489" s="475"/>
      <c r="G3489" s="476"/>
      <c r="H3489" s="475"/>
      <c r="I3489" s="476"/>
    </row>
    <row r="3490" spans="2:9" x14ac:dyDescent="0.25">
      <c r="B3490" s="476"/>
      <c r="C3490" s="476"/>
      <c r="D3490" s="475"/>
      <c r="E3490" s="476"/>
      <c r="F3490" s="475"/>
      <c r="G3490" s="476"/>
      <c r="H3490" s="475"/>
      <c r="I3490" s="476"/>
    </row>
    <row r="3491" spans="2:9" x14ac:dyDescent="0.25">
      <c r="B3491" s="476"/>
      <c r="C3491" s="476"/>
      <c r="D3491" s="475"/>
      <c r="E3491" s="476"/>
      <c r="F3491" s="475"/>
      <c r="G3491" s="476"/>
      <c r="H3491" s="475"/>
      <c r="I3491" s="476"/>
    </row>
    <row r="3492" spans="2:9" x14ac:dyDescent="0.25">
      <c r="B3492" s="476"/>
      <c r="C3492" s="476"/>
      <c r="D3492" s="475"/>
      <c r="E3492" s="476"/>
      <c r="F3492" s="475"/>
      <c r="G3492" s="476"/>
      <c r="H3492" s="475"/>
      <c r="I3492" s="476"/>
    </row>
    <row r="3493" spans="2:9" x14ac:dyDescent="0.25">
      <c r="B3493" s="476"/>
      <c r="C3493" s="476"/>
      <c r="D3493" s="475"/>
      <c r="E3493" s="476"/>
      <c r="F3493" s="475"/>
      <c r="G3493" s="476"/>
      <c r="H3493" s="475"/>
      <c r="I3493" s="476"/>
    </row>
    <row r="3494" spans="2:9" x14ac:dyDescent="0.25">
      <c r="B3494" s="476"/>
      <c r="C3494" s="476"/>
      <c r="D3494" s="475"/>
      <c r="E3494" s="476"/>
      <c r="F3494" s="475"/>
      <c r="G3494" s="476"/>
      <c r="H3494" s="475"/>
      <c r="I3494" s="476"/>
    </row>
    <row r="3495" spans="2:9" x14ac:dyDescent="0.25">
      <c r="B3495" s="476"/>
      <c r="C3495" s="476"/>
      <c r="D3495" s="475"/>
      <c r="E3495" s="476"/>
      <c r="F3495" s="475"/>
      <c r="G3495" s="476"/>
      <c r="H3495" s="475"/>
      <c r="I3495" s="476"/>
    </row>
    <row r="3496" spans="2:9" x14ac:dyDescent="0.25">
      <c r="B3496" s="476"/>
      <c r="C3496" s="476"/>
      <c r="D3496" s="475"/>
      <c r="E3496" s="476"/>
      <c r="F3496" s="475"/>
      <c r="G3496" s="476"/>
      <c r="H3496" s="475"/>
      <c r="I3496" s="476"/>
    </row>
    <row r="3497" spans="2:9" x14ac:dyDescent="0.25">
      <c r="B3497" s="476"/>
      <c r="C3497" s="476"/>
      <c r="D3497" s="475"/>
      <c r="E3497" s="476"/>
      <c r="F3497" s="475"/>
      <c r="G3497" s="476"/>
      <c r="H3497" s="475"/>
      <c r="I3497" s="476"/>
    </row>
    <row r="3498" spans="2:9" x14ac:dyDescent="0.25">
      <c r="B3498" s="476"/>
      <c r="C3498" s="476"/>
      <c r="D3498" s="475"/>
      <c r="E3498" s="476"/>
      <c r="F3498" s="475"/>
      <c r="G3498" s="476"/>
      <c r="H3498" s="475"/>
      <c r="I3498" s="476"/>
    </row>
    <row r="3499" spans="2:9" x14ac:dyDescent="0.25">
      <c r="B3499" s="476"/>
      <c r="C3499" s="476"/>
      <c r="D3499" s="475"/>
      <c r="E3499" s="476"/>
      <c r="F3499" s="475"/>
      <c r="G3499" s="476"/>
      <c r="H3499" s="475"/>
      <c r="I3499" s="476"/>
    </row>
    <row r="3500" spans="2:9" x14ac:dyDescent="0.25">
      <c r="B3500" s="476"/>
      <c r="C3500" s="476"/>
      <c r="D3500" s="475"/>
      <c r="E3500" s="476"/>
      <c r="F3500" s="475"/>
      <c r="G3500" s="476"/>
      <c r="H3500" s="475"/>
      <c r="I3500" s="476"/>
    </row>
    <row r="3501" spans="2:9" x14ac:dyDescent="0.25">
      <c r="B3501" s="476"/>
      <c r="C3501" s="476"/>
      <c r="D3501" s="475"/>
      <c r="E3501" s="476"/>
      <c r="F3501" s="475"/>
      <c r="G3501" s="476"/>
      <c r="H3501" s="475"/>
      <c r="I3501" s="476"/>
    </row>
    <row r="3502" spans="2:9" x14ac:dyDescent="0.25">
      <c r="B3502" s="476"/>
      <c r="C3502" s="476"/>
      <c r="D3502" s="475"/>
      <c r="E3502" s="476"/>
      <c r="F3502" s="475"/>
      <c r="G3502" s="476"/>
      <c r="H3502" s="475"/>
      <c r="I3502" s="476"/>
    </row>
    <row r="3503" spans="2:9" x14ac:dyDescent="0.25">
      <c r="B3503" s="476"/>
      <c r="C3503" s="476"/>
      <c r="D3503" s="475"/>
      <c r="E3503" s="476"/>
      <c r="F3503" s="475"/>
      <c r="G3503" s="476"/>
      <c r="H3503" s="475"/>
      <c r="I3503" s="476"/>
    </row>
    <row r="3504" spans="2:9" x14ac:dyDescent="0.25">
      <c r="B3504" s="476"/>
      <c r="C3504" s="476"/>
      <c r="D3504" s="475"/>
      <c r="E3504" s="476"/>
      <c r="F3504" s="475"/>
      <c r="G3504" s="476"/>
      <c r="H3504" s="475"/>
      <c r="I3504" s="476"/>
    </row>
    <row r="3505" spans="2:9" x14ac:dyDescent="0.25">
      <c r="B3505" s="476"/>
      <c r="C3505" s="476"/>
      <c r="D3505" s="475"/>
      <c r="E3505" s="476"/>
      <c r="F3505" s="475"/>
      <c r="G3505" s="476"/>
      <c r="H3505" s="475"/>
      <c r="I3505" s="476"/>
    </row>
    <row r="3506" spans="2:9" x14ac:dyDescent="0.25">
      <c r="B3506" s="476"/>
      <c r="C3506" s="476"/>
      <c r="D3506" s="475"/>
      <c r="E3506" s="476"/>
      <c r="F3506" s="475"/>
      <c r="G3506" s="476"/>
      <c r="H3506" s="475"/>
      <c r="I3506" s="476"/>
    </row>
    <row r="3507" spans="2:9" x14ac:dyDescent="0.25">
      <c r="B3507" s="476"/>
      <c r="C3507" s="476"/>
      <c r="D3507" s="475"/>
      <c r="E3507" s="476"/>
      <c r="F3507" s="475"/>
      <c r="G3507" s="476"/>
      <c r="H3507" s="475"/>
      <c r="I3507" s="476"/>
    </row>
    <row r="3508" spans="2:9" x14ac:dyDescent="0.25">
      <c r="B3508" s="476"/>
      <c r="C3508" s="476"/>
      <c r="D3508" s="475"/>
      <c r="E3508" s="476"/>
      <c r="F3508" s="475"/>
      <c r="G3508" s="476"/>
      <c r="H3508" s="475"/>
      <c r="I3508" s="476"/>
    </row>
    <row r="3509" spans="2:9" x14ac:dyDescent="0.25">
      <c r="B3509" s="476"/>
      <c r="C3509" s="476"/>
      <c r="D3509" s="475"/>
      <c r="E3509" s="476"/>
      <c r="F3509" s="475"/>
      <c r="G3509" s="476"/>
      <c r="H3509" s="475"/>
      <c r="I3509" s="476"/>
    </row>
    <row r="3510" spans="2:9" x14ac:dyDescent="0.25">
      <c r="B3510" s="476"/>
      <c r="C3510" s="476"/>
      <c r="D3510" s="475"/>
      <c r="E3510" s="476"/>
      <c r="F3510" s="475"/>
      <c r="G3510" s="476"/>
      <c r="H3510" s="475"/>
      <c r="I3510" s="476"/>
    </row>
    <row r="3511" spans="2:9" x14ac:dyDescent="0.25">
      <c r="B3511" s="476"/>
      <c r="C3511" s="476"/>
      <c r="D3511" s="475"/>
      <c r="E3511" s="476"/>
      <c r="F3511" s="475"/>
      <c r="G3511" s="476"/>
      <c r="H3511" s="475"/>
      <c r="I3511" s="476"/>
    </row>
    <row r="3512" spans="2:9" x14ac:dyDescent="0.25">
      <c r="B3512" s="476"/>
      <c r="C3512" s="476"/>
      <c r="D3512" s="475"/>
      <c r="E3512" s="476"/>
      <c r="F3512" s="475"/>
      <c r="G3512" s="476"/>
      <c r="H3512" s="475"/>
      <c r="I3512" s="476"/>
    </row>
    <row r="3513" spans="2:9" x14ac:dyDescent="0.25">
      <c r="B3513" s="476"/>
      <c r="C3513" s="476"/>
      <c r="D3513" s="475"/>
      <c r="E3513" s="476"/>
      <c r="F3513" s="475"/>
      <c r="G3513" s="476"/>
      <c r="H3513" s="475"/>
      <c r="I3513" s="476"/>
    </row>
    <row r="3514" spans="2:9" x14ac:dyDescent="0.25">
      <c r="B3514" s="476"/>
      <c r="C3514" s="476"/>
      <c r="D3514" s="475"/>
      <c r="E3514" s="476"/>
      <c r="F3514" s="475"/>
      <c r="G3514" s="476"/>
      <c r="H3514" s="475"/>
      <c r="I3514" s="476"/>
    </row>
    <row r="3515" spans="2:9" x14ac:dyDescent="0.25">
      <c r="B3515" s="476"/>
      <c r="C3515" s="476"/>
      <c r="D3515" s="475"/>
      <c r="E3515" s="476"/>
      <c r="F3515" s="475"/>
      <c r="G3515" s="476"/>
      <c r="H3515" s="475"/>
      <c r="I3515" s="476"/>
    </row>
    <row r="3516" spans="2:9" x14ac:dyDescent="0.25">
      <c r="B3516" s="476"/>
      <c r="C3516" s="476"/>
      <c r="D3516" s="475"/>
      <c r="E3516" s="476"/>
      <c r="F3516" s="475"/>
      <c r="G3516" s="476"/>
      <c r="H3516" s="475"/>
      <c r="I3516" s="476"/>
    </row>
    <row r="3517" spans="2:9" x14ac:dyDescent="0.25">
      <c r="B3517" s="476"/>
      <c r="C3517" s="476"/>
      <c r="D3517" s="475"/>
      <c r="E3517" s="476"/>
      <c r="F3517" s="475"/>
      <c r="G3517" s="476"/>
      <c r="H3517" s="475"/>
      <c r="I3517" s="476"/>
    </row>
    <row r="3518" spans="2:9" x14ac:dyDescent="0.25">
      <c r="B3518" s="476"/>
      <c r="C3518" s="476"/>
      <c r="D3518" s="475"/>
      <c r="E3518" s="476"/>
      <c r="F3518" s="475"/>
      <c r="G3518" s="476"/>
      <c r="H3518" s="475"/>
      <c r="I3518" s="476"/>
    </row>
    <row r="3519" spans="2:9" x14ac:dyDescent="0.25">
      <c r="B3519" s="476"/>
      <c r="C3519" s="476"/>
      <c r="D3519" s="475"/>
      <c r="E3519" s="476"/>
      <c r="F3519" s="475"/>
      <c r="G3519" s="476"/>
      <c r="H3519" s="475"/>
      <c r="I3519" s="476"/>
    </row>
    <row r="3520" spans="2:9" x14ac:dyDescent="0.25">
      <c r="B3520" s="476"/>
      <c r="C3520" s="476"/>
      <c r="D3520" s="475"/>
      <c r="E3520" s="476"/>
      <c r="F3520" s="475"/>
      <c r="G3520" s="476"/>
      <c r="H3520" s="475"/>
      <c r="I3520" s="476"/>
    </row>
    <row r="3521" spans="2:9" x14ac:dyDescent="0.25">
      <c r="B3521" s="476"/>
      <c r="C3521" s="476"/>
      <c r="D3521" s="475"/>
      <c r="E3521" s="476"/>
      <c r="F3521" s="475"/>
      <c r="G3521" s="476"/>
      <c r="H3521" s="475"/>
      <c r="I3521" s="476"/>
    </row>
    <row r="3522" spans="2:9" x14ac:dyDescent="0.25">
      <c r="B3522" s="476"/>
      <c r="C3522" s="476"/>
      <c r="D3522" s="475"/>
      <c r="E3522" s="476"/>
      <c r="F3522" s="475"/>
      <c r="G3522" s="476"/>
      <c r="H3522" s="475"/>
      <c r="I3522" s="476"/>
    </row>
    <row r="3523" spans="2:9" x14ac:dyDescent="0.25">
      <c r="B3523" s="476"/>
      <c r="C3523" s="476"/>
      <c r="D3523" s="475"/>
      <c r="E3523" s="476"/>
      <c r="F3523" s="475"/>
      <c r="G3523" s="476"/>
      <c r="H3523" s="475"/>
      <c r="I3523" s="476"/>
    </row>
    <row r="3524" spans="2:9" x14ac:dyDescent="0.25">
      <c r="B3524" s="476"/>
      <c r="C3524" s="476"/>
      <c r="D3524" s="475"/>
      <c r="E3524" s="476"/>
      <c r="F3524" s="475"/>
      <c r="G3524" s="476"/>
      <c r="H3524" s="475"/>
      <c r="I3524" s="476"/>
    </row>
    <row r="3525" spans="2:9" x14ac:dyDescent="0.25">
      <c r="B3525" s="476"/>
      <c r="C3525" s="476"/>
      <c r="D3525" s="475"/>
      <c r="E3525" s="476"/>
      <c r="F3525" s="475"/>
      <c r="G3525" s="476"/>
      <c r="H3525" s="475"/>
      <c r="I3525" s="476"/>
    </row>
    <row r="3526" spans="2:9" x14ac:dyDescent="0.25">
      <c r="B3526" s="476"/>
      <c r="C3526" s="476"/>
      <c r="D3526" s="475"/>
      <c r="E3526" s="476"/>
      <c r="F3526" s="475"/>
      <c r="G3526" s="476"/>
      <c r="H3526" s="475"/>
      <c r="I3526" s="476"/>
    </row>
    <row r="3527" spans="2:9" x14ac:dyDescent="0.25">
      <c r="B3527" s="476"/>
      <c r="C3527" s="476"/>
      <c r="D3527" s="475"/>
      <c r="E3527" s="476"/>
      <c r="F3527" s="475"/>
      <c r="G3527" s="476"/>
      <c r="H3527" s="475"/>
      <c r="I3527" s="476"/>
    </row>
    <row r="3528" spans="2:9" x14ac:dyDescent="0.25">
      <c r="B3528" s="476"/>
      <c r="C3528" s="476"/>
      <c r="D3528" s="475"/>
      <c r="E3528" s="476"/>
      <c r="F3528" s="475"/>
      <c r="G3528" s="476"/>
      <c r="H3528" s="475"/>
      <c r="I3528" s="476"/>
    </row>
    <row r="3529" spans="2:9" x14ac:dyDescent="0.25">
      <c r="B3529" s="476"/>
      <c r="C3529" s="476"/>
      <c r="D3529" s="475"/>
      <c r="E3529" s="476"/>
      <c r="F3529" s="475"/>
      <c r="G3529" s="476"/>
      <c r="H3529" s="475"/>
      <c r="I3529" s="476"/>
    </row>
    <row r="3530" spans="2:9" x14ac:dyDescent="0.25">
      <c r="B3530" s="476"/>
      <c r="C3530" s="476"/>
      <c r="D3530" s="475"/>
      <c r="E3530" s="476"/>
      <c r="F3530" s="475"/>
      <c r="G3530" s="476"/>
      <c r="H3530" s="475"/>
      <c r="I3530" s="476"/>
    </row>
    <row r="3531" spans="2:9" x14ac:dyDescent="0.25">
      <c r="B3531" s="476"/>
      <c r="C3531" s="476"/>
      <c r="D3531" s="475"/>
      <c r="E3531" s="476"/>
      <c r="F3531" s="475"/>
      <c r="G3531" s="476"/>
      <c r="H3531" s="475"/>
      <c r="I3531" s="476"/>
    </row>
    <row r="3532" spans="2:9" x14ac:dyDescent="0.25">
      <c r="B3532" s="476"/>
      <c r="C3532" s="476"/>
      <c r="D3532" s="475"/>
      <c r="E3532" s="476"/>
      <c r="F3532" s="475"/>
      <c r="G3532" s="476"/>
      <c r="H3532" s="475"/>
      <c r="I3532" s="476"/>
    </row>
    <row r="3533" spans="2:9" x14ac:dyDescent="0.25">
      <c r="B3533" s="476"/>
      <c r="C3533" s="476"/>
      <c r="D3533" s="475"/>
      <c r="E3533" s="476"/>
      <c r="F3533" s="475"/>
      <c r="G3533" s="476"/>
      <c r="H3533" s="475"/>
      <c r="I3533" s="476"/>
    </row>
    <row r="3534" spans="2:9" x14ac:dyDescent="0.25">
      <c r="B3534" s="476"/>
      <c r="C3534" s="476"/>
      <c r="D3534" s="475"/>
      <c r="E3534" s="476"/>
      <c r="F3534" s="475"/>
      <c r="G3534" s="476"/>
      <c r="H3534" s="475"/>
      <c r="I3534" s="476"/>
    </row>
    <row r="3535" spans="2:9" x14ac:dyDescent="0.25">
      <c r="B3535" s="476"/>
      <c r="C3535" s="476"/>
      <c r="D3535" s="475"/>
      <c r="E3535" s="476"/>
      <c r="F3535" s="475"/>
      <c r="G3535" s="476"/>
      <c r="H3535" s="475"/>
      <c r="I3535" s="476"/>
    </row>
    <row r="3536" spans="2:9" x14ac:dyDescent="0.25">
      <c r="B3536" s="476"/>
      <c r="C3536" s="476"/>
      <c r="D3536" s="475"/>
      <c r="E3536" s="476"/>
      <c r="F3536" s="475"/>
      <c r="G3536" s="476"/>
      <c r="H3536" s="475"/>
      <c r="I3536" s="476"/>
    </row>
    <row r="3537" spans="2:9" x14ac:dyDescent="0.25">
      <c r="B3537" s="476"/>
      <c r="C3537" s="476"/>
      <c r="D3537" s="475"/>
      <c r="E3537" s="476"/>
      <c r="F3537" s="475"/>
      <c r="G3537" s="476"/>
      <c r="H3537" s="475"/>
      <c r="I3537" s="476"/>
    </row>
    <row r="3538" spans="2:9" x14ac:dyDescent="0.25">
      <c r="B3538" s="476"/>
      <c r="C3538" s="476"/>
      <c r="D3538" s="475"/>
      <c r="E3538" s="476"/>
      <c r="F3538" s="475"/>
      <c r="G3538" s="476"/>
      <c r="H3538" s="475"/>
      <c r="I3538" s="476"/>
    </row>
    <row r="3539" spans="2:9" x14ac:dyDescent="0.25">
      <c r="B3539" s="476"/>
      <c r="C3539" s="476"/>
      <c r="D3539" s="475"/>
      <c r="E3539" s="476"/>
      <c r="F3539" s="475"/>
      <c r="G3539" s="476"/>
      <c r="H3539" s="475"/>
      <c r="I3539" s="476"/>
    </row>
    <row r="3540" spans="2:9" x14ac:dyDescent="0.25">
      <c r="B3540" s="476"/>
      <c r="C3540" s="476"/>
      <c r="D3540" s="475"/>
      <c r="E3540" s="476"/>
      <c r="F3540" s="475"/>
      <c r="G3540" s="476"/>
      <c r="H3540" s="475"/>
      <c r="I3540" s="476"/>
    </row>
    <row r="3541" spans="2:9" x14ac:dyDescent="0.25">
      <c r="B3541" s="476"/>
      <c r="C3541" s="476"/>
      <c r="D3541" s="475"/>
      <c r="E3541" s="476"/>
      <c r="F3541" s="475"/>
      <c r="G3541" s="476"/>
      <c r="H3541" s="475"/>
      <c r="I3541" s="476"/>
    </row>
    <row r="3542" spans="2:9" x14ac:dyDescent="0.25">
      <c r="B3542" s="476"/>
      <c r="C3542" s="476"/>
      <c r="D3542" s="475"/>
      <c r="E3542" s="476"/>
      <c r="F3542" s="475"/>
      <c r="G3542" s="476"/>
      <c r="H3542" s="475"/>
      <c r="I3542" s="476"/>
    </row>
    <row r="3543" spans="2:9" x14ac:dyDescent="0.25">
      <c r="B3543" s="476"/>
      <c r="C3543" s="476"/>
      <c r="D3543" s="475"/>
      <c r="E3543" s="476"/>
      <c r="F3543" s="475"/>
      <c r="G3543" s="476"/>
      <c r="H3543" s="475"/>
      <c r="I3543" s="476"/>
    </row>
    <row r="3544" spans="2:9" x14ac:dyDescent="0.25">
      <c r="B3544" s="476"/>
      <c r="C3544" s="476"/>
      <c r="D3544" s="475"/>
      <c r="E3544" s="476"/>
      <c r="F3544" s="475"/>
      <c r="G3544" s="476"/>
      <c r="H3544" s="475"/>
      <c r="I3544" s="476"/>
    </row>
    <row r="3545" spans="2:9" x14ac:dyDescent="0.25">
      <c r="B3545" s="476"/>
      <c r="C3545" s="476"/>
      <c r="D3545" s="475"/>
      <c r="E3545" s="476"/>
      <c r="F3545" s="475"/>
      <c r="G3545" s="476"/>
      <c r="H3545" s="475"/>
      <c r="I3545" s="476"/>
    </row>
    <row r="3546" spans="2:9" x14ac:dyDescent="0.25">
      <c r="B3546" s="476"/>
      <c r="C3546" s="476"/>
      <c r="D3546" s="475"/>
      <c r="E3546" s="476"/>
      <c r="F3546" s="475"/>
      <c r="G3546" s="476"/>
      <c r="H3546" s="475"/>
      <c r="I3546" s="476"/>
    </row>
    <row r="3547" spans="2:9" x14ac:dyDescent="0.25">
      <c r="B3547" s="476"/>
      <c r="C3547" s="476"/>
      <c r="D3547" s="475"/>
      <c r="E3547" s="476"/>
      <c r="F3547" s="475"/>
      <c r="G3547" s="476"/>
      <c r="H3547" s="475"/>
      <c r="I3547" s="476"/>
    </row>
    <row r="3548" spans="2:9" x14ac:dyDescent="0.25">
      <c r="B3548" s="476"/>
      <c r="C3548" s="476"/>
      <c r="D3548" s="475"/>
      <c r="E3548" s="476"/>
      <c r="F3548" s="475"/>
      <c r="G3548" s="476"/>
      <c r="H3548" s="475"/>
      <c r="I3548" s="476"/>
    </row>
    <row r="3549" spans="2:9" x14ac:dyDescent="0.25">
      <c r="B3549" s="476"/>
      <c r="C3549" s="476"/>
      <c r="D3549" s="475"/>
      <c r="E3549" s="476"/>
      <c r="F3549" s="475"/>
      <c r="G3549" s="476"/>
      <c r="H3549" s="475"/>
      <c r="I3549" s="476"/>
    </row>
    <row r="3550" spans="2:9" x14ac:dyDescent="0.25">
      <c r="B3550" s="476"/>
      <c r="C3550" s="476"/>
      <c r="D3550" s="475"/>
      <c r="E3550" s="476"/>
      <c r="F3550" s="475"/>
      <c r="G3550" s="476"/>
      <c r="H3550" s="475"/>
      <c r="I3550" s="476"/>
    </row>
    <row r="3551" spans="2:9" x14ac:dyDescent="0.25">
      <c r="B3551" s="476"/>
      <c r="C3551" s="476"/>
      <c r="D3551" s="475"/>
      <c r="E3551" s="476"/>
      <c r="F3551" s="475"/>
      <c r="G3551" s="476"/>
      <c r="H3551" s="475"/>
      <c r="I3551" s="476"/>
    </row>
    <row r="3552" spans="2:9" x14ac:dyDescent="0.25">
      <c r="B3552" s="476"/>
      <c r="C3552" s="476"/>
      <c r="D3552" s="475"/>
      <c r="E3552" s="476"/>
      <c r="F3552" s="475"/>
      <c r="G3552" s="476"/>
      <c r="H3552" s="475"/>
      <c r="I3552" s="476"/>
    </row>
    <row r="3553" spans="2:9" x14ac:dyDescent="0.25">
      <c r="B3553" s="476"/>
      <c r="C3553" s="476"/>
      <c r="D3553" s="475"/>
      <c r="E3553" s="476"/>
      <c r="F3553" s="475"/>
      <c r="G3553" s="476"/>
      <c r="H3553" s="475"/>
      <c r="I3553" s="476"/>
    </row>
    <row r="3554" spans="2:9" x14ac:dyDescent="0.25">
      <c r="B3554" s="476"/>
      <c r="C3554" s="476"/>
      <c r="D3554" s="475"/>
      <c r="E3554" s="476"/>
      <c r="F3554" s="475"/>
      <c r="G3554" s="476"/>
      <c r="H3554" s="475"/>
      <c r="I3554" s="476"/>
    </row>
    <row r="3555" spans="2:9" x14ac:dyDescent="0.25">
      <c r="B3555" s="476"/>
      <c r="C3555" s="476"/>
      <c r="D3555" s="475"/>
      <c r="E3555" s="476"/>
      <c r="F3555" s="475"/>
      <c r="G3555" s="476"/>
      <c r="H3555" s="475"/>
      <c r="I3555" s="476"/>
    </row>
    <row r="3556" spans="2:9" x14ac:dyDescent="0.25">
      <c r="B3556" s="476"/>
      <c r="C3556" s="476"/>
      <c r="D3556" s="475"/>
      <c r="E3556" s="476"/>
      <c r="F3556" s="475"/>
      <c r="G3556" s="476"/>
      <c r="H3556" s="475"/>
      <c r="I3556" s="476"/>
    </row>
    <row r="3557" spans="2:9" x14ac:dyDescent="0.25">
      <c r="B3557" s="476"/>
      <c r="C3557" s="476"/>
      <c r="D3557" s="475"/>
      <c r="E3557" s="476"/>
      <c r="F3557" s="475"/>
      <c r="G3557" s="476"/>
      <c r="H3557" s="475"/>
      <c r="I3557" s="476"/>
    </row>
    <row r="3558" spans="2:9" x14ac:dyDescent="0.25">
      <c r="B3558" s="476"/>
      <c r="C3558" s="476"/>
      <c r="D3558" s="475"/>
      <c r="E3558" s="476"/>
      <c r="F3558" s="475"/>
      <c r="G3558" s="476"/>
      <c r="H3558" s="475"/>
      <c r="I3558" s="476"/>
    </row>
    <row r="3559" spans="2:9" x14ac:dyDescent="0.25">
      <c r="B3559" s="476"/>
      <c r="C3559" s="476"/>
      <c r="D3559" s="475"/>
      <c r="E3559" s="476"/>
      <c r="F3559" s="475"/>
      <c r="G3559" s="476"/>
      <c r="H3559" s="475"/>
      <c r="I3559" s="476"/>
    </row>
    <row r="3560" spans="2:9" x14ac:dyDescent="0.25">
      <c r="B3560" s="476"/>
      <c r="C3560" s="476"/>
      <c r="D3560" s="475"/>
      <c r="E3560" s="476"/>
      <c r="F3560" s="475"/>
      <c r="G3560" s="476"/>
      <c r="H3560" s="475"/>
      <c r="I3560" s="476"/>
    </row>
    <row r="3561" spans="2:9" x14ac:dyDescent="0.25">
      <c r="B3561" s="476"/>
      <c r="C3561" s="476"/>
      <c r="D3561" s="475"/>
      <c r="E3561" s="476"/>
      <c r="F3561" s="475"/>
      <c r="G3561" s="476"/>
      <c r="H3561" s="475"/>
      <c r="I3561" s="476"/>
    </row>
    <row r="3562" spans="2:9" x14ac:dyDescent="0.25">
      <c r="B3562" s="476"/>
      <c r="C3562" s="476"/>
      <c r="D3562" s="475"/>
      <c r="E3562" s="476"/>
      <c r="F3562" s="475"/>
      <c r="G3562" s="476"/>
      <c r="H3562" s="475"/>
      <c r="I3562" s="476"/>
    </row>
    <row r="3563" spans="2:9" x14ac:dyDescent="0.25">
      <c r="B3563" s="476"/>
      <c r="C3563" s="476"/>
      <c r="D3563" s="475"/>
      <c r="E3563" s="476"/>
      <c r="F3563" s="475"/>
      <c r="G3563" s="476"/>
      <c r="H3563" s="475"/>
      <c r="I3563" s="476"/>
    </row>
    <row r="3564" spans="2:9" x14ac:dyDescent="0.25">
      <c r="B3564" s="476"/>
      <c r="C3564" s="476"/>
      <c r="D3564" s="475"/>
      <c r="E3564" s="476"/>
      <c r="F3564" s="475"/>
      <c r="G3564" s="476"/>
      <c r="H3564" s="475"/>
      <c r="I3564" s="476"/>
    </row>
    <row r="3565" spans="2:9" x14ac:dyDescent="0.25">
      <c r="B3565" s="476"/>
      <c r="C3565" s="476"/>
      <c r="D3565" s="475"/>
      <c r="E3565" s="476"/>
      <c r="F3565" s="475"/>
      <c r="G3565" s="476"/>
      <c r="H3565" s="475"/>
      <c r="I3565" s="476"/>
    </row>
    <row r="3566" spans="2:9" x14ac:dyDescent="0.25">
      <c r="B3566" s="476"/>
      <c r="C3566" s="476"/>
      <c r="D3566" s="475"/>
      <c r="E3566" s="476"/>
      <c r="F3566" s="475"/>
      <c r="G3566" s="476"/>
      <c r="H3566" s="475"/>
      <c r="I3566" s="476"/>
    </row>
    <row r="3567" spans="2:9" x14ac:dyDescent="0.25">
      <c r="B3567" s="476"/>
      <c r="C3567" s="476"/>
      <c r="D3567" s="475"/>
      <c r="E3567" s="476"/>
      <c r="F3567" s="475"/>
      <c r="G3567" s="476"/>
      <c r="H3567" s="475"/>
      <c r="I3567" s="476"/>
    </row>
    <row r="3568" spans="2:9" x14ac:dyDescent="0.25">
      <c r="B3568" s="476"/>
      <c r="C3568" s="476"/>
      <c r="D3568" s="475"/>
      <c r="E3568" s="476"/>
      <c r="F3568" s="475"/>
      <c r="G3568" s="476"/>
      <c r="H3568" s="475"/>
      <c r="I3568" s="476"/>
    </row>
    <row r="3569" spans="2:9" x14ac:dyDescent="0.25">
      <c r="B3569" s="476"/>
      <c r="C3569" s="476"/>
      <c r="D3569" s="475"/>
      <c r="E3569" s="476"/>
      <c r="F3569" s="475"/>
      <c r="G3569" s="476"/>
      <c r="H3569" s="475"/>
      <c r="I3569" s="476"/>
    </row>
    <row r="3570" spans="2:9" x14ac:dyDescent="0.25">
      <c r="B3570" s="476"/>
      <c r="C3570" s="476"/>
      <c r="D3570" s="475"/>
      <c r="E3570" s="476"/>
      <c r="F3570" s="475"/>
      <c r="G3570" s="476"/>
      <c r="H3570" s="475"/>
      <c r="I3570" s="476"/>
    </row>
    <row r="3571" spans="2:9" x14ac:dyDescent="0.25">
      <c r="B3571" s="476"/>
      <c r="C3571" s="476"/>
      <c r="D3571" s="475"/>
      <c r="E3571" s="476"/>
      <c r="F3571" s="475"/>
      <c r="G3571" s="476"/>
      <c r="H3571" s="475"/>
      <c r="I3571" s="476"/>
    </row>
    <row r="3572" spans="2:9" x14ac:dyDescent="0.25">
      <c r="B3572" s="476"/>
      <c r="C3572" s="476"/>
      <c r="D3572" s="475"/>
      <c r="E3572" s="476"/>
      <c r="F3572" s="475"/>
      <c r="G3572" s="476"/>
      <c r="H3572" s="475"/>
      <c r="I3572" s="476"/>
    </row>
    <row r="3573" spans="2:9" x14ac:dyDescent="0.25">
      <c r="B3573" s="476"/>
      <c r="C3573" s="476"/>
      <c r="D3573" s="475"/>
      <c r="E3573" s="476"/>
      <c r="F3573" s="475"/>
      <c r="G3573" s="476"/>
      <c r="H3573" s="475"/>
      <c r="I3573" s="476"/>
    </row>
    <row r="3574" spans="2:9" x14ac:dyDescent="0.25">
      <c r="B3574" s="476"/>
      <c r="C3574" s="476"/>
      <c r="D3574" s="475"/>
      <c r="E3574" s="476"/>
      <c r="F3574" s="475"/>
      <c r="G3574" s="476"/>
      <c r="H3574" s="475"/>
      <c r="I3574" s="476"/>
    </row>
    <row r="3575" spans="2:9" x14ac:dyDescent="0.25">
      <c r="B3575" s="476"/>
      <c r="C3575" s="476"/>
      <c r="D3575" s="475"/>
      <c r="E3575" s="476"/>
      <c r="F3575" s="475"/>
      <c r="G3575" s="476"/>
      <c r="H3575" s="475"/>
      <c r="I3575" s="476"/>
    </row>
    <row r="3576" spans="2:9" x14ac:dyDescent="0.25">
      <c r="B3576" s="476"/>
      <c r="C3576" s="476"/>
      <c r="D3576" s="475"/>
      <c r="E3576" s="476"/>
      <c r="F3576" s="475"/>
      <c r="G3576" s="476"/>
      <c r="H3576" s="475"/>
      <c r="I3576" s="476"/>
    </row>
    <row r="3577" spans="2:9" x14ac:dyDescent="0.25">
      <c r="B3577" s="476"/>
      <c r="C3577" s="476"/>
      <c r="D3577" s="475"/>
      <c r="E3577" s="476"/>
      <c r="F3577" s="475"/>
      <c r="G3577" s="476"/>
      <c r="H3577" s="475"/>
      <c r="I3577" s="476"/>
    </row>
    <row r="3578" spans="2:9" x14ac:dyDescent="0.25">
      <c r="B3578" s="476"/>
      <c r="C3578" s="476"/>
      <c r="D3578" s="475"/>
      <c r="E3578" s="476"/>
      <c r="F3578" s="475"/>
      <c r="G3578" s="476"/>
      <c r="H3578" s="475"/>
      <c r="I3578" s="476"/>
    </row>
    <row r="3579" spans="2:9" x14ac:dyDescent="0.25">
      <c r="B3579" s="476"/>
      <c r="C3579" s="476"/>
      <c r="D3579" s="475"/>
      <c r="E3579" s="476"/>
      <c r="F3579" s="475"/>
      <c r="G3579" s="476"/>
      <c r="H3579" s="475"/>
      <c r="I3579" s="476"/>
    </row>
    <row r="3580" spans="2:9" x14ac:dyDescent="0.25">
      <c r="B3580" s="476"/>
      <c r="C3580" s="476"/>
      <c r="D3580" s="475"/>
      <c r="E3580" s="476"/>
      <c r="F3580" s="475"/>
      <c r="G3580" s="476"/>
      <c r="H3580" s="475"/>
      <c r="I3580" s="476"/>
    </row>
    <row r="3581" spans="2:9" x14ac:dyDescent="0.25">
      <c r="B3581" s="476"/>
      <c r="C3581" s="476"/>
      <c r="D3581" s="475"/>
      <c r="E3581" s="476"/>
      <c r="F3581" s="475"/>
      <c r="G3581" s="476"/>
      <c r="H3581" s="475"/>
      <c r="I3581" s="476"/>
    </row>
    <row r="3582" spans="2:9" x14ac:dyDescent="0.25">
      <c r="B3582" s="476"/>
      <c r="C3582" s="476"/>
      <c r="D3582" s="475"/>
      <c r="E3582" s="476"/>
      <c r="F3582" s="475"/>
      <c r="G3582" s="476"/>
      <c r="H3582" s="475"/>
      <c r="I3582" s="476"/>
    </row>
    <row r="3583" spans="2:9" x14ac:dyDescent="0.25">
      <c r="B3583" s="476"/>
      <c r="C3583" s="476"/>
      <c r="D3583" s="475"/>
      <c r="E3583" s="476"/>
      <c r="F3583" s="475"/>
      <c r="G3583" s="476"/>
      <c r="H3583" s="475"/>
      <c r="I3583" s="476"/>
    </row>
    <row r="3584" spans="2:9" x14ac:dyDescent="0.25">
      <c r="B3584" s="476"/>
      <c r="C3584" s="476"/>
      <c r="D3584" s="475"/>
      <c r="E3584" s="476"/>
      <c r="F3584" s="475"/>
      <c r="G3584" s="476"/>
      <c r="H3584" s="475"/>
      <c r="I3584" s="476"/>
    </row>
    <row r="3585" spans="2:9" x14ac:dyDescent="0.25">
      <c r="B3585" s="476"/>
      <c r="C3585" s="476"/>
      <c r="D3585" s="475"/>
      <c r="E3585" s="476"/>
      <c r="F3585" s="475"/>
      <c r="G3585" s="476"/>
      <c r="H3585" s="475"/>
      <c r="I3585" s="476"/>
    </row>
    <row r="3586" spans="2:9" x14ac:dyDescent="0.25">
      <c r="B3586" s="476"/>
      <c r="C3586" s="476"/>
      <c r="D3586" s="475"/>
      <c r="E3586" s="476"/>
      <c r="F3586" s="475"/>
      <c r="G3586" s="476"/>
      <c r="H3586" s="475"/>
      <c r="I3586" s="476"/>
    </row>
    <row r="3587" spans="2:9" x14ac:dyDescent="0.25">
      <c r="B3587" s="476"/>
      <c r="C3587" s="476"/>
      <c r="D3587" s="475"/>
      <c r="E3587" s="476"/>
      <c r="F3587" s="475"/>
      <c r="G3587" s="476"/>
      <c r="H3587" s="475"/>
      <c r="I3587" s="476"/>
    </row>
    <row r="3588" spans="2:9" x14ac:dyDescent="0.25">
      <c r="B3588" s="476"/>
      <c r="C3588" s="476"/>
      <c r="D3588" s="475"/>
      <c r="E3588" s="476"/>
      <c r="F3588" s="475"/>
      <c r="G3588" s="476"/>
      <c r="H3588" s="475"/>
      <c r="I3588" s="476"/>
    </row>
    <row r="3589" spans="2:9" x14ac:dyDescent="0.25">
      <c r="B3589" s="476"/>
      <c r="C3589" s="476"/>
      <c r="D3589" s="475"/>
      <c r="E3589" s="476"/>
      <c r="F3589" s="475"/>
      <c r="G3589" s="476"/>
      <c r="H3589" s="475"/>
      <c r="I3589" s="476"/>
    </row>
    <row r="3590" spans="2:9" x14ac:dyDescent="0.25">
      <c r="B3590" s="476"/>
      <c r="C3590" s="476"/>
      <c r="D3590" s="475"/>
      <c r="E3590" s="476"/>
      <c r="F3590" s="475"/>
      <c r="G3590" s="476"/>
      <c r="H3590" s="475"/>
      <c r="I3590" s="476"/>
    </row>
    <row r="3591" spans="2:9" x14ac:dyDescent="0.25">
      <c r="B3591" s="476"/>
      <c r="C3591" s="476"/>
      <c r="D3591" s="475"/>
      <c r="E3591" s="476"/>
      <c r="F3591" s="475"/>
      <c r="G3591" s="476"/>
      <c r="H3591" s="475"/>
      <c r="I3591" s="476"/>
    </row>
    <row r="3592" spans="2:9" x14ac:dyDescent="0.25">
      <c r="B3592" s="476"/>
      <c r="C3592" s="476"/>
      <c r="D3592" s="475"/>
      <c r="E3592" s="476"/>
      <c r="F3592" s="475"/>
      <c r="G3592" s="476"/>
      <c r="H3592" s="475"/>
      <c r="I3592" s="476"/>
    </row>
    <row r="3593" spans="2:9" x14ac:dyDescent="0.25">
      <c r="B3593" s="476"/>
      <c r="C3593" s="476"/>
      <c r="D3593" s="475"/>
      <c r="E3593" s="476"/>
      <c r="F3593" s="475"/>
      <c r="G3593" s="476"/>
      <c r="H3593" s="475"/>
      <c r="I3593" s="476"/>
    </row>
    <row r="3594" spans="2:9" x14ac:dyDescent="0.25">
      <c r="B3594" s="476"/>
      <c r="C3594" s="476"/>
      <c r="D3594" s="475"/>
      <c r="E3594" s="476"/>
      <c r="F3594" s="475"/>
      <c r="G3594" s="476"/>
      <c r="H3594" s="475"/>
      <c r="I3594" s="476"/>
    </row>
    <row r="3595" spans="2:9" x14ac:dyDescent="0.25">
      <c r="B3595" s="476"/>
      <c r="C3595" s="476"/>
      <c r="D3595" s="475"/>
      <c r="E3595" s="476"/>
      <c r="F3595" s="475"/>
      <c r="G3595" s="476"/>
      <c r="H3595" s="475"/>
      <c r="I3595" s="476"/>
    </row>
    <row r="3596" spans="2:9" x14ac:dyDescent="0.25">
      <c r="B3596" s="476"/>
      <c r="C3596" s="476"/>
      <c r="D3596" s="475"/>
      <c r="E3596" s="476"/>
      <c r="F3596" s="475"/>
      <c r="G3596" s="476"/>
      <c r="H3596" s="475"/>
      <c r="I3596" s="476"/>
    </row>
    <row r="3597" spans="2:9" x14ac:dyDescent="0.25">
      <c r="B3597" s="476"/>
      <c r="C3597" s="476"/>
      <c r="D3597" s="475"/>
      <c r="E3597" s="476"/>
      <c r="F3597" s="475"/>
      <c r="G3597" s="476"/>
      <c r="H3597" s="475"/>
      <c r="I3597" s="476"/>
    </row>
    <row r="3598" spans="2:9" x14ac:dyDescent="0.25">
      <c r="B3598" s="476"/>
      <c r="C3598" s="476"/>
      <c r="D3598" s="475"/>
      <c r="E3598" s="476"/>
      <c r="F3598" s="475"/>
      <c r="G3598" s="476"/>
      <c r="H3598" s="475"/>
      <c r="I3598" s="476"/>
    </row>
    <row r="3599" spans="2:9" x14ac:dyDescent="0.25">
      <c r="B3599" s="476"/>
      <c r="C3599" s="476"/>
      <c r="D3599" s="475"/>
      <c r="E3599" s="476"/>
      <c r="F3599" s="475"/>
      <c r="G3599" s="476"/>
      <c r="H3599" s="475"/>
      <c r="I3599" s="476"/>
    </row>
    <row r="3600" spans="2:9" x14ac:dyDescent="0.25">
      <c r="B3600" s="476"/>
      <c r="C3600" s="476"/>
      <c r="D3600" s="475"/>
      <c r="E3600" s="476"/>
      <c r="F3600" s="475"/>
      <c r="G3600" s="476"/>
      <c r="H3600" s="475"/>
      <c r="I3600" s="476"/>
    </row>
    <row r="3601" spans="2:9" x14ac:dyDescent="0.25">
      <c r="B3601" s="476"/>
      <c r="C3601" s="476"/>
      <c r="D3601" s="475"/>
      <c r="E3601" s="476"/>
      <c r="F3601" s="475"/>
      <c r="G3601" s="476"/>
      <c r="H3601" s="475"/>
      <c r="I3601" s="476"/>
    </row>
    <row r="3602" spans="2:9" x14ac:dyDescent="0.25">
      <c r="B3602" s="476"/>
      <c r="C3602" s="476"/>
      <c r="D3602" s="475"/>
      <c r="E3602" s="476"/>
      <c r="F3602" s="475"/>
      <c r="G3602" s="476"/>
      <c r="H3602" s="475"/>
      <c r="I3602" s="476"/>
    </row>
    <row r="3603" spans="2:9" x14ac:dyDescent="0.25">
      <c r="B3603" s="476"/>
      <c r="C3603" s="476"/>
      <c r="D3603" s="475"/>
      <c r="E3603" s="476"/>
      <c r="F3603" s="475"/>
      <c r="G3603" s="476"/>
      <c r="H3603" s="475"/>
      <c r="I3603" s="476"/>
    </row>
    <row r="3604" spans="2:9" x14ac:dyDescent="0.25">
      <c r="B3604" s="476"/>
      <c r="C3604" s="476"/>
      <c r="D3604" s="475"/>
      <c r="E3604" s="476"/>
      <c r="F3604" s="475"/>
      <c r="G3604" s="476"/>
      <c r="H3604" s="475"/>
      <c r="I3604" s="476"/>
    </row>
    <row r="3605" spans="2:9" x14ac:dyDescent="0.25">
      <c r="B3605" s="476"/>
      <c r="C3605" s="476"/>
      <c r="D3605" s="475"/>
      <c r="E3605" s="476"/>
      <c r="F3605" s="475"/>
      <c r="G3605" s="476"/>
      <c r="H3605" s="475"/>
      <c r="I3605" s="476"/>
    </row>
    <row r="3606" spans="2:9" x14ac:dyDescent="0.25">
      <c r="B3606" s="476"/>
      <c r="C3606" s="476"/>
      <c r="D3606" s="475"/>
      <c r="E3606" s="476"/>
      <c r="F3606" s="475"/>
      <c r="G3606" s="476"/>
      <c r="H3606" s="475"/>
      <c r="I3606" s="476"/>
    </row>
    <row r="3607" spans="2:9" x14ac:dyDescent="0.25">
      <c r="B3607" s="476"/>
      <c r="C3607" s="476"/>
      <c r="D3607" s="475"/>
      <c r="E3607" s="476"/>
      <c r="F3607" s="475"/>
      <c r="G3607" s="476"/>
      <c r="H3607" s="475"/>
      <c r="I3607" s="476"/>
    </row>
    <row r="3608" spans="2:9" x14ac:dyDescent="0.25">
      <c r="B3608" s="476"/>
      <c r="C3608" s="476"/>
      <c r="D3608" s="475"/>
      <c r="E3608" s="476"/>
      <c r="F3608" s="475"/>
      <c r="G3608" s="476"/>
      <c r="H3608" s="475"/>
      <c r="I3608" s="476"/>
    </row>
    <row r="3609" spans="2:9" x14ac:dyDescent="0.25">
      <c r="B3609" s="476"/>
      <c r="C3609" s="476"/>
      <c r="D3609" s="475"/>
      <c r="E3609" s="476"/>
      <c r="F3609" s="475"/>
      <c r="G3609" s="476"/>
      <c r="H3609" s="475"/>
      <c r="I3609" s="476"/>
    </row>
    <row r="3610" spans="2:9" x14ac:dyDescent="0.25">
      <c r="B3610" s="476"/>
      <c r="C3610" s="476"/>
      <c r="D3610" s="475"/>
      <c r="E3610" s="476"/>
      <c r="F3610" s="475"/>
      <c r="G3610" s="476"/>
      <c r="H3610" s="475"/>
      <c r="I3610" s="476"/>
    </row>
    <row r="3611" spans="2:9" x14ac:dyDescent="0.25">
      <c r="B3611" s="476"/>
      <c r="C3611" s="476"/>
      <c r="D3611" s="475"/>
      <c r="E3611" s="476"/>
      <c r="F3611" s="475"/>
      <c r="G3611" s="476"/>
      <c r="H3611" s="475"/>
      <c r="I3611" s="476"/>
    </row>
    <row r="3612" spans="2:9" x14ac:dyDescent="0.25">
      <c r="B3612" s="476"/>
      <c r="C3612" s="476"/>
      <c r="D3612" s="475"/>
      <c r="E3612" s="476"/>
      <c r="F3612" s="475"/>
      <c r="G3612" s="476"/>
      <c r="H3612" s="475"/>
      <c r="I3612" s="476"/>
    </row>
    <row r="3613" spans="2:9" x14ac:dyDescent="0.25">
      <c r="B3613" s="476"/>
      <c r="C3613" s="476"/>
      <c r="D3613" s="475"/>
      <c r="E3613" s="476"/>
      <c r="F3613" s="475"/>
      <c r="G3613" s="476"/>
      <c r="H3613" s="475"/>
      <c r="I3613" s="476"/>
    </row>
    <row r="3614" spans="2:9" x14ac:dyDescent="0.25">
      <c r="B3614" s="476"/>
      <c r="C3614" s="476"/>
      <c r="D3614" s="475"/>
      <c r="E3614" s="476"/>
      <c r="F3614" s="475"/>
      <c r="G3614" s="476"/>
      <c r="H3614" s="475"/>
      <c r="I3614" s="476"/>
    </row>
    <row r="3615" spans="2:9" x14ac:dyDescent="0.25">
      <c r="B3615" s="476"/>
      <c r="C3615" s="476"/>
      <c r="D3615" s="475"/>
      <c r="E3615" s="476"/>
      <c r="F3615" s="475"/>
      <c r="G3615" s="476"/>
      <c r="H3615" s="475"/>
      <c r="I3615" s="476"/>
    </row>
    <row r="3616" spans="2:9" x14ac:dyDescent="0.25">
      <c r="B3616" s="476"/>
      <c r="C3616" s="476"/>
      <c r="D3616" s="475"/>
      <c r="E3616" s="476"/>
      <c r="F3616" s="475"/>
      <c r="G3616" s="476"/>
      <c r="H3616" s="475"/>
      <c r="I3616" s="476"/>
    </row>
    <row r="3617" spans="2:9" x14ac:dyDescent="0.25">
      <c r="B3617" s="476"/>
      <c r="C3617" s="476"/>
      <c r="D3617" s="475"/>
      <c r="E3617" s="476"/>
      <c r="F3617" s="475"/>
      <c r="G3617" s="476"/>
      <c r="H3617" s="475"/>
      <c r="I3617" s="476"/>
    </row>
    <row r="3618" spans="2:9" x14ac:dyDescent="0.25">
      <c r="B3618" s="476"/>
      <c r="C3618" s="476"/>
      <c r="D3618" s="475"/>
      <c r="E3618" s="476"/>
      <c r="F3618" s="475"/>
      <c r="G3618" s="476"/>
      <c r="H3618" s="475"/>
      <c r="I3618" s="476"/>
    </row>
    <row r="3619" spans="2:9" x14ac:dyDescent="0.25">
      <c r="B3619" s="476"/>
      <c r="C3619" s="476"/>
      <c r="D3619" s="475"/>
      <c r="E3619" s="476"/>
      <c r="F3619" s="475"/>
      <c r="G3619" s="476"/>
      <c r="H3619" s="475"/>
      <c r="I3619" s="476"/>
    </row>
    <row r="3620" spans="2:9" x14ac:dyDescent="0.25">
      <c r="B3620" s="476"/>
      <c r="C3620" s="476"/>
      <c r="D3620" s="475"/>
      <c r="E3620" s="476"/>
      <c r="F3620" s="475"/>
      <c r="G3620" s="476"/>
      <c r="H3620" s="475"/>
      <c r="I3620" s="476"/>
    </row>
    <row r="3621" spans="2:9" x14ac:dyDescent="0.25">
      <c r="B3621" s="476"/>
      <c r="C3621" s="476"/>
      <c r="D3621" s="475"/>
      <c r="E3621" s="476"/>
      <c r="F3621" s="475"/>
      <c r="G3621" s="476"/>
      <c r="H3621" s="475"/>
      <c r="I3621" s="476"/>
    </row>
    <row r="3622" spans="2:9" x14ac:dyDescent="0.25">
      <c r="B3622" s="476"/>
      <c r="C3622" s="476"/>
      <c r="D3622" s="475"/>
      <c r="E3622" s="476"/>
      <c r="F3622" s="475"/>
      <c r="G3622" s="476"/>
      <c r="H3622" s="475"/>
      <c r="I3622" s="476"/>
    </row>
    <row r="3623" spans="2:9" x14ac:dyDescent="0.25">
      <c r="B3623" s="476"/>
      <c r="C3623" s="476"/>
      <c r="D3623" s="475"/>
      <c r="E3623" s="476"/>
      <c r="F3623" s="475"/>
      <c r="G3623" s="476"/>
      <c r="H3623" s="475"/>
      <c r="I3623" s="476"/>
    </row>
    <row r="3624" spans="2:9" x14ac:dyDescent="0.25">
      <c r="B3624" s="476"/>
      <c r="C3624" s="476"/>
      <c r="D3624" s="475"/>
      <c r="E3624" s="476"/>
      <c r="F3624" s="475"/>
      <c r="G3624" s="476"/>
      <c r="H3624" s="475"/>
      <c r="I3624" s="476"/>
    </row>
    <row r="3625" spans="2:9" x14ac:dyDescent="0.25">
      <c r="B3625" s="476"/>
      <c r="C3625" s="476"/>
      <c r="D3625" s="475"/>
      <c r="E3625" s="476"/>
      <c r="F3625" s="475"/>
      <c r="G3625" s="476"/>
      <c r="H3625" s="475"/>
      <c r="I3625" s="476"/>
    </row>
    <row r="3626" spans="2:9" x14ac:dyDescent="0.25">
      <c r="B3626" s="476"/>
      <c r="C3626" s="476"/>
      <c r="D3626" s="475"/>
      <c r="E3626" s="476"/>
      <c r="F3626" s="475"/>
      <c r="G3626" s="476"/>
      <c r="H3626" s="475"/>
      <c r="I3626" s="476"/>
    </row>
    <row r="3627" spans="2:9" x14ac:dyDescent="0.25">
      <c r="B3627" s="476"/>
      <c r="C3627" s="476"/>
      <c r="D3627" s="475"/>
      <c r="E3627" s="476"/>
      <c r="F3627" s="475"/>
      <c r="G3627" s="476"/>
      <c r="H3627" s="475"/>
      <c r="I3627" s="476"/>
    </row>
    <row r="3628" spans="2:9" x14ac:dyDescent="0.25">
      <c r="B3628" s="476"/>
      <c r="C3628" s="476"/>
      <c r="D3628" s="475"/>
      <c r="E3628" s="476"/>
      <c r="F3628" s="475"/>
      <c r="G3628" s="476"/>
      <c r="H3628" s="475"/>
      <c r="I3628" s="476"/>
    </row>
    <row r="3629" spans="2:9" x14ac:dyDescent="0.25">
      <c r="B3629" s="476"/>
      <c r="C3629" s="476"/>
      <c r="D3629" s="475"/>
      <c r="E3629" s="476"/>
      <c r="F3629" s="475"/>
      <c r="G3629" s="476"/>
      <c r="H3629" s="475"/>
      <c r="I3629" s="476"/>
    </row>
    <row r="3630" spans="2:9" x14ac:dyDescent="0.25">
      <c r="B3630" s="476"/>
      <c r="C3630" s="476"/>
      <c r="D3630" s="475"/>
      <c r="E3630" s="476"/>
      <c r="F3630" s="475"/>
      <c r="G3630" s="476"/>
      <c r="H3630" s="475"/>
      <c r="I3630" s="476"/>
    </row>
    <row r="3631" spans="2:9" x14ac:dyDescent="0.25">
      <c r="B3631" s="476"/>
      <c r="C3631" s="476"/>
      <c r="D3631" s="475"/>
      <c r="E3631" s="476"/>
      <c r="F3631" s="475"/>
      <c r="G3631" s="476"/>
      <c r="H3631" s="475"/>
      <c r="I3631" s="476"/>
    </row>
    <row r="3632" spans="2:9" x14ac:dyDescent="0.25">
      <c r="B3632" s="476"/>
      <c r="C3632" s="476"/>
      <c r="D3632" s="475"/>
      <c r="E3632" s="476"/>
      <c r="F3632" s="475"/>
      <c r="G3632" s="476"/>
      <c r="H3632" s="475"/>
      <c r="I3632" s="476"/>
    </row>
    <row r="3633" spans="2:9" x14ac:dyDescent="0.25">
      <c r="B3633" s="476"/>
      <c r="C3633" s="476"/>
      <c r="D3633" s="475"/>
      <c r="E3633" s="476"/>
      <c r="F3633" s="475"/>
      <c r="G3633" s="476"/>
      <c r="H3633" s="475"/>
      <c r="I3633" s="476"/>
    </row>
    <row r="3634" spans="2:9" x14ac:dyDescent="0.25">
      <c r="B3634" s="476"/>
      <c r="C3634" s="476"/>
      <c r="D3634" s="475"/>
      <c r="E3634" s="476"/>
      <c r="F3634" s="475"/>
      <c r="G3634" s="476"/>
      <c r="H3634" s="475"/>
      <c r="I3634" s="476"/>
    </row>
    <row r="3635" spans="2:9" x14ac:dyDescent="0.25">
      <c r="B3635" s="476"/>
      <c r="C3635" s="476"/>
      <c r="D3635" s="475"/>
      <c r="E3635" s="476"/>
      <c r="F3635" s="475"/>
      <c r="G3635" s="476"/>
      <c r="H3635" s="475"/>
      <c r="I3635" s="476"/>
    </row>
    <row r="3636" spans="2:9" x14ac:dyDescent="0.25">
      <c r="B3636" s="476"/>
      <c r="C3636" s="476"/>
      <c r="D3636" s="475"/>
      <c r="E3636" s="476"/>
      <c r="F3636" s="475"/>
      <c r="G3636" s="476"/>
      <c r="H3636" s="475"/>
      <c r="I3636" s="476"/>
    </row>
    <row r="3637" spans="2:9" x14ac:dyDescent="0.25">
      <c r="B3637" s="476"/>
      <c r="C3637" s="476"/>
      <c r="D3637" s="475"/>
      <c r="E3637" s="476"/>
      <c r="F3637" s="475"/>
      <c r="G3637" s="476"/>
      <c r="H3637" s="475"/>
      <c r="I3637" s="476"/>
    </row>
    <row r="3638" spans="2:9" x14ac:dyDescent="0.25">
      <c r="B3638" s="476"/>
      <c r="C3638" s="476"/>
      <c r="D3638" s="475"/>
      <c r="E3638" s="476"/>
      <c r="F3638" s="475"/>
      <c r="G3638" s="476"/>
      <c r="H3638" s="475"/>
      <c r="I3638" s="476"/>
    </row>
    <row r="3639" spans="2:9" x14ac:dyDescent="0.25">
      <c r="B3639" s="476"/>
      <c r="C3639" s="476"/>
      <c r="D3639" s="475"/>
      <c r="E3639" s="476"/>
      <c r="F3639" s="475"/>
      <c r="G3639" s="476"/>
      <c r="H3639" s="475"/>
      <c r="I3639" s="476"/>
    </row>
    <row r="3640" spans="2:9" x14ac:dyDescent="0.25">
      <c r="B3640" s="476"/>
      <c r="C3640" s="476"/>
      <c r="D3640" s="475"/>
      <c r="E3640" s="476"/>
      <c r="F3640" s="475"/>
      <c r="G3640" s="476"/>
      <c r="H3640" s="475"/>
      <c r="I3640" s="476"/>
    </row>
    <row r="3641" spans="2:9" x14ac:dyDescent="0.25">
      <c r="B3641" s="476"/>
      <c r="C3641" s="476"/>
      <c r="D3641" s="475"/>
      <c r="E3641" s="476"/>
      <c r="F3641" s="475"/>
      <c r="G3641" s="476"/>
      <c r="H3641" s="475"/>
      <c r="I3641" s="476"/>
    </row>
    <row r="3642" spans="2:9" x14ac:dyDescent="0.25">
      <c r="B3642" s="476"/>
      <c r="C3642" s="476"/>
      <c r="D3642" s="475"/>
      <c r="E3642" s="476"/>
      <c r="F3642" s="475"/>
      <c r="G3642" s="476"/>
      <c r="H3642" s="475"/>
      <c r="I3642" s="476"/>
    </row>
    <row r="3643" spans="2:9" x14ac:dyDescent="0.25">
      <c r="B3643" s="476"/>
      <c r="C3643" s="476"/>
      <c r="D3643" s="475"/>
      <c r="E3643" s="476"/>
      <c r="F3643" s="475"/>
      <c r="G3643" s="476"/>
      <c r="H3643" s="475"/>
      <c r="I3643" s="476"/>
    </row>
    <row r="3644" spans="2:9" x14ac:dyDescent="0.25">
      <c r="B3644" s="476"/>
      <c r="C3644" s="476"/>
      <c r="D3644" s="475"/>
      <c r="E3644" s="476"/>
      <c r="F3644" s="475"/>
      <c r="G3644" s="476"/>
      <c r="H3644" s="475"/>
      <c r="I3644" s="476"/>
    </row>
    <row r="3645" spans="2:9" x14ac:dyDescent="0.25">
      <c r="B3645" s="476"/>
      <c r="C3645" s="476"/>
      <c r="D3645" s="475"/>
      <c r="E3645" s="476"/>
      <c r="F3645" s="475"/>
      <c r="G3645" s="476"/>
      <c r="H3645" s="475"/>
      <c r="I3645" s="476"/>
    </row>
    <row r="3646" spans="2:9" x14ac:dyDescent="0.25">
      <c r="B3646" s="476"/>
      <c r="C3646" s="476"/>
      <c r="D3646" s="475"/>
      <c r="E3646" s="476"/>
      <c r="F3646" s="475"/>
      <c r="G3646" s="476"/>
      <c r="H3646" s="475"/>
      <c r="I3646" s="476"/>
    </row>
    <row r="3647" spans="2:9" x14ac:dyDescent="0.25">
      <c r="B3647" s="476"/>
      <c r="C3647" s="476"/>
      <c r="D3647" s="475"/>
      <c r="E3647" s="476"/>
      <c r="F3647" s="475"/>
      <c r="G3647" s="476"/>
      <c r="H3647" s="475"/>
      <c r="I3647" s="476"/>
    </row>
    <row r="3648" spans="2:9" x14ac:dyDescent="0.25">
      <c r="B3648" s="476"/>
      <c r="C3648" s="476"/>
      <c r="D3648" s="475"/>
      <c r="E3648" s="476"/>
      <c r="F3648" s="475"/>
      <c r="G3648" s="476"/>
      <c r="H3648" s="475"/>
      <c r="I3648" s="476"/>
    </row>
    <row r="3649" spans="2:9" x14ac:dyDescent="0.25">
      <c r="B3649" s="476"/>
      <c r="C3649" s="476"/>
      <c r="D3649" s="475"/>
      <c r="E3649" s="476"/>
      <c r="F3649" s="475"/>
      <c r="G3649" s="476"/>
      <c r="H3649" s="475"/>
      <c r="I3649" s="476"/>
    </row>
    <row r="3650" spans="2:9" x14ac:dyDescent="0.25">
      <c r="B3650" s="476"/>
      <c r="C3650" s="476"/>
      <c r="D3650" s="475"/>
      <c r="E3650" s="476"/>
      <c r="F3650" s="475"/>
      <c r="G3650" s="476"/>
      <c r="H3650" s="475"/>
      <c r="I3650" s="476"/>
    </row>
    <row r="3651" spans="2:9" x14ac:dyDescent="0.25">
      <c r="B3651" s="476"/>
      <c r="C3651" s="476"/>
      <c r="D3651" s="475"/>
      <c r="E3651" s="476"/>
      <c r="F3651" s="475"/>
      <c r="G3651" s="476"/>
      <c r="H3651" s="475"/>
      <c r="I3651" s="476"/>
    </row>
    <row r="3652" spans="2:9" x14ac:dyDescent="0.25">
      <c r="B3652" s="476"/>
      <c r="C3652" s="476"/>
      <c r="D3652" s="475"/>
      <c r="E3652" s="476"/>
      <c r="F3652" s="475"/>
      <c r="G3652" s="476"/>
      <c r="H3652" s="475"/>
      <c r="I3652" s="476"/>
    </row>
    <row r="3653" spans="2:9" x14ac:dyDescent="0.25">
      <c r="B3653" s="476"/>
      <c r="C3653" s="476"/>
      <c r="D3653" s="475"/>
      <c r="E3653" s="476"/>
      <c r="F3653" s="475"/>
      <c r="G3653" s="476"/>
      <c r="H3653" s="475"/>
      <c r="I3653" s="476"/>
    </row>
    <row r="3654" spans="2:9" x14ac:dyDescent="0.25">
      <c r="B3654" s="476"/>
      <c r="C3654" s="476"/>
      <c r="D3654" s="475"/>
      <c r="E3654" s="476"/>
      <c r="F3654" s="475"/>
      <c r="G3654" s="476"/>
      <c r="H3654" s="475"/>
      <c r="I3654" s="476"/>
    </row>
    <row r="3655" spans="2:9" x14ac:dyDescent="0.25">
      <c r="B3655" s="476"/>
      <c r="C3655" s="476"/>
      <c r="D3655" s="475"/>
      <c r="E3655" s="476"/>
      <c r="F3655" s="475"/>
      <c r="G3655" s="476"/>
      <c r="H3655" s="475"/>
      <c r="I3655" s="476"/>
    </row>
    <row r="3656" spans="2:9" x14ac:dyDescent="0.25">
      <c r="B3656" s="476"/>
      <c r="C3656" s="476"/>
      <c r="D3656" s="475"/>
      <c r="E3656" s="476"/>
      <c r="F3656" s="475"/>
      <c r="G3656" s="476"/>
      <c r="H3656" s="475"/>
      <c r="I3656" s="476"/>
    </row>
    <row r="3657" spans="2:9" x14ac:dyDescent="0.25">
      <c r="B3657" s="476"/>
      <c r="C3657" s="476"/>
      <c r="D3657" s="475"/>
      <c r="E3657" s="476"/>
      <c r="F3657" s="475"/>
      <c r="G3657" s="476"/>
      <c r="H3657" s="475"/>
      <c r="I3657" s="476"/>
    </row>
    <row r="3658" spans="2:9" x14ac:dyDescent="0.25">
      <c r="B3658" s="476"/>
      <c r="C3658" s="476"/>
      <c r="D3658" s="475"/>
      <c r="E3658" s="476"/>
      <c r="F3658" s="475"/>
      <c r="G3658" s="476"/>
      <c r="H3658" s="475"/>
      <c r="I3658" s="476"/>
    </row>
    <row r="3659" spans="2:9" x14ac:dyDescent="0.25">
      <c r="B3659" s="476"/>
      <c r="C3659" s="476"/>
      <c r="D3659" s="475"/>
      <c r="E3659" s="476"/>
      <c r="F3659" s="475"/>
      <c r="G3659" s="476"/>
      <c r="H3659" s="475"/>
      <c r="I3659" s="476"/>
    </row>
    <row r="3660" spans="2:9" x14ac:dyDescent="0.25">
      <c r="B3660" s="476"/>
      <c r="C3660" s="476"/>
      <c r="D3660" s="475"/>
      <c r="E3660" s="476"/>
      <c r="F3660" s="475"/>
      <c r="G3660" s="476"/>
      <c r="H3660" s="475"/>
      <c r="I3660" s="476"/>
    </row>
    <row r="3661" spans="2:9" x14ac:dyDescent="0.25">
      <c r="B3661" s="476"/>
      <c r="C3661" s="476"/>
      <c r="D3661" s="475"/>
      <c r="E3661" s="476"/>
      <c r="F3661" s="475"/>
      <c r="G3661" s="476"/>
      <c r="H3661" s="475"/>
      <c r="I3661" s="476"/>
    </row>
    <row r="3662" spans="2:9" x14ac:dyDescent="0.25">
      <c r="B3662" s="476"/>
      <c r="C3662" s="476"/>
      <c r="D3662" s="475"/>
      <c r="E3662" s="476"/>
      <c r="F3662" s="475"/>
      <c r="G3662" s="476"/>
      <c r="H3662" s="475"/>
      <c r="I3662" s="476"/>
    </row>
    <row r="3663" spans="2:9" x14ac:dyDescent="0.25">
      <c r="B3663" s="476"/>
      <c r="C3663" s="476"/>
      <c r="D3663" s="475"/>
      <c r="E3663" s="476"/>
      <c r="F3663" s="475"/>
      <c r="G3663" s="476"/>
      <c r="H3663" s="475"/>
      <c r="I3663" s="476"/>
    </row>
    <row r="3664" spans="2:9" x14ac:dyDescent="0.25">
      <c r="B3664" s="476"/>
      <c r="C3664" s="476"/>
      <c r="D3664" s="475"/>
      <c r="E3664" s="476"/>
      <c r="F3664" s="475"/>
      <c r="G3664" s="476"/>
      <c r="H3664" s="475"/>
      <c r="I3664" s="476"/>
    </row>
    <row r="3665" spans="2:9" x14ac:dyDescent="0.25">
      <c r="B3665" s="476"/>
      <c r="C3665" s="476"/>
      <c r="D3665" s="475"/>
      <c r="E3665" s="476"/>
      <c r="F3665" s="475"/>
      <c r="G3665" s="476"/>
      <c r="H3665" s="475"/>
      <c r="I3665" s="476"/>
    </row>
    <row r="3666" spans="2:9" x14ac:dyDescent="0.25">
      <c r="B3666" s="476"/>
      <c r="C3666" s="476"/>
      <c r="D3666" s="475"/>
      <c r="E3666" s="476"/>
      <c r="F3666" s="475"/>
      <c r="G3666" s="476"/>
      <c r="H3666" s="475"/>
      <c r="I3666" s="476"/>
    </row>
    <row r="3667" spans="2:9" x14ac:dyDescent="0.25">
      <c r="B3667" s="476"/>
      <c r="C3667" s="476"/>
      <c r="D3667" s="475"/>
      <c r="E3667" s="476"/>
      <c r="F3667" s="475"/>
      <c r="G3667" s="476"/>
      <c r="H3667" s="475"/>
      <c r="I3667" s="476"/>
    </row>
    <row r="3668" spans="2:9" x14ac:dyDescent="0.25">
      <c r="B3668" s="476"/>
      <c r="C3668" s="476"/>
      <c r="D3668" s="475"/>
      <c r="E3668" s="476"/>
      <c r="F3668" s="475"/>
      <c r="G3668" s="476"/>
      <c r="H3668" s="475"/>
      <c r="I3668" s="476"/>
    </row>
    <row r="3669" spans="2:9" x14ac:dyDescent="0.25">
      <c r="B3669" s="476"/>
      <c r="C3669" s="476"/>
      <c r="D3669" s="475"/>
      <c r="E3669" s="476"/>
      <c r="F3669" s="475"/>
      <c r="G3669" s="476"/>
      <c r="H3669" s="475"/>
      <c r="I3669" s="476"/>
    </row>
    <row r="3670" spans="2:9" x14ac:dyDescent="0.25">
      <c r="B3670" s="476"/>
      <c r="C3670" s="476"/>
      <c r="D3670" s="475"/>
      <c r="E3670" s="476"/>
      <c r="F3670" s="475"/>
      <c r="G3670" s="476"/>
      <c r="H3670" s="475"/>
      <c r="I3670" s="476"/>
    </row>
    <row r="3671" spans="2:9" x14ac:dyDescent="0.25">
      <c r="B3671" s="476"/>
      <c r="C3671" s="476"/>
      <c r="D3671" s="475"/>
      <c r="E3671" s="476"/>
      <c r="F3671" s="475"/>
      <c r="G3671" s="476"/>
      <c r="H3671" s="475"/>
      <c r="I3671" s="476"/>
    </row>
    <row r="3672" spans="2:9" x14ac:dyDescent="0.25">
      <c r="B3672" s="476"/>
      <c r="C3672" s="476"/>
      <c r="D3672" s="475"/>
      <c r="E3672" s="476"/>
      <c r="F3672" s="475"/>
      <c r="G3672" s="476"/>
      <c r="H3672" s="475"/>
      <c r="I3672" s="476"/>
    </row>
    <row r="3673" spans="2:9" x14ac:dyDescent="0.25">
      <c r="B3673" s="476"/>
      <c r="C3673" s="476"/>
      <c r="D3673" s="475"/>
      <c r="E3673" s="476"/>
      <c r="F3673" s="475"/>
      <c r="G3673" s="476"/>
      <c r="H3673" s="475"/>
      <c r="I3673" s="476"/>
    </row>
    <row r="3674" spans="2:9" x14ac:dyDescent="0.25">
      <c r="B3674" s="476"/>
      <c r="C3674" s="476"/>
      <c r="D3674" s="475"/>
      <c r="E3674" s="476"/>
      <c r="F3674" s="475"/>
      <c r="G3674" s="476"/>
      <c r="H3674" s="475"/>
      <c r="I3674" s="476"/>
    </row>
    <row r="3675" spans="2:9" x14ac:dyDescent="0.25">
      <c r="B3675" s="476"/>
      <c r="C3675" s="476"/>
      <c r="D3675" s="475"/>
      <c r="E3675" s="476"/>
      <c r="F3675" s="475"/>
      <c r="G3675" s="476"/>
      <c r="H3675" s="475"/>
      <c r="I3675" s="476"/>
    </row>
    <row r="3676" spans="2:9" x14ac:dyDescent="0.25">
      <c r="B3676" s="476"/>
      <c r="C3676" s="476"/>
      <c r="D3676" s="475"/>
      <c r="E3676" s="476"/>
      <c r="F3676" s="475"/>
      <c r="G3676" s="476"/>
      <c r="H3676" s="475"/>
      <c r="I3676" s="476"/>
    </row>
    <row r="3677" spans="2:9" x14ac:dyDescent="0.25">
      <c r="B3677" s="476"/>
      <c r="C3677" s="476"/>
      <c r="D3677" s="475"/>
      <c r="E3677" s="476"/>
      <c r="F3677" s="475"/>
      <c r="G3677" s="476"/>
      <c r="H3677" s="475"/>
      <c r="I3677" s="476"/>
    </row>
    <row r="3678" spans="2:9" x14ac:dyDescent="0.25">
      <c r="B3678" s="476"/>
      <c r="C3678" s="476"/>
      <c r="D3678" s="475"/>
      <c r="E3678" s="476"/>
      <c r="F3678" s="475"/>
      <c r="G3678" s="476"/>
      <c r="H3678" s="475"/>
      <c r="I3678" s="476"/>
    </row>
    <row r="3679" spans="2:9" x14ac:dyDescent="0.25">
      <c r="B3679" s="476"/>
      <c r="C3679" s="476"/>
      <c r="D3679" s="475"/>
      <c r="E3679" s="476"/>
      <c r="F3679" s="475"/>
      <c r="G3679" s="476"/>
      <c r="H3679" s="475"/>
      <c r="I3679" s="476"/>
    </row>
    <row r="3680" spans="2:9" x14ac:dyDescent="0.25">
      <c r="B3680" s="476"/>
      <c r="C3680" s="476"/>
      <c r="D3680" s="475"/>
      <c r="E3680" s="476"/>
      <c r="F3680" s="475"/>
      <c r="G3680" s="476"/>
      <c r="H3680" s="475"/>
      <c r="I3680" s="476"/>
    </row>
    <row r="3681" spans="2:9" x14ac:dyDescent="0.25">
      <c r="B3681" s="476"/>
      <c r="C3681" s="476"/>
      <c r="D3681" s="475"/>
      <c r="E3681" s="476"/>
      <c r="F3681" s="475"/>
      <c r="G3681" s="476"/>
      <c r="H3681" s="475"/>
      <c r="I3681" s="476"/>
    </row>
    <row r="3682" spans="2:9" x14ac:dyDescent="0.25">
      <c r="B3682" s="476"/>
      <c r="C3682" s="476"/>
      <c r="D3682" s="475"/>
      <c r="E3682" s="476"/>
      <c r="F3682" s="475"/>
      <c r="G3682" s="476"/>
      <c r="H3682" s="475"/>
      <c r="I3682" s="476"/>
    </row>
    <row r="3683" spans="2:9" x14ac:dyDescent="0.25">
      <c r="B3683" s="476"/>
      <c r="C3683" s="476"/>
      <c r="D3683" s="475"/>
      <c r="E3683" s="476"/>
      <c r="F3683" s="475"/>
      <c r="G3683" s="476"/>
      <c r="H3683" s="475"/>
      <c r="I3683" s="476"/>
    </row>
    <row r="3684" spans="2:9" x14ac:dyDescent="0.25">
      <c r="B3684" s="476"/>
      <c r="C3684" s="476"/>
      <c r="D3684" s="475"/>
      <c r="E3684" s="476"/>
      <c r="F3684" s="475"/>
      <c r="G3684" s="476"/>
      <c r="H3684" s="475"/>
      <c r="I3684" s="476"/>
    </row>
    <row r="3685" spans="2:9" x14ac:dyDescent="0.25">
      <c r="B3685" s="476"/>
      <c r="C3685" s="476"/>
      <c r="D3685" s="475"/>
      <c r="E3685" s="476"/>
      <c r="F3685" s="475"/>
      <c r="G3685" s="476"/>
      <c r="H3685" s="475"/>
      <c r="I3685" s="476"/>
    </row>
    <row r="3686" spans="2:9" x14ac:dyDescent="0.25">
      <c r="B3686" s="476"/>
      <c r="C3686" s="476"/>
      <c r="D3686" s="475"/>
      <c r="E3686" s="476"/>
      <c r="F3686" s="475"/>
      <c r="G3686" s="476"/>
      <c r="H3686" s="475"/>
      <c r="I3686" s="476"/>
    </row>
    <row r="3687" spans="2:9" x14ac:dyDescent="0.25">
      <c r="B3687" s="476"/>
      <c r="C3687" s="476"/>
      <c r="D3687" s="475"/>
      <c r="E3687" s="476"/>
      <c r="F3687" s="475"/>
      <c r="G3687" s="476"/>
      <c r="H3687" s="475"/>
      <c r="I3687" s="476"/>
    </row>
    <row r="3688" spans="2:9" x14ac:dyDescent="0.25">
      <c r="B3688" s="476"/>
      <c r="C3688" s="476"/>
      <c r="D3688" s="475"/>
      <c r="E3688" s="476"/>
      <c r="F3688" s="475"/>
      <c r="G3688" s="476"/>
      <c r="H3688" s="475"/>
      <c r="I3688" s="476"/>
    </row>
    <row r="3689" spans="2:9" x14ac:dyDescent="0.25">
      <c r="B3689" s="476"/>
      <c r="C3689" s="476"/>
      <c r="D3689" s="475"/>
      <c r="E3689" s="476"/>
      <c r="F3689" s="475"/>
      <c r="G3689" s="476"/>
      <c r="H3689" s="475"/>
      <c r="I3689" s="476"/>
    </row>
    <row r="3690" spans="2:9" x14ac:dyDescent="0.25">
      <c r="B3690" s="476"/>
      <c r="C3690" s="476"/>
      <c r="D3690" s="475"/>
      <c r="E3690" s="476"/>
      <c r="F3690" s="475"/>
      <c r="G3690" s="476"/>
      <c r="H3690" s="475"/>
      <c r="I3690" s="476"/>
    </row>
    <row r="3691" spans="2:9" x14ac:dyDescent="0.25">
      <c r="B3691" s="476"/>
      <c r="C3691" s="476"/>
      <c r="D3691" s="475"/>
      <c r="E3691" s="476"/>
      <c r="F3691" s="475"/>
      <c r="G3691" s="476"/>
      <c r="H3691" s="475"/>
      <c r="I3691" s="476"/>
    </row>
    <row r="3692" spans="2:9" x14ac:dyDescent="0.25">
      <c r="B3692" s="476"/>
      <c r="C3692" s="476"/>
      <c r="D3692" s="475"/>
      <c r="E3692" s="476"/>
      <c r="F3692" s="475"/>
      <c r="G3692" s="476"/>
      <c r="H3692" s="475"/>
      <c r="I3692" s="476"/>
    </row>
    <row r="3693" spans="2:9" x14ac:dyDescent="0.25">
      <c r="B3693" s="476"/>
      <c r="C3693" s="476"/>
      <c r="D3693" s="475"/>
      <c r="E3693" s="476"/>
      <c r="F3693" s="475"/>
      <c r="G3693" s="476"/>
      <c r="H3693" s="475"/>
      <c r="I3693" s="476"/>
    </row>
    <row r="3694" spans="2:9" x14ac:dyDescent="0.25">
      <c r="B3694" s="476"/>
      <c r="C3694" s="476"/>
      <c r="D3694" s="475"/>
      <c r="E3694" s="476"/>
      <c r="F3694" s="475"/>
      <c r="G3694" s="476"/>
      <c r="H3694" s="475"/>
      <c r="I3694" s="476"/>
    </row>
    <row r="3695" spans="2:9" x14ac:dyDescent="0.25">
      <c r="B3695" s="476"/>
      <c r="C3695" s="476"/>
      <c r="D3695" s="475"/>
      <c r="E3695" s="476"/>
      <c r="F3695" s="475"/>
      <c r="G3695" s="476"/>
      <c r="H3695" s="475"/>
      <c r="I3695" s="476"/>
    </row>
    <row r="3696" spans="2:9" x14ac:dyDescent="0.25">
      <c r="B3696" s="476"/>
      <c r="C3696" s="476"/>
      <c r="D3696" s="475"/>
      <c r="E3696" s="476"/>
      <c r="F3696" s="475"/>
      <c r="G3696" s="476"/>
      <c r="H3696" s="475"/>
      <c r="I3696" s="476"/>
    </row>
    <row r="3697" spans="2:9" x14ac:dyDescent="0.25">
      <c r="B3697" s="476"/>
      <c r="C3697" s="476"/>
      <c r="D3697" s="475"/>
      <c r="E3697" s="476"/>
      <c r="F3697" s="475"/>
      <c r="G3697" s="476"/>
      <c r="H3697" s="475"/>
      <c r="I3697" s="476"/>
    </row>
    <row r="3698" spans="2:9" x14ac:dyDescent="0.25">
      <c r="B3698" s="476"/>
      <c r="C3698" s="476"/>
      <c r="D3698" s="475"/>
      <c r="E3698" s="476"/>
      <c r="F3698" s="475"/>
      <c r="G3698" s="476"/>
      <c r="H3698" s="475"/>
      <c r="I3698" s="476"/>
    </row>
    <row r="3699" spans="2:9" x14ac:dyDescent="0.25">
      <c r="B3699" s="476"/>
      <c r="C3699" s="476"/>
      <c r="D3699" s="475"/>
      <c r="E3699" s="476"/>
      <c r="F3699" s="475"/>
      <c r="G3699" s="476"/>
      <c r="H3699" s="475"/>
      <c r="I3699" s="476"/>
    </row>
    <row r="3700" spans="2:9" x14ac:dyDescent="0.25">
      <c r="B3700" s="476"/>
      <c r="C3700" s="476"/>
      <c r="D3700" s="475"/>
      <c r="E3700" s="476"/>
      <c r="F3700" s="475"/>
      <c r="G3700" s="476"/>
      <c r="H3700" s="475"/>
      <c r="I3700" s="476"/>
    </row>
    <row r="3701" spans="2:9" x14ac:dyDescent="0.25">
      <c r="B3701" s="476"/>
      <c r="C3701" s="476"/>
      <c r="D3701" s="475"/>
      <c r="E3701" s="476"/>
      <c r="F3701" s="475"/>
      <c r="G3701" s="476"/>
      <c r="H3701" s="475"/>
      <c r="I3701" s="476"/>
    </row>
    <row r="3702" spans="2:9" x14ac:dyDescent="0.25">
      <c r="B3702" s="476"/>
      <c r="C3702" s="476"/>
      <c r="D3702" s="475"/>
      <c r="E3702" s="476"/>
      <c r="F3702" s="475"/>
      <c r="G3702" s="476"/>
      <c r="H3702" s="475"/>
      <c r="I3702" s="476"/>
    </row>
    <row r="3703" spans="2:9" x14ac:dyDescent="0.25">
      <c r="B3703" s="476"/>
      <c r="C3703" s="476"/>
      <c r="D3703" s="475"/>
      <c r="E3703" s="476"/>
      <c r="F3703" s="475"/>
      <c r="G3703" s="476"/>
      <c r="H3703" s="475"/>
      <c r="I3703" s="476"/>
    </row>
    <row r="3704" spans="2:9" x14ac:dyDescent="0.25">
      <c r="B3704" s="476"/>
      <c r="C3704" s="476"/>
      <c r="D3704" s="475"/>
      <c r="E3704" s="476"/>
      <c r="F3704" s="475"/>
      <c r="G3704" s="476"/>
      <c r="H3704" s="475"/>
      <c r="I3704" s="476"/>
    </row>
    <row r="3705" spans="2:9" x14ac:dyDescent="0.25">
      <c r="B3705" s="476"/>
      <c r="C3705" s="476"/>
      <c r="D3705" s="475"/>
      <c r="E3705" s="476"/>
      <c r="F3705" s="475"/>
      <c r="G3705" s="476"/>
      <c r="H3705" s="475"/>
      <c r="I3705" s="476"/>
    </row>
    <row r="3706" spans="2:9" x14ac:dyDescent="0.25">
      <c r="B3706" s="476"/>
      <c r="C3706" s="476"/>
      <c r="D3706" s="475"/>
      <c r="E3706" s="476"/>
      <c r="F3706" s="475"/>
      <c r="G3706" s="476"/>
      <c r="H3706" s="475"/>
      <c r="I3706" s="476"/>
    </row>
    <row r="3707" spans="2:9" x14ac:dyDescent="0.25">
      <c r="B3707" s="476"/>
      <c r="C3707" s="476"/>
      <c r="D3707" s="475"/>
      <c r="E3707" s="476"/>
      <c r="F3707" s="475"/>
      <c r="G3707" s="476"/>
      <c r="H3707" s="475"/>
      <c r="I3707" s="476"/>
    </row>
    <row r="3708" spans="2:9" x14ac:dyDescent="0.25">
      <c r="B3708" s="476"/>
      <c r="C3708" s="476"/>
      <c r="D3708" s="475"/>
      <c r="E3708" s="476"/>
      <c r="F3708" s="475"/>
      <c r="G3708" s="476"/>
      <c r="H3708" s="475"/>
      <c r="I3708" s="476"/>
    </row>
    <row r="3709" spans="2:9" x14ac:dyDescent="0.25">
      <c r="B3709" s="476"/>
      <c r="C3709" s="476"/>
      <c r="D3709" s="475"/>
      <c r="E3709" s="476"/>
      <c r="F3709" s="475"/>
      <c r="G3709" s="476"/>
      <c r="H3709" s="475"/>
      <c r="I3709" s="476"/>
    </row>
    <row r="3710" spans="2:9" x14ac:dyDescent="0.25">
      <c r="B3710" s="476"/>
      <c r="C3710" s="476"/>
      <c r="D3710" s="475"/>
      <c r="E3710" s="476"/>
      <c r="F3710" s="475"/>
      <c r="G3710" s="476"/>
      <c r="H3710" s="475"/>
      <c r="I3710" s="476"/>
    </row>
    <row r="3711" spans="2:9" x14ac:dyDescent="0.25">
      <c r="B3711" s="476"/>
      <c r="C3711" s="476"/>
      <c r="D3711" s="475"/>
      <c r="E3711" s="476"/>
      <c r="F3711" s="475"/>
      <c r="G3711" s="476"/>
      <c r="H3711" s="475"/>
      <c r="I3711" s="476"/>
    </row>
    <row r="3712" spans="2:9" x14ac:dyDescent="0.25">
      <c r="B3712" s="476"/>
      <c r="C3712" s="476"/>
      <c r="D3712" s="475"/>
      <c r="E3712" s="476"/>
      <c r="F3712" s="475"/>
      <c r="G3712" s="476"/>
      <c r="H3712" s="475"/>
      <c r="I3712" s="476"/>
    </row>
    <row r="3713" spans="2:9" x14ac:dyDescent="0.25">
      <c r="B3713" s="476"/>
      <c r="C3713" s="476"/>
      <c r="D3713" s="475"/>
      <c r="E3713" s="476"/>
      <c r="F3713" s="475"/>
      <c r="G3713" s="476"/>
      <c r="H3713" s="475"/>
      <c r="I3713" s="476"/>
    </row>
    <row r="3714" spans="2:9" x14ac:dyDescent="0.25">
      <c r="B3714" s="476"/>
      <c r="C3714" s="476"/>
      <c r="D3714" s="475"/>
      <c r="E3714" s="476"/>
      <c r="F3714" s="475"/>
      <c r="G3714" s="476"/>
      <c r="H3714" s="475"/>
      <c r="I3714" s="476"/>
    </row>
    <row r="3715" spans="2:9" x14ac:dyDescent="0.25">
      <c r="B3715" s="476"/>
      <c r="C3715" s="476"/>
      <c r="D3715" s="475"/>
      <c r="E3715" s="476"/>
      <c r="F3715" s="475"/>
      <c r="G3715" s="476"/>
      <c r="H3715" s="475"/>
      <c r="I3715" s="476"/>
    </row>
    <row r="3716" spans="2:9" x14ac:dyDescent="0.25">
      <c r="B3716" s="476"/>
      <c r="C3716" s="476"/>
      <c r="D3716" s="475"/>
      <c r="E3716" s="476"/>
      <c r="F3716" s="475"/>
      <c r="G3716" s="476"/>
      <c r="H3716" s="475"/>
      <c r="I3716" s="476"/>
    </row>
    <row r="3717" spans="2:9" x14ac:dyDescent="0.25">
      <c r="B3717" s="476"/>
      <c r="C3717" s="476"/>
      <c r="D3717" s="475"/>
      <c r="E3717" s="476"/>
      <c r="F3717" s="475"/>
      <c r="G3717" s="476"/>
      <c r="H3717" s="475"/>
      <c r="I3717" s="476"/>
    </row>
    <row r="3718" spans="2:9" x14ac:dyDescent="0.25">
      <c r="B3718" s="476"/>
      <c r="C3718" s="476"/>
      <c r="D3718" s="475"/>
      <c r="E3718" s="476"/>
      <c r="F3718" s="475"/>
      <c r="G3718" s="476"/>
      <c r="H3718" s="475"/>
      <c r="I3718" s="476"/>
    </row>
    <row r="3719" spans="2:9" x14ac:dyDescent="0.25">
      <c r="B3719" s="476"/>
      <c r="C3719" s="476"/>
      <c r="D3719" s="475"/>
      <c r="E3719" s="476"/>
      <c r="F3719" s="475"/>
      <c r="G3719" s="476"/>
      <c r="H3719" s="475"/>
      <c r="I3719" s="476"/>
    </row>
    <row r="3720" spans="2:9" x14ac:dyDescent="0.25">
      <c r="B3720" s="476"/>
      <c r="C3720" s="476"/>
      <c r="D3720" s="475"/>
      <c r="E3720" s="476"/>
      <c r="F3720" s="475"/>
      <c r="G3720" s="476"/>
      <c r="H3720" s="475"/>
      <c r="I3720" s="476"/>
    </row>
    <row r="3721" spans="2:9" x14ac:dyDescent="0.25">
      <c r="B3721" s="476"/>
      <c r="C3721" s="476"/>
      <c r="D3721" s="475"/>
      <c r="E3721" s="476"/>
      <c r="F3721" s="475"/>
      <c r="G3721" s="476"/>
      <c r="H3721" s="475"/>
      <c r="I3721" s="476"/>
    </row>
    <row r="3722" spans="2:9" x14ac:dyDescent="0.25">
      <c r="B3722" s="476"/>
      <c r="C3722" s="476"/>
      <c r="D3722" s="475"/>
      <c r="E3722" s="476"/>
      <c r="F3722" s="475"/>
      <c r="G3722" s="476"/>
      <c r="H3722" s="475"/>
      <c r="I3722" s="476"/>
    </row>
    <row r="3723" spans="2:9" x14ac:dyDescent="0.25">
      <c r="B3723" s="476"/>
      <c r="C3723" s="476"/>
      <c r="D3723" s="475"/>
      <c r="E3723" s="476"/>
      <c r="F3723" s="475"/>
      <c r="G3723" s="476"/>
      <c r="H3723" s="475"/>
      <c r="I3723" s="476"/>
    </row>
    <row r="3724" spans="2:9" x14ac:dyDescent="0.25">
      <c r="B3724" s="476"/>
      <c r="C3724" s="476"/>
      <c r="D3724" s="475"/>
      <c r="E3724" s="476"/>
      <c r="F3724" s="475"/>
      <c r="G3724" s="476"/>
      <c r="H3724" s="475"/>
      <c r="I3724" s="476"/>
    </row>
    <row r="3725" spans="2:9" x14ac:dyDescent="0.25">
      <c r="B3725" s="476"/>
      <c r="C3725" s="476"/>
      <c r="D3725" s="475"/>
      <c r="E3725" s="476"/>
      <c r="F3725" s="475"/>
      <c r="G3725" s="476"/>
      <c r="H3725" s="475"/>
      <c r="I3725" s="476"/>
    </row>
    <row r="3726" spans="2:9" x14ac:dyDescent="0.25">
      <c r="B3726" s="476"/>
      <c r="C3726" s="476"/>
      <c r="D3726" s="475"/>
      <c r="E3726" s="476"/>
      <c r="F3726" s="475"/>
      <c r="G3726" s="476"/>
      <c r="H3726" s="475"/>
      <c r="I3726" s="476"/>
    </row>
    <row r="3727" spans="2:9" x14ac:dyDescent="0.25">
      <c r="B3727" s="476"/>
      <c r="C3727" s="476"/>
      <c r="D3727" s="475"/>
      <c r="E3727" s="476"/>
      <c r="F3727" s="475"/>
      <c r="G3727" s="476"/>
      <c r="H3727" s="475"/>
      <c r="I3727" s="476"/>
    </row>
    <row r="3728" spans="2:9" x14ac:dyDescent="0.25">
      <c r="B3728" s="476"/>
      <c r="C3728" s="476"/>
      <c r="D3728" s="475"/>
      <c r="E3728" s="476"/>
      <c r="F3728" s="475"/>
      <c r="G3728" s="476"/>
      <c r="H3728" s="475"/>
      <c r="I3728" s="476"/>
    </row>
    <row r="3729" spans="2:9" x14ac:dyDescent="0.25">
      <c r="B3729" s="476"/>
      <c r="C3729" s="476"/>
      <c r="D3729" s="475"/>
      <c r="E3729" s="476"/>
      <c r="F3729" s="475"/>
      <c r="G3729" s="476"/>
      <c r="H3729" s="475"/>
      <c r="I3729" s="476"/>
    </row>
    <row r="3730" spans="2:9" x14ac:dyDescent="0.25">
      <c r="B3730" s="476"/>
      <c r="C3730" s="476"/>
      <c r="D3730" s="475"/>
      <c r="E3730" s="476"/>
      <c r="F3730" s="475"/>
      <c r="G3730" s="476"/>
      <c r="H3730" s="475"/>
      <c r="I3730" s="476"/>
    </row>
    <row r="3731" spans="2:9" x14ac:dyDescent="0.25">
      <c r="B3731" s="476"/>
      <c r="C3731" s="476"/>
      <c r="D3731" s="475"/>
      <c r="E3731" s="476"/>
      <c r="F3731" s="475"/>
      <c r="G3731" s="476"/>
      <c r="H3731" s="475"/>
      <c r="I3731" s="476"/>
    </row>
    <row r="3732" spans="2:9" x14ac:dyDescent="0.25">
      <c r="B3732" s="476"/>
      <c r="C3732" s="476"/>
      <c r="D3732" s="475"/>
      <c r="E3732" s="476"/>
      <c r="F3732" s="475"/>
      <c r="G3732" s="476"/>
      <c r="H3732" s="475"/>
      <c r="I3732" s="476"/>
    </row>
    <row r="3733" spans="2:9" x14ac:dyDescent="0.25">
      <c r="B3733" s="476"/>
      <c r="C3733" s="476"/>
      <c r="D3733" s="475"/>
      <c r="E3733" s="476"/>
      <c r="F3733" s="475"/>
      <c r="G3733" s="476"/>
      <c r="H3733" s="475"/>
      <c r="I3733" s="476"/>
    </row>
    <row r="3734" spans="2:9" x14ac:dyDescent="0.25">
      <c r="B3734" s="476"/>
      <c r="C3734" s="476"/>
      <c r="D3734" s="475"/>
      <c r="E3734" s="476"/>
      <c r="F3734" s="475"/>
      <c r="G3734" s="476"/>
      <c r="H3734" s="475"/>
      <c r="I3734" s="476"/>
    </row>
    <row r="3735" spans="2:9" x14ac:dyDescent="0.25">
      <c r="B3735" s="476"/>
      <c r="C3735" s="476"/>
      <c r="D3735" s="475"/>
      <c r="E3735" s="476"/>
      <c r="F3735" s="475"/>
      <c r="G3735" s="476"/>
      <c r="H3735" s="475"/>
      <c r="I3735" s="476"/>
    </row>
    <row r="3736" spans="2:9" x14ac:dyDescent="0.25">
      <c r="B3736" s="476"/>
      <c r="C3736" s="476"/>
      <c r="D3736" s="475"/>
      <c r="E3736" s="476"/>
      <c r="F3736" s="475"/>
      <c r="G3736" s="476"/>
      <c r="H3736" s="475"/>
      <c r="I3736" s="476"/>
    </row>
    <row r="3737" spans="2:9" x14ac:dyDescent="0.25">
      <c r="B3737" s="476"/>
      <c r="C3737" s="476"/>
      <c r="D3737" s="475"/>
      <c r="E3737" s="476"/>
      <c r="F3737" s="475"/>
      <c r="G3737" s="476"/>
      <c r="H3737" s="475"/>
      <c r="I3737" s="476"/>
    </row>
    <row r="3738" spans="2:9" x14ac:dyDescent="0.25">
      <c r="B3738" s="476"/>
      <c r="C3738" s="476"/>
      <c r="D3738" s="475"/>
      <c r="E3738" s="476"/>
      <c r="F3738" s="475"/>
      <c r="G3738" s="476"/>
      <c r="H3738" s="475"/>
      <c r="I3738" s="476"/>
    </row>
    <row r="3739" spans="2:9" x14ac:dyDescent="0.25">
      <c r="B3739" s="476"/>
      <c r="C3739" s="476"/>
      <c r="D3739" s="475"/>
      <c r="E3739" s="476"/>
      <c r="F3739" s="475"/>
      <c r="G3739" s="476"/>
      <c r="H3739" s="475"/>
      <c r="I3739" s="476"/>
    </row>
    <row r="3740" spans="2:9" x14ac:dyDescent="0.25">
      <c r="B3740" s="476"/>
      <c r="C3740" s="476"/>
      <c r="D3740" s="475"/>
      <c r="E3740" s="476"/>
      <c r="F3740" s="475"/>
      <c r="G3740" s="476"/>
      <c r="H3740" s="475"/>
      <c r="I3740" s="476"/>
    </row>
    <row r="3741" spans="2:9" x14ac:dyDescent="0.25">
      <c r="B3741" s="476"/>
      <c r="C3741" s="476"/>
      <c r="D3741" s="475"/>
      <c r="E3741" s="476"/>
      <c r="F3741" s="475"/>
      <c r="G3741" s="476"/>
      <c r="H3741" s="475"/>
      <c r="I3741" s="476"/>
    </row>
    <row r="3742" spans="2:9" x14ac:dyDescent="0.25">
      <c r="B3742" s="476"/>
      <c r="C3742" s="476"/>
      <c r="D3742" s="475"/>
      <c r="E3742" s="476"/>
      <c r="F3742" s="475"/>
      <c r="G3742" s="476"/>
      <c r="H3742" s="475"/>
      <c r="I3742" s="476"/>
    </row>
    <row r="3743" spans="2:9" x14ac:dyDescent="0.25">
      <c r="B3743" s="476"/>
      <c r="C3743" s="476"/>
      <c r="D3743" s="475"/>
      <c r="E3743" s="476"/>
      <c r="F3743" s="475"/>
      <c r="G3743" s="476"/>
      <c r="H3743" s="475"/>
      <c r="I3743" s="476"/>
    </row>
    <row r="3744" spans="2:9" x14ac:dyDescent="0.25">
      <c r="B3744" s="476"/>
      <c r="C3744" s="476"/>
      <c r="D3744" s="475"/>
      <c r="E3744" s="476"/>
      <c r="F3744" s="475"/>
      <c r="G3744" s="476"/>
      <c r="H3744" s="475"/>
      <c r="I3744" s="476"/>
    </row>
    <row r="3745" spans="2:9" x14ac:dyDescent="0.25">
      <c r="B3745" s="476"/>
      <c r="C3745" s="476"/>
      <c r="D3745" s="475"/>
      <c r="E3745" s="476"/>
      <c r="F3745" s="475"/>
      <c r="G3745" s="476"/>
      <c r="H3745" s="475"/>
      <c r="I3745" s="476"/>
    </row>
    <row r="3746" spans="2:9" x14ac:dyDescent="0.25">
      <c r="B3746" s="476"/>
      <c r="C3746" s="476"/>
      <c r="D3746" s="475"/>
      <c r="E3746" s="476"/>
      <c r="F3746" s="475"/>
      <c r="G3746" s="476"/>
      <c r="H3746" s="475"/>
      <c r="I3746" s="476"/>
    </row>
    <row r="3747" spans="2:9" x14ac:dyDescent="0.25">
      <c r="B3747" s="476"/>
      <c r="C3747" s="476"/>
      <c r="D3747" s="475"/>
      <c r="E3747" s="476"/>
      <c r="F3747" s="475"/>
      <c r="G3747" s="476"/>
      <c r="H3747" s="475"/>
      <c r="I3747" s="476"/>
    </row>
    <row r="3748" spans="2:9" x14ac:dyDescent="0.25">
      <c r="B3748" s="476"/>
      <c r="C3748" s="476"/>
      <c r="D3748" s="475"/>
      <c r="E3748" s="476"/>
      <c r="F3748" s="475"/>
      <c r="G3748" s="476"/>
      <c r="H3748" s="475"/>
      <c r="I3748" s="476"/>
    </row>
    <row r="3749" spans="2:9" x14ac:dyDescent="0.25">
      <c r="B3749" s="476"/>
      <c r="C3749" s="476"/>
      <c r="D3749" s="475"/>
      <c r="E3749" s="476"/>
      <c r="F3749" s="475"/>
      <c r="G3749" s="476"/>
      <c r="H3749" s="475"/>
      <c r="I3749" s="476"/>
    </row>
    <row r="3750" spans="2:9" x14ac:dyDescent="0.25">
      <c r="B3750" s="476"/>
      <c r="C3750" s="476"/>
      <c r="D3750" s="475"/>
      <c r="E3750" s="476"/>
      <c r="F3750" s="475"/>
      <c r="G3750" s="476"/>
      <c r="H3750" s="475"/>
      <c r="I3750" s="476"/>
    </row>
    <row r="3751" spans="2:9" x14ac:dyDescent="0.25">
      <c r="B3751" s="476"/>
      <c r="C3751" s="476"/>
      <c r="D3751" s="475"/>
      <c r="E3751" s="476"/>
      <c r="F3751" s="475"/>
      <c r="G3751" s="476"/>
      <c r="H3751" s="475"/>
      <c r="I3751" s="476"/>
    </row>
    <row r="3752" spans="2:9" x14ac:dyDescent="0.25">
      <c r="B3752" s="476"/>
      <c r="C3752" s="476"/>
      <c r="D3752" s="475"/>
      <c r="E3752" s="476"/>
      <c r="F3752" s="475"/>
      <c r="G3752" s="476"/>
      <c r="H3752" s="475"/>
      <c r="I3752" s="476"/>
    </row>
    <row r="3753" spans="2:9" x14ac:dyDescent="0.25">
      <c r="B3753" s="476"/>
      <c r="C3753" s="476"/>
      <c r="D3753" s="475"/>
      <c r="E3753" s="476"/>
      <c r="F3753" s="475"/>
      <c r="G3753" s="476"/>
      <c r="H3753" s="475"/>
      <c r="I3753" s="476"/>
    </row>
    <row r="3754" spans="2:9" x14ac:dyDescent="0.25">
      <c r="B3754" s="476"/>
      <c r="C3754" s="476"/>
      <c r="D3754" s="475"/>
      <c r="E3754" s="476"/>
      <c r="F3754" s="475"/>
      <c r="G3754" s="476"/>
      <c r="H3754" s="475"/>
      <c r="I3754" s="476"/>
    </row>
    <row r="3755" spans="2:9" x14ac:dyDescent="0.25">
      <c r="B3755" s="476"/>
      <c r="C3755" s="476"/>
      <c r="D3755" s="475"/>
      <c r="E3755" s="476"/>
      <c r="F3755" s="475"/>
      <c r="G3755" s="476"/>
      <c r="H3755" s="475"/>
      <c r="I3755" s="476"/>
    </row>
    <row r="3756" spans="2:9" x14ac:dyDescent="0.25">
      <c r="B3756" s="476"/>
      <c r="C3756" s="476"/>
      <c r="D3756" s="475"/>
      <c r="E3756" s="476"/>
      <c r="F3756" s="475"/>
      <c r="G3756" s="476"/>
      <c r="H3756" s="475"/>
      <c r="I3756" s="476"/>
    </row>
    <row r="3757" spans="2:9" x14ac:dyDescent="0.25">
      <c r="B3757" s="476"/>
      <c r="C3757" s="476"/>
      <c r="D3757" s="475"/>
      <c r="E3757" s="476"/>
      <c r="F3757" s="475"/>
      <c r="G3757" s="476"/>
      <c r="H3757" s="475"/>
      <c r="I3757" s="476"/>
    </row>
    <row r="3758" spans="2:9" x14ac:dyDescent="0.25">
      <c r="B3758" s="476"/>
      <c r="C3758" s="476"/>
      <c r="D3758" s="475"/>
      <c r="E3758" s="476"/>
      <c r="F3758" s="475"/>
      <c r="G3758" s="476"/>
      <c r="H3758" s="475"/>
      <c r="I3758" s="476"/>
    </row>
    <row r="3759" spans="2:9" x14ac:dyDescent="0.25">
      <c r="B3759" s="476"/>
      <c r="C3759" s="476"/>
      <c r="D3759" s="475"/>
      <c r="E3759" s="476"/>
      <c r="F3759" s="475"/>
      <c r="G3759" s="476"/>
      <c r="H3759" s="475"/>
      <c r="I3759" s="476"/>
    </row>
    <row r="3760" spans="2:9" x14ac:dyDescent="0.25">
      <c r="B3760" s="476"/>
      <c r="C3760" s="476"/>
      <c r="D3760" s="475"/>
      <c r="E3760" s="476"/>
      <c r="F3760" s="475"/>
      <c r="G3760" s="476"/>
      <c r="H3760" s="475"/>
      <c r="I3760" s="476"/>
    </row>
    <row r="3761" spans="2:9" x14ac:dyDescent="0.25">
      <c r="B3761" s="476"/>
      <c r="C3761" s="476"/>
      <c r="D3761" s="475"/>
      <c r="E3761" s="476"/>
      <c r="F3761" s="475"/>
      <c r="G3761" s="476"/>
      <c r="H3761" s="475"/>
      <c r="I3761" s="476"/>
    </row>
    <row r="3762" spans="2:9" x14ac:dyDescent="0.25">
      <c r="B3762" s="476"/>
      <c r="C3762" s="476"/>
      <c r="D3762" s="475"/>
      <c r="E3762" s="476"/>
      <c r="F3762" s="475"/>
      <c r="G3762" s="476"/>
      <c r="H3762" s="475"/>
      <c r="I3762" s="476"/>
    </row>
    <row r="3763" spans="2:9" x14ac:dyDescent="0.25">
      <c r="B3763" s="476"/>
      <c r="C3763" s="476"/>
      <c r="D3763" s="475"/>
      <c r="E3763" s="476"/>
      <c r="F3763" s="475"/>
      <c r="G3763" s="476"/>
      <c r="H3763" s="475"/>
      <c r="I3763" s="476"/>
    </row>
    <row r="3764" spans="2:9" x14ac:dyDescent="0.25">
      <c r="B3764" s="476"/>
      <c r="C3764" s="476"/>
      <c r="D3764" s="475"/>
      <c r="E3764" s="476"/>
      <c r="F3764" s="475"/>
      <c r="G3764" s="476"/>
      <c r="H3764" s="475"/>
      <c r="I3764" s="476"/>
    </row>
    <row r="3765" spans="2:9" x14ac:dyDescent="0.25">
      <c r="B3765" s="476"/>
      <c r="C3765" s="476"/>
      <c r="D3765" s="475"/>
      <c r="E3765" s="476"/>
      <c r="F3765" s="475"/>
      <c r="G3765" s="476"/>
      <c r="H3765" s="475"/>
      <c r="I3765" s="476"/>
    </row>
    <row r="3766" spans="2:9" x14ac:dyDescent="0.25">
      <c r="B3766" s="476"/>
      <c r="C3766" s="476"/>
      <c r="D3766" s="475"/>
      <c r="E3766" s="476"/>
      <c r="F3766" s="475"/>
      <c r="G3766" s="476"/>
      <c r="H3766" s="475"/>
      <c r="I3766" s="476"/>
    </row>
    <row r="3767" spans="2:9" x14ac:dyDescent="0.25">
      <c r="B3767" s="476"/>
      <c r="C3767" s="476"/>
      <c r="D3767" s="475"/>
      <c r="E3767" s="476"/>
      <c r="F3767" s="475"/>
      <c r="G3767" s="476"/>
      <c r="H3767" s="475"/>
      <c r="I3767" s="476"/>
    </row>
    <row r="3768" spans="2:9" x14ac:dyDescent="0.25">
      <c r="B3768" s="476"/>
      <c r="C3768" s="476"/>
      <c r="D3768" s="475"/>
      <c r="E3768" s="476"/>
      <c r="F3768" s="475"/>
      <c r="G3768" s="476"/>
      <c r="H3768" s="475"/>
      <c r="I3768" s="476"/>
    </row>
    <row r="3769" spans="2:9" x14ac:dyDescent="0.25">
      <c r="B3769" s="476"/>
      <c r="C3769" s="476"/>
      <c r="D3769" s="475"/>
      <c r="E3769" s="476"/>
      <c r="F3769" s="475"/>
      <c r="G3769" s="476"/>
      <c r="H3769" s="475"/>
      <c r="I3769" s="476"/>
    </row>
    <row r="3770" spans="2:9" x14ac:dyDescent="0.25">
      <c r="B3770" s="476"/>
      <c r="C3770" s="476"/>
      <c r="D3770" s="475"/>
      <c r="E3770" s="476"/>
      <c r="F3770" s="475"/>
      <c r="G3770" s="476"/>
      <c r="H3770" s="475"/>
      <c r="I3770" s="476"/>
    </row>
    <row r="3771" spans="2:9" x14ac:dyDescent="0.25">
      <c r="B3771" s="476"/>
      <c r="C3771" s="476"/>
      <c r="D3771" s="475"/>
      <c r="E3771" s="476"/>
      <c r="F3771" s="475"/>
      <c r="G3771" s="476"/>
      <c r="H3771" s="475"/>
      <c r="I3771" s="476"/>
    </row>
    <row r="3772" spans="2:9" x14ac:dyDescent="0.25">
      <c r="B3772" s="476"/>
      <c r="C3772" s="476"/>
      <c r="D3772" s="475"/>
      <c r="E3772" s="476"/>
      <c r="F3772" s="475"/>
      <c r="G3772" s="476"/>
      <c r="H3772" s="475"/>
      <c r="I3772" s="476"/>
    </row>
    <row r="3773" spans="2:9" x14ac:dyDescent="0.25">
      <c r="B3773" s="476"/>
      <c r="C3773" s="476"/>
      <c r="D3773" s="475"/>
      <c r="E3773" s="476"/>
      <c r="F3773" s="475"/>
      <c r="G3773" s="476"/>
      <c r="H3773" s="475"/>
      <c r="I3773" s="476"/>
    </row>
    <row r="3774" spans="2:9" x14ac:dyDescent="0.25">
      <c r="B3774" s="476"/>
      <c r="C3774" s="476"/>
      <c r="D3774" s="475"/>
      <c r="E3774" s="476"/>
      <c r="F3774" s="475"/>
      <c r="G3774" s="476"/>
      <c r="H3774" s="475"/>
      <c r="I3774" s="476"/>
    </row>
    <row r="3775" spans="2:9" x14ac:dyDescent="0.25">
      <c r="B3775" s="476"/>
      <c r="C3775" s="476"/>
      <c r="D3775" s="475"/>
      <c r="E3775" s="476"/>
      <c r="F3775" s="475"/>
      <c r="G3775" s="476"/>
      <c r="H3775" s="475"/>
      <c r="I3775" s="476"/>
    </row>
    <row r="3776" spans="2:9" x14ac:dyDescent="0.25">
      <c r="B3776" s="476"/>
      <c r="C3776" s="476"/>
      <c r="D3776" s="475"/>
      <c r="E3776" s="476"/>
      <c r="F3776" s="475"/>
      <c r="G3776" s="476"/>
      <c r="H3776" s="475"/>
      <c r="I3776" s="476"/>
    </row>
    <row r="3777" spans="2:9" x14ac:dyDescent="0.25">
      <c r="B3777" s="476"/>
      <c r="C3777" s="476"/>
      <c r="D3777" s="475"/>
      <c r="E3777" s="476"/>
      <c r="F3777" s="475"/>
      <c r="G3777" s="476"/>
      <c r="H3777" s="475"/>
      <c r="I3777" s="476"/>
    </row>
    <row r="3778" spans="2:9" x14ac:dyDescent="0.25">
      <c r="B3778" s="476"/>
      <c r="C3778" s="476"/>
      <c r="D3778" s="475"/>
      <c r="E3778" s="476"/>
      <c r="F3778" s="475"/>
      <c r="G3778" s="476"/>
      <c r="H3778" s="475"/>
      <c r="I3778" s="476"/>
    </row>
    <row r="3779" spans="2:9" x14ac:dyDescent="0.25">
      <c r="B3779" s="476"/>
      <c r="C3779" s="476"/>
      <c r="D3779" s="475"/>
      <c r="E3779" s="476"/>
      <c r="F3779" s="475"/>
      <c r="G3779" s="476"/>
      <c r="H3779" s="475"/>
      <c r="I3779" s="476"/>
    </row>
    <row r="3780" spans="2:9" x14ac:dyDescent="0.25">
      <c r="B3780" s="476"/>
      <c r="C3780" s="476"/>
      <c r="D3780" s="475"/>
      <c r="E3780" s="476"/>
      <c r="F3780" s="475"/>
      <c r="G3780" s="476"/>
      <c r="H3780" s="475"/>
      <c r="I3780" s="476"/>
    </row>
    <row r="3781" spans="2:9" x14ac:dyDescent="0.25">
      <c r="B3781" s="476"/>
      <c r="C3781" s="476"/>
      <c r="D3781" s="475"/>
      <c r="E3781" s="476"/>
      <c r="F3781" s="475"/>
      <c r="G3781" s="476"/>
      <c r="H3781" s="475"/>
      <c r="I3781" s="476"/>
    </row>
    <row r="3782" spans="2:9" x14ac:dyDescent="0.25">
      <c r="B3782" s="476"/>
      <c r="C3782" s="476"/>
      <c r="D3782" s="475"/>
      <c r="E3782" s="476"/>
      <c r="F3782" s="475"/>
      <c r="G3782" s="476"/>
      <c r="H3782" s="475"/>
      <c r="I3782" s="476"/>
    </row>
    <row r="3783" spans="2:9" x14ac:dyDescent="0.25">
      <c r="B3783" s="476"/>
      <c r="C3783" s="476"/>
      <c r="D3783" s="475"/>
      <c r="E3783" s="476"/>
      <c r="F3783" s="475"/>
      <c r="G3783" s="476"/>
      <c r="H3783" s="475"/>
      <c r="I3783" s="476"/>
    </row>
    <row r="3784" spans="2:9" x14ac:dyDescent="0.25">
      <c r="B3784" s="476"/>
      <c r="C3784" s="476"/>
      <c r="D3784" s="475"/>
      <c r="E3784" s="476"/>
      <c r="F3784" s="475"/>
      <c r="G3784" s="476"/>
      <c r="H3784" s="475"/>
      <c r="I3784" s="476"/>
    </row>
    <row r="3785" spans="2:9" x14ac:dyDescent="0.25">
      <c r="B3785" s="476"/>
      <c r="C3785" s="476"/>
      <c r="D3785" s="475"/>
      <c r="E3785" s="476"/>
      <c r="F3785" s="475"/>
      <c r="G3785" s="476"/>
      <c r="H3785" s="475"/>
      <c r="I3785" s="476"/>
    </row>
    <row r="3786" spans="2:9" x14ac:dyDescent="0.25">
      <c r="B3786" s="476"/>
      <c r="C3786" s="476"/>
      <c r="D3786" s="475"/>
      <c r="E3786" s="476"/>
      <c r="F3786" s="475"/>
      <c r="G3786" s="476"/>
      <c r="H3786" s="475"/>
      <c r="I3786" s="476"/>
    </row>
    <row r="3787" spans="2:9" x14ac:dyDescent="0.25">
      <c r="B3787" s="476"/>
      <c r="C3787" s="476"/>
      <c r="D3787" s="475"/>
      <c r="E3787" s="476"/>
      <c r="F3787" s="475"/>
      <c r="G3787" s="476"/>
      <c r="H3787" s="475"/>
      <c r="I3787" s="476"/>
    </row>
    <row r="3788" spans="2:9" x14ac:dyDescent="0.25">
      <c r="B3788" s="476"/>
      <c r="C3788" s="476"/>
      <c r="D3788" s="475"/>
      <c r="E3788" s="476"/>
      <c r="F3788" s="475"/>
      <c r="G3788" s="476"/>
      <c r="H3788" s="475"/>
      <c r="I3788" s="476"/>
    </row>
    <row r="3789" spans="2:9" x14ac:dyDescent="0.25">
      <c r="B3789" s="476"/>
      <c r="C3789" s="476"/>
      <c r="D3789" s="475"/>
      <c r="E3789" s="476"/>
      <c r="F3789" s="475"/>
      <c r="G3789" s="476"/>
      <c r="H3789" s="475"/>
      <c r="I3789" s="476"/>
    </row>
    <row r="3790" spans="2:9" x14ac:dyDescent="0.25">
      <c r="B3790" s="476"/>
      <c r="C3790" s="476"/>
      <c r="D3790" s="475"/>
      <c r="E3790" s="476"/>
      <c r="F3790" s="475"/>
      <c r="G3790" s="476"/>
      <c r="H3790" s="475"/>
      <c r="I3790" s="476"/>
    </row>
    <row r="3791" spans="2:9" x14ac:dyDescent="0.25">
      <c r="B3791" s="476"/>
      <c r="C3791" s="476"/>
      <c r="D3791" s="475"/>
      <c r="E3791" s="476"/>
      <c r="F3791" s="475"/>
      <c r="G3791" s="476"/>
      <c r="H3791" s="475"/>
      <c r="I3791" s="476"/>
    </row>
    <row r="3792" spans="2:9" x14ac:dyDescent="0.25">
      <c r="B3792" s="476"/>
      <c r="C3792" s="476"/>
      <c r="D3792" s="475"/>
      <c r="E3792" s="476"/>
      <c r="F3792" s="475"/>
      <c r="G3792" s="476"/>
      <c r="H3792" s="475"/>
      <c r="I3792" s="476"/>
    </row>
    <row r="3793" spans="2:9" x14ac:dyDescent="0.25">
      <c r="B3793" s="476"/>
      <c r="C3793" s="476"/>
      <c r="D3793" s="475"/>
      <c r="E3793" s="476"/>
      <c r="F3793" s="475"/>
      <c r="G3793" s="476"/>
      <c r="H3793" s="475"/>
      <c r="I3793" s="476"/>
    </row>
    <row r="3794" spans="2:9" x14ac:dyDescent="0.25">
      <c r="B3794" s="476"/>
      <c r="C3794" s="476"/>
      <c r="D3794" s="475"/>
      <c r="E3794" s="476"/>
      <c r="F3794" s="475"/>
      <c r="G3794" s="476"/>
      <c r="H3794" s="475"/>
      <c r="I3794" s="476"/>
    </row>
    <row r="3795" spans="2:9" x14ac:dyDescent="0.25">
      <c r="B3795" s="476"/>
      <c r="C3795" s="476"/>
      <c r="D3795" s="475"/>
      <c r="E3795" s="476"/>
      <c r="F3795" s="475"/>
      <c r="G3795" s="476"/>
      <c r="H3795" s="475"/>
      <c r="I3795" s="476"/>
    </row>
    <row r="3796" spans="2:9" x14ac:dyDescent="0.25">
      <c r="B3796" s="476"/>
      <c r="C3796" s="476"/>
      <c r="D3796" s="475"/>
      <c r="E3796" s="476"/>
      <c r="F3796" s="475"/>
      <c r="G3796" s="476"/>
      <c r="H3796" s="475"/>
      <c r="I3796" s="476"/>
    </row>
    <row r="3797" spans="2:9" x14ac:dyDescent="0.25">
      <c r="B3797" s="476"/>
      <c r="C3797" s="476"/>
      <c r="D3797" s="475"/>
      <c r="E3797" s="476"/>
      <c r="F3797" s="475"/>
      <c r="G3797" s="476"/>
      <c r="H3797" s="475"/>
      <c r="I3797" s="476"/>
    </row>
    <row r="3798" spans="2:9" x14ac:dyDescent="0.25">
      <c r="B3798" s="476"/>
      <c r="C3798" s="476"/>
      <c r="D3798" s="475"/>
      <c r="E3798" s="476"/>
      <c r="F3798" s="475"/>
      <c r="G3798" s="476"/>
      <c r="H3798" s="475"/>
      <c r="I3798" s="476"/>
    </row>
    <row r="3799" spans="2:9" x14ac:dyDescent="0.25">
      <c r="B3799" s="476"/>
      <c r="C3799" s="476"/>
      <c r="D3799" s="475"/>
      <c r="E3799" s="476"/>
      <c r="F3799" s="475"/>
      <c r="G3799" s="476"/>
      <c r="H3799" s="475"/>
      <c r="I3799" s="476"/>
    </row>
    <row r="3800" spans="2:9" x14ac:dyDescent="0.25">
      <c r="B3800" s="476"/>
      <c r="C3800" s="476"/>
      <c r="D3800" s="475"/>
      <c r="E3800" s="476"/>
      <c r="F3800" s="475"/>
      <c r="G3800" s="476"/>
      <c r="H3800" s="475"/>
      <c r="I3800" s="476"/>
    </row>
    <row r="3801" spans="2:9" x14ac:dyDescent="0.25">
      <c r="B3801" s="476"/>
      <c r="C3801" s="476"/>
      <c r="D3801" s="475"/>
      <c r="E3801" s="476"/>
      <c r="F3801" s="475"/>
      <c r="G3801" s="476"/>
      <c r="H3801" s="475"/>
      <c r="I3801" s="476"/>
    </row>
    <row r="3802" spans="2:9" x14ac:dyDescent="0.25">
      <c r="B3802" s="476"/>
      <c r="C3802" s="476"/>
      <c r="D3802" s="475"/>
      <c r="E3802" s="476"/>
      <c r="F3802" s="475"/>
      <c r="G3802" s="476"/>
      <c r="H3802" s="475"/>
      <c r="I3802" s="476"/>
    </row>
    <row r="3803" spans="2:9" x14ac:dyDescent="0.25">
      <c r="B3803" s="476"/>
      <c r="C3803" s="476"/>
      <c r="D3803" s="475"/>
      <c r="E3803" s="476"/>
      <c r="F3803" s="475"/>
      <c r="G3803" s="476"/>
      <c r="H3803" s="475"/>
      <c r="I3803" s="476"/>
    </row>
    <row r="3804" spans="2:9" x14ac:dyDescent="0.25">
      <c r="B3804" s="476"/>
      <c r="C3804" s="476"/>
      <c r="D3804" s="475"/>
      <c r="E3804" s="476"/>
      <c r="F3804" s="475"/>
      <c r="G3804" s="476"/>
      <c r="H3804" s="475"/>
      <c r="I3804" s="476"/>
    </row>
    <row r="3805" spans="2:9" x14ac:dyDescent="0.25">
      <c r="B3805" s="476"/>
      <c r="C3805" s="476"/>
      <c r="D3805" s="475"/>
      <c r="E3805" s="476"/>
      <c r="F3805" s="475"/>
      <c r="G3805" s="476"/>
      <c r="H3805" s="475"/>
      <c r="I3805" s="476"/>
    </row>
    <row r="3806" spans="2:9" x14ac:dyDescent="0.25">
      <c r="B3806" s="476"/>
      <c r="C3806" s="476"/>
      <c r="D3806" s="475"/>
      <c r="E3806" s="476"/>
      <c r="F3806" s="475"/>
      <c r="G3806" s="476"/>
      <c r="H3806" s="475"/>
      <c r="I3806" s="476"/>
    </row>
    <row r="3807" spans="2:9" x14ac:dyDescent="0.25">
      <c r="B3807" s="476"/>
      <c r="C3807" s="476"/>
      <c r="D3807" s="475"/>
      <c r="E3807" s="476"/>
      <c r="F3807" s="475"/>
      <c r="G3807" s="476"/>
      <c r="H3807" s="475"/>
      <c r="I3807" s="476"/>
    </row>
    <row r="3808" spans="2:9" x14ac:dyDescent="0.25">
      <c r="B3808" s="476"/>
      <c r="C3808" s="476"/>
      <c r="D3808" s="475"/>
      <c r="E3808" s="476"/>
      <c r="F3808" s="475"/>
      <c r="G3808" s="476"/>
      <c r="H3808" s="475"/>
      <c r="I3808" s="476"/>
    </row>
    <row r="3809" spans="2:9" x14ac:dyDescent="0.25">
      <c r="B3809" s="476"/>
      <c r="C3809" s="476"/>
      <c r="D3809" s="475"/>
      <c r="E3809" s="476"/>
      <c r="F3809" s="475"/>
      <c r="G3809" s="476"/>
      <c r="H3809" s="475"/>
      <c r="I3809" s="476"/>
    </row>
    <row r="3810" spans="2:9" x14ac:dyDescent="0.25">
      <c r="B3810" s="476"/>
      <c r="C3810" s="476"/>
      <c r="D3810" s="475"/>
      <c r="E3810" s="476"/>
      <c r="F3810" s="475"/>
      <c r="G3810" s="476"/>
      <c r="H3810" s="475"/>
      <c r="I3810" s="476"/>
    </row>
    <row r="3811" spans="2:9" x14ac:dyDescent="0.25">
      <c r="B3811" s="476"/>
      <c r="C3811" s="476"/>
      <c r="D3811" s="475"/>
      <c r="E3811" s="476"/>
      <c r="F3811" s="475"/>
      <c r="G3811" s="476"/>
      <c r="H3811" s="475"/>
      <c r="I3811" s="476"/>
    </row>
    <row r="3812" spans="2:9" x14ac:dyDescent="0.25">
      <c r="B3812" s="476"/>
      <c r="C3812" s="476"/>
      <c r="D3812" s="475"/>
      <c r="E3812" s="476"/>
      <c r="F3812" s="475"/>
      <c r="G3812" s="476"/>
      <c r="H3812" s="475"/>
      <c r="I3812" s="476"/>
    </row>
    <row r="3813" spans="2:9" x14ac:dyDescent="0.25">
      <c r="B3813" s="476"/>
      <c r="C3813" s="476"/>
      <c r="D3813" s="475"/>
      <c r="E3813" s="476"/>
      <c r="F3813" s="475"/>
      <c r="G3813" s="476"/>
      <c r="H3813" s="475"/>
      <c r="I3813" s="476"/>
    </row>
    <row r="3814" spans="2:9" x14ac:dyDescent="0.25">
      <c r="B3814" s="476"/>
      <c r="C3814" s="476"/>
      <c r="D3814" s="475"/>
      <c r="E3814" s="476"/>
      <c r="F3814" s="475"/>
      <c r="G3814" s="476"/>
      <c r="H3814" s="475"/>
      <c r="I3814" s="476"/>
    </row>
    <row r="3815" spans="2:9" x14ac:dyDescent="0.25">
      <c r="B3815" s="476"/>
      <c r="C3815" s="476"/>
      <c r="D3815" s="475"/>
      <c r="E3815" s="476"/>
      <c r="F3815" s="475"/>
      <c r="G3815" s="476"/>
      <c r="H3815" s="475"/>
      <c r="I3815" s="476"/>
    </row>
    <row r="3816" spans="2:9" x14ac:dyDescent="0.25">
      <c r="B3816" s="476"/>
      <c r="C3816" s="476"/>
      <c r="D3816" s="475"/>
      <c r="E3816" s="476"/>
      <c r="F3816" s="475"/>
      <c r="G3816" s="476"/>
      <c r="H3816" s="475"/>
      <c r="I3816" s="476"/>
    </row>
    <row r="3817" spans="2:9" x14ac:dyDescent="0.25">
      <c r="B3817" s="476"/>
      <c r="C3817" s="476"/>
      <c r="D3817" s="475"/>
      <c r="E3817" s="476"/>
      <c r="F3817" s="475"/>
      <c r="G3817" s="476"/>
      <c r="H3817" s="475"/>
      <c r="I3817" s="476"/>
    </row>
    <row r="3818" spans="2:9" x14ac:dyDescent="0.25">
      <c r="B3818" s="476"/>
      <c r="C3818" s="476"/>
      <c r="D3818" s="475"/>
      <c r="E3818" s="476"/>
      <c r="F3818" s="475"/>
      <c r="G3818" s="476"/>
      <c r="H3818" s="475"/>
      <c r="I3818" s="476"/>
    </row>
    <row r="3819" spans="2:9" x14ac:dyDescent="0.25">
      <c r="B3819" s="476"/>
      <c r="C3819" s="476"/>
      <c r="D3819" s="475"/>
      <c r="E3819" s="476"/>
      <c r="F3819" s="475"/>
      <c r="G3819" s="476"/>
      <c r="H3819" s="475"/>
      <c r="I3819" s="476"/>
    </row>
    <row r="3820" spans="2:9" x14ac:dyDescent="0.25">
      <c r="B3820" s="476"/>
      <c r="C3820" s="476"/>
      <c r="D3820" s="475"/>
      <c r="E3820" s="476"/>
      <c r="F3820" s="475"/>
      <c r="G3820" s="476"/>
      <c r="H3820" s="475"/>
      <c r="I3820" s="476"/>
    </row>
    <row r="3821" spans="2:9" x14ac:dyDescent="0.25">
      <c r="B3821" s="476"/>
      <c r="C3821" s="476"/>
      <c r="D3821" s="475"/>
      <c r="E3821" s="476"/>
      <c r="F3821" s="475"/>
      <c r="G3821" s="476"/>
      <c r="H3821" s="475"/>
      <c r="I3821" s="476"/>
    </row>
    <row r="3822" spans="2:9" x14ac:dyDescent="0.25">
      <c r="B3822" s="476"/>
      <c r="C3822" s="476"/>
      <c r="D3822" s="475"/>
      <c r="E3822" s="476"/>
      <c r="F3822" s="475"/>
      <c r="G3822" s="476"/>
      <c r="H3822" s="475"/>
      <c r="I3822" s="476"/>
    </row>
    <row r="3823" spans="2:9" x14ac:dyDescent="0.25">
      <c r="B3823" s="476"/>
      <c r="C3823" s="476"/>
      <c r="D3823" s="475"/>
      <c r="E3823" s="476"/>
      <c r="F3823" s="475"/>
      <c r="G3823" s="476"/>
      <c r="H3823" s="475"/>
      <c r="I3823" s="476"/>
    </row>
    <row r="3824" spans="2:9" x14ac:dyDescent="0.25">
      <c r="B3824" s="476"/>
      <c r="C3824" s="476"/>
      <c r="D3824" s="475"/>
      <c r="E3824" s="476"/>
      <c r="F3824" s="475"/>
      <c r="G3824" s="476"/>
      <c r="H3824" s="475"/>
      <c r="I3824" s="476"/>
    </row>
    <row r="3825" spans="2:9" x14ac:dyDescent="0.25">
      <c r="B3825" s="476"/>
      <c r="C3825" s="476"/>
      <c r="D3825" s="475"/>
      <c r="E3825" s="476"/>
      <c r="F3825" s="475"/>
      <c r="G3825" s="476"/>
      <c r="H3825" s="475"/>
      <c r="I3825" s="476"/>
    </row>
    <row r="3826" spans="2:9" x14ac:dyDescent="0.25">
      <c r="B3826" s="476"/>
      <c r="C3826" s="476"/>
      <c r="D3826" s="475"/>
      <c r="E3826" s="476"/>
      <c r="F3826" s="475"/>
      <c r="G3826" s="476"/>
      <c r="H3826" s="475"/>
      <c r="I3826" s="476"/>
    </row>
    <row r="3827" spans="2:9" x14ac:dyDescent="0.25">
      <c r="B3827" s="476"/>
      <c r="C3827" s="476"/>
      <c r="D3827" s="475"/>
      <c r="E3827" s="476"/>
      <c r="F3827" s="475"/>
      <c r="G3827" s="476"/>
      <c r="H3827" s="475"/>
      <c r="I3827" s="476"/>
    </row>
    <row r="3828" spans="2:9" x14ac:dyDescent="0.25">
      <c r="B3828" s="476"/>
      <c r="C3828" s="476"/>
      <c r="D3828" s="475"/>
      <c r="E3828" s="476"/>
      <c r="F3828" s="475"/>
      <c r="G3828" s="476"/>
      <c r="H3828" s="475"/>
      <c r="I3828" s="476"/>
    </row>
    <row r="3829" spans="2:9" x14ac:dyDescent="0.25">
      <c r="B3829" s="476"/>
      <c r="C3829" s="476"/>
      <c r="D3829" s="475"/>
      <c r="E3829" s="476"/>
      <c r="F3829" s="475"/>
      <c r="G3829" s="476"/>
      <c r="H3829" s="475"/>
      <c r="I3829" s="476"/>
    </row>
    <row r="3830" spans="2:9" x14ac:dyDescent="0.25">
      <c r="B3830" s="476"/>
      <c r="C3830" s="476"/>
      <c r="D3830" s="475"/>
      <c r="E3830" s="476"/>
      <c r="F3830" s="475"/>
      <c r="G3830" s="476"/>
      <c r="H3830" s="475"/>
      <c r="I3830" s="476"/>
    </row>
    <row r="3831" spans="2:9" x14ac:dyDescent="0.25">
      <c r="B3831" s="476"/>
      <c r="C3831" s="476"/>
      <c r="D3831" s="475"/>
      <c r="E3831" s="476"/>
      <c r="F3831" s="475"/>
      <c r="G3831" s="476"/>
      <c r="H3831" s="475"/>
      <c r="I3831" s="476"/>
    </row>
    <row r="3832" spans="2:9" x14ac:dyDescent="0.25">
      <c r="B3832" s="476"/>
      <c r="C3832" s="476"/>
      <c r="D3832" s="475"/>
      <c r="E3832" s="476"/>
      <c r="F3832" s="475"/>
      <c r="G3832" s="476"/>
      <c r="H3832" s="475"/>
      <c r="I3832" s="476"/>
    </row>
    <row r="3833" spans="2:9" x14ac:dyDescent="0.25">
      <c r="B3833" s="476"/>
      <c r="C3833" s="476"/>
      <c r="D3833" s="475"/>
      <c r="E3833" s="476"/>
      <c r="F3833" s="475"/>
      <c r="G3833" s="476"/>
      <c r="H3833" s="475"/>
      <c r="I3833" s="476"/>
    </row>
    <row r="3834" spans="2:9" x14ac:dyDescent="0.25">
      <c r="B3834" s="476"/>
      <c r="C3834" s="476"/>
      <c r="D3834" s="475"/>
      <c r="E3834" s="476"/>
      <c r="F3834" s="475"/>
      <c r="G3834" s="476"/>
      <c r="H3834" s="475"/>
      <c r="I3834" s="476"/>
    </row>
    <row r="3835" spans="2:9" x14ac:dyDescent="0.25">
      <c r="B3835" s="476"/>
      <c r="C3835" s="476"/>
      <c r="D3835" s="475"/>
      <c r="E3835" s="476"/>
      <c r="F3835" s="475"/>
      <c r="G3835" s="476"/>
      <c r="H3835" s="475"/>
      <c r="I3835" s="476"/>
    </row>
    <row r="3836" spans="2:9" x14ac:dyDescent="0.25">
      <c r="B3836" s="476"/>
      <c r="C3836" s="476"/>
      <c r="D3836" s="475"/>
      <c r="E3836" s="476"/>
      <c r="F3836" s="475"/>
      <c r="G3836" s="476"/>
      <c r="H3836" s="475"/>
      <c r="I3836" s="476"/>
    </row>
    <row r="3837" spans="2:9" x14ac:dyDescent="0.25">
      <c r="B3837" s="476"/>
      <c r="C3837" s="476"/>
      <c r="D3837" s="475"/>
      <c r="E3837" s="476"/>
      <c r="F3837" s="475"/>
      <c r="G3837" s="476"/>
      <c r="H3837" s="475"/>
      <c r="I3837" s="476"/>
    </row>
    <row r="3838" spans="2:9" x14ac:dyDescent="0.25">
      <c r="B3838" s="476"/>
      <c r="C3838" s="476"/>
      <c r="D3838" s="475"/>
      <c r="E3838" s="476"/>
      <c r="F3838" s="475"/>
      <c r="G3838" s="476"/>
      <c r="H3838" s="475"/>
      <c r="I3838" s="476"/>
    </row>
    <row r="3839" spans="2:9" x14ac:dyDescent="0.25">
      <c r="B3839" s="476"/>
      <c r="C3839" s="476"/>
      <c r="D3839" s="475"/>
      <c r="E3839" s="476"/>
      <c r="F3839" s="475"/>
      <c r="G3839" s="476"/>
      <c r="H3839" s="475"/>
      <c r="I3839" s="476"/>
    </row>
    <row r="3840" spans="2:9" x14ac:dyDescent="0.25">
      <c r="B3840" s="476"/>
      <c r="C3840" s="476"/>
      <c r="D3840" s="475"/>
      <c r="E3840" s="476"/>
      <c r="F3840" s="475"/>
      <c r="G3840" s="476"/>
      <c r="H3840" s="475"/>
      <c r="I3840" s="476"/>
    </row>
    <row r="3841" spans="2:9" x14ac:dyDescent="0.25">
      <c r="B3841" s="476"/>
      <c r="C3841" s="476"/>
      <c r="D3841" s="475"/>
      <c r="E3841" s="476"/>
      <c r="F3841" s="475"/>
      <c r="G3841" s="476"/>
      <c r="H3841" s="475"/>
      <c r="I3841" s="476"/>
    </row>
    <row r="3842" spans="2:9" x14ac:dyDescent="0.25">
      <c r="B3842" s="476"/>
      <c r="C3842" s="476"/>
      <c r="D3842" s="475"/>
      <c r="E3842" s="476"/>
      <c r="F3842" s="475"/>
      <c r="G3842" s="476"/>
      <c r="H3842" s="475"/>
      <c r="I3842" s="476"/>
    </row>
    <row r="3843" spans="2:9" x14ac:dyDescent="0.25">
      <c r="B3843" s="476"/>
      <c r="C3843" s="476"/>
      <c r="D3843" s="475"/>
      <c r="E3843" s="476"/>
      <c r="F3843" s="475"/>
      <c r="G3843" s="476"/>
      <c r="H3843" s="475"/>
      <c r="I3843" s="476"/>
    </row>
    <row r="3844" spans="2:9" x14ac:dyDescent="0.25">
      <c r="B3844" s="476"/>
      <c r="C3844" s="476"/>
      <c r="D3844" s="475"/>
      <c r="E3844" s="476"/>
      <c r="F3844" s="475"/>
      <c r="G3844" s="476"/>
      <c r="H3844" s="475"/>
      <c r="I3844" s="476"/>
    </row>
    <row r="3845" spans="2:9" x14ac:dyDescent="0.25">
      <c r="B3845" s="476"/>
      <c r="C3845" s="476"/>
      <c r="D3845" s="475"/>
      <c r="E3845" s="476"/>
      <c r="F3845" s="475"/>
      <c r="G3845" s="476"/>
      <c r="H3845" s="475"/>
      <c r="I3845" s="476"/>
    </row>
    <row r="3846" spans="2:9" x14ac:dyDescent="0.25">
      <c r="B3846" s="476"/>
      <c r="C3846" s="476"/>
      <c r="D3846" s="475"/>
      <c r="E3846" s="476"/>
      <c r="F3846" s="475"/>
      <c r="G3846" s="476"/>
      <c r="H3846" s="475"/>
      <c r="I3846" s="476"/>
    </row>
    <row r="3847" spans="2:9" x14ac:dyDescent="0.25">
      <c r="B3847" s="476"/>
      <c r="C3847" s="476"/>
      <c r="D3847" s="475"/>
      <c r="E3847" s="476"/>
      <c r="F3847" s="475"/>
      <c r="G3847" s="476"/>
      <c r="H3847" s="475"/>
      <c r="I3847" s="476"/>
    </row>
    <row r="3848" spans="2:9" x14ac:dyDescent="0.25">
      <c r="B3848" s="476"/>
      <c r="C3848" s="476"/>
      <c r="D3848" s="475"/>
      <c r="E3848" s="476"/>
      <c r="F3848" s="475"/>
      <c r="G3848" s="476"/>
      <c r="H3848" s="475"/>
      <c r="I3848" s="476"/>
    </row>
    <row r="3849" spans="2:9" x14ac:dyDescent="0.25">
      <c r="B3849" s="476"/>
      <c r="C3849" s="476"/>
      <c r="D3849" s="475"/>
      <c r="E3849" s="476"/>
      <c r="F3849" s="475"/>
      <c r="G3849" s="476"/>
      <c r="H3849" s="475"/>
      <c r="I3849" s="476"/>
    </row>
    <row r="3850" spans="2:9" x14ac:dyDescent="0.25">
      <c r="B3850" s="476"/>
      <c r="C3850" s="476"/>
      <c r="D3850" s="475"/>
      <c r="E3850" s="476"/>
      <c r="F3850" s="475"/>
      <c r="G3850" s="476"/>
      <c r="H3850" s="475"/>
      <c r="I3850" s="476"/>
    </row>
    <row r="3851" spans="2:9" x14ac:dyDescent="0.25">
      <c r="B3851" s="476"/>
      <c r="C3851" s="476"/>
      <c r="D3851" s="475"/>
      <c r="E3851" s="476"/>
      <c r="F3851" s="475"/>
      <c r="G3851" s="476"/>
      <c r="H3851" s="475"/>
      <c r="I3851" s="476"/>
    </row>
    <row r="3852" spans="2:9" x14ac:dyDescent="0.25">
      <c r="B3852" s="476"/>
      <c r="C3852" s="476"/>
      <c r="D3852" s="475"/>
      <c r="E3852" s="476"/>
      <c r="F3852" s="475"/>
      <c r="G3852" s="476"/>
      <c r="H3852" s="475"/>
      <c r="I3852" s="476"/>
    </row>
    <row r="3853" spans="2:9" x14ac:dyDescent="0.25">
      <c r="B3853" s="476"/>
      <c r="C3853" s="476"/>
      <c r="D3853" s="475"/>
      <c r="E3853" s="476"/>
      <c r="F3853" s="475"/>
      <c r="G3853" s="476"/>
      <c r="H3853" s="475"/>
      <c r="I3853" s="476"/>
    </row>
    <row r="3854" spans="2:9" x14ac:dyDescent="0.25">
      <c r="B3854" s="476"/>
      <c r="C3854" s="476"/>
      <c r="D3854" s="475"/>
      <c r="E3854" s="476"/>
      <c r="F3854" s="475"/>
      <c r="G3854" s="476"/>
      <c r="H3854" s="475"/>
      <c r="I3854" s="476"/>
    </row>
    <row r="3855" spans="2:9" x14ac:dyDescent="0.25">
      <c r="B3855" s="476"/>
      <c r="C3855" s="476"/>
      <c r="D3855" s="475"/>
      <c r="E3855" s="476"/>
      <c r="F3855" s="475"/>
      <c r="G3855" s="476"/>
      <c r="H3855" s="475"/>
      <c r="I3855" s="476"/>
    </row>
    <row r="3856" spans="2:9" x14ac:dyDescent="0.25">
      <c r="B3856" s="476"/>
      <c r="C3856" s="476"/>
      <c r="D3856" s="475"/>
      <c r="E3856" s="476"/>
      <c r="F3856" s="475"/>
      <c r="G3856" s="476"/>
      <c r="H3856" s="475"/>
      <c r="I3856" s="476"/>
    </row>
    <row r="3857" spans="2:9" x14ac:dyDescent="0.25">
      <c r="B3857" s="476"/>
      <c r="C3857" s="476"/>
      <c r="D3857" s="475"/>
      <c r="E3857" s="476"/>
      <c r="F3857" s="475"/>
      <c r="G3857" s="476"/>
      <c r="H3857" s="475"/>
      <c r="I3857" s="476"/>
    </row>
    <row r="3858" spans="2:9" x14ac:dyDescent="0.25">
      <c r="B3858" s="476"/>
      <c r="C3858" s="476"/>
      <c r="D3858" s="475"/>
      <c r="E3858" s="476"/>
      <c r="F3858" s="475"/>
      <c r="G3858" s="476"/>
      <c r="H3858" s="475"/>
      <c r="I3858" s="476"/>
    </row>
    <row r="3859" spans="2:9" x14ac:dyDescent="0.25">
      <c r="B3859" s="476"/>
      <c r="C3859" s="476"/>
      <c r="D3859" s="475"/>
      <c r="E3859" s="476"/>
      <c r="F3859" s="475"/>
      <c r="G3859" s="476"/>
      <c r="H3859" s="475"/>
      <c r="I3859" s="476"/>
    </row>
    <row r="3860" spans="2:9" x14ac:dyDescent="0.25">
      <c r="B3860" s="476"/>
      <c r="C3860" s="476"/>
      <c r="D3860" s="475"/>
      <c r="E3860" s="476"/>
      <c r="F3860" s="475"/>
      <c r="G3860" s="476"/>
      <c r="H3860" s="475"/>
      <c r="I3860" s="476"/>
    </row>
    <row r="3861" spans="2:9" x14ac:dyDescent="0.25">
      <c r="B3861" s="476"/>
      <c r="C3861" s="476"/>
      <c r="D3861" s="475"/>
      <c r="E3861" s="476"/>
      <c r="F3861" s="475"/>
      <c r="G3861" s="476"/>
      <c r="H3861" s="475"/>
      <c r="I3861" s="476"/>
    </row>
    <row r="3862" spans="2:9" x14ac:dyDescent="0.25">
      <c r="B3862" s="476"/>
      <c r="C3862" s="476"/>
      <c r="D3862" s="475"/>
      <c r="E3862" s="476"/>
      <c r="F3862" s="475"/>
      <c r="G3862" s="476"/>
      <c r="H3862" s="475"/>
      <c r="I3862" s="476"/>
    </row>
    <row r="3863" spans="2:9" x14ac:dyDescent="0.25">
      <c r="B3863" s="476"/>
      <c r="C3863" s="476"/>
      <c r="D3863" s="475"/>
      <c r="E3863" s="476"/>
      <c r="F3863" s="475"/>
      <c r="G3863" s="476"/>
      <c r="H3863" s="475"/>
      <c r="I3863" s="476"/>
    </row>
    <row r="3864" spans="2:9" x14ac:dyDescent="0.25">
      <c r="B3864" s="476"/>
      <c r="C3864" s="476"/>
      <c r="D3864" s="475"/>
      <c r="E3864" s="476"/>
      <c r="F3864" s="475"/>
      <c r="G3864" s="476"/>
      <c r="H3864" s="475"/>
      <c r="I3864" s="476"/>
    </row>
    <row r="3865" spans="2:9" x14ac:dyDescent="0.25">
      <c r="B3865" s="476"/>
      <c r="C3865" s="476"/>
      <c r="D3865" s="475"/>
      <c r="E3865" s="476"/>
      <c r="F3865" s="475"/>
      <c r="G3865" s="476"/>
      <c r="H3865" s="475"/>
      <c r="I3865" s="476"/>
    </row>
    <row r="3866" spans="2:9" x14ac:dyDescent="0.25">
      <c r="B3866" s="476"/>
      <c r="C3866" s="476"/>
      <c r="D3866" s="475"/>
      <c r="E3866" s="476"/>
      <c r="F3866" s="475"/>
      <c r="G3866" s="476"/>
      <c r="H3866" s="475"/>
      <c r="I3866" s="476"/>
    </row>
    <row r="3867" spans="2:9" x14ac:dyDescent="0.25">
      <c r="B3867" s="476"/>
      <c r="C3867" s="476"/>
      <c r="D3867" s="475"/>
      <c r="E3867" s="476"/>
      <c r="F3867" s="475"/>
      <c r="G3867" s="476"/>
      <c r="H3867" s="475"/>
      <c r="I3867" s="476"/>
    </row>
    <row r="3868" spans="2:9" x14ac:dyDescent="0.25">
      <c r="B3868" s="476"/>
      <c r="C3868" s="476"/>
      <c r="D3868" s="475"/>
      <c r="E3868" s="476"/>
      <c r="F3868" s="475"/>
      <c r="G3868" s="476"/>
      <c r="H3868" s="475"/>
      <c r="I3868" s="476"/>
    </row>
    <row r="3869" spans="2:9" x14ac:dyDescent="0.25">
      <c r="B3869" s="476"/>
      <c r="C3869" s="476"/>
      <c r="D3869" s="475"/>
      <c r="E3869" s="476"/>
      <c r="F3869" s="475"/>
      <c r="G3869" s="476"/>
      <c r="H3869" s="475"/>
      <c r="I3869" s="476"/>
    </row>
    <row r="3870" spans="2:9" x14ac:dyDescent="0.25">
      <c r="B3870" s="476"/>
      <c r="C3870" s="476"/>
      <c r="D3870" s="475"/>
      <c r="E3870" s="476"/>
      <c r="F3870" s="475"/>
      <c r="G3870" s="476"/>
      <c r="H3870" s="475"/>
      <c r="I3870" s="476"/>
    </row>
    <row r="3871" spans="2:9" x14ac:dyDescent="0.25">
      <c r="B3871" s="476"/>
      <c r="C3871" s="476"/>
      <c r="D3871" s="475"/>
      <c r="E3871" s="476"/>
      <c r="F3871" s="475"/>
      <c r="G3871" s="476"/>
      <c r="H3871" s="475"/>
      <c r="I3871" s="476"/>
    </row>
    <row r="3872" spans="2:9" x14ac:dyDescent="0.25">
      <c r="B3872" s="476"/>
      <c r="C3872" s="476"/>
      <c r="D3872" s="475"/>
      <c r="E3872" s="476"/>
      <c r="F3872" s="475"/>
      <c r="G3872" s="476"/>
      <c r="H3872" s="475"/>
      <c r="I3872" s="476"/>
    </row>
    <row r="3873" spans="2:9" x14ac:dyDescent="0.25">
      <c r="B3873" s="476"/>
      <c r="C3873" s="476"/>
      <c r="D3873" s="475"/>
      <c r="E3873" s="476"/>
      <c r="F3873" s="475"/>
      <c r="G3873" s="476"/>
      <c r="H3873" s="475"/>
      <c r="I3873" s="476"/>
    </row>
    <row r="3874" spans="2:9" x14ac:dyDescent="0.25">
      <c r="B3874" s="476"/>
      <c r="C3874" s="476"/>
      <c r="D3874" s="475"/>
      <c r="E3874" s="476"/>
      <c r="F3874" s="475"/>
      <c r="G3874" s="476"/>
      <c r="H3874" s="475"/>
      <c r="I3874" s="476"/>
    </row>
    <row r="3875" spans="2:9" x14ac:dyDescent="0.25">
      <c r="B3875" s="476"/>
      <c r="C3875" s="476"/>
      <c r="D3875" s="475"/>
      <c r="E3875" s="476"/>
      <c r="F3875" s="475"/>
      <c r="G3875" s="476"/>
      <c r="H3875" s="475"/>
      <c r="I3875" s="476"/>
    </row>
    <row r="3876" spans="2:9" x14ac:dyDescent="0.25">
      <c r="B3876" s="476"/>
      <c r="C3876" s="476"/>
      <c r="D3876" s="475"/>
      <c r="E3876" s="476"/>
      <c r="F3876" s="475"/>
      <c r="G3876" s="476"/>
      <c r="H3876" s="475"/>
      <c r="I3876" s="476"/>
    </row>
    <row r="3877" spans="2:9" x14ac:dyDescent="0.25">
      <c r="B3877" s="476"/>
      <c r="C3877" s="476"/>
      <c r="D3877" s="475"/>
      <c r="E3877" s="476"/>
      <c r="F3877" s="475"/>
      <c r="G3877" s="476"/>
      <c r="H3877" s="475"/>
      <c r="I3877" s="476"/>
    </row>
    <row r="3878" spans="2:9" x14ac:dyDescent="0.25">
      <c r="B3878" s="476"/>
      <c r="C3878" s="476"/>
      <c r="D3878" s="475"/>
      <c r="E3878" s="476"/>
      <c r="F3878" s="475"/>
      <c r="G3878" s="476"/>
      <c r="H3878" s="475"/>
      <c r="I3878" s="476"/>
    </row>
    <row r="3879" spans="2:9" x14ac:dyDescent="0.25">
      <c r="B3879" s="476"/>
      <c r="C3879" s="476"/>
      <c r="D3879" s="475"/>
      <c r="E3879" s="476"/>
      <c r="F3879" s="475"/>
      <c r="G3879" s="476"/>
      <c r="H3879" s="475"/>
      <c r="I3879" s="476"/>
    </row>
    <row r="3880" spans="2:9" x14ac:dyDescent="0.25">
      <c r="B3880" s="476"/>
      <c r="C3880" s="476"/>
      <c r="D3880" s="475"/>
      <c r="E3880" s="476"/>
      <c r="F3880" s="475"/>
      <c r="G3880" s="476"/>
      <c r="H3880" s="475"/>
      <c r="I3880" s="476"/>
    </row>
    <row r="3881" spans="2:9" x14ac:dyDescent="0.25">
      <c r="B3881" s="476"/>
      <c r="C3881" s="476"/>
      <c r="D3881" s="475"/>
      <c r="E3881" s="476"/>
      <c r="F3881" s="475"/>
      <c r="G3881" s="476"/>
      <c r="H3881" s="475"/>
      <c r="I3881" s="476"/>
    </row>
    <row r="3882" spans="2:9" x14ac:dyDescent="0.25">
      <c r="B3882" s="476"/>
      <c r="C3882" s="476"/>
      <c r="D3882" s="475"/>
      <c r="E3882" s="476"/>
      <c r="F3882" s="475"/>
      <c r="G3882" s="476"/>
      <c r="H3882" s="475"/>
      <c r="I3882" s="476"/>
    </row>
    <row r="3883" spans="2:9" x14ac:dyDescent="0.25">
      <c r="B3883" s="476"/>
      <c r="C3883" s="476"/>
      <c r="D3883" s="475"/>
      <c r="E3883" s="476"/>
      <c r="F3883" s="475"/>
      <c r="G3883" s="476"/>
      <c r="H3883" s="475"/>
      <c r="I3883" s="476"/>
    </row>
    <row r="3884" spans="2:9" x14ac:dyDescent="0.25">
      <c r="B3884" s="476"/>
      <c r="C3884" s="476"/>
      <c r="D3884" s="475"/>
      <c r="E3884" s="476"/>
      <c r="F3884" s="475"/>
      <c r="G3884" s="476"/>
      <c r="H3884" s="475"/>
      <c r="I3884" s="476"/>
    </row>
    <row r="3885" spans="2:9" x14ac:dyDescent="0.25">
      <c r="B3885" s="476"/>
      <c r="C3885" s="476"/>
      <c r="D3885" s="475"/>
      <c r="E3885" s="476"/>
      <c r="F3885" s="475"/>
      <c r="G3885" s="476"/>
      <c r="H3885" s="475"/>
      <c r="I3885" s="476"/>
    </row>
    <row r="3886" spans="2:9" x14ac:dyDescent="0.25">
      <c r="B3886" s="476"/>
      <c r="C3886" s="476"/>
      <c r="D3886" s="475"/>
      <c r="E3886" s="476"/>
      <c r="F3886" s="475"/>
      <c r="G3886" s="476"/>
      <c r="H3886" s="475"/>
      <c r="I3886" s="476"/>
    </row>
    <row r="3887" spans="2:9" x14ac:dyDescent="0.25">
      <c r="B3887" s="476"/>
      <c r="C3887" s="476"/>
      <c r="D3887" s="475"/>
      <c r="E3887" s="476"/>
      <c r="F3887" s="475"/>
      <c r="G3887" s="476"/>
      <c r="H3887" s="475"/>
      <c r="I3887" s="476"/>
    </row>
    <row r="3888" spans="2:9" x14ac:dyDescent="0.25">
      <c r="B3888" s="476"/>
      <c r="C3888" s="476"/>
      <c r="D3888" s="475"/>
      <c r="E3888" s="476"/>
      <c r="F3888" s="475"/>
      <c r="G3888" s="476"/>
      <c r="H3888" s="475"/>
      <c r="I3888" s="476"/>
    </row>
    <row r="3889" spans="2:9" x14ac:dyDescent="0.25">
      <c r="B3889" s="476"/>
      <c r="C3889" s="476"/>
      <c r="D3889" s="475"/>
      <c r="E3889" s="476"/>
      <c r="F3889" s="475"/>
      <c r="G3889" s="476"/>
      <c r="H3889" s="475"/>
      <c r="I3889" s="476"/>
    </row>
    <row r="3890" spans="2:9" x14ac:dyDescent="0.25">
      <c r="B3890" s="476"/>
      <c r="C3890" s="476"/>
      <c r="D3890" s="475"/>
      <c r="E3890" s="476"/>
      <c r="F3890" s="475"/>
      <c r="G3890" s="476"/>
      <c r="H3890" s="475"/>
      <c r="I3890" s="476"/>
    </row>
    <row r="3891" spans="2:9" x14ac:dyDescent="0.25">
      <c r="B3891" s="476"/>
      <c r="C3891" s="476"/>
      <c r="D3891" s="475"/>
      <c r="E3891" s="476"/>
      <c r="F3891" s="475"/>
      <c r="G3891" s="476"/>
      <c r="H3891" s="475"/>
      <c r="I3891" s="476"/>
    </row>
    <row r="3892" spans="2:9" x14ac:dyDescent="0.25">
      <c r="B3892" s="476"/>
      <c r="C3892" s="476"/>
      <c r="D3892" s="475"/>
      <c r="E3892" s="476"/>
      <c r="F3892" s="475"/>
      <c r="G3892" s="476"/>
      <c r="H3892" s="475"/>
      <c r="I3892" s="476"/>
    </row>
    <row r="3893" spans="2:9" x14ac:dyDescent="0.25">
      <c r="B3893" s="476"/>
      <c r="C3893" s="476"/>
      <c r="D3893" s="475"/>
      <c r="E3893" s="476"/>
      <c r="F3893" s="475"/>
      <c r="G3893" s="476"/>
      <c r="H3893" s="475"/>
      <c r="I3893" s="476"/>
    </row>
    <row r="3894" spans="2:9" x14ac:dyDescent="0.25">
      <c r="B3894" s="476"/>
      <c r="C3894" s="476"/>
      <c r="D3894" s="475"/>
      <c r="E3894" s="476"/>
      <c r="F3894" s="475"/>
      <c r="G3894" s="476"/>
      <c r="H3894" s="475"/>
      <c r="I3894" s="476"/>
    </row>
    <row r="3895" spans="2:9" x14ac:dyDescent="0.25">
      <c r="B3895" s="476"/>
      <c r="C3895" s="476"/>
      <c r="D3895" s="475"/>
      <c r="E3895" s="476"/>
      <c r="F3895" s="475"/>
      <c r="G3895" s="476"/>
      <c r="H3895" s="475"/>
      <c r="I3895" s="476"/>
    </row>
    <row r="3896" spans="2:9" x14ac:dyDescent="0.25">
      <c r="B3896" s="476"/>
      <c r="C3896" s="476"/>
      <c r="D3896" s="475"/>
      <c r="E3896" s="476"/>
      <c r="F3896" s="475"/>
      <c r="G3896" s="476"/>
      <c r="H3896" s="475"/>
      <c r="I3896" s="476"/>
    </row>
    <row r="3897" spans="2:9" x14ac:dyDescent="0.25">
      <c r="B3897" s="476"/>
      <c r="C3897" s="476"/>
      <c r="D3897" s="475"/>
      <c r="E3897" s="476"/>
      <c r="F3897" s="475"/>
      <c r="G3897" s="476"/>
      <c r="H3897" s="475"/>
      <c r="I3897" s="476"/>
    </row>
    <row r="3898" spans="2:9" x14ac:dyDescent="0.25">
      <c r="B3898" s="476"/>
      <c r="C3898" s="476"/>
      <c r="D3898" s="475"/>
      <c r="E3898" s="476"/>
      <c r="F3898" s="475"/>
      <c r="G3898" s="476"/>
      <c r="H3898" s="475"/>
      <c r="I3898" s="476"/>
    </row>
    <row r="3899" spans="2:9" x14ac:dyDescent="0.25">
      <c r="B3899" s="476"/>
      <c r="C3899" s="476"/>
      <c r="D3899" s="475"/>
      <c r="E3899" s="476"/>
      <c r="F3899" s="475"/>
      <c r="G3899" s="476"/>
      <c r="H3899" s="475"/>
      <c r="I3899" s="476"/>
    </row>
    <row r="3900" spans="2:9" x14ac:dyDescent="0.25">
      <c r="B3900" s="476"/>
      <c r="C3900" s="476"/>
      <c r="D3900" s="475"/>
      <c r="E3900" s="476"/>
      <c r="F3900" s="475"/>
      <c r="G3900" s="476"/>
      <c r="H3900" s="475"/>
      <c r="I3900" s="476"/>
    </row>
    <row r="3901" spans="2:9" x14ac:dyDescent="0.25">
      <c r="B3901" s="476"/>
      <c r="C3901" s="476"/>
      <c r="D3901" s="475"/>
      <c r="E3901" s="476"/>
      <c r="F3901" s="475"/>
      <c r="G3901" s="476"/>
      <c r="H3901" s="475"/>
      <c r="I3901" s="476"/>
    </row>
    <row r="3902" spans="2:9" x14ac:dyDescent="0.25">
      <c r="B3902" s="476"/>
      <c r="C3902" s="476"/>
      <c r="D3902" s="475"/>
      <c r="E3902" s="476"/>
      <c r="F3902" s="475"/>
      <c r="G3902" s="476"/>
      <c r="H3902" s="475"/>
      <c r="I3902" s="476"/>
    </row>
    <row r="3903" spans="2:9" x14ac:dyDescent="0.25">
      <c r="B3903" s="476"/>
      <c r="C3903" s="476"/>
      <c r="D3903" s="475"/>
      <c r="E3903" s="476"/>
      <c r="F3903" s="475"/>
      <c r="G3903" s="476"/>
      <c r="H3903" s="475"/>
      <c r="I3903" s="476"/>
    </row>
    <row r="3904" spans="2:9" x14ac:dyDescent="0.25">
      <c r="B3904" s="476"/>
      <c r="C3904" s="476"/>
      <c r="D3904" s="475"/>
      <c r="E3904" s="476"/>
      <c r="F3904" s="475"/>
      <c r="G3904" s="476"/>
      <c r="H3904" s="475"/>
      <c r="I3904" s="476"/>
    </row>
    <row r="3905" spans="2:9" x14ac:dyDescent="0.25">
      <c r="B3905" s="476"/>
      <c r="C3905" s="476"/>
      <c r="D3905" s="475"/>
      <c r="E3905" s="476"/>
      <c r="F3905" s="475"/>
      <c r="G3905" s="476"/>
      <c r="H3905" s="475"/>
      <c r="I3905" s="476"/>
    </row>
    <row r="3906" spans="2:9" x14ac:dyDescent="0.25">
      <c r="B3906" s="476"/>
      <c r="C3906" s="476"/>
      <c r="D3906" s="475"/>
      <c r="E3906" s="476"/>
      <c r="F3906" s="475"/>
      <c r="G3906" s="476"/>
      <c r="H3906" s="475"/>
      <c r="I3906" s="476"/>
    </row>
    <row r="3907" spans="2:9" x14ac:dyDescent="0.25">
      <c r="B3907" s="476"/>
      <c r="C3907" s="476"/>
      <c r="D3907" s="475"/>
      <c r="E3907" s="476"/>
      <c r="F3907" s="475"/>
      <c r="G3907" s="476"/>
      <c r="H3907" s="475"/>
      <c r="I3907" s="476"/>
    </row>
    <row r="3908" spans="2:9" x14ac:dyDescent="0.25">
      <c r="B3908" s="476"/>
      <c r="C3908" s="476"/>
      <c r="D3908" s="475"/>
      <c r="E3908" s="476"/>
      <c r="F3908" s="475"/>
      <c r="G3908" s="476"/>
      <c r="H3908" s="475"/>
      <c r="I3908" s="476"/>
    </row>
    <row r="3909" spans="2:9" x14ac:dyDescent="0.25">
      <c r="B3909" s="476"/>
      <c r="C3909" s="476"/>
      <c r="D3909" s="475"/>
      <c r="E3909" s="476"/>
      <c r="F3909" s="475"/>
      <c r="G3909" s="476"/>
      <c r="H3909" s="475"/>
      <c r="I3909" s="476"/>
    </row>
    <row r="3910" spans="2:9" x14ac:dyDescent="0.25">
      <c r="B3910" s="476"/>
      <c r="C3910" s="476"/>
      <c r="D3910" s="475"/>
      <c r="E3910" s="476"/>
      <c r="F3910" s="475"/>
      <c r="G3910" s="476"/>
      <c r="H3910" s="475"/>
      <c r="I3910" s="476"/>
    </row>
    <row r="3911" spans="2:9" x14ac:dyDescent="0.25">
      <c r="B3911" s="476"/>
      <c r="C3911" s="476"/>
      <c r="D3911" s="475"/>
      <c r="E3911" s="476"/>
      <c r="F3911" s="475"/>
      <c r="G3911" s="476"/>
      <c r="H3911" s="475"/>
      <c r="I3911" s="476"/>
    </row>
    <row r="3912" spans="2:9" x14ac:dyDescent="0.25">
      <c r="B3912" s="476"/>
      <c r="C3912" s="476"/>
      <c r="D3912" s="475"/>
      <c r="E3912" s="476"/>
      <c r="F3912" s="475"/>
      <c r="G3912" s="476"/>
      <c r="H3912" s="475"/>
      <c r="I3912" s="476"/>
    </row>
    <row r="3913" spans="2:9" x14ac:dyDescent="0.25">
      <c r="B3913" s="476"/>
      <c r="C3913" s="476"/>
      <c r="D3913" s="475"/>
      <c r="E3913" s="476"/>
      <c r="F3913" s="475"/>
      <c r="G3913" s="476"/>
      <c r="H3913" s="475"/>
      <c r="I3913" s="476"/>
    </row>
    <row r="3914" spans="2:9" x14ac:dyDescent="0.25">
      <c r="B3914" s="476"/>
      <c r="C3914" s="476"/>
      <c r="D3914" s="475"/>
      <c r="E3914" s="476"/>
      <c r="F3914" s="475"/>
      <c r="G3914" s="476"/>
      <c r="H3914" s="475"/>
      <c r="I3914" s="476"/>
    </row>
    <row r="3915" spans="2:9" x14ac:dyDescent="0.25">
      <c r="B3915" s="476"/>
      <c r="C3915" s="476"/>
      <c r="D3915" s="475"/>
      <c r="E3915" s="476"/>
      <c r="F3915" s="475"/>
      <c r="G3915" s="476"/>
      <c r="H3915" s="475"/>
      <c r="I3915" s="476"/>
    </row>
    <row r="3916" spans="2:9" x14ac:dyDescent="0.25">
      <c r="B3916" s="476"/>
      <c r="C3916" s="476"/>
      <c r="D3916" s="475"/>
      <c r="E3916" s="476"/>
      <c r="F3916" s="475"/>
      <c r="G3916" s="476"/>
      <c r="H3916" s="475"/>
      <c r="I3916" s="476"/>
    </row>
    <row r="3917" spans="2:9" x14ac:dyDescent="0.25">
      <c r="B3917" s="476"/>
      <c r="C3917" s="476"/>
      <c r="D3917" s="475"/>
      <c r="E3917" s="476"/>
      <c r="F3917" s="475"/>
      <c r="G3917" s="476"/>
      <c r="H3917" s="475"/>
      <c r="I3917" s="476"/>
    </row>
    <row r="3918" spans="2:9" x14ac:dyDescent="0.25">
      <c r="B3918" s="476"/>
      <c r="C3918" s="476"/>
      <c r="D3918" s="475"/>
      <c r="E3918" s="476"/>
      <c r="F3918" s="475"/>
      <c r="G3918" s="476"/>
      <c r="H3918" s="475"/>
      <c r="I3918" s="476"/>
    </row>
    <row r="3919" spans="2:9" x14ac:dyDescent="0.25">
      <c r="B3919" s="476"/>
      <c r="C3919" s="476"/>
      <c r="D3919" s="475"/>
      <c r="E3919" s="476"/>
      <c r="F3919" s="475"/>
      <c r="G3919" s="476"/>
      <c r="H3919" s="475"/>
      <c r="I3919" s="476"/>
    </row>
    <row r="3920" spans="2:9" x14ac:dyDescent="0.25">
      <c r="B3920" s="476"/>
      <c r="C3920" s="476"/>
      <c r="D3920" s="475"/>
      <c r="E3920" s="476"/>
      <c r="F3920" s="475"/>
      <c r="G3920" s="476"/>
      <c r="H3920" s="475"/>
      <c r="I3920" s="476"/>
    </row>
    <row r="3921" spans="2:9" x14ac:dyDescent="0.25">
      <c r="B3921" s="476"/>
      <c r="C3921" s="476"/>
      <c r="D3921" s="475"/>
      <c r="E3921" s="476"/>
      <c r="F3921" s="475"/>
      <c r="G3921" s="476"/>
      <c r="H3921" s="475"/>
      <c r="I3921" s="476"/>
    </row>
    <row r="3922" spans="2:9" x14ac:dyDescent="0.25">
      <c r="B3922" s="476"/>
      <c r="C3922" s="476"/>
      <c r="D3922" s="475"/>
      <c r="E3922" s="476"/>
      <c r="F3922" s="475"/>
      <c r="G3922" s="476"/>
      <c r="H3922" s="475"/>
      <c r="I3922" s="476"/>
    </row>
    <row r="3923" spans="2:9" x14ac:dyDescent="0.25">
      <c r="B3923" s="476"/>
      <c r="C3923" s="476"/>
      <c r="D3923" s="475"/>
      <c r="E3923" s="476"/>
      <c r="F3923" s="475"/>
      <c r="G3923" s="476"/>
      <c r="H3923" s="475"/>
      <c r="I3923" s="476"/>
    </row>
    <row r="3924" spans="2:9" x14ac:dyDescent="0.25">
      <c r="B3924" s="476"/>
      <c r="C3924" s="476"/>
      <c r="D3924" s="475"/>
      <c r="E3924" s="476"/>
      <c r="F3924" s="475"/>
      <c r="G3924" s="476"/>
      <c r="H3924" s="475"/>
      <c r="I3924" s="476"/>
    </row>
    <row r="3925" spans="2:9" x14ac:dyDescent="0.25">
      <c r="B3925" s="476"/>
      <c r="C3925" s="476"/>
      <c r="D3925" s="475"/>
      <c r="E3925" s="476"/>
      <c r="F3925" s="475"/>
      <c r="G3925" s="476"/>
      <c r="H3925" s="475"/>
      <c r="I3925" s="476"/>
    </row>
    <row r="3926" spans="2:9" x14ac:dyDescent="0.25">
      <c r="B3926" s="476"/>
      <c r="C3926" s="476"/>
      <c r="D3926" s="475"/>
      <c r="E3926" s="476"/>
      <c r="F3926" s="475"/>
      <c r="G3926" s="476"/>
      <c r="H3926" s="475"/>
      <c r="I3926" s="476"/>
    </row>
    <row r="3927" spans="2:9" x14ac:dyDescent="0.25">
      <c r="B3927" s="476"/>
      <c r="C3927" s="476"/>
      <c r="D3927" s="475"/>
      <c r="E3927" s="476"/>
      <c r="F3927" s="475"/>
      <c r="G3927" s="476"/>
      <c r="H3927" s="475"/>
      <c r="I3927" s="476"/>
    </row>
    <row r="3928" spans="2:9" x14ac:dyDescent="0.25">
      <c r="B3928" s="476"/>
      <c r="C3928" s="476"/>
      <c r="D3928" s="475"/>
      <c r="E3928" s="476"/>
      <c r="F3928" s="475"/>
      <c r="G3928" s="476"/>
      <c r="H3928" s="475"/>
      <c r="I3928" s="476"/>
    </row>
    <row r="3929" spans="2:9" x14ac:dyDescent="0.25">
      <c r="B3929" s="476"/>
      <c r="C3929" s="476"/>
      <c r="D3929" s="475"/>
      <c r="E3929" s="476"/>
      <c r="F3929" s="475"/>
      <c r="G3929" s="476"/>
      <c r="H3929" s="475"/>
      <c r="I3929" s="476"/>
    </row>
    <row r="3930" spans="2:9" x14ac:dyDescent="0.25">
      <c r="B3930" s="476"/>
      <c r="C3930" s="476"/>
      <c r="D3930" s="475"/>
      <c r="E3930" s="476"/>
      <c r="F3930" s="475"/>
      <c r="G3930" s="476"/>
      <c r="H3930" s="475"/>
      <c r="I3930" s="476"/>
    </row>
    <row r="3931" spans="2:9" x14ac:dyDescent="0.25">
      <c r="B3931" s="476"/>
      <c r="C3931" s="476"/>
      <c r="D3931" s="475"/>
      <c r="E3931" s="476"/>
      <c r="F3931" s="475"/>
      <c r="G3931" s="476"/>
      <c r="H3931" s="475"/>
      <c r="I3931" s="476"/>
    </row>
    <row r="3932" spans="2:9" x14ac:dyDescent="0.25">
      <c r="B3932" s="476"/>
      <c r="C3932" s="476"/>
      <c r="D3932" s="475"/>
      <c r="E3932" s="476"/>
      <c r="F3932" s="475"/>
      <c r="G3932" s="476"/>
      <c r="H3932" s="475"/>
      <c r="I3932" s="476"/>
    </row>
    <row r="3933" spans="2:9" x14ac:dyDescent="0.25">
      <c r="B3933" s="476"/>
      <c r="C3933" s="476"/>
      <c r="D3933" s="475"/>
      <c r="E3933" s="476"/>
      <c r="F3933" s="475"/>
      <c r="G3933" s="476"/>
      <c r="H3933" s="475"/>
      <c r="I3933" s="476"/>
    </row>
    <row r="3934" spans="2:9" x14ac:dyDescent="0.25">
      <c r="B3934" s="476"/>
      <c r="C3934" s="476"/>
      <c r="D3934" s="475"/>
      <c r="E3934" s="476"/>
      <c r="F3934" s="475"/>
      <c r="G3934" s="476"/>
      <c r="H3934" s="475"/>
      <c r="I3934" s="476"/>
    </row>
    <row r="3935" spans="2:9" x14ac:dyDescent="0.25">
      <c r="B3935" s="476"/>
      <c r="C3935" s="476"/>
      <c r="D3935" s="475"/>
      <c r="E3935" s="476"/>
      <c r="F3935" s="475"/>
      <c r="G3935" s="476"/>
      <c r="H3935" s="475"/>
      <c r="I3935" s="476"/>
    </row>
    <row r="3936" spans="2:9" x14ac:dyDescent="0.25">
      <c r="B3936" s="476"/>
      <c r="C3936" s="476"/>
      <c r="D3936" s="475"/>
      <c r="E3936" s="476"/>
      <c r="F3936" s="475"/>
      <c r="G3936" s="476"/>
      <c r="H3936" s="475"/>
      <c r="I3936" s="476"/>
    </row>
    <row r="3937" spans="2:9" x14ac:dyDescent="0.25">
      <c r="B3937" s="476"/>
      <c r="C3937" s="476"/>
      <c r="D3937" s="475"/>
      <c r="E3937" s="476"/>
      <c r="F3937" s="475"/>
      <c r="G3937" s="476"/>
      <c r="H3937" s="475"/>
      <c r="I3937" s="476"/>
    </row>
    <row r="3938" spans="2:9" x14ac:dyDescent="0.25">
      <c r="B3938" s="476"/>
      <c r="C3938" s="476"/>
      <c r="D3938" s="475"/>
      <c r="E3938" s="476"/>
      <c r="F3938" s="475"/>
      <c r="G3938" s="476"/>
      <c r="H3938" s="475"/>
      <c r="I3938" s="476"/>
    </row>
    <row r="3939" spans="2:9" x14ac:dyDescent="0.25">
      <c r="B3939" s="476"/>
      <c r="C3939" s="476"/>
      <c r="D3939" s="475"/>
      <c r="E3939" s="476"/>
      <c r="F3939" s="475"/>
      <c r="G3939" s="476"/>
      <c r="H3939" s="475"/>
      <c r="I3939" s="476"/>
    </row>
    <row r="3940" spans="2:9" x14ac:dyDescent="0.25">
      <c r="B3940" s="476"/>
      <c r="C3940" s="476"/>
      <c r="D3940" s="475"/>
      <c r="E3940" s="476"/>
      <c r="F3940" s="475"/>
      <c r="G3940" s="476"/>
      <c r="H3940" s="475"/>
      <c r="I3940" s="476"/>
    </row>
    <row r="3941" spans="2:9" x14ac:dyDescent="0.25">
      <c r="B3941" s="476"/>
      <c r="C3941" s="476"/>
      <c r="D3941" s="475"/>
      <c r="E3941" s="476"/>
      <c r="F3941" s="475"/>
      <c r="G3941" s="476"/>
      <c r="H3941" s="475"/>
      <c r="I3941" s="476"/>
    </row>
    <row r="3942" spans="2:9" x14ac:dyDescent="0.25">
      <c r="B3942" s="476"/>
      <c r="C3942" s="476"/>
      <c r="D3942" s="475"/>
      <c r="E3942" s="476"/>
      <c r="F3942" s="475"/>
      <c r="G3942" s="476"/>
      <c r="H3942" s="475"/>
      <c r="I3942" s="476"/>
    </row>
    <row r="3943" spans="2:9" x14ac:dyDescent="0.25">
      <c r="B3943" s="476"/>
      <c r="C3943" s="476"/>
      <c r="D3943" s="475"/>
      <c r="E3943" s="476"/>
      <c r="F3943" s="475"/>
      <c r="G3943" s="476"/>
      <c r="H3943" s="475"/>
      <c r="I3943" s="476"/>
    </row>
    <row r="3944" spans="2:9" x14ac:dyDescent="0.25">
      <c r="B3944" s="476"/>
      <c r="C3944" s="476"/>
      <c r="D3944" s="475"/>
      <c r="E3944" s="476"/>
      <c r="F3944" s="475"/>
      <c r="G3944" s="476"/>
      <c r="H3944" s="475"/>
      <c r="I3944" s="476"/>
    </row>
    <row r="3945" spans="2:9" x14ac:dyDescent="0.25">
      <c r="B3945" s="476"/>
      <c r="C3945" s="476"/>
      <c r="D3945" s="475"/>
      <c r="E3945" s="476"/>
      <c r="F3945" s="475"/>
      <c r="G3945" s="476"/>
      <c r="H3945" s="475"/>
      <c r="I3945" s="476"/>
    </row>
    <row r="3946" spans="2:9" x14ac:dyDescent="0.25">
      <c r="B3946" s="476"/>
      <c r="C3946" s="476"/>
      <c r="D3946" s="475"/>
      <c r="E3946" s="476"/>
      <c r="F3946" s="475"/>
      <c r="G3946" s="476"/>
      <c r="H3946" s="475"/>
      <c r="I3946" s="476"/>
    </row>
    <row r="3947" spans="2:9" x14ac:dyDescent="0.25">
      <c r="B3947" s="476"/>
      <c r="C3947" s="476"/>
      <c r="D3947" s="475"/>
      <c r="E3947" s="476"/>
      <c r="F3947" s="475"/>
      <c r="G3947" s="476"/>
      <c r="H3947" s="475"/>
      <c r="I3947" s="476"/>
    </row>
    <row r="3948" spans="2:9" x14ac:dyDescent="0.25">
      <c r="B3948" s="476"/>
      <c r="C3948" s="476"/>
      <c r="D3948" s="475"/>
      <c r="E3948" s="476"/>
      <c r="F3948" s="475"/>
      <c r="G3948" s="476"/>
      <c r="H3948" s="475"/>
      <c r="I3948" s="476"/>
    </row>
    <row r="3949" spans="2:9" x14ac:dyDescent="0.25">
      <c r="B3949" s="476"/>
      <c r="C3949" s="476"/>
      <c r="D3949" s="475"/>
      <c r="E3949" s="476"/>
      <c r="F3949" s="475"/>
      <c r="G3949" s="476"/>
      <c r="H3949" s="475"/>
      <c r="I3949" s="476"/>
    </row>
    <row r="3950" spans="2:9" x14ac:dyDescent="0.25">
      <c r="B3950" s="476"/>
      <c r="C3950" s="476"/>
      <c r="D3950" s="475"/>
      <c r="E3950" s="476"/>
      <c r="F3950" s="475"/>
      <c r="G3950" s="476"/>
      <c r="H3950" s="475"/>
      <c r="I3950" s="476"/>
    </row>
    <row r="3951" spans="2:9" x14ac:dyDescent="0.25">
      <c r="B3951" s="476"/>
      <c r="C3951" s="476"/>
      <c r="D3951" s="475"/>
      <c r="E3951" s="476"/>
      <c r="F3951" s="475"/>
      <c r="G3951" s="476"/>
      <c r="H3951" s="475"/>
      <c r="I3951" s="476"/>
    </row>
    <row r="3952" spans="2:9" x14ac:dyDescent="0.25">
      <c r="B3952" s="476"/>
      <c r="C3952" s="476"/>
      <c r="D3952" s="475"/>
      <c r="E3952" s="476"/>
      <c r="F3952" s="475"/>
      <c r="G3952" s="476"/>
      <c r="H3952" s="475"/>
      <c r="I3952" s="476"/>
    </row>
    <row r="3953" spans="2:9" x14ac:dyDescent="0.25">
      <c r="B3953" s="476"/>
      <c r="C3953" s="476"/>
      <c r="D3953" s="475"/>
      <c r="E3953" s="476"/>
      <c r="F3953" s="475"/>
      <c r="G3953" s="476"/>
      <c r="H3953" s="475"/>
      <c r="I3953" s="476"/>
    </row>
    <row r="3954" spans="2:9" x14ac:dyDescent="0.25">
      <c r="B3954" s="476"/>
      <c r="C3954" s="476"/>
      <c r="D3954" s="475"/>
      <c r="E3954" s="476"/>
      <c r="F3954" s="475"/>
      <c r="G3954" s="476"/>
      <c r="H3954" s="475"/>
      <c r="I3954" s="476"/>
    </row>
    <row r="3955" spans="2:9" x14ac:dyDescent="0.25">
      <c r="B3955" s="476"/>
      <c r="C3955" s="476"/>
      <c r="D3955" s="475"/>
      <c r="E3955" s="476"/>
      <c r="F3955" s="475"/>
      <c r="G3955" s="476"/>
      <c r="H3955" s="475"/>
      <c r="I3955" s="476"/>
    </row>
    <row r="3956" spans="2:9" x14ac:dyDescent="0.25">
      <c r="B3956" s="476"/>
      <c r="C3956" s="476"/>
      <c r="D3956" s="475"/>
      <c r="E3956" s="476"/>
      <c r="F3956" s="475"/>
      <c r="G3956" s="476"/>
      <c r="H3956" s="475"/>
      <c r="I3956" s="476"/>
    </row>
    <row r="3957" spans="2:9" x14ac:dyDescent="0.25">
      <c r="B3957" s="476"/>
      <c r="C3957" s="476"/>
      <c r="D3957" s="475"/>
      <c r="E3957" s="476"/>
      <c r="F3957" s="475"/>
      <c r="G3957" s="476"/>
      <c r="H3957" s="475"/>
      <c r="I3957" s="476"/>
    </row>
    <row r="3958" spans="2:9" x14ac:dyDescent="0.25">
      <c r="B3958" s="476"/>
      <c r="C3958" s="476"/>
      <c r="D3958" s="475"/>
      <c r="E3958" s="476"/>
      <c r="F3958" s="475"/>
      <c r="G3958" s="476"/>
      <c r="H3958" s="475"/>
      <c r="I3958" s="476"/>
    </row>
    <row r="3959" spans="2:9" x14ac:dyDescent="0.25">
      <c r="B3959" s="476"/>
      <c r="C3959" s="476"/>
      <c r="D3959" s="475"/>
      <c r="E3959" s="476"/>
      <c r="F3959" s="475"/>
      <c r="G3959" s="476"/>
      <c r="H3959" s="475"/>
      <c r="I3959" s="476"/>
    </row>
    <row r="3960" spans="2:9" x14ac:dyDescent="0.25">
      <c r="B3960" s="476"/>
      <c r="C3960" s="476"/>
      <c r="D3960" s="475"/>
      <c r="E3960" s="476"/>
      <c r="F3960" s="475"/>
      <c r="G3960" s="476"/>
      <c r="H3960" s="475"/>
      <c r="I3960" s="476"/>
    </row>
    <row r="3961" spans="2:9" x14ac:dyDescent="0.25">
      <c r="B3961" s="476"/>
      <c r="C3961" s="476"/>
      <c r="D3961" s="475"/>
      <c r="E3961" s="476"/>
      <c r="F3961" s="475"/>
      <c r="G3961" s="476"/>
      <c r="H3961" s="475"/>
      <c r="I3961" s="476"/>
    </row>
    <row r="3962" spans="2:9" x14ac:dyDescent="0.25">
      <c r="B3962" s="476"/>
      <c r="C3962" s="476"/>
      <c r="D3962" s="475"/>
      <c r="E3962" s="476"/>
      <c r="F3962" s="475"/>
      <c r="G3962" s="476"/>
      <c r="H3962" s="475"/>
      <c r="I3962" s="476"/>
    </row>
    <row r="3963" spans="2:9" x14ac:dyDescent="0.25">
      <c r="B3963" s="476"/>
      <c r="C3963" s="476"/>
      <c r="D3963" s="475"/>
      <c r="E3963" s="476"/>
      <c r="F3963" s="475"/>
      <c r="G3963" s="476"/>
      <c r="H3963" s="475"/>
      <c r="I3963" s="476"/>
    </row>
    <row r="3964" spans="2:9" x14ac:dyDescent="0.25">
      <c r="B3964" s="476"/>
      <c r="C3964" s="476"/>
      <c r="D3964" s="475"/>
      <c r="E3964" s="476"/>
      <c r="F3964" s="475"/>
      <c r="G3964" s="476"/>
      <c r="H3964" s="475"/>
      <c r="I3964" s="476"/>
    </row>
    <row r="3965" spans="2:9" x14ac:dyDescent="0.25">
      <c r="B3965" s="476"/>
      <c r="C3965" s="476"/>
      <c r="D3965" s="475"/>
      <c r="E3965" s="476"/>
      <c r="F3965" s="475"/>
      <c r="G3965" s="476"/>
      <c r="H3965" s="475"/>
      <c r="I3965" s="476"/>
    </row>
    <row r="3966" spans="2:9" x14ac:dyDescent="0.25">
      <c r="B3966" s="476"/>
      <c r="C3966" s="476"/>
      <c r="D3966" s="475"/>
      <c r="E3966" s="476"/>
      <c r="F3966" s="475"/>
      <c r="G3966" s="476"/>
      <c r="H3966" s="475"/>
      <c r="I3966" s="476"/>
    </row>
    <row r="3967" spans="2:9" x14ac:dyDescent="0.25">
      <c r="B3967" s="476"/>
      <c r="C3967" s="476"/>
      <c r="D3967" s="475"/>
      <c r="E3967" s="476"/>
      <c r="F3967" s="475"/>
      <c r="G3967" s="476"/>
      <c r="H3967" s="475"/>
      <c r="I3967" s="476"/>
    </row>
    <row r="3968" spans="2:9" x14ac:dyDescent="0.25">
      <c r="B3968" s="476"/>
      <c r="C3968" s="476"/>
      <c r="D3968" s="475"/>
      <c r="E3968" s="476"/>
      <c r="F3968" s="475"/>
      <c r="G3968" s="476"/>
      <c r="H3968" s="475"/>
      <c r="I3968" s="476"/>
    </row>
    <row r="3969" spans="2:9" x14ac:dyDescent="0.25">
      <c r="B3969" s="476"/>
      <c r="C3969" s="476"/>
      <c r="D3969" s="475"/>
      <c r="E3969" s="476"/>
      <c r="F3969" s="475"/>
      <c r="G3969" s="476"/>
      <c r="H3969" s="475"/>
      <c r="I3969" s="476"/>
    </row>
    <row r="3970" spans="2:9" x14ac:dyDescent="0.25">
      <c r="B3970" s="476"/>
      <c r="C3970" s="476"/>
      <c r="D3970" s="475"/>
      <c r="E3970" s="476"/>
      <c r="F3970" s="475"/>
      <c r="G3970" s="476"/>
      <c r="H3970" s="475"/>
      <c r="I3970" s="476"/>
    </row>
    <row r="3971" spans="2:9" x14ac:dyDescent="0.25">
      <c r="B3971" s="476"/>
      <c r="C3971" s="476"/>
      <c r="D3971" s="475"/>
      <c r="E3971" s="476"/>
      <c r="F3971" s="475"/>
      <c r="G3971" s="476"/>
      <c r="H3971" s="475"/>
      <c r="I3971" s="476"/>
    </row>
    <row r="3972" spans="2:9" x14ac:dyDescent="0.25">
      <c r="B3972" s="476"/>
      <c r="C3972" s="476"/>
      <c r="D3972" s="475"/>
      <c r="E3972" s="476"/>
      <c r="F3972" s="475"/>
      <c r="G3972" s="476"/>
      <c r="H3972" s="475"/>
      <c r="I3972" s="476"/>
    </row>
    <row r="3973" spans="2:9" x14ac:dyDescent="0.25">
      <c r="B3973" s="476"/>
      <c r="C3973" s="476"/>
      <c r="D3973" s="475"/>
      <c r="E3973" s="476"/>
      <c r="F3973" s="475"/>
      <c r="G3973" s="476"/>
      <c r="H3973" s="475"/>
      <c r="I3973" s="476"/>
    </row>
    <row r="3974" spans="2:9" x14ac:dyDescent="0.25">
      <c r="B3974" s="476"/>
      <c r="C3974" s="476"/>
      <c r="D3974" s="475"/>
      <c r="E3974" s="476"/>
      <c r="F3974" s="475"/>
      <c r="G3974" s="476"/>
      <c r="H3974" s="475"/>
      <c r="I3974" s="476"/>
    </row>
    <row r="3975" spans="2:9" x14ac:dyDescent="0.25">
      <c r="B3975" s="476"/>
      <c r="C3975" s="476"/>
      <c r="D3975" s="475"/>
      <c r="E3975" s="476"/>
      <c r="F3975" s="475"/>
      <c r="G3975" s="476"/>
      <c r="H3975" s="475"/>
      <c r="I3975" s="476"/>
    </row>
    <row r="3976" spans="2:9" x14ac:dyDescent="0.25">
      <c r="B3976" s="476"/>
      <c r="C3976" s="476"/>
      <c r="D3976" s="475"/>
      <c r="E3976" s="476"/>
      <c r="F3976" s="475"/>
      <c r="G3976" s="476"/>
      <c r="H3976" s="475"/>
      <c r="I3976" s="476"/>
    </row>
    <row r="3977" spans="2:9" x14ac:dyDescent="0.25">
      <c r="B3977" s="476"/>
      <c r="C3977" s="476"/>
      <c r="D3977" s="475"/>
      <c r="E3977" s="476"/>
      <c r="F3977" s="475"/>
      <c r="G3977" s="476"/>
      <c r="H3977" s="475"/>
      <c r="I3977" s="476"/>
    </row>
    <row r="3978" spans="2:9" x14ac:dyDescent="0.25">
      <c r="B3978" s="476"/>
      <c r="C3978" s="476"/>
      <c r="D3978" s="475"/>
      <c r="E3978" s="476"/>
      <c r="F3978" s="475"/>
      <c r="G3978" s="476"/>
      <c r="H3978" s="475"/>
      <c r="I3978" s="476"/>
    </row>
    <row r="3979" spans="2:9" x14ac:dyDescent="0.25">
      <c r="B3979" s="476"/>
      <c r="C3979" s="476"/>
      <c r="D3979" s="475"/>
      <c r="E3979" s="476"/>
      <c r="F3979" s="475"/>
      <c r="G3979" s="476"/>
      <c r="H3979" s="475"/>
      <c r="I3979" s="476"/>
    </row>
    <row r="3980" spans="2:9" x14ac:dyDescent="0.25">
      <c r="B3980" s="476"/>
      <c r="C3980" s="476"/>
      <c r="D3980" s="475"/>
      <c r="E3980" s="476"/>
      <c r="F3980" s="475"/>
      <c r="G3980" s="476"/>
      <c r="H3980" s="475"/>
      <c r="I3980" s="476"/>
    </row>
    <row r="3981" spans="2:9" x14ac:dyDescent="0.25">
      <c r="B3981" s="476"/>
      <c r="C3981" s="476"/>
      <c r="D3981" s="475"/>
      <c r="E3981" s="476"/>
      <c r="F3981" s="475"/>
      <c r="G3981" s="476"/>
      <c r="H3981" s="475"/>
      <c r="I3981" s="476"/>
    </row>
    <row r="3982" spans="2:9" x14ac:dyDescent="0.25">
      <c r="B3982" s="476"/>
      <c r="C3982" s="476"/>
      <c r="D3982" s="475"/>
      <c r="E3982" s="476"/>
      <c r="F3982" s="475"/>
      <c r="G3982" s="476"/>
      <c r="H3982" s="475"/>
      <c r="I3982" s="476"/>
    </row>
    <row r="3983" spans="2:9" x14ac:dyDescent="0.25">
      <c r="B3983" s="476"/>
      <c r="C3983" s="476"/>
      <c r="D3983" s="475"/>
      <c r="E3983" s="476"/>
      <c r="F3983" s="475"/>
      <c r="G3983" s="476"/>
      <c r="H3983" s="475"/>
      <c r="I3983" s="476"/>
    </row>
    <row r="3984" spans="2:9" x14ac:dyDescent="0.25">
      <c r="B3984" s="476"/>
      <c r="C3984" s="476"/>
      <c r="D3984" s="475"/>
      <c r="E3984" s="476"/>
      <c r="F3984" s="475"/>
      <c r="G3984" s="476"/>
      <c r="H3984" s="475"/>
      <c r="I3984" s="476"/>
    </row>
    <row r="3985" spans="2:9" x14ac:dyDescent="0.25">
      <c r="B3985" s="476"/>
      <c r="C3985" s="476"/>
      <c r="D3985" s="475"/>
      <c r="E3985" s="476"/>
      <c r="F3985" s="475"/>
      <c r="G3985" s="476"/>
      <c r="H3985" s="475"/>
      <c r="I3985" s="476"/>
    </row>
    <row r="3986" spans="2:9" x14ac:dyDescent="0.25">
      <c r="B3986" s="476"/>
      <c r="C3986" s="476"/>
      <c r="D3986" s="475"/>
      <c r="E3986" s="476"/>
      <c r="F3986" s="475"/>
      <c r="G3986" s="476"/>
      <c r="H3986" s="475"/>
      <c r="I3986" s="476"/>
    </row>
    <row r="3987" spans="2:9" x14ac:dyDescent="0.25">
      <c r="B3987" s="476"/>
      <c r="C3987" s="476"/>
      <c r="D3987" s="475"/>
      <c r="E3987" s="476"/>
      <c r="F3987" s="475"/>
      <c r="G3987" s="476"/>
      <c r="H3987" s="475"/>
      <c r="I3987" s="476"/>
    </row>
    <row r="3988" spans="2:9" x14ac:dyDescent="0.25">
      <c r="B3988" s="476"/>
      <c r="C3988" s="476"/>
      <c r="D3988" s="475"/>
      <c r="E3988" s="476"/>
      <c r="F3988" s="475"/>
      <c r="G3988" s="476"/>
      <c r="H3988" s="475"/>
      <c r="I3988" s="476"/>
    </row>
    <row r="3989" spans="2:9" x14ac:dyDescent="0.25">
      <c r="B3989" s="476"/>
      <c r="C3989" s="476"/>
      <c r="D3989" s="475"/>
      <c r="E3989" s="476"/>
      <c r="F3989" s="475"/>
      <c r="G3989" s="476"/>
      <c r="H3989" s="475"/>
      <c r="I3989" s="476"/>
    </row>
    <row r="3990" spans="2:9" x14ac:dyDescent="0.25">
      <c r="B3990" s="476"/>
      <c r="C3990" s="476"/>
      <c r="D3990" s="475"/>
      <c r="E3990" s="476"/>
      <c r="F3990" s="475"/>
      <c r="G3990" s="476"/>
      <c r="H3990" s="475"/>
      <c r="I3990" s="476"/>
    </row>
    <row r="3991" spans="2:9" x14ac:dyDescent="0.25">
      <c r="B3991" s="476"/>
      <c r="C3991" s="476"/>
      <c r="D3991" s="475"/>
      <c r="E3991" s="476"/>
      <c r="F3991" s="475"/>
      <c r="G3991" s="476"/>
      <c r="H3991" s="475"/>
      <c r="I3991" s="476"/>
    </row>
    <row r="3992" spans="2:9" x14ac:dyDescent="0.25">
      <c r="B3992" s="476"/>
      <c r="C3992" s="476"/>
      <c r="D3992" s="475"/>
      <c r="E3992" s="476"/>
      <c r="F3992" s="475"/>
      <c r="G3992" s="476"/>
      <c r="H3992" s="475"/>
      <c r="I3992" s="476"/>
    </row>
    <row r="3993" spans="2:9" x14ac:dyDescent="0.25">
      <c r="B3993" s="476"/>
      <c r="C3993" s="476"/>
      <c r="D3993" s="475"/>
      <c r="E3993" s="476"/>
      <c r="F3993" s="475"/>
      <c r="G3993" s="476"/>
      <c r="H3993" s="475"/>
      <c r="I3993" s="476"/>
    </row>
    <row r="3994" spans="2:9" x14ac:dyDescent="0.25">
      <c r="B3994" s="476"/>
      <c r="C3994" s="476"/>
      <c r="D3994" s="475"/>
      <c r="E3994" s="476"/>
      <c r="F3994" s="475"/>
      <c r="G3994" s="476"/>
      <c r="H3994" s="475"/>
      <c r="I3994" s="476"/>
    </row>
    <row r="3995" spans="2:9" x14ac:dyDescent="0.25">
      <c r="B3995" s="476"/>
      <c r="C3995" s="476"/>
      <c r="D3995" s="475"/>
      <c r="E3995" s="476"/>
      <c r="F3995" s="475"/>
      <c r="G3995" s="476"/>
      <c r="H3995" s="475"/>
      <c r="I3995" s="476"/>
    </row>
    <row r="3996" spans="2:9" x14ac:dyDescent="0.25">
      <c r="B3996" s="476"/>
      <c r="C3996" s="476"/>
      <c r="D3996" s="475"/>
      <c r="E3996" s="476"/>
      <c r="F3996" s="475"/>
      <c r="G3996" s="476"/>
      <c r="H3996" s="475"/>
      <c r="I3996" s="476"/>
    </row>
    <row r="3997" spans="2:9" x14ac:dyDescent="0.25">
      <c r="B3997" s="476"/>
      <c r="C3997" s="476"/>
      <c r="D3997" s="475"/>
      <c r="E3997" s="476"/>
      <c r="F3997" s="475"/>
      <c r="G3997" s="476"/>
      <c r="H3997" s="475"/>
      <c r="I3997" s="476"/>
    </row>
    <row r="3998" spans="2:9" x14ac:dyDescent="0.25">
      <c r="B3998" s="476"/>
      <c r="C3998" s="476"/>
      <c r="D3998" s="475"/>
      <c r="E3998" s="476"/>
      <c r="F3998" s="475"/>
      <c r="G3998" s="476"/>
      <c r="H3998" s="475"/>
      <c r="I3998" s="476"/>
    </row>
    <row r="3999" spans="2:9" x14ac:dyDescent="0.25">
      <c r="B3999" s="476"/>
      <c r="C3999" s="476"/>
      <c r="D3999" s="475"/>
      <c r="E3999" s="476"/>
      <c r="F3999" s="475"/>
      <c r="G3999" s="476"/>
      <c r="H3999" s="475"/>
      <c r="I3999" s="476"/>
    </row>
    <row r="4000" spans="2:9" x14ac:dyDescent="0.25">
      <c r="B4000" s="476"/>
      <c r="C4000" s="476"/>
      <c r="D4000" s="475"/>
      <c r="E4000" s="476"/>
      <c r="F4000" s="475"/>
      <c r="G4000" s="476"/>
      <c r="H4000" s="475"/>
      <c r="I4000" s="476"/>
    </row>
    <row r="4001" spans="2:9" x14ac:dyDescent="0.25">
      <c r="B4001" s="476"/>
      <c r="C4001" s="476"/>
      <c r="D4001" s="475"/>
      <c r="E4001" s="476"/>
      <c r="F4001" s="475"/>
      <c r="G4001" s="476"/>
      <c r="H4001" s="475"/>
      <c r="I4001" s="476"/>
    </row>
    <row r="4002" spans="2:9" x14ac:dyDescent="0.25">
      <c r="B4002" s="476"/>
      <c r="C4002" s="476"/>
      <c r="D4002" s="475"/>
      <c r="E4002" s="476"/>
      <c r="F4002" s="475"/>
      <c r="G4002" s="476"/>
      <c r="H4002" s="475"/>
      <c r="I4002" s="476"/>
    </row>
    <row r="4003" spans="2:9" x14ac:dyDescent="0.25">
      <c r="B4003" s="476"/>
      <c r="C4003" s="476"/>
      <c r="D4003" s="475"/>
      <c r="E4003" s="476"/>
      <c r="F4003" s="475"/>
      <c r="G4003" s="476"/>
      <c r="H4003" s="475"/>
      <c r="I4003" s="476"/>
    </row>
    <row r="4004" spans="2:9" x14ac:dyDescent="0.25">
      <c r="B4004" s="476"/>
      <c r="C4004" s="476"/>
      <c r="D4004" s="475"/>
      <c r="E4004" s="476"/>
      <c r="F4004" s="475"/>
      <c r="G4004" s="476"/>
      <c r="H4004" s="475"/>
      <c r="I4004" s="476"/>
    </row>
    <row r="4005" spans="2:9" x14ac:dyDescent="0.25">
      <c r="B4005" s="476"/>
      <c r="C4005" s="476"/>
      <c r="D4005" s="475"/>
      <c r="E4005" s="476"/>
      <c r="F4005" s="475"/>
      <c r="G4005" s="476"/>
      <c r="H4005" s="475"/>
      <c r="I4005" s="476"/>
    </row>
    <row r="4006" spans="2:9" x14ac:dyDescent="0.25">
      <c r="B4006" s="476"/>
      <c r="C4006" s="476"/>
      <c r="D4006" s="475"/>
      <c r="E4006" s="476"/>
      <c r="F4006" s="475"/>
      <c r="G4006" s="476"/>
      <c r="H4006" s="475"/>
      <c r="I4006" s="476"/>
    </row>
    <row r="4007" spans="2:9" x14ac:dyDescent="0.25">
      <c r="B4007" s="476"/>
      <c r="C4007" s="476"/>
      <c r="D4007" s="475"/>
      <c r="E4007" s="476"/>
      <c r="F4007" s="475"/>
      <c r="G4007" s="476"/>
      <c r="H4007" s="475"/>
      <c r="I4007" s="476"/>
    </row>
    <row r="4008" spans="2:9" x14ac:dyDescent="0.25">
      <c r="B4008" s="476"/>
      <c r="C4008" s="476"/>
      <c r="D4008" s="475"/>
      <c r="E4008" s="476"/>
      <c r="F4008" s="475"/>
      <c r="G4008" s="476"/>
      <c r="H4008" s="475"/>
      <c r="I4008" s="476"/>
    </row>
    <row r="4009" spans="2:9" x14ac:dyDescent="0.25">
      <c r="B4009" s="476"/>
      <c r="C4009" s="476"/>
      <c r="D4009" s="475"/>
      <c r="E4009" s="476"/>
      <c r="F4009" s="475"/>
      <c r="G4009" s="476"/>
      <c r="H4009" s="475"/>
      <c r="I4009" s="476"/>
    </row>
    <row r="4010" spans="2:9" x14ac:dyDescent="0.25">
      <c r="B4010" s="476"/>
      <c r="C4010" s="476"/>
      <c r="D4010" s="475"/>
      <c r="E4010" s="476"/>
      <c r="F4010" s="475"/>
      <c r="G4010" s="476"/>
      <c r="H4010" s="475"/>
      <c r="I4010" s="476"/>
    </row>
    <row r="4011" spans="2:9" x14ac:dyDescent="0.25">
      <c r="B4011" s="476"/>
      <c r="C4011" s="476"/>
      <c r="D4011" s="475"/>
      <c r="E4011" s="476"/>
      <c r="F4011" s="475"/>
      <c r="G4011" s="476"/>
      <c r="H4011" s="475"/>
      <c r="I4011" s="476"/>
    </row>
    <row r="4012" spans="2:9" x14ac:dyDescent="0.25">
      <c r="B4012" s="476"/>
      <c r="C4012" s="476"/>
      <c r="D4012" s="475"/>
      <c r="E4012" s="476"/>
      <c r="F4012" s="475"/>
      <c r="G4012" s="476"/>
      <c r="H4012" s="475"/>
      <c r="I4012" s="476"/>
    </row>
    <row r="4013" spans="2:9" x14ac:dyDescent="0.25">
      <c r="B4013" s="476"/>
      <c r="C4013" s="476"/>
      <c r="D4013" s="475"/>
      <c r="E4013" s="476"/>
      <c r="F4013" s="475"/>
      <c r="G4013" s="476"/>
      <c r="H4013" s="475"/>
      <c r="I4013" s="476"/>
    </row>
    <row r="4014" spans="2:9" x14ac:dyDescent="0.25">
      <c r="B4014" s="476"/>
      <c r="C4014" s="476"/>
      <c r="D4014" s="475"/>
      <c r="E4014" s="476"/>
      <c r="F4014" s="475"/>
      <c r="G4014" s="476"/>
      <c r="H4014" s="475"/>
      <c r="I4014" s="476"/>
    </row>
    <row r="4015" spans="2:9" x14ac:dyDescent="0.25">
      <c r="B4015" s="476"/>
      <c r="C4015" s="476"/>
      <c r="D4015" s="475"/>
      <c r="E4015" s="476"/>
      <c r="F4015" s="475"/>
      <c r="G4015" s="476"/>
      <c r="H4015" s="475"/>
      <c r="I4015" s="476"/>
    </row>
    <row r="4016" spans="2:9" x14ac:dyDescent="0.25">
      <c r="B4016" s="476"/>
      <c r="C4016" s="476"/>
      <c r="D4016" s="475"/>
      <c r="E4016" s="476"/>
      <c r="F4016" s="475"/>
      <c r="G4016" s="476"/>
      <c r="H4016" s="475"/>
      <c r="I4016" s="476"/>
    </row>
    <row r="4017" spans="2:9" x14ac:dyDescent="0.25">
      <c r="B4017" s="476"/>
      <c r="C4017" s="476"/>
      <c r="D4017" s="475"/>
      <c r="E4017" s="476"/>
      <c r="F4017" s="475"/>
      <c r="G4017" s="476"/>
      <c r="H4017" s="475"/>
      <c r="I4017" s="476"/>
    </row>
    <row r="4018" spans="2:9" x14ac:dyDescent="0.25">
      <c r="B4018" s="476"/>
      <c r="C4018" s="476"/>
      <c r="D4018" s="475"/>
      <c r="E4018" s="476"/>
      <c r="F4018" s="475"/>
      <c r="G4018" s="476"/>
      <c r="H4018" s="475"/>
      <c r="I4018" s="476"/>
    </row>
    <row r="4019" spans="2:9" x14ac:dyDescent="0.25">
      <c r="B4019" s="476"/>
      <c r="C4019" s="476"/>
      <c r="D4019" s="475"/>
      <c r="E4019" s="476"/>
      <c r="F4019" s="475"/>
      <c r="G4019" s="476"/>
      <c r="H4019" s="475"/>
      <c r="I4019" s="476"/>
    </row>
    <row r="4020" spans="2:9" x14ac:dyDescent="0.25">
      <c r="B4020" s="476"/>
      <c r="C4020" s="476"/>
      <c r="D4020" s="475"/>
      <c r="E4020" s="476"/>
      <c r="F4020" s="475"/>
      <c r="G4020" s="476"/>
      <c r="H4020" s="475"/>
      <c r="I4020" s="476"/>
    </row>
    <row r="4021" spans="2:9" x14ac:dyDescent="0.25">
      <c r="B4021" s="476"/>
      <c r="C4021" s="476"/>
      <c r="D4021" s="475"/>
      <c r="E4021" s="476"/>
      <c r="F4021" s="475"/>
      <c r="G4021" s="476"/>
      <c r="H4021" s="475"/>
      <c r="I4021" s="476"/>
    </row>
    <row r="4022" spans="2:9" x14ac:dyDescent="0.25">
      <c r="B4022" s="476"/>
      <c r="C4022" s="476"/>
      <c r="D4022" s="475"/>
      <c r="E4022" s="476"/>
      <c r="F4022" s="475"/>
      <c r="G4022" s="476"/>
      <c r="H4022" s="475"/>
      <c r="I4022" s="476"/>
    </row>
    <row r="4023" spans="2:9" x14ac:dyDescent="0.25">
      <c r="B4023" s="476"/>
      <c r="C4023" s="476"/>
      <c r="D4023" s="475"/>
      <c r="E4023" s="476"/>
      <c r="F4023" s="475"/>
      <c r="G4023" s="476"/>
      <c r="H4023" s="475"/>
      <c r="I4023" s="476"/>
    </row>
    <row r="4024" spans="2:9" x14ac:dyDescent="0.25">
      <c r="B4024" s="476"/>
      <c r="C4024" s="476"/>
      <c r="D4024" s="475"/>
      <c r="E4024" s="476"/>
      <c r="F4024" s="475"/>
      <c r="G4024" s="476"/>
      <c r="H4024" s="475"/>
      <c r="I4024" s="476"/>
    </row>
    <row r="4025" spans="2:9" x14ac:dyDescent="0.25">
      <c r="B4025" s="476"/>
      <c r="C4025" s="476"/>
      <c r="D4025" s="475"/>
      <c r="E4025" s="476"/>
      <c r="F4025" s="475"/>
      <c r="G4025" s="476"/>
      <c r="H4025" s="475"/>
      <c r="I4025" s="476"/>
    </row>
    <row r="4026" spans="2:9" x14ac:dyDescent="0.25">
      <c r="B4026" s="476"/>
      <c r="C4026" s="476"/>
      <c r="D4026" s="475"/>
      <c r="E4026" s="476"/>
      <c r="F4026" s="475"/>
      <c r="G4026" s="476"/>
      <c r="H4026" s="475"/>
      <c r="I4026" s="476"/>
    </row>
    <row r="4027" spans="2:9" x14ac:dyDescent="0.25">
      <c r="B4027" s="476"/>
      <c r="C4027" s="476"/>
      <c r="D4027" s="475"/>
      <c r="E4027" s="476"/>
      <c r="F4027" s="475"/>
      <c r="G4027" s="476"/>
      <c r="H4027" s="475"/>
      <c r="I4027" s="476"/>
    </row>
    <row r="4028" spans="2:9" x14ac:dyDescent="0.25">
      <c r="B4028" s="476"/>
      <c r="C4028" s="476"/>
      <c r="D4028" s="475"/>
      <c r="E4028" s="476"/>
      <c r="F4028" s="475"/>
      <c r="G4028" s="476"/>
      <c r="H4028" s="475"/>
      <c r="I4028" s="476"/>
    </row>
    <row r="4029" spans="2:9" x14ac:dyDescent="0.25">
      <c r="B4029" s="476"/>
      <c r="C4029" s="476"/>
      <c r="D4029" s="475"/>
      <c r="E4029" s="476"/>
      <c r="F4029" s="475"/>
      <c r="G4029" s="476"/>
      <c r="H4029" s="475"/>
      <c r="I4029" s="476"/>
    </row>
    <row r="4030" spans="2:9" x14ac:dyDescent="0.25">
      <c r="B4030" s="476"/>
      <c r="C4030" s="476"/>
      <c r="D4030" s="475"/>
      <c r="E4030" s="476"/>
      <c r="F4030" s="475"/>
      <c r="G4030" s="476"/>
      <c r="H4030" s="475"/>
      <c r="I4030" s="476"/>
    </row>
    <row r="4031" spans="2:9" x14ac:dyDescent="0.25">
      <c r="B4031" s="476"/>
      <c r="C4031" s="476"/>
      <c r="D4031" s="475"/>
      <c r="E4031" s="476"/>
      <c r="F4031" s="475"/>
      <c r="G4031" s="476"/>
      <c r="H4031" s="475"/>
      <c r="I4031" s="476"/>
    </row>
    <row r="4032" spans="2:9" x14ac:dyDescent="0.25">
      <c r="B4032" s="476"/>
      <c r="C4032" s="476"/>
      <c r="D4032" s="475"/>
      <c r="E4032" s="476"/>
      <c r="F4032" s="475"/>
      <c r="G4032" s="476"/>
      <c r="H4032" s="475"/>
      <c r="I4032" s="476"/>
    </row>
    <row r="4033" spans="2:9" x14ac:dyDescent="0.25">
      <c r="B4033" s="476"/>
      <c r="C4033" s="476"/>
      <c r="D4033" s="475"/>
      <c r="E4033" s="476"/>
      <c r="F4033" s="475"/>
      <c r="G4033" s="476"/>
      <c r="H4033" s="475"/>
      <c r="I4033" s="476"/>
    </row>
    <row r="4034" spans="2:9" x14ac:dyDescent="0.25">
      <c r="B4034" s="476"/>
      <c r="C4034" s="476"/>
      <c r="D4034" s="475"/>
      <c r="E4034" s="476"/>
      <c r="F4034" s="475"/>
      <c r="G4034" s="476"/>
      <c r="H4034" s="475"/>
      <c r="I4034" s="476"/>
    </row>
    <row r="4035" spans="2:9" x14ac:dyDescent="0.25">
      <c r="B4035" s="476"/>
      <c r="C4035" s="476"/>
      <c r="D4035" s="475"/>
      <c r="E4035" s="476"/>
      <c r="F4035" s="475"/>
      <c r="G4035" s="476"/>
      <c r="H4035" s="475"/>
      <c r="I4035" s="476"/>
    </row>
    <row r="4036" spans="2:9" x14ac:dyDescent="0.25">
      <c r="B4036" s="476"/>
      <c r="C4036" s="476"/>
      <c r="D4036" s="475"/>
      <c r="E4036" s="476"/>
      <c r="F4036" s="475"/>
      <c r="G4036" s="476"/>
      <c r="H4036" s="475"/>
      <c r="I4036" s="476"/>
    </row>
    <row r="4037" spans="2:9" x14ac:dyDescent="0.25">
      <c r="B4037" s="476"/>
      <c r="C4037" s="476"/>
      <c r="D4037" s="475"/>
      <c r="E4037" s="476"/>
      <c r="F4037" s="475"/>
      <c r="G4037" s="476"/>
      <c r="H4037" s="475"/>
      <c r="I4037" s="476"/>
    </row>
    <row r="4038" spans="2:9" x14ac:dyDescent="0.25">
      <c r="B4038" s="476"/>
      <c r="C4038" s="476"/>
      <c r="D4038" s="475"/>
      <c r="E4038" s="476"/>
      <c r="F4038" s="475"/>
      <c r="G4038" s="476"/>
      <c r="H4038" s="475"/>
      <c r="I4038" s="476"/>
    </row>
    <row r="4039" spans="2:9" x14ac:dyDescent="0.25">
      <c r="B4039" s="476"/>
      <c r="C4039" s="476"/>
      <c r="D4039" s="475"/>
      <c r="E4039" s="476"/>
      <c r="F4039" s="475"/>
      <c r="G4039" s="476"/>
      <c r="H4039" s="475"/>
      <c r="I4039" s="476"/>
    </row>
    <row r="4040" spans="2:9" x14ac:dyDescent="0.25">
      <c r="B4040" s="476"/>
      <c r="C4040" s="476"/>
      <c r="D4040" s="475"/>
      <c r="E4040" s="476"/>
      <c r="F4040" s="475"/>
      <c r="G4040" s="476"/>
      <c r="H4040" s="475"/>
      <c r="I4040" s="476"/>
    </row>
    <row r="4041" spans="2:9" x14ac:dyDescent="0.25">
      <c r="B4041" s="476"/>
      <c r="C4041" s="476"/>
      <c r="D4041" s="475"/>
      <c r="E4041" s="476"/>
      <c r="F4041" s="475"/>
      <c r="G4041" s="476"/>
      <c r="H4041" s="475"/>
      <c r="I4041" s="476"/>
    </row>
    <row r="4042" spans="2:9" x14ac:dyDescent="0.25">
      <c r="B4042" s="476"/>
      <c r="C4042" s="476"/>
      <c r="D4042" s="475"/>
      <c r="E4042" s="476"/>
      <c r="F4042" s="475"/>
      <c r="G4042" s="476"/>
      <c r="H4042" s="475"/>
      <c r="I4042" s="476"/>
    </row>
    <row r="4043" spans="2:9" x14ac:dyDescent="0.25">
      <c r="B4043" s="476"/>
      <c r="C4043" s="476"/>
      <c r="D4043" s="475"/>
      <c r="E4043" s="476"/>
      <c r="F4043" s="475"/>
      <c r="G4043" s="476"/>
      <c r="H4043" s="475"/>
      <c r="I4043" s="476"/>
    </row>
    <row r="4044" spans="2:9" x14ac:dyDescent="0.25">
      <c r="B4044" s="476"/>
      <c r="C4044" s="476"/>
      <c r="D4044" s="475"/>
      <c r="E4044" s="476"/>
      <c r="F4044" s="475"/>
      <c r="G4044" s="476"/>
      <c r="H4044" s="475"/>
      <c r="I4044" s="476"/>
    </row>
    <row r="4045" spans="2:9" x14ac:dyDescent="0.25">
      <c r="B4045" s="476"/>
      <c r="C4045" s="476"/>
      <c r="D4045" s="475"/>
      <c r="E4045" s="476"/>
      <c r="F4045" s="475"/>
      <c r="G4045" s="476"/>
      <c r="H4045" s="475"/>
      <c r="I4045" s="476"/>
    </row>
    <row r="4046" spans="2:9" x14ac:dyDescent="0.25">
      <c r="B4046" s="476"/>
      <c r="C4046" s="476"/>
      <c r="D4046" s="475"/>
      <c r="E4046" s="476"/>
      <c r="F4046" s="475"/>
      <c r="G4046" s="476"/>
      <c r="H4046" s="475"/>
      <c r="I4046" s="476"/>
    </row>
    <row r="4047" spans="2:9" x14ac:dyDescent="0.25">
      <c r="B4047" s="476"/>
      <c r="C4047" s="476"/>
      <c r="D4047" s="475"/>
      <c r="E4047" s="476"/>
      <c r="F4047" s="475"/>
      <c r="G4047" s="476"/>
      <c r="H4047" s="475"/>
      <c r="I4047" s="476"/>
    </row>
    <row r="4048" spans="2:9" x14ac:dyDescent="0.25">
      <c r="B4048" s="476"/>
      <c r="C4048" s="476"/>
      <c r="D4048" s="475"/>
      <c r="E4048" s="476"/>
      <c r="F4048" s="475"/>
      <c r="G4048" s="476"/>
      <c r="H4048" s="475"/>
      <c r="I4048" s="476"/>
    </row>
    <row r="4049" spans="2:9" x14ac:dyDescent="0.25">
      <c r="B4049" s="476"/>
      <c r="C4049" s="476"/>
      <c r="D4049" s="475"/>
      <c r="E4049" s="476"/>
      <c r="F4049" s="475"/>
      <c r="G4049" s="476"/>
      <c r="H4049" s="475"/>
      <c r="I4049" s="476"/>
    </row>
    <row r="4050" spans="2:9" x14ac:dyDescent="0.25">
      <c r="B4050" s="476"/>
      <c r="C4050" s="476"/>
      <c r="D4050" s="475"/>
      <c r="E4050" s="476"/>
      <c r="F4050" s="475"/>
      <c r="G4050" s="476"/>
      <c r="H4050" s="475"/>
      <c r="I4050" s="476"/>
    </row>
    <row r="4051" spans="2:9" x14ac:dyDescent="0.25">
      <c r="B4051" s="476"/>
      <c r="C4051" s="476"/>
      <c r="D4051" s="475"/>
      <c r="E4051" s="476"/>
      <c r="F4051" s="475"/>
      <c r="G4051" s="476"/>
      <c r="H4051" s="475"/>
      <c r="I4051" s="476"/>
    </row>
    <row r="4052" spans="2:9" x14ac:dyDescent="0.25">
      <c r="B4052" s="476"/>
      <c r="C4052" s="476"/>
      <c r="D4052" s="475"/>
      <c r="E4052" s="476"/>
      <c r="F4052" s="475"/>
      <c r="G4052" s="476"/>
      <c r="H4052" s="475"/>
      <c r="I4052" s="476"/>
    </row>
    <row r="4053" spans="2:9" x14ac:dyDescent="0.25">
      <c r="B4053" s="476"/>
      <c r="C4053" s="476"/>
      <c r="D4053" s="475"/>
      <c r="E4053" s="476"/>
      <c r="F4053" s="475"/>
      <c r="G4053" s="476"/>
      <c r="H4053" s="475"/>
      <c r="I4053" s="476"/>
    </row>
    <row r="4054" spans="2:9" x14ac:dyDescent="0.25">
      <c r="B4054" s="476"/>
      <c r="C4054" s="476"/>
      <c r="D4054" s="475"/>
      <c r="E4054" s="476"/>
      <c r="F4054" s="475"/>
      <c r="G4054" s="476"/>
      <c r="H4054" s="475"/>
      <c r="I4054" s="476"/>
    </row>
    <row r="4055" spans="2:9" x14ac:dyDescent="0.25">
      <c r="B4055" s="476"/>
      <c r="C4055" s="476"/>
      <c r="D4055" s="475"/>
      <c r="E4055" s="476"/>
      <c r="F4055" s="475"/>
      <c r="G4055" s="476"/>
      <c r="H4055" s="475"/>
      <c r="I4055" s="476"/>
    </row>
    <row r="4056" spans="2:9" x14ac:dyDescent="0.25">
      <c r="B4056" s="476"/>
      <c r="C4056" s="476"/>
      <c r="D4056" s="475"/>
      <c r="E4056" s="476"/>
      <c r="F4056" s="475"/>
      <c r="G4056" s="476"/>
      <c r="H4056" s="475"/>
      <c r="I4056" s="476"/>
    </row>
    <row r="4057" spans="2:9" x14ac:dyDescent="0.25">
      <c r="B4057" s="476"/>
      <c r="C4057" s="476"/>
      <c r="D4057" s="475"/>
      <c r="E4057" s="476"/>
      <c r="F4057" s="475"/>
      <c r="G4057" s="476"/>
      <c r="H4057" s="475"/>
      <c r="I4057" s="476"/>
    </row>
    <row r="4058" spans="2:9" x14ac:dyDescent="0.25">
      <c r="B4058" s="476"/>
      <c r="C4058" s="476"/>
      <c r="D4058" s="475"/>
      <c r="E4058" s="476"/>
      <c r="F4058" s="475"/>
      <c r="G4058" s="476"/>
      <c r="H4058" s="475"/>
      <c r="I4058" s="476"/>
    </row>
    <row r="4059" spans="2:9" x14ac:dyDescent="0.25">
      <c r="B4059" s="476"/>
      <c r="C4059" s="476"/>
      <c r="D4059" s="475"/>
      <c r="E4059" s="476"/>
      <c r="F4059" s="475"/>
      <c r="G4059" s="476"/>
      <c r="H4059" s="475"/>
      <c r="I4059" s="476"/>
    </row>
    <row r="4060" spans="2:9" x14ac:dyDescent="0.25">
      <c r="B4060" s="476"/>
      <c r="C4060" s="476"/>
      <c r="D4060" s="475"/>
      <c r="E4060" s="476"/>
      <c r="F4060" s="475"/>
      <c r="G4060" s="476"/>
      <c r="H4060" s="475"/>
      <c r="I4060" s="476"/>
    </row>
    <row r="4061" spans="2:9" x14ac:dyDescent="0.25">
      <c r="B4061" s="476"/>
      <c r="C4061" s="476"/>
      <c r="D4061" s="475"/>
      <c r="E4061" s="476"/>
      <c r="F4061" s="475"/>
      <c r="G4061" s="476"/>
      <c r="H4061" s="475"/>
      <c r="I4061" s="476"/>
    </row>
    <row r="4062" spans="2:9" x14ac:dyDescent="0.25">
      <c r="B4062" s="476"/>
      <c r="C4062" s="476"/>
      <c r="D4062" s="475"/>
      <c r="E4062" s="476"/>
      <c r="F4062" s="475"/>
      <c r="G4062" s="476"/>
      <c r="H4062" s="475"/>
      <c r="I4062" s="476"/>
    </row>
    <row r="4063" spans="2:9" x14ac:dyDescent="0.25">
      <c r="B4063" s="476"/>
      <c r="C4063" s="476"/>
      <c r="D4063" s="475"/>
      <c r="E4063" s="476"/>
      <c r="F4063" s="475"/>
      <c r="G4063" s="476"/>
      <c r="H4063" s="475"/>
      <c r="I4063" s="476"/>
    </row>
    <row r="4064" spans="2:9" x14ac:dyDescent="0.25">
      <c r="B4064" s="476"/>
      <c r="C4064" s="476"/>
      <c r="D4064" s="475"/>
      <c r="E4064" s="476"/>
      <c r="F4064" s="475"/>
      <c r="G4064" s="476"/>
      <c r="H4064" s="475"/>
      <c r="I4064" s="476"/>
    </row>
    <row r="4065" spans="2:9" x14ac:dyDescent="0.25">
      <c r="B4065" s="476"/>
      <c r="C4065" s="476"/>
      <c r="D4065" s="475"/>
      <c r="E4065" s="476"/>
      <c r="F4065" s="475"/>
      <c r="G4065" s="476"/>
      <c r="H4065" s="475"/>
      <c r="I4065" s="476"/>
    </row>
    <row r="4066" spans="2:9" x14ac:dyDescent="0.25">
      <c r="B4066" s="476"/>
      <c r="C4066" s="476"/>
      <c r="D4066" s="475"/>
      <c r="E4066" s="476"/>
      <c r="F4066" s="475"/>
      <c r="G4066" s="476"/>
      <c r="H4066" s="475"/>
      <c r="I4066" s="476"/>
    </row>
    <row r="4067" spans="2:9" x14ac:dyDescent="0.25">
      <c r="B4067" s="476"/>
      <c r="C4067" s="476"/>
      <c r="D4067" s="475"/>
      <c r="E4067" s="476"/>
      <c r="F4067" s="475"/>
      <c r="G4067" s="476"/>
      <c r="H4067" s="475"/>
      <c r="I4067" s="476"/>
    </row>
    <row r="4068" spans="2:9" x14ac:dyDescent="0.25">
      <c r="B4068" s="476"/>
      <c r="C4068" s="476"/>
      <c r="D4068" s="475"/>
      <c r="E4068" s="476"/>
      <c r="F4068" s="475"/>
      <c r="G4068" s="476"/>
      <c r="H4068" s="475"/>
      <c r="I4068" s="476"/>
    </row>
    <row r="4069" spans="2:9" x14ac:dyDescent="0.25">
      <c r="B4069" s="476"/>
      <c r="C4069" s="476"/>
      <c r="D4069" s="475"/>
      <c r="E4069" s="476"/>
      <c r="F4069" s="475"/>
      <c r="G4069" s="476"/>
      <c r="H4069" s="475"/>
      <c r="I4069" s="476"/>
    </row>
    <row r="4070" spans="2:9" x14ac:dyDescent="0.25">
      <c r="B4070" s="476"/>
      <c r="C4070" s="476"/>
      <c r="D4070" s="475"/>
      <c r="E4070" s="476"/>
      <c r="F4070" s="475"/>
      <c r="G4070" s="476"/>
      <c r="H4070" s="475"/>
      <c r="I4070" s="476"/>
    </row>
    <row r="4071" spans="2:9" x14ac:dyDescent="0.25">
      <c r="B4071" s="476"/>
      <c r="C4071" s="476"/>
      <c r="D4071" s="475"/>
      <c r="E4071" s="476"/>
      <c r="F4071" s="475"/>
      <c r="G4071" s="476"/>
      <c r="H4071" s="475"/>
      <c r="I4071" s="476"/>
    </row>
    <row r="4072" spans="2:9" x14ac:dyDescent="0.25">
      <c r="B4072" s="476"/>
      <c r="C4072" s="476"/>
      <c r="D4072" s="475"/>
      <c r="E4072" s="476"/>
      <c r="F4072" s="475"/>
      <c r="G4072" s="476"/>
      <c r="H4072" s="475"/>
      <c r="I4072" s="476"/>
    </row>
    <row r="4073" spans="2:9" x14ac:dyDescent="0.25">
      <c r="B4073" s="476"/>
      <c r="C4073" s="476"/>
      <c r="D4073" s="475"/>
      <c r="E4073" s="476"/>
      <c r="F4073" s="475"/>
      <c r="G4073" s="476"/>
      <c r="H4073" s="475"/>
      <c r="I4073" s="476"/>
    </row>
    <row r="4074" spans="2:9" x14ac:dyDescent="0.25">
      <c r="B4074" s="476"/>
      <c r="C4074" s="476"/>
      <c r="D4074" s="475"/>
      <c r="E4074" s="476"/>
      <c r="F4074" s="475"/>
      <c r="G4074" s="476"/>
      <c r="H4074" s="475"/>
      <c r="I4074" s="476"/>
    </row>
    <row r="4075" spans="2:9" x14ac:dyDescent="0.25">
      <c r="B4075" s="476"/>
      <c r="C4075" s="476"/>
      <c r="D4075" s="475"/>
      <c r="E4075" s="476"/>
      <c r="F4075" s="475"/>
      <c r="G4075" s="476"/>
      <c r="H4075" s="475"/>
      <c r="I4075" s="476"/>
    </row>
    <row r="4076" spans="2:9" x14ac:dyDescent="0.25">
      <c r="B4076" s="476"/>
      <c r="C4076" s="476"/>
      <c r="D4076" s="475"/>
      <c r="E4076" s="476"/>
      <c r="F4076" s="475"/>
      <c r="G4076" s="476"/>
      <c r="H4076" s="475"/>
      <c r="I4076" s="476"/>
    </row>
    <row r="4077" spans="2:9" x14ac:dyDescent="0.25">
      <c r="B4077" s="476"/>
      <c r="C4077" s="476"/>
      <c r="D4077" s="475"/>
      <c r="E4077" s="476"/>
      <c r="F4077" s="475"/>
      <c r="G4077" s="476"/>
      <c r="H4077" s="475"/>
      <c r="I4077" s="476"/>
    </row>
    <row r="4078" spans="2:9" x14ac:dyDescent="0.25">
      <c r="B4078" s="476"/>
      <c r="C4078" s="476"/>
      <c r="D4078" s="475"/>
      <c r="E4078" s="476"/>
      <c r="F4078" s="475"/>
      <c r="G4078" s="476"/>
      <c r="H4078" s="475"/>
      <c r="I4078" s="476"/>
    </row>
    <row r="4079" spans="2:9" x14ac:dyDescent="0.25">
      <c r="B4079" s="476"/>
      <c r="C4079" s="476"/>
      <c r="D4079" s="475"/>
      <c r="E4079" s="476"/>
      <c r="F4079" s="475"/>
      <c r="G4079" s="476"/>
      <c r="H4079" s="475"/>
      <c r="I4079" s="476"/>
    </row>
    <row r="4080" spans="2:9" x14ac:dyDescent="0.25">
      <c r="B4080" s="476"/>
      <c r="C4080" s="476"/>
      <c r="D4080" s="475"/>
      <c r="E4080" s="476"/>
      <c r="F4080" s="475"/>
      <c r="G4080" s="476"/>
      <c r="H4080" s="475"/>
      <c r="I4080" s="476"/>
    </row>
    <row r="4081" spans="2:9" x14ac:dyDescent="0.25">
      <c r="B4081" s="476"/>
      <c r="C4081" s="476"/>
      <c r="D4081" s="475"/>
      <c r="E4081" s="476"/>
      <c r="F4081" s="475"/>
      <c r="G4081" s="476"/>
      <c r="H4081" s="475"/>
      <c r="I4081" s="476"/>
    </row>
    <row r="4082" spans="2:9" x14ac:dyDescent="0.25">
      <c r="B4082" s="476"/>
      <c r="C4082" s="476"/>
      <c r="D4082" s="475"/>
      <c r="E4082" s="476"/>
      <c r="F4082" s="475"/>
      <c r="G4082" s="476"/>
      <c r="H4082" s="475"/>
      <c r="I4082" s="476"/>
    </row>
    <row r="4083" spans="2:9" x14ac:dyDescent="0.25">
      <c r="B4083" s="476"/>
      <c r="C4083" s="476"/>
      <c r="D4083" s="475"/>
      <c r="E4083" s="476"/>
      <c r="F4083" s="475"/>
      <c r="G4083" s="476"/>
      <c r="H4083" s="475"/>
      <c r="I4083" s="476"/>
    </row>
    <row r="4084" spans="2:9" x14ac:dyDescent="0.25">
      <c r="B4084" s="476"/>
      <c r="C4084" s="476"/>
      <c r="D4084" s="475"/>
      <c r="E4084" s="476"/>
      <c r="F4084" s="475"/>
      <c r="G4084" s="476"/>
      <c r="H4084" s="475"/>
      <c r="I4084" s="476"/>
    </row>
    <row r="4085" spans="2:9" x14ac:dyDescent="0.25">
      <c r="B4085" s="476"/>
      <c r="C4085" s="476"/>
      <c r="D4085" s="475"/>
      <c r="E4085" s="476"/>
      <c r="F4085" s="475"/>
      <c r="G4085" s="476"/>
      <c r="H4085" s="475"/>
      <c r="I4085" s="476"/>
    </row>
    <row r="4086" spans="2:9" x14ac:dyDescent="0.25">
      <c r="B4086" s="476"/>
      <c r="C4086" s="476"/>
      <c r="D4086" s="475"/>
      <c r="E4086" s="476"/>
      <c r="F4086" s="475"/>
      <c r="G4086" s="476"/>
      <c r="H4086" s="475"/>
      <c r="I4086" s="476"/>
    </row>
    <row r="4087" spans="2:9" x14ac:dyDescent="0.25">
      <c r="B4087" s="476"/>
      <c r="C4087" s="476"/>
      <c r="D4087" s="475"/>
      <c r="E4087" s="476"/>
      <c r="F4087" s="475"/>
      <c r="G4087" s="476"/>
      <c r="H4087" s="475"/>
      <c r="I4087" s="476"/>
    </row>
    <row r="4088" spans="2:9" x14ac:dyDescent="0.25">
      <c r="B4088" s="476"/>
      <c r="C4088" s="476"/>
      <c r="D4088" s="475"/>
      <c r="E4088" s="476"/>
      <c r="F4088" s="475"/>
      <c r="G4088" s="476"/>
      <c r="H4088" s="475"/>
      <c r="I4088" s="476"/>
    </row>
    <row r="4089" spans="2:9" x14ac:dyDescent="0.25">
      <c r="B4089" s="476"/>
      <c r="C4089" s="476"/>
      <c r="D4089" s="475"/>
      <c r="E4089" s="476"/>
      <c r="F4089" s="475"/>
      <c r="G4089" s="476"/>
      <c r="H4089" s="475"/>
      <c r="I4089" s="476"/>
    </row>
    <row r="4090" spans="2:9" x14ac:dyDescent="0.25">
      <c r="B4090" s="476"/>
      <c r="C4090" s="476"/>
      <c r="D4090" s="475"/>
      <c r="E4090" s="476"/>
      <c r="F4090" s="475"/>
      <c r="G4090" s="476"/>
      <c r="H4090" s="475"/>
      <c r="I4090" s="476"/>
    </row>
    <row r="4091" spans="2:9" x14ac:dyDescent="0.25">
      <c r="B4091" s="476"/>
      <c r="C4091" s="476"/>
      <c r="D4091" s="475"/>
      <c r="E4091" s="476"/>
      <c r="F4091" s="475"/>
      <c r="G4091" s="476"/>
      <c r="H4091" s="475"/>
      <c r="I4091" s="476"/>
    </row>
    <row r="4092" spans="2:9" x14ac:dyDescent="0.25">
      <c r="B4092" s="476"/>
      <c r="C4092" s="476"/>
      <c r="D4092" s="475"/>
      <c r="E4092" s="476"/>
      <c r="F4092" s="475"/>
      <c r="G4092" s="476"/>
      <c r="H4092" s="475"/>
      <c r="I4092" s="476"/>
    </row>
    <row r="4093" spans="2:9" x14ac:dyDescent="0.25">
      <c r="B4093" s="476"/>
      <c r="C4093" s="476"/>
      <c r="D4093" s="475"/>
      <c r="E4093" s="476"/>
      <c r="F4093" s="475"/>
      <c r="G4093" s="476"/>
      <c r="H4093" s="475"/>
      <c r="I4093" s="476"/>
    </row>
    <row r="4094" spans="2:9" x14ac:dyDescent="0.25">
      <c r="B4094" s="476"/>
      <c r="C4094" s="476"/>
      <c r="D4094" s="475"/>
      <c r="E4094" s="476"/>
      <c r="F4094" s="475"/>
      <c r="G4094" s="476"/>
      <c r="H4094" s="475"/>
      <c r="I4094" s="476"/>
    </row>
    <row r="4095" spans="2:9" x14ac:dyDescent="0.25">
      <c r="B4095" s="476"/>
      <c r="C4095" s="476"/>
      <c r="D4095" s="475"/>
      <c r="E4095" s="476"/>
      <c r="F4095" s="475"/>
      <c r="G4095" s="476"/>
      <c r="H4095" s="475"/>
      <c r="I4095" s="476"/>
    </row>
    <row r="4096" spans="2:9" x14ac:dyDescent="0.25">
      <c r="B4096" s="476"/>
      <c r="C4096" s="476"/>
      <c r="D4096" s="475"/>
      <c r="E4096" s="476"/>
      <c r="F4096" s="475"/>
      <c r="G4096" s="476"/>
      <c r="H4096" s="475"/>
      <c r="I4096" s="476"/>
    </row>
    <row r="4097" spans="2:9" x14ac:dyDescent="0.25">
      <c r="B4097" s="476"/>
      <c r="C4097" s="476"/>
      <c r="D4097" s="475"/>
      <c r="E4097" s="476"/>
      <c r="F4097" s="475"/>
      <c r="G4097" s="476"/>
      <c r="H4097" s="475"/>
      <c r="I4097" s="476"/>
    </row>
    <row r="4098" spans="2:9" x14ac:dyDescent="0.25">
      <c r="B4098" s="476"/>
      <c r="C4098" s="476"/>
      <c r="D4098" s="475"/>
      <c r="E4098" s="476"/>
      <c r="F4098" s="475"/>
      <c r="G4098" s="476"/>
      <c r="H4098" s="475"/>
      <c r="I4098" s="476"/>
    </row>
    <row r="4099" spans="2:9" x14ac:dyDescent="0.25">
      <c r="B4099" s="476"/>
      <c r="C4099" s="476"/>
      <c r="D4099" s="475"/>
      <c r="E4099" s="476"/>
      <c r="F4099" s="475"/>
      <c r="G4099" s="476"/>
      <c r="H4099" s="475"/>
      <c r="I4099" s="476"/>
    </row>
    <row r="4100" spans="2:9" x14ac:dyDescent="0.25">
      <c r="B4100" s="476"/>
      <c r="C4100" s="476"/>
      <c r="D4100" s="475"/>
      <c r="E4100" s="476"/>
      <c r="F4100" s="475"/>
      <c r="G4100" s="476"/>
      <c r="H4100" s="475"/>
      <c r="I4100" s="476"/>
    </row>
    <row r="4101" spans="2:9" x14ac:dyDescent="0.25">
      <c r="B4101" s="476"/>
      <c r="C4101" s="476"/>
      <c r="D4101" s="475"/>
      <c r="E4101" s="476"/>
      <c r="F4101" s="475"/>
      <c r="G4101" s="476"/>
      <c r="H4101" s="475"/>
      <c r="I4101" s="476"/>
    </row>
    <row r="4102" spans="2:9" x14ac:dyDescent="0.25">
      <c r="B4102" s="476"/>
      <c r="C4102" s="476"/>
      <c r="D4102" s="475"/>
      <c r="E4102" s="476"/>
      <c r="F4102" s="475"/>
      <c r="G4102" s="476"/>
      <c r="H4102" s="475"/>
      <c r="I4102" s="476"/>
    </row>
    <row r="4103" spans="2:9" x14ac:dyDescent="0.25">
      <c r="B4103" s="476"/>
      <c r="C4103" s="476"/>
      <c r="D4103" s="475"/>
      <c r="E4103" s="476"/>
      <c r="F4103" s="475"/>
      <c r="G4103" s="476"/>
      <c r="H4103" s="475"/>
      <c r="I4103" s="476"/>
    </row>
    <row r="4104" spans="2:9" x14ac:dyDescent="0.25">
      <c r="B4104" s="476"/>
      <c r="C4104" s="476"/>
      <c r="D4104" s="475"/>
      <c r="E4104" s="476"/>
      <c r="F4104" s="475"/>
      <c r="G4104" s="476"/>
      <c r="H4104" s="475"/>
      <c r="I4104" s="476"/>
    </row>
    <row r="4105" spans="2:9" x14ac:dyDescent="0.25">
      <c r="B4105" s="476"/>
      <c r="C4105" s="476"/>
      <c r="D4105" s="475"/>
      <c r="E4105" s="476"/>
      <c r="F4105" s="475"/>
      <c r="G4105" s="476"/>
      <c r="H4105" s="475"/>
      <c r="I4105" s="476"/>
    </row>
    <row r="4106" spans="2:9" x14ac:dyDescent="0.25">
      <c r="B4106" s="476"/>
      <c r="C4106" s="476"/>
      <c r="D4106" s="475"/>
      <c r="E4106" s="476"/>
      <c r="F4106" s="475"/>
      <c r="G4106" s="476"/>
      <c r="H4106" s="475"/>
      <c r="I4106" s="476"/>
    </row>
    <row r="4107" spans="2:9" x14ac:dyDescent="0.25">
      <c r="B4107" s="476"/>
      <c r="C4107" s="476"/>
      <c r="D4107" s="475"/>
      <c r="E4107" s="476"/>
      <c r="F4107" s="475"/>
      <c r="G4107" s="476"/>
      <c r="H4107" s="475"/>
      <c r="I4107" s="476"/>
    </row>
    <row r="4108" spans="2:9" x14ac:dyDescent="0.25">
      <c r="B4108" s="476"/>
      <c r="C4108" s="476"/>
      <c r="D4108" s="475"/>
      <c r="E4108" s="476"/>
      <c r="F4108" s="475"/>
      <c r="G4108" s="476"/>
      <c r="H4108" s="475"/>
      <c r="I4108" s="476"/>
    </row>
    <row r="4109" spans="2:9" x14ac:dyDescent="0.25">
      <c r="B4109" s="476"/>
      <c r="C4109" s="476"/>
      <c r="D4109" s="475"/>
      <c r="E4109" s="476"/>
      <c r="F4109" s="475"/>
      <c r="G4109" s="476"/>
      <c r="H4109" s="475"/>
      <c r="I4109" s="476"/>
    </row>
    <row r="4110" spans="2:9" x14ac:dyDescent="0.25">
      <c r="B4110" s="476"/>
      <c r="C4110" s="476"/>
      <c r="D4110" s="475"/>
      <c r="E4110" s="476"/>
      <c r="F4110" s="475"/>
      <c r="G4110" s="476"/>
      <c r="H4110" s="475"/>
      <c r="I4110" s="476"/>
    </row>
    <row r="4111" spans="2:9" x14ac:dyDescent="0.25">
      <c r="B4111" s="476"/>
      <c r="C4111" s="476"/>
      <c r="D4111" s="475"/>
      <c r="E4111" s="476"/>
      <c r="F4111" s="475"/>
      <c r="G4111" s="476"/>
      <c r="H4111" s="475"/>
      <c r="I4111" s="476"/>
    </row>
    <row r="4112" spans="2:9" x14ac:dyDescent="0.25">
      <c r="B4112" s="476"/>
      <c r="C4112" s="476"/>
      <c r="D4112" s="475"/>
      <c r="E4112" s="476"/>
      <c r="F4112" s="475"/>
      <c r="G4112" s="476"/>
      <c r="H4112" s="475"/>
      <c r="I4112" s="476"/>
    </row>
    <row r="4113" spans="2:9" x14ac:dyDescent="0.25">
      <c r="B4113" s="476"/>
      <c r="C4113" s="476"/>
      <c r="D4113" s="475"/>
      <c r="E4113" s="476"/>
      <c r="F4113" s="475"/>
      <c r="G4113" s="476"/>
      <c r="H4113" s="475"/>
      <c r="I4113" s="476"/>
    </row>
    <row r="4114" spans="2:9" x14ac:dyDescent="0.25">
      <c r="B4114" s="476"/>
      <c r="C4114" s="476"/>
      <c r="D4114" s="475"/>
      <c r="E4114" s="476"/>
      <c r="F4114" s="475"/>
      <c r="G4114" s="476"/>
      <c r="H4114" s="475"/>
      <c r="I4114" s="476"/>
    </row>
    <row r="4115" spans="2:9" x14ac:dyDescent="0.25">
      <c r="B4115" s="476"/>
      <c r="C4115" s="476"/>
      <c r="D4115" s="475"/>
      <c r="E4115" s="476"/>
      <c r="F4115" s="475"/>
      <c r="G4115" s="476"/>
      <c r="H4115" s="475"/>
      <c r="I4115" s="476"/>
    </row>
    <row r="4116" spans="2:9" x14ac:dyDescent="0.25">
      <c r="B4116" s="476"/>
      <c r="C4116" s="476"/>
      <c r="D4116" s="475"/>
      <c r="E4116" s="476"/>
      <c r="F4116" s="475"/>
      <c r="G4116" s="476"/>
      <c r="H4116" s="475"/>
      <c r="I4116" s="476"/>
    </row>
    <row r="4117" spans="2:9" x14ac:dyDescent="0.25">
      <c r="B4117" s="476"/>
      <c r="C4117" s="476"/>
      <c r="D4117" s="475"/>
      <c r="E4117" s="476"/>
      <c r="F4117" s="475"/>
      <c r="G4117" s="476"/>
      <c r="H4117" s="475"/>
      <c r="I4117" s="476"/>
    </row>
    <row r="4118" spans="2:9" x14ac:dyDescent="0.25">
      <c r="B4118" s="476"/>
      <c r="C4118" s="476"/>
      <c r="D4118" s="475"/>
      <c r="E4118" s="476"/>
      <c r="F4118" s="475"/>
      <c r="G4118" s="476"/>
      <c r="H4118" s="475"/>
      <c r="I4118" s="476"/>
    </row>
    <row r="4119" spans="2:9" x14ac:dyDescent="0.25">
      <c r="B4119" s="476"/>
      <c r="C4119" s="476"/>
      <c r="D4119" s="475"/>
      <c r="E4119" s="476"/>
      <c r="F4119" s="475"/>
      <c r="G4119" s="476"/>
      <c r="H4119" s="475"/>
      <c r="I4119" s="476"/>
    </row>
    <row r="4120" spans="2:9" x14ac:dyDescent="0.25">
      <c r="B4120" s="476"/>
      <c r="C4120" s="476"/>
      <c r="D4120" s="475"/>
      <c r="E4120" s="476"/>
      <c r="F4120" s="475"/>
      <c r="G4120" s="476"/>
      <c r="H4120" s="475"/>
      <c r="I4120" s="476"/>
    </row>
    <row r="4121" spans="2:9" x14ac:dyDescent="0.25">
      <c r="B4121" s="476"/>
      <c r="C4121" s="476"/>
      <c r="D4121" s="475"/>
      <c r="E4121" s="476"/>
      <c r="F4121" s="475"/>
      <c r="G4121" s="476"/>
      <c r="H4121" s="475"/>
      <c r="I4121" s="476"/>
    </row>
    <row r="4122" spans="2:9" x14ac:dyDescent="0.25">
      <c r="B4122" s="476"/>
      <c r="C4122" s="476"/>
      <c r="D4122" s="475"/>
      <c r="E4122" s="476"/>
      <c r="F4122" s="475"/>
      <c r="G4122" s="476"/>
      <c r="H4122" s="475"/>
      <c r="I4122" s="476"/>
    </row>
    <row r="4123" spans="2:9" x14ac:dyDescent="0.25">
      <c r="B4123" s="476"/>
      <c r="C4123" s="476"/>
      <c r="D4123" s="475"/>
      <c r="E4123" s="476"/>
      <c r="F4123" s="475"/>
      <c r="G4123" s="476"/>
      <c r="H4123" s="475"/>
      <c r="I4123" s="476"/>
    </row>
    <row r="4124" spans="2:9" x14ac:dyDescent="0.25">
      <c r="B4124" s="476"/>
      <c r="C4124" s="476"/>
      <c r="D4124" s="475"/>
      <c r="E4124" s="476"/>
      <c r="F4124" s="475"/>
      <c r="G4124" s="476"/>
      <c r="H4124" s="475"/>
      <c r="I4124" s="476"/>
    </row>
    <row r="4125" spans="2:9" x14ac:dyDescent="0.25">
      <c r="B4125" s="476"/>
      <c r="C4125" s="476"/>
      <c r="D4125" s="475"/>
      <c r="E4125" s="476"/>
      <c r="F4125" s="475"/>
      <c r="G4125" s="476"/>
      <c r="H4125" s="475"/>
      <c r="I4125" s="476"/>
    </row>
    <row r="4126" spans="2:9" x14ac:dyDescent="0.25">
      <c r="B4126" s="476"/>
      <c r="C4126" s="476"/>
      <c r="D4126" s="475"/>
      <c r="E4126" s="476"/>
      <c r="F4126" s="475"/>
      <c r="G4126" s="476"/>
      <c r="H4126" s="475"/>
      <c r="I4126" s="476"/>
    </row>
    <row r="4127" spans="2:9" x14ac:dyDescent="0.25">
      <c r="B4127" s="476"/>
      <c r="C4127" s="476"/>
      <c r="D4127" s="475"/>
      <c r="E4127" s="476"/>
      <c r="F4127" s="475"/>
      <c r="G4127" s="476"/>
      <c r="H4127" s="475"/>
      <c r="I4127" s="476"/>
    </row>
    <row r="4128" spans="2:9" x14ac:dyDescent="0.25">
      <c r="B4128" s="476"/>
      <c r="C4128" s="476"/>
      <c r="D4128" s="475"/>
      <c r="E4128" s="476"/>
      <c r="F4128" s="475"/>
      <c r="G4128" s="476"/>
      <c r="H4128" s="475"/>
      <c r="I4128" s="476"/>
    </row>
    <row r="4129" spans="2:9" x14ac:dyDescent="0.25">
      <c r="B4129" s="476"/>
      <c r="C4129" s="476"/>
      <c r="D4129" s="475"/>
      <c r="E4129" s="476"/>
      <c r="F4129" s="475"/>
      <c r="G4129" s="476"/>
      <c r="H4129" s="475"/>
      <c r="I4129" s="476"/>
    </row>
    <row r="4130" spans="2:9" x14ac:dyDescent="0.25">
      <c r="B4130" s="476"/>
      <c r="C4130" s="476"/>
      <c r="D4130" s="475"/>
      <c r="E4130" s="476"/>
      <c r="F4130" s="475"/>
      <c r="G4130" s="476"/>
      <c r="H4130" s="475"/>
      <c r="I4130" s="476"/>
    </row>
    <row r="4131" spans="2:9" x14ac:dyDescent="0.25">
      <c r="B4131" s="476"/>
      <c r="C4131" s="476"/>
      <c r="D4131" s="475"/>
      <c r="E4131" s="476"/>
      <c r="F4131" s="475"/>
      <c r="G4131" s="476"/>
      <c r="H4131" s="475"/>
      <c r="I4131" s="476"/>
    </row>
    <row r="4132" spans="2:9" x14ac:dyDescent="0.25">
      <c r="B4132" s="476"/>
      <c r="C4132" s="476"/>
      <c r="D4132" s="475"/>
      <c r="E4132" s="476"/>
      <c r="F4132" s="475"/>
      <c r="G4132" s="476"/>
      <c r="H4132" s="475"/>
      <c r="I4132" s="476"/>
    </row>
    <row r="4133" spans="2:9" x14ac:dyDescent="0.25">
      <c r="B4133" s="476"/>
      <c r="C4133" s="476"/>
      <c r="D4133" s="475"/>
      <c r="E4133" s="476"/>
      <c r="F4133" s="475"/>
      <c r="G4133" s="476"/>
      <c r="H4133" s="475"/>
      <c r="I4133" s="476"/>
    </row>
    <row r="4134" spans="2:9" x14ac:dyDescent="0.25">
      <c r="B4134" s="476"/>
      <c r="C4134" s="476"/>
      <c r="D4134" s="475"/>
      <c r="E4134" s="476"/>
      <c r="F4134" s="475"/>
      <c r="G4134" s="476"/>
      <c r="H4134" s="475"/>
      <c r="I4134" s="476"/>
    </row>
    <row r="4135" spans="2:9" x14ac:dyDescent="0.25">
      <c r="B4135" s="476"/>
      <c r="C4135" s="476"/>
      <c r="D4135" s="475"/>
      <c r="E4135" s="476"/>
      <c r="F4135" s="475"/>
      <c r="G4135" s="476"/>
      <c r="H4135" s="475"/>
      <c r="I4135" s="476"/>
    </row>
    <row r="4136" spans="2:9" x14ac:dyDescent="0.25">
      <c r="B4136" s="476"/>
      <c r="C4136" s="476"/>
      <c r="D4136" s="475"/>
      <c r="E4136" s="476"/>
      <c r="F4136" s="475"/>
      <c r="G4136" s="476"/>
      <c r="H4136" s="475"/>
      <c r="I4136" s="476"/>
    </row>
    <row r="4137" spans="2:9" x14ac:dyDescent="0.25">
      <c r="B4137" s="476"/>
      <c r="C4137" s="476"/>
      <c r="D4137" s="475"/>
      <c r="E4137" s="476"/>
      <c r="F4137" s="475"/>
      <c r="G4137" s="476"/>
      <c r="H4137" s="475"/>
      <c r="I4137" s="476"/>
    </row>
    <row r="4138" spans="2:9" x14ac:dyDescent="0.25">
      <c r="B4138" s="476"/>
      <c r="C4138" s="476"/>
      <c r="D4138" s="475"/>
      <c r="E4138" s="476"/>
      <c r="F4138" s="475"/>
      <c r="G4138" s="476"/>
      <c r="H4138" s="475"/>
      <c r="I4138" s="476"/>
    </row>
    <row r="4139" spans="2:9" x14ac:dyDescent="0.25">
      <c r="B4139" s="476"/>
      <c r="C4139" s="476"/>
      <c r="D4139" s="475"/>
      <c r="E4139" s="476"/>
      <c r="F4139" s="475"/>
      <c r="G4139" s="476"/>
      <c r="H4139" s="475"/>
      <c r="I4139" s="476"/>
    </row>
    <row r="4140" spans="2:9" x14ac:dyDescent="0.25">
      <c r="B4140" s="476"/>
      <c r="C4140" s="476"/>
      <c r="D4140" s="475"/>
      <c r="E4140" s="476"/>
      <c r="F4140" s="475"/>
      <c r="G4140" s="476"/>
      <c r="H4140" s="475"/>
      <c r="I4140" s="476"/>
    </row>
    <row r="4141" spans="2:9" x14ac:dyDescent="0.25">
      <c r="B4141" s="476"/>
      <c r="C4141" s="476"/>
      <c r="D4141" s="475"/>
      <c r="E4141" s="476"/>
      <c r="F4141" s="475"/>
      <c r="G4141" s="476"/>
      <c r="H4141" s="475"/>
      <c r="I4141" s="476"/>
    </row>
    <row r="4142" spans="2:9" x14ac:dyDescent="0.25">
      <c r="B4142" s="476"/>
      <c r="C4142" s="476"/>
      <c r="D4142" s="475"/>
      <c r="E4142" s="476"/>
      <c r="F4142" s="475"/>
      <c r="G4142" s="476"/>
      <c r="H4142" s="475"/>
      <c r="I4142" s="476"/>
    </row>
    <row r="4143" spans="2:9" x14ac:dyDescent="0.25">
      <c r="B4143" s="476"/>
      <c r="C4143" s="476"/>
      <c r="D4143" s="475"/>
      <c r="E4143" s="476"/>
      <c r="F4143" s="475"/>
      <c r="G4143" s="476"/>
      <c r="H4143" s="475"/>
      <c r="I4143" s="476"/>
    </row>
    <row r="4144" spans="2:9" x14ac:dyDescent="0.25">
      <c r="B4144" s="476"/>
      <c r="C4144" s="476"/>
      <c r="D4144" s="475"/>
      <c r="E4144" s="476"/>
      <c r="F4144" s="475"/>
      <c r="G4144" s="476"/>
      <c r="H4144" s="475"/>
      <c r="I4144" s="476"/>
    </row>
    <row r="4145" spans="2:9" x14ac:dyDescent="0.25">
      <c r="B4145" s="476"/>
      <c r="C4145" s="476"/>
      <c r="D4145" s="475"/>
      <c r="E4145" s="476"/>
      <c r="F4145" s="475"/>
      <c r="G4145" s="476"/>
      <c r="H4145" s="475"/>
      <c r="I4145" s="476"/>
    </row>
    <row r="4146" spans="2:9" x14ac:dyDescent="0.25">
      <c r="B4146" s="476"/>
      <c r="C4146" s="476"/>
      <c r="D4146" s="475"/>
      <c r="E4146" s="476"/>
      <c r="F4146" s="475"/>
      <c r="G4146" s="476"/>
      <c r="H4146" s="475"/>
      <c r="I4146" s="476"/>
    </row>
    <row r="4147" spans="2:9" x14ac:dyDescent="0.25">
      <c r="B4147" s="476"/>
      <c r="C4147" s="476"/>
      <c r="D4147" s="475"/>
      <c r="E4147" s="476"/>
      <c r="F4147" s="475"/>
      <c r="G4147" s="476"/>
      <c r="H4147" s="475"/>
      <c r="I4147" s="476"/>
    </row>
    <row r="4148" spans="2:9" x14ac:dyDescent="0.25">
      <c r="B4148" s="476"/>
      <c r="C4148" s="476"/>
      <c r="D4148" s="475"/>
      <c r="E4148" s="476"/>
      <c r="F4148" s="475"/>
      <c r="G4148" s="476"/>
      <c r="H4148" s="475"/>
      <c r="I4148" s="476"/>
    </row>
    <row r="4149" spans="2:9" x14ac:dyDescent="0.25">
      <c r="B4149" s="476"/>
      <c r="C4149" s="476"/>
      <c r="D4149" s="475"/>
      <c r="E4149" s="476"/>
      <c r="F4149" s="475"/>
      <c r="G4149" s="476"/>
      <c r="H4149" s="475"/>
      <c r="I4149" s="476"/>
    </row>
    <row r="4150" spans="2:9" x14ac:dyDescent="0.25">
      <c r="B4150" s="476"/>
      <c r="C4150" s="476"/>
      <c r="D4150" s="475"/>
      <c r="E4150" s="476"/>
      <c r="F4150" s="475"/>
      <c r="G4150" s="476"/>
      <c r="H4150" s="475"/>
      <c r="I4150" s="476"/>
    </row>
    <row r="4151" spans="2:9" x14ac:dyDescent="0.25">
      <c r="B4151" s="476"/>
      <c r="C4151" s="476"/>
      <c r="D4151" s="475"/>
      <c r="E4151" s="476"/>
      <c r="F4151" s="475"/>
      <c r="G4151" s="476"/>
      <c r="H4151" s="475"/>
      <c r="I4151" s="476"/>
    </row>
    <row r="4152" spans="2:9" x14ac:dyDescent="0.25">
      <c r="B4152" s="476"/>
      <c r="C4152" s="476"/>
      <c r="D4152" s="475"/>
      <c r="E4152" s="476"/>
      <c r="F4152" s="475"/>
      <c r="G4152" s="476"/>
      <c r="H4152" s="475"/>
      <c r="I4152" s="476"/>
    </row>
    <row r="4153" spans="2:9" x14ac:dyDescent="0.25">
      <c r="B4153" s="476"/>
      <c r="C4153" s="476"/>
      <c r="D4153" s="475"/>
      <c r="E4153" s="476"/>
      <c r="F4153" s="475"/>
      <c r="G4153" s="476"/>
      <c r="H4153" s="475"/>
      <c r="I4153" s="476"/>
    </row>
    <row r="4154" spans="2:9" x14ac:dyDescent="0.25">
      <c r="B4154" s="476"/>
      <c r="C4154" s="476"/>
      <c r="D4154" s="475"/>
      <c r="E4154" s="476"/>
      <c r="F4154" s="475"/>
      <c r="G4154" s="476"/>
      <c r="H4154" s="475"/>
      <c r="I4154" s="476"/>
    </row>
    <row r="4155" spans="2:9" x14ac:dyDescent="0.25">
      <c r="B4155" s="476"/>
      <c r="C4155" s="476"/>
      <c r="D4155" s="475"/>
      <c r="E4155" s="476"/>
      <c r="F4155" s="475"/>
      <c r="G4155" s="476"/>
      <c r="H4155" s="475"/>
      <c r="I4155" s="476"/>
    </row>
    <row r="4156" spans="2:9" x14ac:dyDescent="0.25">
      <c r="B4156" s="476"/>
      <c r="C4156" s="476"/>
      <c r="D4156" s="475"/>
      <c r="E4156" s="476"/>
      <c r="F4156" s="475"/>
      <c r="G4156" s="476"/>
      <c r="H4156" s="475"/>
      <c r="I4156" s="476"/>
    </row>
    <row r="4157" spans="2:9" x14ac:dyDescent="0.25">
      <c r="B4157" s="476"/>
      <c r="C4157" s="476"/>
      <c r="D4157" s="475"/>
      <c r="E4157" s="476"/>
      <c r="F4157" s="475"/>
      <c r="G4157" s="476"/>
      <c r="H4157" s="475"/>
      <c r="I4157" s="476"/>
    </row>
    <row r="4158" spans="2:9" x14ac:dyDescent="0.25">
      <c r="B4158" s="476"/>
      <c r="C4158" s="476"/>
      <c r="D4158" s="475"/>
      <c r="E4158" s="476"/>
      <c r="F4158" s="475"/>
      <c r="G4158" s="476"/>
      <c r="H4158" s="475"/>
      <c r="I4158" s="476"/>
    </row>
    <row r="4159" spans="2:9" x14ac:dyDescent="0.25">
      <c r="B4159" s="476"/>
      <c r="C4159" s="476"/>
      <c r="D4159" s="475"/>
      <c r="E4159" s="476"/>
      <c r="F4159" s="475"/>
      <c r="G4159" s="476"/>
      <c r="H4159" s="475"/>
      <c r="I4159" s="476"/>
    </row>
    <row r="4160" spans="2:9" x14ac:dyDescent="0.25">
      <c r="B4160" s="476"/>
      <c r="C4160" s="476"/>
      <c r="D4160" s="475"/>
      <c r="E4160" s="476"/>
      <c r="F4160" s="475"/>
      <c r="G4160" s="476"/>
      <c r="H4160" s="475"/>
      <c r="I4160" s="476"/>
    </row>
    <row r="4161" spans="2:9" x14ac:dyDescent="0.25">
      <c r="B4161" s="476"/>
      <c r="C4161" s="476"/>
      <c r="D4161" s="475"/>
      <c r="E4161" s="476"/>
      <c r="F4161" s="475"/>
      <c r="G4161" s="476"/>
      <c r="H4161" s="475"/>
      <c r="I4161" s="476"/>
    </row>
    <row r="4162" spans="2:9" x14ac:dyDescent="0.25">
      <c r="B4162" s="476"/>
      <c r="C4162" s="476"/>
      <c r="D4162" s="475"/>
      <c r="E4162" s="476"/>
      <c r="F4162" s="475"/>
      <c r="G4162" s="476"/>
      <c r="H4162" s="475"/>
      <c r="I4162" s="476"/>
    </row>
    <row r="4163" spans="2:9" x14ac:dyDescent="0.25">
      <c r="B4163" s="476"/>
      <c r="C4163" s="476"/>
      <c r="D4163" s="475"/>
      <c r="E4163" s="476"/>
      <c r="F4163" s="475"/>
      <c r="G4163" s="476"/>
      <c r="H4163" s="475"/>
      <c r="I4163" s="476"/>
    </row>
    <row r="4164" spans="2:9" x14ac:dyDescent="0.25">
      <c r="B4164" s="476"/>
      <c r="C4164" s="476"/>
      <c r="D4164" s="475"/>
      <c r="E4164" s="476"/>
      <c r="F4164" s="475"/>
      <c r="G4164" s="476"/>
      <c r="H4164" s="475"/>
      <c r="I4164" s="476"/>
    </row>
  </sheetData>
  <sheetProtection algorithmName="SHA-512" hashValue="ydgw3IWiVMGEzfEEz5r2lM3UfxaBYC10sofW80OEVKncazX1ry21byWCXy0gI5kot1TgUUKUME8gX3SX5a0bQA==" saltValue="bAgd8V06PSNhhhEku+YFMg==" spinCount="100000" sheet="1" objects="1" scenarios="1"/>
  <mergeCells count="41">
    <mergeCell ref="B15:C15"/>
    <mergeCell ref="B16:C16"/>
    <mergeCell ref="B17:C17"/>
    <mergeCell ref="B18:C24"/>
    <mergeCell ref="B25:C25"/>
    <mergeCell ref="A34:B34"/>
    <mergeCell ref="A18:A24"/>
    <mergeCell ref="M18:M24"/>
    <mergeCell ref="N18:N24"/>
    <mergeCell ref="D23:D24"/>
    <mergeCell ref="A26:A27"/>
    <mergeCell ref="M26:M27"/>
    <mergeCell ref="B29:C29"/>
    <mergeCell ref="B30:C30"/>
    <mergeCell ref="B31:C31"/>
    <mergeCell ref="B32:C32"/>
    <mergeCell ref="B33:C33"/>
    <mergeCell ref="B26:C27"/>
    <mergeCell ref="B28:C28"/>
    <mergeCell ref="K8:L8"/>
    <mergeCell ref="M8:M9"/>
    <mergeCell ref="N8:N9"/>
    <mergeCell ref="A13:A14"/>
    <mergeCell ref="M13:M14"/>
    <mergeCell ref="N13:N14"/>
    <mergeCell ref="A8:A9"/>
    <mergeCell ref="D8:E8"/>
    <mergeCell ref="F8:G8"/>
    <mergeCell ref="H8:I8"/>
    <mergeCell ref="J8:J9"/>
    <mergeCell ref="B8:C9"/>
    <mergeCell ref="A10:C10"/>
    <mergeCell ref="B11:C11"/>
    <mergeCell ref="B12:C12"/>
    <mergeCell ref="B13:C14"/>
    <mergeCell ref="A7:B7"/>
    <mergeCell ref="A1:B1"/>
    <mergeCell ref="A2:B2"/>
    <mergeCell ref="A3:N3"/>
    <mergeCell ref="A5:B5"/>
    <mergeCell ref="A6:B6"/>
  </mergeCells>
  <hyperlinks>
    <hyperlink ref="N27" location="Apdrošināšana!A1" display="skat.pielikumu: Apdrošināšana"/>
    <hyperlink ref="N25" location="'Skaidrojums_Dzīvojamo telpu īre'!A1" display="(skat.pielikumu Skaidrojums)"/>
  </hyperlinks>
  <printOptions horizontalCentered="1"/>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12.pielikums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8"/>
  <sheetViews>
    <sheetView view="pageLayout" zoomScaleNormal="100" workbookViewId="0">
      <selection activeCell="L11" sqref="L11"/>
    </sheetView>
  </sheetViews>
  <sheetFormatPr defaultRowHeight="12" x14ac:dyDescent="0.2"/>
  <cols>
    <col min="1" max="1" width="6.140625" style="161" customWidth="1"/>
    <col min="2" max="2" width="22.42578125" style="161" customWidth="1"/>
    <col min="3" max="3" width="14.42578125" style="161" customWidth="1"/>
    <col min="4" max="4" width="11.85546875" style="161" hidden="1" customWidth="1"/>
    <col min="5" max="5" width="11.140625" style="161" hidden="1" customWidth="1"/>
    <col min="6" max="6" width="10.28515625" style="161" hidden="1" customWidth="1"/>
    <col min="7" max="7" width="10.5703125" style="161" customWidth="1"/>
    <col min="8" max="8" width="9.7109375" style="161" customWidth="1"/>
    <col min="9" max="9" width="18" style="161" customWidth="1"/>
    <col min="10" max="10" width="34.7109375" style="161" hidden="1" customWidth="1"/>
    <col min="11" max="16384" width="9.140625" style="161"/>
  </cols>
  <sheetData>
    <row r="1" spans="1:11" x14ac:dyDescent="0.2">
      <c r="A1" s="1772" t="s">
        <v>117</v>
      </c>
      <c r="B1" s="1772"/>
      <c r="C1" s="160" t="s">
        <v>118</v>
      </c>
      <c r="D1" s="160"/>
      <c r="E1" s="160"/>
      <c r="F1" s="160"/>
      <c r="G1" s="160"/>
      <c r="H1" s="160"/>
      <c r="I1" s="160"/>
      <c r="J1" s="160"/>
    </row>
    <row r="2" spans="1:11" x14ac:dyDescent="0.2">
      <c r="A2" s="1772" t="s">
        <v>119</v>
      </c>
      <c r="B2" s="1772"/>
      <c r="C2" s="1498">
        <v>90000056357</v>
      </c>
      <c r="D2" s="162"/>
      <c r="E2" s="160"/>
      <c r="F2" s="160"/>
      <c r="G2" s="160"/>
      <c r="H2" s="160"/>
      <c r="I2" s="160"/>
      <c r="J2" s="160"/>
    </row>
    <row r="3" spans="1:11" ht="15.75" x14ac:dyDescent="0.25">
      <c r="A3" s="1773" t="s">
        <v>120</v>
      </c>
      <c r="B3" s="1773"/>
      <c r="C3" s="1773"/>
      <c r="D3" s="1773"/>
      <c r="E3" s="1773"/>
      <c r="F3" s="1773"/>
      <c r="G3" s="1773"/>
      <c r="H3" s="1773"/>
      <c r="I3" s="1773"/>
      <c r="J3" s="1773"/>
    </row>
    <row r="4" spans="1:11" ht="15.75" x14ac:dyDescent="0.25">
      <c r="A4" s="199"/>
      <c r="B4" s="199"/>
      <c r="C4" s="1389"/>
      <c r="D4" s="199"/>
      <c r="E4" s="199"/>
      <c r="F4" s="199"/>
      <c r="G4" s="199"/>
      <c r="H4" s="199"/>
      <c r="I4" s="199"/>
      <c r="J4" s="199"/>
    </row>
    <row r="5" spans="1:11" ht="15.75" x14ac:dyDescent="0.25">
      <c r="A5" s="160" t="s">
        <v>121</v>
      </c>
      <c r="B5" s="160"/>
      <c r="C5" s="163" t="s">
        <v>1235</v>
      </c>
      <c r="D5" s="163"/>
      <c r="E5" s="160"/>
      <c r="F5" s="160"/>
      <c r="G5" s="160"/>
      <c r="H5" s="160"/>
      <c r="I5" s="160"/>
      <c r="J5" s="160"/>
    </row>
    <row r="6" spans="1:11" x14ac:dyDescent="0.2">
      <c r="A6" s="160" t="s">
        <v>123</v>
      </c>
      <c r="B6" s="160"/>
      <c r="C6" s="160" t="s">
        <v>1198</v>
      </c>
      <c r="D6" s="160"/>
      <c r="E6" s="160"/>
      <c r="F6" s="160"/>
      <c r="G6" s="160"/>
      <c r="H6" s="160"/>
      <c r="I6" s="160"/>
      <c r="J6" s="160"/>
    </row>
    <row r="7" spans="1:11" x14ac:dyDescent="0.2">
      <c r="A7" s="160" t="s">
        <v>125</v>
      </c>
      <c r="B7" s="160"/>
      <c r="C7" s="535" t="s">
        <v>809</v>
      </c>
      <c r="D7" s="535"/>
      <c r="E7" s="160"/>
      <c r="F7" s="160"/>
      <c r="G7" s="160"/>
      <c r="H7" s="160"/>
      <c r="I7" s="160"/>
      <c r="J7" s="160"/>
    </row>
    <row r="8" spans="1:11" ht="48" x14ac:dyDescent="0.2">
      <c r="A8" s="165" t="s">
        <v>1</v>
      </c>
      <c r="B8" s="1777" t="s">
        <v>127</v>
      </c>
      <c r="C8" s="1778"/>
      <c r="D8" s="165" t="s">
        <v>14</v>
      </c>
      <c r="E8" s="165" t="s">
        <v>12</v>
      </c>
      <c r="F8" s="165" t="s">
        <v>128</v>
      </c>
      <c r="G8" s="165" t="s">
        <v>129</v>
      </c>
      <c r="H8" s="165" t="s">
        <v>3357</v>
      </c>
      <c r="I8" s="165" t="s">
        <v>11</v>
      </c>
      <c r="J8" s="165" t="s">
        <v>131</v>
      </c>
      <c r="K8" s="166"/>
    </row>
    <row r="9" spans="1:11" ht="12.75" customHeight="1" x14ac:dyDescent="0.2">
      <c r="A9" s="1779" t="s">
        <v>132</v>
      </c>
      <c r="B9" s="1780"/>
      <c r="C9" s="1781"/>
      <c r="D9" s="167">
        <f>SUM(D10:D14)</f>
        <v>187770</v>
      </c>
      <c r="E9" s="167">
        <f>SUM(E10:E14)</f>
        <v>187070</v>
      </c>
      <c r="F9" s="167">
        <f>SUM(F10:F14)</f>
        <v>135070</v>
      </c>
      <c r="G9" s="167"/>
      <c r="H9" s="167">
        <f>SUM(H10:H14)</f>
        <v>134120</v>
      </c>
      <c r="I9" s="167"/>
      <c r="J9" s="200"/>
    </row>
    <row r="10" spans="1:11" ht="27.75" customHeight="1" x14ac:dyDescent="0.2">
      <c r="A10" s="203">
        <v>1</v>
      </c>
      <c r="B10" s="1943" t="s">
        <v>1236</v>
      </c>
      <c r="C10" s="1944"/>
      <c r="D10" s="536">
        <v>130000</v>
      </c>
      <c r="E10" s="536">
        <v>130000</v>
      </c>
      <c r="F10" s="536">
        <v>90000</v>
      </c>
      <c r="G10" s="537">
        <v>2244</v>
      </c>
      <c r="H10" s="536">
        <v>90000</v>
      </c>
      <c r="I10" s="201" t="s">
        <v>1237</v>
      </c>
      <c r="J10" s="538" t="s">
        <v>1238</v>
      </c>
    </row>
    <row r="11" spans="1:11" ht="71.25" customHeight="1" x14ac:dyDescent="0.2">
      <c r="A11" s="203">
        <v>2</v>
      </c>
      <c r="B11" s="1943" t="s">
        <v>1239</v>
      </c>
      <c r="C11" s="1944"/>
      <c r="D11" s="536">
        <v>40700</v>
      </c>
      <c r="E11" s="536">
        <v>40000</v>
      </c>
      <c r="F11" s="536">
        <v>40000</v>
      </c>
      <c r="G11" s="537">
        <v>2244</v>
      </c>
      <c r="H11" s="536">
        <v>40000</v>
      </c>
      <c r="I11" s="201" t="s">
        <v>1237</v>
      </c>
      <c r="J11" s="538" t="s">
        <v>1240</v>
      </c>
    </row>
    <row r="12" spans="1:11" ht="45" customHeight="1" x14ac:dyDescent="0.2">
      <c r="A12" s="203">
        <v>3</v>
      </c>
      <c r="B12" s="1943" t="s">
        <v>1241</v>
      </c>
      <c r="C12" s="1944"/>
      <c r="D12" s="536">
        <v>15000</v>
      </c>
      <c r="E12" s="536">
        <v>15000</v>
      </c>
      <c r="F12" s="536">
        <v>3000</v>
      </c>
      <c r="G12" s="537">
        <v>2244</v>
      </c>
      <c r="H12" s="536">
        <v>3000</v>
      </c>
      <c r="I12" s="201" t="s">
        <v>1237</v>
      </c>
      <c r="J12" s="538" t="s">
        <v>1242</v>
      </c>
    </row>
    <row r="13" spans="1:11" ht="24" customHeight="1" x14ac:dyDescent="0.2">
      <c r="A13" s="1774">
        <v>4</v>
      </c>
      <c r="B13" s="1782" t="s">
        <v>1243</v>
      </c>
      <c r="C13" s="1783"/>
      <c r="D13" s="536">
        <v>120</v>
      </c>
      <c r="E13" s="536">
        <v>120</v>
      </c>
      <c r="F13" s="536">
        <v>120</v>
      </c>
      <c r="G13" s="537">
        <v>2519</v>
      </c>
      <c r="H13" s="536">
        <v>120</v>
      </c>
      <c r="I13" s="1939" t="s">
        <v>1237</v>
      </c>
      <c r="J13" s="1941" t="s">
        <v>1244</v>
      </c>
    </row>
    <row r="14" spans="1:11" ht="24" customHeight="1" x14ac:dyDescent="0.2">
      <c r="A14" s="1776"/>
      <c r="B14" s="1784"/>
      <c r="C14" s="1785"/>
      <c r="D14" s="536">
        <v>1950</v>
      </c>
      <c r="E14" s="536">
        <v>1950</v>
      </c>
      <c r="F14" s="536">
        <v>1950</v>
      </c>
      <c r="G14" s="537">
        <v>2276</v>
      </c>
      <c r="H14" s="536">
        <v>1000</v>
      </c>
      <c r="I14" s="1940"/>
      <c r="J14" s="1942"/>
    </row>
    <row r="15" spans="1:11" hidden="1" x14ac:dyDescent="0.2">
      <c r="A15" s="1790" t="s">
        <v>239</v>
      </c>
      <c r="B15" s="1791"/>
      <c r="C15" s="1390"/>
      <c r="D15" s="222">
        <f>SUM(D9)</f>
        <v>187770</v>
      </c>
      <c r="E15" s="222">
        <f t="shared" ref="E15:H15" si="0">SUM(E9)</f>
        <v>187070</v>
      </c>
      <c r="F15" s="222">
        <f t="shared" si="0"/>
        <v>135070</v>
      </c>
      <c r="G15" s="222"/>
      <c r="H15" s="222">
        <f t="shared" si="0"/>
        <v>134120</v>
      </c>
      <c r="I15" s="222"/>
      <c r="J15" s="540"/>
    </row>
    <row r="16" spans="1:11" x14ac:dyDescent="0.2">
      <c r="A16" s="1114"/>
      <c r="B16" s="1114"/>
      <c r="C16" s="1114"/>
      <c r="D16" s="1465"/>
      <c r="E16" s="1465"/>
      <c r="F16" s="1465"/>
      <c r="G16" s="1465"/>
      <c r="H16" s="1465"/>
      <c r="I16" s="1465"/>
      <c r="J16" s="176"/>
    </row>
    <row r="17" spans="1:15" x14ac:dyDescent="0.2">
      <c r="A17" s="161" t="s">
        <v>400</v>
      </c>
    </row>
    <row r="18" spans="1:15" x14ac:dyDescent="0.2">
      <c r="A18" s="161" t="s">
        <v>401</v>
      </c>
    </row>
    <row r="20" spans="1:15" x14ac:dyDescent="0.2">
      <c r="A20" s="161" t="s">
        <v>110</v>
      </c>
    </row>
    <row r="21" spans="1:15" x14ac:dyDescent="0.2">
      <c r="A21" s="161" t="s">
        <v>1245</v>
      </c>
    </row>
    <row r="22" spans="1:15" x14ac:dyDescent="0.2">
      <c r="A22" s="161" t="s">
        <v>1246</v>
      </c>
    </row>
    <row r="23" spans="1:15" x14ac:dyDescent="0.2">
      <c r="A23" s="161" t="s">
        <v>1247</v>
      </c>
    </row>
    <row r="26" spans="1:15" x14ac:dyDescent="0.2">
      <c r="A26" s="229"/>
      <c r="B26" s="229"/>
      <c r="C26" s="229"/>
      <c r="D26" s="229"/>
      <c r="E26" s="229"/>
      <c r="F26" s="229"/>
      <c r="G26" s="229"/>
      <c r="H26" s="229"/>
      <c r="I26" s="229"/>
      <c r="J26" s="229"/>
      <c r="K26" s="229"/>
    </row>
    <row r="27" spans="1:15" x14ac:dyDescent="0.2">
      <c r="A27" s="229"/>
      <c r="B27" s="229"/>
      <c r="C27" s="229"/>
      <c r="D27" s="229"/>
      <c r="E27" s="229"/>
      <c r="F27" s="229"/>
      <c r="G27" s="229"/>
      <c r="H27" s="229"/>
      <c r="I27" s="229"/>
      <c r="J27" s="229"/>
      <c r="K27" s="229"/>
    </row>
    <row r="28" spans="1:15" x14ac:dyDescent="0.2">
      <c r="A28" s="229"/>
      <c r="B28" s="229"/>
      <c r="C28" s="229"/>
      <c r="D28" s="229"/>
      <c r="E28" s="229"/>
      <c r="F28" s="229"/>
      <c r="G28" s="229"/>
      <c r="H28" s="229"/>
      <c r="I28" s="229"/>
      <c r="J28" s="229"/>
      <c r="K28" s="229"/>
      <c r="O28" s="161" t="s">
        <v>1248</v>
      </c>
    </row>
  </sheetData>
  <sheetProtection algorithmName="SHA-512" hashValue="1r527RSnxYr928jlZvac5ZtMoqcm2xh5fCtQVQSfNRlGnzlcY62QSf2p9yBQONC4HaRYyGoYrPx2ve6kHOFiOg==" saltValue="AioSyYYebD4IAULXnhgeVg==" spinCount="100000" sheet="1" objects="1" scenarios="1"/>
  <mergeCells count="13">
    <mergeCell ref="A15:B15"/>
    <mergeCell ref="A1:B1"/>
    <mergeCell ref="A2:B2"/>
    <mergeCell ref="A3:J3"/>
    <mergeCell ref="A13:A14"/>
    <mergeCell ref="I13:I14"/>
    <mergeCell ref="J13:J14"/>
    <mergeCell ref="B8:C8"/>
    <mergeCell ref="A9:C9"/>
    <mergeCell ref="B10:C10"/>
    <mergeCell ref="B11:C11"/>
    <mergeCell ref="B12:C12"/>
    <mergeCell ref="B13:C14"/>
  </mergeCells>
  <printOptions horizontalCentered="1"/>
  <pageMargins left="0.78740157480314965" right="0.39370078740157483" top="0.59055118110236227" bottom="0.39370078740157483" header="0.23622047244094491" footer="0.23622047244094491"/>
  <pageSetup paperSize="9" scale="65" fitToWidth="0" fitToHeight="0" orientation="portrait" r:id="rId1"/>
  <headerFooter>
    <oddHeader xml:space="preserve">&amp;R&amp;"Times New Roman,Regular"&amp;10
 13.pielikums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2"/>
  <sheetViews>
    <sheetView view="pageLayout" zoomScaleNormal="100" workbookViewId="0">
      <selection activeCell="M10" sqref="M10"/>
    </sheetView>
  </sheetViews>
  <sheetFormatPr defaultRowHeight="12" x14ac:dyDescent="0.2"/>
  <cols>
    <col min="1" max="1" width="9.5703125" style="244" customWidth="1"/>
    <col min="2" max="2" width="23.7109375" style="244" customWidth="1"/>
    <col min="3" max="3" width="9.2851562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19.140625" style="283" customWidth="1"/>
    <col min="10" max="10" width="27.5703125" style="244" hidden="1" customWidth="1"/>
    <col min="11" max="11" width="9.140625" style="244" hidden="1" customWidth="1"/>
    <col min="12" max="16384" width="9.140625" style="244"/>
  </cols>
  <sheetData>
    <row r="1" spans="1:11" x14ac:dyDescent="0.2">
      <c r="A1" s="1793" t="s">
        <v>117</v>
      </c>
      <c r="B1" s="1793"/>
      <c r="C1" s="1547" t="s">
        <v>118</v>
      </c>
      <c r="D1" s="243"/>
      <c r="E1" s="243"/>
      <c r="F1" s="243"/>
      <c r="G1" s="243"/>
      <c r="H1" s="243"/>
      <c r="J1" s="243"/>
    </row>
    <row r="2" spans="1:11" x14ac:dyDescent="0.2">
      <c r="A2" s="1793" t="s">
        <v>119</v>
      </c>
      <c r="B2" s="1793"/>
      <c r="C2" s="1793">
        <v>90000056357</v>
      </c>
      <c r="D2" s="1793"/>
      <c r="E2" s="1793"/>
      <c r="F2" s="1793"/>
      <c r="G2" s="1793"/>
      <c r="H2" s="243"/>
      <c r="J2" s="243"/>
    </row>
    <row r="3" spans="1:11" x14ac:dyDescent="0.2">
      <c r="A3" s="245"/>
      <c r="B3" s="245"/>
      <c r="C3" s="1393"/>
      <c r="D3" s="243"/>
      <c r="E3" s="243"/>
      <c r="F3" s="243"/>
      <c r="G3" s="243"/>
      <c r="H3" s="243"/>
      <c r="J3" s="243"/>
    </row>
    <row r="4" spans="1:11" ht="15.75" x14ac:dyDescent="0.25">
      <c r="A4" s="1794" t="s">
        <v>120</v>
      </c>
      <c r="B4" s="1794"/>
      <c r="C4" s="1794"/>
      <c r="D4" s="1794"/>
      <c r="E4" s="1794"/>
      <c r="F4" s="1794"/>
      <c r="G4" s="1794"/>
      <c r="H4" s="1794"/>
      <c r="I4" s="1794"/>
      <c r="J4" s="1794"/>
    </row>
    <row r="5" spans="1:11" ht="15.75" x14ac:dyDescent="0.25">
      <c r="A5" s="246"/>
      <c r="B5" s="246"/>
      <c r="C5" s="1394"/>
      <c r="D5" s="246"/>
      <c r="E5" s="246"/>
      <c r="F5" s="246"/>
      <c r="G5" s="246"/>
      <c r="H5" s="246"/>
      <c r="I5" s="1504"/>
      <c r="J5" s="246"/>
    </row>
    <row r="6" spans="1:11" ht="15.75" x14ac:dyDescent="0.25">
      <c r="A6" s="243" t="s">
        <v>121</v>
      </c>
      <c r="B6" s="243"/>
      <c r="C6" s="247" t="s">
        <v>1249</v>
      </c>
      <c r="D6" s="247"/>
      <c r="E6" s="247"/>
      <c r="F6" s="247"/>
      <c r="G6" s="247"/>
      <c r="H6" s="247"/>
      <c r="I6" s="1586"/>
      <c r="J6" s="247"/>
      <c r="K6" s="247"/>
    </row>
    <row r="7" spans="1:11" x14ac:dyDescent="0.2">
      <c r="A7" s="243" t="s">
        <v>123</v>
      </c>
      <c r="B7" s="243"/>
      <c r="C7" s="1547" t="s">
        <v>1250</v>
      </c>
      <c r="D7" s="1547"/>
      <c r="E7" s="1547"/>
      <c r="F7" s="1547"/>
      <c r="G7" s="1547"/>
      <c r="H7" s="1547"/>
      <c r="J7" s="1547"/>
      <c r="K7" s="1547"/>
    </row>
    <row r="8" spans="1:11" ht="12.75" x14ac:dyDescent="0.2">
      <c r="A8" s="243" t="s">
        <v>125</v>
      </c>
      <c r="B8" s="243"/>
      <c r="C8" s="271" t="s">
        <v>1251</v>
      </c>
      <c r="D8" s="271"/>
      <c r="E8" s="271"/>
      <c r="F8" s="271"/>
      <c r="G8" s="271"/>
      <c r="H8" s="271"/>
      <c r="I8" s="1587"/>
      <c r="J8" s="271"/>
      <c r="K8" s="1582"/>
    </row>
    <row r="9" spans="1:11" ht="48" x14ac:dyDescent="0.2">
      <c r="A9" s="251" t="s">
        <v>1</v>
      </c>
      <c r="B9" s="1797" t="s">
        <v>127</v>
      </c>
      <c r="C9" s="1798"/>
      <c r="D9" s="251" t="s">
        <v>14</v>
      </c>
      <c r="E9" s="251" t="s">
        <v>12</v>
      </c>
      <c r="F9" s="251" t="s">
        <v>128</v>
      </c>
      <c r="G9" s="251" t="s">
        <v>129</v>
      </c>
      <c r="H9" s="251" t="s">
        <v>3357</v>
      </c>
      <c r="I9" s="1533" t="s">
        <v>11</v>
      </c>
      <c r="J9" s="251" t="s">
        <v>131</v>
      </c>
    </row>
    <row r="10" spans="1:11" ht="12.75" customHeight="1" x14ac:dyDescent="0.2">
      <c r="A10" s="1807" t="s">
        <v>132</v>
      </c>
      <c r="B10" s="1808"/>
      <c r="C10" s="1809"/>
      <c r="D10" s="253">
        <f>SUM(D11:D19)</f>
        <v>114100</v>
      </c>
      <c r="E10" s="253">
        <f>SUM(E11:E19)</f>
        <v>114100</v>
      </c>
      <c r="F10" s="253">
        <f>SUM(F11:F19)</f>
        <v>145100</v>
      </c>
      <c r="G10" s="253"/>
      <c r="H10" s="253">
        <f>SUM(H11:H19)</f>
        <v>144100</v>
      </c>
      <c r="I10" s="1468"/>
      <c r="J10" s="254"/>
    </row>
    <row r="11" spans="1:11" ht="31.5" customHeight="1" x14ac:dyDescent="0.2">
      <c r="A11" s="258">
        <v>1</v>
      </c>
      <c r="B11" s="1803" t="s">
        <v>1252</v>
      </c>
      <c r="C11" s="1804"/>
      <c r="D11" s="272">
        <v>44000</v>
      </c>
      <c r="E11" s="272">
        <v>44000</v>
      </c>
      <c r="F11" s="272">
        <v>65000</v>
      </c>
      <c r="G11" s="404">
        <v>2244</v>
      </c>
      <c r="H11" s="272">
        <v>65000</v>
      </c>
      <c r="I11" s="1526" t="s">
        <v>1253</v>
      </c>
      <c r="J11" s="279" t="s">
        <v>1254</v>
      </c>
    </row>
    <row r="12" spans="1:11" ht="31.5" customHeight="1" x14ac:dyDescent="0.2">
      <c r="A12" s="258">
        <v>2</v>
      </c>
      <c r="B12" s="1803" t="s">
        <v>1255</v>
      </c>
      <c r="C12" s="1804"/>
      <c r="D12" s="272">
        <v>17000</v>
      </c>
      <c r="E12" s="272">
        <v>17000</v>
      </c>
      <c r="F12" s="272">
        <v>20000</v>
      </c>
      <c r="G12" s="404">
        <v>2244</v>
      </c>
      <c r="H12" s="272">
        <v>20000</v>
      </c>
      <c r="I12" s="1526" t="s">
        <v>1256</v>
      </c>
      <c r="J12" s="279" t="s">
        <v>1257</v>
      </c>
    </row>
    <row r="13" spans="1:11" ht="31.5" customHeight="1" x14ac:dyDescent="0.2">
      <c r="A13" s="258">
        <v>3</v>
      </c>
      <c r="B13" s="1803" t="s">
        <v>1258</v>
      </c>
      <c r="C13" s="1804"/>
      <c r="D13" s="272">
        <v>21000</v>
      </c>
      <c r="E13" s="272">
        <v>21000</v>
      </c>
      <c r="F13" s="272">
        <v>25000</v>
      </c>
      <c r="G13" s="404">
        <v>2244</v>
      </c>
      <c r="H13" s="272">
        <v>25000</v>
      </c>
      <c r="I13" s="1526" t="s">
        <v>1256</v>
      </c>
      <c r="J13" s="279" t="s">
        <v>1259</v>
      </c>
    </row>
    <row r="14" spans="1:11" ht="31.5" customHeight="1" x14ac:dyDescent="0.2">
      <c r="A14" s="258">
        <v>4</v>
      </c>
      <c r="B14" s="1803" t="s">
        <v>1260</v>
      </c>
      <c r="C14" s="1804"/>
      <c r="D14" s="272">
        <v>17000</v>
      </c>
      <c r="E14" s="272">
        <v>17000</v>
      </c>
      <c r="F14" s="272">
        <v>20000</v>
      </c>
      <c r="G14" s="404">
        <v>2244</v>
      </c>
      <c r="H14" s="272">
        <v>20000</v>
      </c>
      <c r="I14" s="1526" t="s">
        <v>1261</v>
      </c>
      <c r="J14" s="279" t="s">
        <v>1262</v>
      </c>
    </row>
    <row r="15" spans="1:11" ht="31.5" customHeight="1" x14ac:dyDescent="0.2">
      <c r="A15" s="258">
        <v>5</v>
      </c>
      <c r="B15" s="1803" t="s">
        <v>1263</v>
      </c>
      <c r="C15" s="1804"/>
      <c r="D15" s="272">
        <v>10000</v>
      </c>
      <c r="E15" s="272">
        <v>10000</v>
      </c>
      <c r="F15" s="272">
        <v>10000</v>
      </c>
      <c r="G15" s="404">
        <v>2244</v>
      </c>
      <c r="H15" s="272">
        <v>10000</v>
      </c>
      <c r="I15" s="1526" t="s">
        <v>1256</v>
      </c>
      <c r="J15" s="279" t="s">
        <v>1264</v>
      </c>
    </row>
    <row r="16" spans="1:11" ht="31.5" customHeight="1" x14ac:dyDescent="0.2">
      <c r="A16" s="258">
        <v>6</v>
      </c>
      <c r="B16" s="1803" t="s">
        <v>1265</v>
      </c>
      <c r="C16" s="1804"/>
      <c r="D16" s="272">
        <v>1000</v>
      </c>
      <c r="E16" s="272">
        <v>1000</v>
      </c>
      <c r="F16" s="272">
        <v>1000</v>
      </c>
      <c r="G16" s="393">
        <v>2244</v>
      </c>
      <c r="H16" s="272">
        <v>1000</v>
      </c>
      <c r="I16" s="1526" t="s">
        <v>1266</v>
      </c>
      <c r="J16" s="273" t="s">
        <v>1267</v>
      </c>
    </row>
    <row r="17" spans="1:10" ht="31.5" customHeight="1" x14ac:dyDescent="0.2">
      <c r="A17" s="423">
        <v>7</v>
      </c>
      <c r="B17" s="1803" t="s">
        <v>1268</v>
      </c>
      <c r="C17" s="1804"/>
      <c r="D17" s="452">
        <v>100</v>
      </c>
      <c r="E17" s="452">
        <v>100</v>
      </c>
      <c r="F17" s="452">
        <v>100</v>
      </c>
      <c r="G17" s="542">
        <v>5269</v>
      </c>
      <c r="H17" s="272">
        <v>100</v>
      </c>
      <c r="I17" s="1526" t="s">
        <v>1269</v>
      </c>
      <c r="J17" s="273" t="s">
        <v>1270</v>
      </c>
    </row>
    <row r="18" spans="1:10" ht="51" customHeight="1" x14ac:dyDescent="0.2">
      <c r="A18" s="423">
        <v>8</v>
      </c>
      <c r="B18" s="1803" t="s">
        <v>1271</v>
      </c>
      <c r="C18" s="1804"/>
      <c r="D18" s="452">
        <v>4000</v>
      </c>
      <c r="E18" s="452">
        <v>4000</v>
      </c>
      <c r="F18" s="452">
        <v>4000</v>
      </c>
      <c r="G18" s="542">
        <v>2244</v>
      </c>
      <c r="H18" s="272">
        <v>3000</v>
      </c>
      <c r="I18" s="1526" t="s">
        <v>1272</v>
      </c>
      <c r="J18" s="273" t="s">
        <v>1273</v>
      </c>
    </row>
    <row r="19" spans="1:10" hidden="1" x14ac:dyDescent="0.2">
      <c r="A19" s="543"/>
      <c r="B19" s="421"/>
      <c r="C19" s="421"/>
      <c r="D19" s="544"/>
      <c r="E19" s="544"/>
      <c r="F19" s="544"/>
      <c r="G19" s="544"/>
      <c r="H19" s="541"/>
      <c r="I19" s="1555"/>
      <c r="J19" s="545"/>
    </row>
    <row r="20" spans="1:10" x14ac:dyDescent="0.2">
      <c r="A20" s="644"/>
      <c r="B20" s="1520"/>
      <c r="C20" s="1520"/>
      <c r="D20" s="611"/>
      <c r="E20" s="611"/>
      <c r="F20" s="611"/>
      <c r="G20" s="1583"/>
      <c r="H20" s="1167"/>
      <c r="I20" s="1588"/>
      <c r="J20" s="1584"/>
    </row>
    <row r="21" spans="1:10" x14ac:dyDescent="0.2">
      <c r="A21" s="244" t="s">
        <v>1274</v>
      </c>
      <c r="G21" s="311"/>
      <c r="H21" s="311"/>
      <c r="I21" s="1590"/>
      <c r="J21" s="547"/>
    </row>
    <row r="22" spans="1:10" x14ac:dyDescent="0.2">
      <c r="A22" s="244" t="s">
        <v>1275</v>
      </c>
      <c r="B22" s="244" t="s">
        <v>1276</v>
      </c>
      <c r="G22" s="440"/>
      <c r="H22" s="440"/>
      <c r="I22" s="440"/>
      <c r="J22" s="440"/>
    </row>
    <row r="23" spans="1:10" x14ac:dyDescent="0.2">
      <c r="A23" s="244" t="s">
        <v>1277</v>
      </c>
      <c r="B23" s="244" t="s">
        <v>1278</v>
      </c>
      <c r="G23" s="548"/>
      <c r="H23" s="548"/>
      <c r="I23" s="1589"/>
      <c r="J23" s="337"/>
    </row>
    <row r="24" spans="1:10" x14ac:dyDescent="0.2">
      <c r="A24" s="244" t="s">
        <v>1279</v>
      </c>
      <c r="B24" s="244" t="s">
        <v>1280</v>
      </c>
      <c r="G24" s="311"/>
      <c r="H24" s="311"/>
      <c r="I24" s="1590"/>
      <c r="J24" s="337"/>
    </row>
    <row r="25" spans="1:10" x14ac:dyDescent="0.2">
      <c r="A25" s="244" t="s">
        <v>1281</v>
      </c>
      <c r="B25" s="244" t="s">
        <v>1282</v>
      </c>
      <c r="G25" s="311"/>
      <c r="H25" s="311"/>
      <c r="I25" s="1590"/>
      <c r="J25" s="337"/>
    </row>
    <row r="26" spans="1:10" x14ac:dyDescent="0.2">
      <c r="A26" s="244" t="s">
        <v>1283</v>
      </c>
      <c r="B26" s="244" t="s">
        <v>1284</v>
      </c>
      <c r="G26" s="311"/>
      <c r="H26" s="311"/>
      <c r="I26" s="1590"/>
      <c r="J26" s="337"/>
    </row>
    <row r="27" spans="1:10" x14ac:dyDescent="0.2">
      <c r="A27" s="244" t="s">
        <v>1285</v>
      </c>
      <c r="B27" s="244" t="s">
        <v>1286</v>
      </c>
      <c r="G27" s="311"/>
      <c r="H27" s="311"/>
      <c r="I27" s="1590"/>
      <c r="J27" s="337"/>
    </row>
    <row r="28" spans="1:10" x14ac:dyDescent="0.2">
      <c r="A28" s="244" t="s">
        <v>1287</v>
      </c>
      <c r="B28" s="244" t="s">
        <v>1288</v>
      </c>
      <c r="G28" s="311"/>
      <c r="H28" s="311"/>
      <c r="I28" s="1590"/>
      <c r="J28" s="337"/>
    </row>
    <row r="29" spans="1:10" x14ac:dyDescent="0.2">
      <c r="A29" s="244" t="s">
        <v>1289</v>
      </c>
      <c r="B29" s="244" t="s">
        <v>1290</v>
      </c>
      <c r="G29" s="311"/>
      <c r="H29" s="311"/>
      <c r="I29" s="1590"/>
      <c r="J29" s="337"/>
    </row>
    <row r="30" spans="1:10" x14ac:dyDescent="0.2">
      <c r="A30" s="244" t="s">
        <v>1291</v>
      </c>
      <c r="B30" s="244" t="s">
        <v>1292</v>
      </c>
      <c r="G30" s="311"/>
      <c r="H30" s="311"/>
      <c r="I30" s="1590"/>
      <c r="J30" s="337"/>
    </row>
    <row r="31" spans="1:10" x14ac:dyDescent="0.2">
      <c r="A31" s="244" t="s">
        <v>1293</v>
      </c>
      <c r="B31" s="244" t="s">
        <v>1294</v>
      </c>
      <c r="G31" s="549"/>
      <c r="H31" s="311"/>
      <c r="I31" s="1590"/>
      <c r="J31" s="550"/>
    </row>
    <row r="32" spans="1:10" x14ac:dyDescent="0.2">
      <c r="A32" s="244" t="s">
        <v>1295</v>
      </c>
      <c r="B32" s="244" t="s">
        <v>1294</v>
      </c>
      <c r="G32" s="549"/>
      <c r="H32" s="311"/>
      <c r="I32" s="1590"/>
      <c r="J32" s="550"/>
    </row>
    <row r="33" spans="1:11" ht="12" customHeight="1" x14ac:dyDescent="0.2">
      <c r="A33" s="243" t="s">
        <v>1296</v>
      </c>
      <c r="B33" s="243" t="s">
        <v>1297</v>
      </c>
      <c r="C33" s="1440"/>
      <c r="D33" s="243"/>
      <c r="E33" s="243"/>
      <c r="F33" s="243"/>
      <c r="G33" s="310"/>
      <c r="H33" s="311"/>
      <c r="I33" s="1590"/>
      <c r="J33" s="308"/>
    </row>
    <row r="34" spans="1:11" x14ac:dyDescent="0.2">
      <c r="A34" s="244" t="s">
        <v>1298</v>
      </c>
      <c r="B34" s="244" t="s">
        <v>1299</v>
      </c>
      <c r="G34" s="311"/>
      <c r="H34" s="311"/>
      <c r="I34" s="1590"/>
      <c r="J34" s="337"/>
    </row>
    <row r="35" spans="1:11" x14ac:dyDescent="0.2">
      <c r="A35" s="244" t="s">
        <v>1300</v>
      </c>
      <c r="B35" s="244" t="s">
        <v>1280</v>
      </c>
      <c r="G35" s="356"/>
      <c r="H35" s="357"/>
      <c r="I35" s="1591"/>
      <c r="J35" s="356"/>
    </row>
    <row r="36" spans="1:11" x14ac:dyDescent="0.2">
      <c r="A36" s="244" t="s">
        <v>1301</v>
      </c>
      <c r="B36" s="244" t="s">
        <v>1290</v>
      </c>
      <c r="G36" s="243"/>
      <c r="H36" s="243"/>
      <c r="J36" s="243"/>
    </row>
    <row r="40" spans="1:11" x14ac:dyDescent="0.2">
      <c r="A40" s="268"/>
      <c r="B40" s="268"/>
      <c r="C40" s="268"/>
      <c r="D40" s="268"/>
      <c r="E40" s="268"/>
      <c r="F40" s="268"/>
      <c r="G40" s="268"/>
      <c r="H40" s="268"/>
      <c r="I40" s="679"/>
      <c r="J40" s="268"/>
      <c r="K40" s="268"/>
    </row>
    <row r="41" spans="1:11" x14ac:dyDescent="0.2">
      <c r="A41" s="268"/>
      <c r="B41" s="268"/>
      <c r="C41" s="268"/>
      <c r="D41" s="268"/>
      <c r="E41" s="268"/>
      <c r="F41" s="268"/>
      <c r="G41" s="268"/>
      <c r="H41" s="268"/>
      <c r="I41" s="679"/>
      <c r="J41" s="268"/>
      <c r="K41" s="268"/>
    </row>
    <row r="42" spans="1:11" x14ac:dyDescent="0.2">
      <c r="A42" s="268"/>
      <c r="B42" s="268"/>
      <c r="C42" s="268"/>
      <c r="D42" s="268"/>
      <c r="E42" s="268"/>
      <c r="F42" s="268"/>
      <c r="G42" s="268"/>
      <c r="H42" s="268"/>
      <c r="I42" s="679"/>
      <c r="J42" s="268"/>
      <c r="K42" s="268"/>
    </row>
  </sheetData>
  <sheetProtection algorithmName="SHA-512" hashValue="+5rh/QUWvRAUXFjgec557obM+LKMiKVlbPDTa4znO7t/l3hvns+hEEGbl85Yl1BStN0SdA7XNFAXdIxTPnMEsA==" saltValue="4V6T+SHvbVJCatIpNHD7FA==" spinCount="100000" sheet="1" objects="1" scenarios="1"/>
  <mergeCells count="14">
    <mergeCell ref="B16:C16"/>
    <mergeCell ref="B17:C17"/>
    <mergeCell ref="B18:C18"/>
    <mergeCell ref="B11:C11"/>
    <mergeCell ref="B12:C12"/>
    <mergeCell ref="B13:C13"/>
    <mergeCell ref="B14:C14"/>
    <mergeCell ref="B15:C15"/>
    <mergeCell ref="A1:B1"/>
    <mergeCell ref="A2:B2"/>
    <mergeCell ref="A4:J4"/>
    <mergeCell ref="B9:C9"/>
    <mergeCell ref="A10:C10"/>
    <mergeCell ref="C2:G2"/>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14.pielikums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88"/>
  <sheetViews>
    <sheetView view="pageLayout" zoomScaleNormal="100" workbookViewId="0">
      <selection activeCell="U3" sqref="U3"/>
    </sheetView>
  </sheetViews>
  <sheetFormatPr defaultColWidth="9.140625" defaultRowHeight="12" x14ac:dyDescent="0.2"/>
  <cols>
    <col min="1" max="1" width="4.85546875" style="244" customWidth="1"/>
    <col min="2" max="2" width="22.85546875" style="244" customWidth="1"/>
    <col min="3" max="3" width="13.140625" style="244" customWidth="1"/>
    <col min="4" max="4" width="10.7109375" style="244" hidden="1" customWidth="1"/>
    <col min="5" max="5" width="9.42578125" style="244" hidden="1" customWidth="1"/>
    <col min="6" max="6" width="10.7109375" style="244" hidden="1" customWidth="1"/>
    <col min="7" max="7" width="9.42578125" style="244" hidden="1" customWidth="1"/>
    <col min="8" max="8" width="10.7109375" style="244" hidden="1" customWidth="1"/>
    <col min="9" max="9" width="9.42578125" style="244" hidden="1" customWidth="1"/>
    <col min="10" max="10" width="11.140625" style="244" customWidth="1"/>
    <col min="11" max="11" width="10.7109375" style="244" bestFit="1" customWidth="1"/>
    <col min="12" max="12" width="9.42578125" style="244" bestFit="1" customWidth="1"/>
    <col min="13" max="13" width="19.42578125" style="263" customWidth="1"/>
    <col min="14" max="14" width="19.85546875" style="244" hidden="1" customWidth="1"/>
    <col min="15" max="16384" width="9.140625" style="244"/>
  </cols>
  <sheetData>
    <row r="1" spans="1:16" ht="12.75" customHeight="1" x14ac:dyDescent="0.2">
      <c r="A1" s="367" t="s">
        <v>117</v>
      </c>
      <c r="B1" s="551"/>
      <c r="C1" s="1593" t="s">
        <v>118</v>
      </c>
      <c r="D1" s="1593"/>
      <c r="E1" s="1593"/>
      <c r="F1" s="1593"/>
      <c r="G1" s="1593"/>
      <c r="H1" s="1593"/>
      <c r="I1" s="1593"/>
      <c r="J1" s="1593"/>
      <c r="K1" s="1593"/>
      <c r="L1" s="1593"/>
      <c r="M1" s="609"/>
      <c r="N1" s="552"/>
    </row>
    <row r="2" spans="1:16" ht="12.75" customHeight="1" x14ac:dyDescent="0.2">
      <c r="A2" s="367" t="s">
        <v>515</v>
      </c>
      <c r="B2" s="551"/>
      <c r="C2" s="1520">
        <v>90000056357</v>
      </c>
      <c r="D2" s="388"/>
      <c r="E2" s="388"/>
      <c r="F2" s="388"/>
      <c r="G2" s="388"/>
      <c r="H2" s="388"/>
      <c r="I2" s="388"/>
      <c r="J2" s="388"/>
      <c r="K2" s="388"/>
      <c r="L2" s="388"/>
      <c r="M2" s="405"/>
      <c r="N2" s="386"/>
    </row>
    <row r="3" spans="1:16" ht="12.75" customHeight="1" x14ac:dyDescent="0.2">
      <c r="A3" s="367"/>
      <c r="B3" s="551"/>
      <c r="C3" s="551"/>
      <c r="D3" s="396"/>
      <c r="E3" s="396"/>
      <c r="F3" s="396"/>
      <c r="G3" s="396"/>
      <c r="H3" s="396"/>
      <c r="I3" s="396"/>
      <c r="J3" s="396"/>
      <c r="K3" s="396"/>
      <c r="L3" s="396"/>
      <c r="M3" s="405"/>
      <c r="N3" s="386"/>
    </row>
    <row r="4" spans="1:16" ht="15.75" x14ac:dyDescent="0.25">
      <c r="A4" s="1945" t="s">
        <v>516</v>
      </c>
      <c r="B4" s="1945"/>
      <c r="C4" s="1945"/>
      <c r="D4" s="1945"/>
      <c r="E4" s="1945"/>
      <c r="F4" s="1945"/>
      <c r="G4" s="1945"/>
      <c r="H4" s="1945"/>
      <c r="I4" s="1945"/>
      <c r="J4" s="1945"/>
      <c r="K4" s="1945"/>
      <c r="L4" s="1945"/>
      <c r="M4" s="1596"/>
      <c r="N4" s="553"/>
      <c r="O4" s="444"/>
      <c r="P4" s="444"/>
    </row>
    <row r="5" spans="1:16" ht="15.75" x14ac:dyDescent="0.25">
      <c r="A5" s="553"/>
      <c r="B5" s="553"/>
      <c r="C5" s="1521"/>
      <c r="D5" s="553"/>
      <c r="E5" s="553"/>
      <c r="F5" s="553"/>
      <c r="G5" s="553"/>
      <c r="H5" s="553"/>
      <c r="I5" s="553"/>
      <c r="J5" s="553"/>
      <c r="K5" s="553"/>
      <c r="M5" s="1596"/>
      <c r="N5" s="553"/>
      <c r="O5" s="444"/>
      <c r="P5" s="444"/>
    </row>
    <row r="6" spans="1:16" ht="12.75" customHeight="1" x14ac:dyDescent="0.2">
      <c r="A6" s="1946" t="s">
        <v>121</v>
      </c>
      <c r="B6" s="1946"/>
      <c r="C6" s="554" t="s">
        <v>1302</v>
      </c>
      <c r="D6" s="554"/>
      <c r="E6" s="555"/>
      <c r="F6" s="555"/>
      <c r="G6" s="556"/>
      <c r="H6" s="556"/>
      <c r="I6" s="557"/>
      <c r="J6" s="557"/>
      <c r="K6" s="557"/>
      <c r="M6" s="1596"/>
      <c r="N6" s="552"/>
    </row>
    <row r="7" spans="1:16" ht="12.75" customHeight="1" x14ac:dyDescent="0.2">
      <c r="A7" s="367" t="s">
        <v>123</v>
      </c>
      <c r="B7" s="367"/>
      <c r="C7" s="389" t="s">
        <v>1303</v>
      </c>
      <c r="D7" s="389"/>
      <c r="E7" s="555"/>
      <c r="F7" s="555"/>
      <c r="G7" s="556"/>
      <c r="H7" s="556"/>
      <c r="I7" s="557"/>
      <c r="J7" s="557"/>
      <c r="K7" s="557"/>
      <c r="M7" s="1596"/>
      <c r="N7" s="552"/>
    </row>
    <row r="8" spans="1:16" ht="12.75" customHeight="1" x14ac:dyDescent="0.2">
      <c r="A8" s="558" t="s">
        <v>125</v>
      </c>
      <c r="B8" s="558"/>
      <c r="C8" s="559" t="s">
        <v>805</v>
      </c>
      <c r="D8" s="559"/>
      <c r="E8" s="555"/>
      <c r="F8" s="555"/>
      <c r="G8" s="556"/>
      <c r="H8" s="556"/>
      <c r="I8" s="557"/>
      <c r="J8" s="557"/>
      <c r="K8" s="560"/>
      <c r="M8" s="1596"/>
      <c r="N8" s="552"/>
    </row>
    <row r="9" spans="1:16" ht="26.25" customHeight="1" x14ac:dyDescent="0.2">
      <c r="A9" s="1947" t="s">
        <v>1</v>
      </c>
      <c r="B9" s="1839" t="s">
        <v>127</v>
      </c>
      <c r="C9" s="1840"/>
      <c r="D9" s="1839" t="s">
        <v>520</v>
      </c>
      <c r="E9" s="1840"/>
      <c r="F9" s="1839" t="s">
        <v>521</v>
      </c>
      <c r="G9" s="1840"/>
      <c r="H9" s="1839" t="s">
        <v>522</v>
      </c>
      <c r="I9" s="1840"/>
      <c r="J9" s="1947" t="s">
        <v>129</v>
      </c>
      <c r="K9" s="1727" t="s">
        <v>3357</v>
      </c>
      <c r="L9" s="1728"/>
      <c r="M9" s="1947" t="s">
        <v>11</v>
      </c>
      <c r="N9" s="1947" t="s">
        <v>131</v>
      </c>
      <c r="O9" s="287"/>
    </row>
    <row r="10" spans="1:16" ht="26.25" customHeight="1" x14ac:dyDescent="0.2">
      <c r="A10" s="1948"/>
      <c r="B10" s="1841"/>
      <c r="C10" s="1842"/>
      <c r="D10" s="1029" t="s">
        <v>524</v>
      </c>
      <c r="E10" s="1029" t="s">
        <v>525</v>
      </c>
      <c r="F10" s="1029" t="s">
        <v>524</v>
      </c>
      <c r="G10" s="1029" t="s">
        <v>525</v>
      </c>
      <c r="H10" s="1029" t="s">
        <v>524</v>
      </c>
      <c r="I10" s="1029" t="s">
        <v>525</v>
      </c>
      <c r="J10" s="1948"/>
      <c r="K10" s="1029" t="s">
        <v>524</v>
      </c>
      <c r="L10" s="1029" t="s">
        <v>525</v>
      </c>
      <c r="M10" s="1948"/>
      <c r="N10" s="1948"/>
      <c r="O10" s="287"/>
    </row>
    <row r="11" spans="1:16" ht="12.75" customHeight="1" x14ac:dyDescent="0.2">
      <c r="A11" s="1729" t="s">
        <v>526</v>
      </c>
      <c r="B11" s="1730"/>
      <c r="C11" s="1731"/>
      <c r="D11" s="1062">
        <f t="shared" ref="D11:I11" si="0">SUM(D12:D32)</f>
        <v>165344</v>
      </c>
      <c r="E11" s="1062">
        <f t="shared" si="0"/>
        <v>20018</v>
      </c>
      <c r="F11" s="1062">
        <f t="shared" si="0"/>
        <v>136650</v>
      </c>
      <c r="G11" s="1062">
        <f t="shared" si="0"/>
        <v>14870</v>
      </c>
      <c r="H11" s="1062">
        <f t="shared" si="0"/>
        <v>339840</v>
      </c>
      <c r="I11" s="1062">
        <f t="shared" si="0"/>
        <v>17280</v>
      </c>
      <c r="J11" s="1062"/>
      <c r="K11" s="1062">
        <f>SUM(K12:K32)</f>
        <v>200280</v>
      </c>
      <c r="L11" s="1062">
        <f>SUM(L12:L32)</f>
        <v>24117</v>
      </c>
      <c r="M11" s="1063"/>
      <c r="N11" s="385"/>
      <c r="O11" s="287"/>
    </row>
    <row r="12" spans="1:16" ht="64.5" hidden="1" customHeight="1" x14ac:dyDescent="0.2">
      <c r="A12" s="1947">
        <v>1</v>
      </c>
      <c r="B12" s="1835" t="s">
        <v>1304</v>
      </c>
      <c r="C12" s="1836"/>
      <c r="D12" s="561"/>
      <c r="E12" s="562"/>
      <c r="F12" s="561"/>
      <c r="G12" s="562"/>
      <c r="H12" s="563">
        <v>18950</v>
      </c>
      <c r="I12" s="562"/>
      <c r="J12" s="259">
        <v>1119</v>
      </c>
      <c r="K12" s="1064"/>
      <c r="L12" s="1065"/>
      <c r="M12" s="1761" t="s">
        <v>1305</v>
      </c>
      <c r="N12" s="1031" t="s">
        <v>2492</v>
      </c>
      <c r="O12" s="287"/>
    </row>
    <row r="13" spans="1:16" ht="15" customHeight="1" x14ac:dyDescent="0.2">
      <c r="A13" s="1949"/>
      <c r="B13" s="1950"/>
      <c r="C13" s="1877"/>
      <c r="D13" s="561">
        <v>6200</v>
      </c>
      <c r="E13" s="562">
        <v>2700</v>
      </c>
      <c r="F13" s="561">
        <v>6200</v>
      </c>
      <c r="G13" s="562">
        <v>2700</v>
      </c>
      <c r="H13" s="563">
        <f>6200+2700</f>
        <v>8900</v>
      </c>
      <c r="I13" s="562"/>
      <c r="J13" s="259">
        <v>1142</v>
      </c>
      <c r="K13" s="1064">
        <v>5249</v>
      </c>
      <c r="L13" s="1065">
        <v>3651</v>
      </c>
      <c r="M13" s="1762"/>
      <c r="N13" s="1031" t="s">
        <v>1306</v>
      </c>
      <c r="O13" s="287"/>
    </row>
    <row r="14" spans="1:16" ht="15" customHeight="1" x14ac:dyDescent="0.2">
      <c r="A14" s="1949"/>
      <c r="B14" s="1950"/>
      <c r="C14" s="1877"/>
      <c r="D14" s="561"/>
      <c r="E14" s="562"/>
      <c r="F14" s="561"/>
      <c r="G14" s="562"/>
      <c r="H14" s="563"/>
      <c r="I14" s="562">
        <v>7010</v>
      </c>
      <c r="J14" s="259">
        <v>1147</v>
      </c>
      <c r="K14" s="1064">
        <v>4000</v>
      </c>
      <c r="L14" s="1065">
        <f>7010-4000</f>
        <v>3010</v>
      </c>
      <c r="M14" s="1762"/>
      <c r="N14" s="1031" t="s">
        <v>2493</v>
      </c>
      <c r="O14" s="287"/>
    </row>
    <row r="15" spans="1:16" ht="15" customHeight="1" x14ac:dyDescent="0.2">
      <c r="A15" s="1949"/>
      <c r="B15" s="1950"/>
      <c r="C15" s="1877"/>
      <c r="D15" s="564">
        <v>2530</v>
      </c>
      <c r="E15" s="562">
        <v>4270</v>
      </c>
      <c r="F15" s="564">
        <v>2530</v>
      </c>
      <c r="G15" s="562">
        <v>4270</v>
      </c>
      <c r="H15" s="565">
        <v>2530</v>
      </c>
      <c r="I15" s="562">
        <v>4270</v>
      </c>
      <c r="J15" s="259">
        <v>1150</v>
      </c>
      <c r="K15" s="1064">
        <v>2530</v>
      </c>
      <c r="L15" s="1065">
        <f>4270+2530-2530</f>
        <v>4270</v>
      </c>
      <c r="M15" s="1762"/>
      <c r="N15" s="1031" t="s">
        <v>1307</v>
      </c>
      <c r="O15" s="287"/>
    </row>
    <row r="16" spans="1:16" ht="15" customHeight="1" x14ac:dyDescent="0.2">
      <c r="A16" s="1949"/>
      <c r="B16" s="1950"/>
      <c r="C16" s="1877"/>
      <c r="D16" s="564"/>
      <c r="E16" s="562">
        <v>2409</v>
      </c>
      <c r="F16" s="564"/>
      <c r="G16" s="562">
        <v>2409</v>
      </c>
      <c r="H16" s="565">
        <v>6000</v>
      </c>
      <c r="I16" s="562"/>
      <c r="J16" s="259">
        <v>1210</v>
      </c>
      <c r="K16" s="1064">
        <v>5471</v>
      </c>
      <c r="L16" s="1065"/>
      <c r="M16" s="1762"/>
      <c r="N16" s="1031" t="s">
        <v>1307</v>
      </c>
      <c r="O16" s="287"/>
    </row>
    <row r="17" spans="1:15" ht="15" customHeight="1" x14ac:dyDescent="0.2">
      <c r="A17" s="1949"/>
      <c r="B17" s="1950"/>
      <c r="C17" s="1877"/>
      <c r="D17" s="564">
        <v>1890</v>
      </c>
      <c r="E17" s="562">
        <v>2610</v>
      </c>
      <c r="F17" s="564">
        <v>1890</v>
      </c>
      <c r="G17" s="562">
        <v>110</v>
      </c>
      <c r="H17" s="565">
        <v>9800</v>
      </c>
      <c r="I17" s="562"/>
      <c r="J17" s="259">
        <v>2243</v>
      </c>
      <c r="K17" s="1064">
        <v>9800</v>
      </c>
      <c r="L17" s="1065"/>
      <c r="M17" s="1762"/>
      <c r="N17" s="1031" t="s">
        <v>1308</v>
      </c>
      <c r="O17" s="287"/>
    </row>
    <row r="18" spans="1:15" ht="15" customHeight="1" x14ac:dyDescent="0.2">
      <c r="A18" s="1949"/>
      <c r="B18" s="1950"/>
      <c r="C18" s="1877"/>
      <c r="D18" s="564">
        <f>1900</f>
        <v>1900</v>
      </c>
      <c r="E18" s="562"/>
      <c r="F18" s="564">
        <f>1900</f>
        <v>1900</v>
      </c>
      <c r="G18" s="562"/>
      <c r="H18" s="565">
        <f>1900</f>
        <v>1900</v>
      </c>
      <c r="I18" s="562"/>
      <c r="J18" s="259">
        <v>2250</v>
      </c>
      <c r="K18" s="1064">
        <f>1000</f>
        <v>1000</v>
      </c>
      <c r="L18" s="1065"/>
      <c r="M18" s="1762"/>
      <c r="N18" s="320" t="s">
        <v>1309</v>
      </c>
      <c r="O18" s="287"/>
    </row>
    <row r="19" spans="1:15" ht="15" customHeight="1" x14ac:dyDescent="0.2">
      <c r="A19" s="1949"/>
      <c r="B19" s="1950"/>
      <c r="C19" s="1877"/>
      <c r="D19" s="564">
        <v>5000</v>
      </c>
      <c r="E19" s="562">
        <f>1000+30</f>
        <v>1030</v>
      </c>
      <c r="F19" s="564">
        <v>5000</v>
      </c>
      <c r="G19" s="562">
        <v>30</v>
      </c>
      <c r="H19" s="565">
        <f>10000+30</f>
        <v>10030</v>
      </c>
      <c r="I19" s="562"/>
      <c r="J19" s="259">
        <v>2311</v>
      </c>
      <c r="K19" s="1064">
        <v>1000</v>
      </c>
      <c r="L19" s="1065">
        <f>7000</f>
        <v>7000</v>
      </c>
      <c r="M19" s="1762"/>
      <c r="N19" s="1031" t="s">
        <v>1310</v>
      </c>
      <c r="O19" s="287"/>
    </row>
    <row r="20" spans="1:15" ht="15" customHeight="1" x14ac:dyDescent="0.2">
      <c r="A20" s="1949"/>
      <c r="B20" s="1950"/>
      <c r="C20" s="1877"/>
      <c r="D20" s="564"/>
      <c r="E20" s="562">
        <v>752</v>
      </c>
      <c r="F20" s="564"/>
      <c r="G20" s="562">
        <v>750</v>
      </c>
      <c r="H20" s="566">
        <v>100</v>
      </c>
      <c r="I20" s="562"/>
      <c r="J20" s="259">
        <v>2312</v>
      </c>
      <c r="K20" s="1064"/>
      <c r="L20" s="1065">
        <v>100</v>
      </c>
      <c r="M20" s="1762"/>
      <c r="N20" s="325" t="s">
        <v>1311</v>
      </c>
      <c r="O20" s="287"/>
    </row>
    <row r="21" spans="1:15" ht="54.75" hidden="1" customHeight="1" x14ac:dyDescent="0.2">
      <c r="A21" s="1949"/>
      <c r="B21" s="1950"/>
      <c r="C21" s="1877"/>
      <c r="D21" s="564"/>
      <c r="E21" s="562">
        <v>480</v>
      </c>
      <c r="F21" s="564"/>
      <c r="G21" s="562">
        <v>401</v>
      </c>
      <c r="H21" s="567"/>
      <c r="I21" s="562"/>
      <c r="J21" s="259">
        <v>2313</v>
      </c>
      <c r="K21" s="1064"/>
      <c r="L21" s="1065"/>
      <c r="M21" s="1762"/>
      <c r="N21" s="1031" t="s">
        <v>1312</v>
      </c>
      <c r="O21" s="287"/>
    </row>
    <row r="22" spans="1:15" ht="21" hidden="1" customHeight="1" x14ac:dyDescent="0.2">
      <c r="A22" s="1948"/>
      <c r="B22" s="1837"/>
      <c r="C22" s="1838"/>
      <c r="D22" s="564">
        <v>13520</v>
      </c>
      <c r="E22" s="562">
        <v>640</v>
      </c>
      <c r="F22" s="564">
        <v>13500</v>
      </c>
      <c r="G22" s="562"/>
      <c r="H22" s="565">
        <f>5000+12000</f>
        <v>17000</v>
      </c>
      <c r="I22" s="562"/>
      <c r="J22" s="259">
        <v>5239</v>
      </c>
      <c r="K22" s="1064"/>
      <c r="L22" s="1065"/>
      <c r="M22" s="1763"/>
      <c r="N22" s="1031" t="s">
        <v>1313</v>
      </c>
      <c r="O22" s="287"/>
    </row>
    <row r="23" spans="1:15" ht="21.75" customHeight="1" x14ac:dyDescent="0.2">
      <c r="A23" s="1947">
        <v>2</v>
      </c>
      <c r="B23" s="1835" t="s">
        <v>1314</v>
      </c>
      <c r="C23" s="1836"/>
      <c r="D23" s="564">
        <v>5000</v>
      </c>
      <c r="E23" s="562"/>
      <c r="F23" s="564">
        <v>3000</v>
      </c>
      <c r="G23" s="562"/>
      <c r="H23" s="565">
        <v>3000</v>
      </c>
      <c r="I23" s="562"/>
      <c r="J23" s="259">
        <v>2223</v>
      </c>
      <c r="K23" s="1031">
        <v>3100</v>
      </c>
      <c r="L23" s="325"/>
      <c r="M23" s="1732" t="s">
        <v>1315</v>
      </c>
      <c r="N23" s="1031"/>
      <c r="O23" s="287"/>
    </row>
    <row r="24" spans="1:15" ht="21.75" customHeight="1" x14ac:dyDescent="0.2">
      <c r="A24" s="1949"/>
      <c r="B24" s="1950"/>
      <c r="C24" s="1877"/>
      <c r="D24" s="564">
        <v>1500</v>
      </c>
      <c r="E24" s="562"/>
      <c r="F24" s="564">
        <v>1400</v>
      </c>
      <c r="G24" s="562"/>
      <c r="H24" s="565">
        <v>3000</v>
      </c>
      <c r="I24" s="562"/>
      <c r="J24" s="259">
        <v>2244</v>
      </c>
      <c r="K24" s="1031">
        <v>3000</v>
      </c>
      <c r="L24" s="325"/>
      <c r="M24" s="1733"/>
      <c r="N24" s="1031" t="s">
        <v>2494</v>
      </c>
      <c r="O24" s="287"/>
    </row>
    <row r="25" spans="1:15" ht="21.75" customHeight="1" x14ac:dyDescent="0.2">
      <c r="A25" s="1948"/>
      <c r="B25" s="1837"/>
      <c r="C25" s="1838"/>
      <c r="D25" s="564">
        <v>2500</v>
      </c>
      <c r="E25" s="562"/>
      <c r="F25" s="564">
        <v>2500</v>
      </c>
      <c r="G25" s="562"/>
      <c r="H25" s="565">
        <v>3000</v>
      </c>
      <c r="I25" s="562"/>
      <c r="J25" s="259">
        <v>2264</v>
      </c>
      <c r="K25" s="1031">
        <v>3000</v>
      </c>
      <c r="L25" s="325"/>
      <c r="M25" s="1734"/>
      <c r="N25" s="1031" t="s">
        <v>1316</v>
      </c>
      <c r="O25" s="287"/>
    </row>
    <row r="26" spans="1:15" ht="35.25" customHeight="1" x14ac:dyDescent="0.2">
      <c r="A26" s="1949">
        <v>3</v>
      </c>
      <c r="B26" s="1835" t="s">
        <v>1317</v>
      </c>
      <c r="C26" s="1836"/>
      <c r="D26" s="564">
        <v>12800</v>
      </c>
      <c r="E26" s="562"/>
      <c r="F26" s="564">
        <v>12000</v>
      </c>
      <c r="G26" s="562"/>
      <c r="H26" s="565">
        <f>1300+7600+38400</f>
        <v>47300</v>
      </c>
      <c r="I26" s="562"/>
      <c r="J26" s="259">
        <v>5238</v>
      </c>
      <c r="K26" s="1031">
        <f>22000+7600+1300</f>
        <v>30900</v>
      </c>
      <c r="L26" s="325"/>
      <c r="M26" s="1732" t="s">
        <v>1315</v>
      </c>
      <c r="N26" s="1031" t="s">
        <v>2495</v>
      </c>
      <c r="O26" s="287"/>
    </row>
    <row r="27" spans="1:15" ht="35.25" customHeight="1" x14ac:dyDescent="0.2">
      <c r="A27" s="1948"/>
      <c r="B27" s="1837"/>
      <c r="C27" s="1838"/>
      <c r="D27" s="561">
        <v>48874</v>
      </c>
      <c r="E27" s="562"/>
      <c r="F27" s="561">
        <v>48000</v>
      </c>
      <c r="G27" s="562"/>
      <c r="H27" s="563">
        <v>162600</v>
      </c>
      <c r="I27" s="562"/>
      <c r="J27" s="259">
        <v>5240</v>
      </c>
      <c r="K27" s="1031">
        <f>89000+2500</f>
        <v>91500</v>
      </c>
      <c r="L27" s="325"/>
      <c r="M27" s="1734"/>
      <c r="N27" s="1031" t="s">
        <v>2496</v>
      </c>
      <c r="O27" s="287"/>
    </row>
    <row r="28" spans="1:15" ht="19.5" customHeight="1" x14ac:dyDescent="0.2">
      <c r="A28" s="1947">
        <v>4</v>
      </c>
      <c r="B28" s="1835" t="s">
        <v>1318</v>
      </c>
      <c r="C28" s="1836"/>
      <c r="D28" s="561">
        <v>730</v>
      </c>
      <c r="E28" s="562"/>
      <c r="F28" s="561">
        <v>730</v>
      </c>
      <c r="G28" s="562"/>
      <c r="H28" s="563">
        <v>730</v>
      </c>
      <c r="I28" s="562"/>
      <c r="J28" s="259">
        <v>2250</v>
      </c>
      <c r="K28" s="1031">
        <v>730</v>
      </c>
      <c r="L28" s="325"/>
      <c r="M28" s="1732" t="s">
        <v>1319</v>
      </c>
      <c r="N28" s="1031" t="s">
        <v>1320</v>
      </c>
      <c r="O28" s="287"/>
    </row>
    <row r="29" spans="1:15" ht="19.5" customHeight="1" x14ac:dyDescent="0.2">
      <c r="A29" s="1948"/>
      <c r="B29" s="1837"/>
      <c r="C29" s="1838"/>
      <c r="D29" s="561">
        <v>62600</v>
      </c>
      <c r="E29" s="562"/>
      <c r="F29" s="561">
        <v>38000</v>
      </c>
      <c r="G29" s="562"/>
      <c r="H29" s="563">
        <v>45000</v>
      </c>
      <c r="I29" s="562"/>
      <c r="J29" s="259">
        <v>5120</v>
      </c>
      <c r="K29" s="1031">
        <f>39000</f>
        <v>39000</v>
      </c>
      <c r="L29" s="325"/>
      <c r="M29" s="1734"/>
      <c r="N29" s="1031" t="s">
        <v>1321</v>
      </c>
      <c r="O29" s="287"/>
    </row>
    <row r="30" spans="1:15" ht="42.75" customHeight="1" x14ac:dyDescent="0.2">
      <c r="A30" s="1033">
        <v>5</v>
      </c>
      <c r="B30" s="1954" t="s">
        <v>1322</v>
      </c>
      <c r="C30" s="1955"/>
      <c r="D30" s="564"/>
      <c r="E30" s="562">
        <v>4257</v>
      </c>
      <c r="F30" s="564"/>
      <c r="G30" s="562">
        <v>4200</v>
      </c>
      <c r="H30" s="565"/>
      <c r="I30" s="562">
        <v>6000</v>
      </c>
      <c r="J30" s="259">
        <v>2512</v>
      </c>
      <c r="K30" s="1031"/>
      <c r="L30" s="325">
        <v>6086</v>
      </c>
      <c r="M30" s="1508" t="s">
        <v>1323</v>
      </c>
      <c r="N30" s="1031"/>
      <c r="O30" s="287"/>
    </row>
    <row r="31" spans="1:15" ht="37.5" hidden="1" customHeight="1" x14ac:dyDescent="0.2">
      <c r="A31" s="569">
        <v>6</v>
      </c>
      <c r="B31" s="570" t="s">
        <v>1324</v>
      </c>
      <c r="C31" s="570"/>
      <c r="D31" s="564">
        <v>300</v>
      </c>
      <c r="E31" s="562">
        <v>200</v>
      </c>
      <c r="F31" s="564"/>
      <c r="G31" s="562"/>
      <c r="H31" s="565"/>
      <c r="I31" s="562"/>
      <c r="J31" s="259">
        <v>2210</v>
      </c>
      <c r="K31" s="1031"/>
      <c r="L31" s="325"/>
      <c r="M31" s="1508" t="s">
        <v>1325</v>
      </c>
      <c r="N31" s="1031"/>
      <c r="O31" s="287"/>
    </row>
    <row r="32" spans="1:15" ht="39" hidden="1" customHeight="1" x14ac:dyDescent="0.2">
      <c r="A32" s="569">
        <v>7</v>
      </c>
      <c r="B32" s="568" t="s">
        <v>1326</v>
      </c>
      <c r="C32" s="568"/>
      <c r="D32" s="564"/>
      <c r="E32" s="562">
        <v>670</v>
      </c>
      <c r="F32" s="564"/>
      <c r="G32" s="562"/>
      <c r="H32" s="565"/>
      <c r="I32" s="562"/>
      <c r="J32" s="259">
        <v>5239</v>
      </c>
      <c r="K32" s="1031"/>
      <c r="L32" s="325"/>
      <c r="M32" s="1508" t="s">
        <v>1327</v>
      </c>
      <c r="N32" s="1031"/>
      <c r="O32" s="287"/>
    </row>
    <row r="33" spans="1:15" s="571" customFormat="1" ht="12.75" x14ac:dyDescent="0.2">
      <c r="A33" s="1085"/>
      <c r="B33" s="1085"/>
      <c r="C33" s="1085"/>
      <c r="D33" s="1085"/>
      <c r="E33" s="1085"/>
      <c r="F33" s="1085"/>
      <c r="G33" s="1085"/>
      <c r="H33" s="1085"/>
      <c r="I33" s="1085"/>
      <c r="J33" s="1085"/>
      <c r="K33" s="1085"/>
      <c r="L33" s="1085"/>
      <c r="M33" s="1597"/>
      <c r="N33" s="1085"/>
      <c r="O33" s="244"/>
    </row>
    <row r="34" spans="1:15" ht="12.75" customHeight="1" x14ac:dyDescent="0.2">
      <c r="A34" s="288" t="s">
        <v>123</v>
      </c>
      <c r="B34" s="288"/>
      <c r="C34" s="1472" t="s">
        <v>1328</v>
      </c>
      <c r="D34" s="1594"/>
      <c r="E34" s="1594"/>
      <c r="F34" s="1594"/>
      <c r="G34" s="1594"/>
      <c r="H34" s="1594"/>
      <c r="I34" s="1594"/>
      <c r="J34" s="1594"/>
      <c r="K34" s="1594"/>
      <c r="L34" s="1594"/>
      <c r="M34" s="328"/>
      <c r="N34" s="671"/>
    </row>
    <row r="35" spans="1:15" ht="12.75" customHeight="1" x14ac:dyDescent="0.2">
      <c r="A35" s="294" t="s">
        <v>125</v>
      </c>
      <c r="B35" s="294"/>
      <c r="C35" s="1474" t="s">
        <v>377</v>
      </c>
      <c r="D35" s="1595"/>
      <c r="E35" s="1595"/>
      <c r="F35" s="1595"/>
      <c r="G35" s="1595"/>
      <c r="H35" s="1595"/>
      <c r="I35" s="1595"/>
      <c r="J35" s="1595"/>
      <c r="K35" s="1595"/>
      <c r="L35" s="1595"/>
      <c r="M35" s="1598"/>
      <c r="N35" s="1066"/>
    </row>
    <row r="36" spans="1:15" ht="36" customHeight="1" x14ac:dyDescent="0.2">
      <c r="A36" s="1947" t="s">
        <v>1</v>
      </c>
      <c r="B36" s="1839" t="s">
        <v>127</v>
      </c>
      <c r="C36" s="1840"/>
      <c r="D36" s="1839" t="s">
        <v>520</v>
      </c>
      <c r="E36" s="1840"/>
      <c r="F36" s="1839" t="s">
        <v>521</v>
      </c>
      <c r="G36" s="1840"/>
      <c r="H36" s="1839" t="s">
        <v>522</v>
      </c>
      <c r="I36" s="1840"/>
      <c r="J36" s="1947" t="s">
        <v>129</v>
      </c>
      <c r="K36" s="1727" t="s">
        <v>3357</v>
      </c>
      <c r="L36" s="1728"/>
      <c r="M36" s="1947" t="s">
        <v>11</v>
      </c>
      <c r="N36" s="1947" t="s">
        <v>131</v>
      </c>
    </row>
    <row r="37" spans="1:15" ht="36" x14ac:dyDescent="0.2">
      <c r="A37" s="1948"/>
      <c r="B37" s="1841"/>
      <c r="C37" s="1842"/>
      <c r="D37" s="1029" t="s">
        <v>524</v>
      </c>
      <c r="E37" s="1029" t="s">
        <v>525</v>
      </c>
      <c r="F37" s="1029" t="s">
        <v>524</v>
      </c>
      <c r="G37" s="1029" t="s">
        <v>525</v>
      </c>
      <c r="H37" s="1029" t="s">
        <v>524</v>
      </c>
      <c r="I37" s="1029" t="s">
        <v>525</v>
      </c>
      <c r="J37" s="1948"/>
      <c r="K37" s="1029" t="s">
        <v>524</v>
      </c>
      <c r="L37" s="1029" t="s">
        <v>525</v>
      </c>
      <c r="M37" s="1948"/>
      <c r="N37" s="1948"/>
    </row>
    <row r="38" spans="1:15" ht="12" customHeight="1" x14ac:dyDescent="0.2">
      <c r="A38" s="1729" t="s">
        <v>526</v>
      </c>
      <c r="B38" s="1730"/>
      <c r="C38" s="1731"/>
      <c r="D38" s="1067">
        <f>SUM(D39:D79)</f>
        <v>605936</v>
      </c>
      <c r="E38" s="1067">
        <f t="shared" ref="E38:G38" si="1">SUM(E39:E79)</f>
        <v>0</v>
      </c>
      <c r="F38" s="1067">
        <f t="shared" si="1"/>
        <v>597158</v>
      </c>
      <c r="G38" s="1067">
        <f t="shared" si="1"/>
        <v>0</v>
      </c>
      <c r="H38" s="1067">
        <f>SUM(H39+H40+H41+H42+H50+H54+H64+H65+H67+H75+H76+H79)</f>
        <v>743925.5</v>
      </c>
      <c r="I38" s="1067">
        <f t="shared" ref="I38:L38" si="2">SUM(I39+I40+I41+I42+I50+I54+I64+I65+I67+I75+I76+I79)</f>
        <v>0</v>
      </c>
      <c r="J38" s="1067"/>
      <c r="K38" s="1067">
        <f>SUM(K39+K40+K41+K42+K50+K54+K64+K65+K66+K67+K75+K76+K79)</f>
        <v>719966</v>
      </c>
      <c r="L38" s="1067">
        <f t="shared" si="2"/>
        <v>0</v>
      </c>
      <c r="M38" s="1063"/>
      <c r="N38" s="385"/>
    </row>
    <row r="39" spans="1:15" s="367" customFormat="1" ht="49.5" customHeight="1" x14ac:dyDescent="0.2">
      <c r="A39" s="574">
        <v>1</v>
      </c>
      <c r="B39" s="1956" t="s">
        <v>1329</v>
      </c>
      <c r="C39" s="1957"/>
      <c r="D39" s="1068">
        <v>50125</v>
      </c>
      <c r="E39" s="562"/>
      <c r="F39" s="1068">
        <v>50125</v>
      </c>
      <c r="G39" s="562"/>
      <c r="H39" s="565">
        <v>49000</v>
      </c>
      <c r="I39" s="562"/>
      <c r="J39" s="259">
        <v>2210</v>
      </c>
      <c r="K39" s="1031">
        <v>49000</v>
      </c>
      <c r="L39" s="325"/>
      <c r="M39" s="1508" t="s">
        <v>1330</v>
      </c>
      <c r="N39" s="1031" t="s">
        <v>1331</v>
      </c>
    </row>
    <row r="40" spans="1:15" s="367" customFormat="1" ht="60" x14ac:dyDescent="0.2">
      <c r="A40" s="574">
        <v>2</v>
      </c>
      <c r="B40" s="1956" t="s">
        <v>1332</v>
      </c>
      <c r="C40" s="1957"/>
      <c r="D40" s="1069">
        <v>86</v>
      </c>
      <c r="E40" s="1070"/>
      <c r="F40" s="1069">
        <v>86</v>
      </c>
      <c r="G40" s="1070"/>
      <c r="H40" s="1071">
        <v>100</v>
      </c>
      <c r="I40" s="1070"/>
      <c r="J40" s="259">
        <v>2223</v>
      </c>
      <c r="K40" s="1031">
        <v>100</v>
      </c>
      <c r="L40" s="325"/>
      <c r="M40" s="1508" t="s">
        <v>1333</v>
      </c>
      <c r="N40" s="1031" t="s">
        <v>1334</v>
      </c>
    </row>
    <row r="41" spans="1:15" s="367" customFormat="1" ht="60" x14ac:dyDescent="0.2">
      <c r="A41" s="574">
        <v>3</v>
      </c>
      <c r="B41" s="1956" t="s">
        <v>1335</v>
      </c>
      <c r="C41" s="1957"/>
      <c r="D41" s="1069">
        <v>1200</v>
      </c>
      <c r="E41" s="1070"/>
      <c r="F41" s="1069">
        <v>900</v>
      </c>
      <c r="G41" s="1070"/>
      <c r="H41" s="1071">
        <v>1200</v>
      </c>
      <c r="I41" s="1070"/>
      <c r="J41" s="259">
        <v>2243</v>
      </c>
      <c r="K41" s="1031">
        <v>900</v>
      </c>
      <c r="L41" s="325"/>
      <c r="M41" s="1508" t="s">
        <v>1333</v>
      </c>
      <c r="N41" s="1031"/>
    </row>
    <row r="42" spans="1:15" s="367" customFormat="1" ht="80.25" customHeight="1" x14ac:dyDescent="0.2">
      <c r="A42" s="574">
        <v>4</v>
      </c>
      <c r="B42" s="1956" t="s">
        <v>1336</v>
      </c>
      <c r="C42" s="1957"/>
      <c r="D42" s="1069">
        <v>125297</v>
      </c>
      <c r="E42" s="1070"/>
      <c r="F42" s="1069">
        <v>124997</v>
      </c>
      <c r="G42" s="1070"/>
      <c r="H42" s="1071">
        <f>SUM(H43:H49)</f>
        <v>166181.20000000001</v>
      </c>
      <c r="I42" s="1070"/>
      <c r="J42" s="259">
        <v>2250</v>
      </c>
      <c r="K42" s="1031">
        <f>SUM(K43:K49)</f>
        <v>166182</v>
      </c>
      <c r="L42" s="1031">
        <f>SUM(L43:L49)</f>
        <v>0</v>
      </c>
      <c r="M42" s="1563" t="s">
        <v>3377</v>
      </c>
      <c r="N42" s="1031"/>
    </row>
    <row r="43" spans="1:15" s="367" customFormat="1" ht="60" hidden="1" x14ac:dyDescent="0.2">
      <c r="A43" s="1951"/>
      <c r="B43" s="577" t="s">
        <v>1337</v>
      </c>
      <c r="C43" s="577"/>
      <c r="D43" s="1069"/>
      <c r="E43" s="1070"/>
      <c r="F43" s="1069"/>
      <c r="G43" s="1070"/>
      <c r="H43" s="1072">
        <f>12705*4*1.1</f>
        <v>55902.000000000007</v>
      </c>
      <c r="I43" s="1070"/>
      <c r="J43" s="259"/>
      <c r="K43" s="1031">
        <v>55902</v>
      </c>
      <c r="L43" s="325"/>
      <c r="M43" s="1508" t="s">
        <v>1338</v>
      </c>
      <c r="N43" s="1031" t="s">
        <v>1339</v>
      </c>
    </row>
    <row r="44" spans="1:15" s="367" customFormat="1" ht="36" hidden="1" x14ac:dyDescent="0.2">
      <c r="A44" s="1952"/>
      <c r="B44" s="575" t="s">
        <v>1340</v>
      </c>
      <c r="C44" s="575"/>
      <c r="D44" s="1069"/>
      <c r="E44" s="1070"/>
      <c r="F44" s="1069"/>
      <c r="G44" s="1070"/>
      <c r="H44" s="1072">
        <f>8*36.3+398*54.45</f>
        <v>21961.500000000004</v>
      </c>
      <c r="I44" s="1070"/>
      <c r="J44" s="259"/>
      <c r="K44" s="1031">
        <v>21962</v>
      </c>
      <c r="L44" s="325"/>
      <c r="M44" s="1508" t="s">
        <v>1341</v>
      </c>
      <c r="N44" s="1031" t="s">
        <v>1342</v>
      </c>
    </row>
    <row r="45" spans="1:15" s="367" customFormat="1" ht="36" hidden="1" x14ac:dyDescent="0.2">
      <c r="A45" s="1952"/>
      <c r="B45" s="575" t="s">
        <v>1343</v>
      </c>
      <c r="C45" s="575"/>
      <c r="D45" s="1069"/>
      <c r="E45" s="1070"/>
      <c r="F45" s="1069"/>
      <c r="G45" s="1070"/>
      <c r="H45" s="1072">
        <f>70*85.91</f>
        <v>6013.7</v>
      </c>
      <c r="I45" s="1070"/>
      <c r="J45" s="259"/>
      <c r="K45" s="1031">
        <v>6014</v>
      </c>
      <c r="L45" s="325"/>
      <c r="M45" s="1508" t="s">
        <v>1341</v>
      </c>
      <c r="N45" s="1031" t="s">
        <v>1344</v>
      </c>
    </row>
    <row r="46" spans="1:15" s="367" customFormat="1" ht="60" hidden="1" x14ac:dyDescent="0.2">
      <c r="A46" s="1952"/>
      <c r="B46" s="575" t="s">
        <v>1345</v>
      </c>
      <c r="C46" s="575"/>
      <c r="D46" s="1069"/>
      <c r="E46" s="1070"/>
      <c r="F46" s="1069"/>
      <c r="G46" s="1070"/>
      <c r="H46" s="1072">
        <f>3630*12</f>
        <v>43560</v>
      </c>
      <c r="I46" s="1070"/>
      <c r="J46" s="259"/>
      <c r="K46" s="1031">
        <v>43560</v>
      </c>
      <c r="L46" s="325"/>
      <c r="M46" s="1508" t="s">
        <v>1346</v>
      </c>
      <c r="N46" s="1031" t="s">
        <v>1347</v>
      </c>
    </row>
    <row r="47" spans="1:15" s="367" customFormat="1" ht="48" hidden="1" x14ac:dyDescent="0.2">
      <c r="A47" s="1952"/>
      <c r="B47" s="575" t="s">
        <v>1348</v>
      </c>
      <c r="C47" s="575"/>
      <c r="D47" s="1069"/>
      <c r="E47" s="1070"/>
      <c r="F47" s="1069"/>
      <c r="G47" s="1070"/>
      <c r="H47" s="1072">
        <v>30400</v>
      </c>
      <c r="I47" s="1070"/>
      <c r="J47" s="259"/>
      <c r="K47" s="1031">
        <v>30400</v>
      </c>
      <c r="L47" s="325"/>
      <c r="M47" s="1508" t="s">
        <v>1349</v>
      </c>
      <c r="N47" s="1031" t="s">
        <v>1350</v>
      </c>
    </row>
    <row r="48" spans="1:15" s="367" customFormat="1" ht="36" hidden="1" x14ac:dyDescent="0.2">
      <c r="A48" s="1953"/>
      <c r="B48" s="575" t="s">
        <v>1351</v>
      </c>
      <c r="C48" s="575"/>
      <c r="D48" s="1069"/>
      <c r="E48" s="1070"/>
      <c r="F48" s="1069"/>
      <c r="G48" s="1070"/>
      <c r="H48" s="1072">
        <v>6344</v>
      </c>
      <c r="I48" s="1070"/>
      <c r="J48" s="259"/>
      <c r="K48" s="1031">
        <v>6344</v>
      </c>
      <c r="L48" s="325"/>
      <c r="M48" s="1508" t="s">
        <v>1352</v>
      </c>
      <c r="N48" s="1030" t="s">
        <v>1353</v>
      </c>
    </row>
    <row r="49" spans="1:14" s="367" customFormat="1" ht="24" hidden="1" x14ac:dyDescent="0.2">
      <c r="A49" s="1032"/>
      <c r="B49" s="580" t="s">
        <v>1354</v>
      </c>
      <c r="C49" s="580"/>
      <c r="D49" s="1069"/>
      <c r="E49" s="1070"/>
      <c r="F49" s="1069"/>
      <c r="G49" s="1070"/>
      <c r="H49" s="1072">
        <v>2000</v>
      </c>
      <c r="I49" s="1070"/>
      <c r="J49" s="259"/>
      <c r="K49" s="1031">
        <v>2000</v>
      </c>
      <c r="L49" s="325"/>
      <c r="M49" s="1508" t="s">
        <v>1355</v>
      </c>
      <c r="N49" s="1031" t="s">
        <v>1356</v>
      </c>
    </row>
    <row r="50" spans="1:14" s="367" customFormat="1" ht="96.75" customHeight="1" x14ac:dyDescent="0.2">
      <c r="A50" s="574">
        <v>5</v>
      </c>
      <c r="B50" s="1956" t="s">
        <v>1357</v>
      </c>
      <c r="C50" s="1957"/>
      <c r="D50" s="1069">
        <v>135170</v>
      </c>
      <c r="E50" s="1070"/>
      <c r="F50" s="1069">
        <v>135168</v>
      </c>
      <c r="G50" s="1070"/>
      <c r="H50" s="1071">
        <f>SUM(H51:H53)</f>
        <v>133741</v>
      </c>
      <c r="I50" s="1070"/>
      <c r="J50" s="259">
        <v>2250</v>
      </c>
      <c r="K50" s="1031">
        <v>133741</v>
      </c>
      <c r="L50" s="1031">
        <f>SUM(L51:L53)</f>
        <v>0</v>
      </c>
      <c r="M50" s="1563" t="s">
        <v>3378</v>
      </c>
      <c r="N50" s="1031"/>
    </row>
    <row r="51" spans="1:14" s="367" customFormat="1" ht="72.75" hidden="1" customHeight="1" x14ac:dyDescent="0.2">
      <c r="A51" s="1951"/>
      <c r="B51" s="581" t="s">
        <v>1358</v>
      </c>
      <c r="C51" s="581"/>
      <c r="D51" s="1069"/>
      <c r="E51" s="1070"/>
      <c r="F51" s="1069"/>
      <c r="G51" s="1070"/>
      <c r="H51" s="1072">
        <v>4997</v>
      </c>
      <c r="I51" s="1070"/>
      <c r="J51" s="259"/>
      <c r="K51" s="1031"/>
      <c r="L51" s="325"/>
      <c r="M51" s="1508" t="s">
        <v>1359</v>
      </c>
      <c r="N51" s="1031" t="s">
        <v>1360</v>
      </c>
    </row>
    <row r="52" spans="1:14" s="367" customFormat="1" ht="60" hidden="1" x14ac:dyDescent="0.2">
      <c r="A52" s="1952"/>
      <c r="B52" s="581" t="s">
        <v>1361</v>
      </c>
      <c r="C52" s="581"/>
      <c r="D52" s="1069"/>
      <c r="E52" s="1070"/>
      <c r="F52" s="1069"/>
      <c r="G52" s="1070"/>
      <c r="H52" s="1072">
        <f>106400*1.21</f>
        <v>128744</v>
      </c>
      <c r="I52" s="1070"/>
      <c r="J52" s="259"/>
      <c r="K52" s="1031"/>
      <c r="L52" s="325"/>
      <c r="M52" s="1508" t="s">
        <v>1362</v>
      </c>
      <c r="N52" s="1031" t="s">
        <v>1363</v>
      </c>
    </row>
    <row r="53" spans="1:14" s="367" customFormat="1" ht="108" hidden="1" x14ac:dyDescent="0.2">
      <c r="A53" s="1953"/>
      <c r="B53" s="581" t="s">
        <v>1364</v>
      </c>
      <c r="C53" s="581"/>
      <c r="D53" s="1069">
        <v>0</v>
      </c>
      <c r="E53" s="1070"/>
      <c r="F53" s="1069">
        <v>0</v>
      </c>
      <c r="G53" s="1070"/>
      <c r="H53" s="1072"/>
      <c r="I53" s="1070"/>
      <c r="J53" s="259"/>
      <c r="K53" s="1031"/>
      <c r="L53" s="325"/>
      <c r="M53" s="1508" t="s">
        <v>1365</v>
      </c>
      <c r="N53" s="1031" t="s">
        <v>1366</v>
      </c>
    </row>
    <row r="54" spans="1:14" s="367" customFormat="1" ht="18.75" customHeight="1" x14ac:dyDescent="0.2">
      <c r="A54" s="574">
        <v>6</v>
      </c>
      <c r="B54" s="1956" t="s">
        <v>1367</v>
      </c>
      <c r="C54" s="1957"/>
      <c r="D54" s="1069">
        <v>9456</v>
      </c>
      <c r="E54" s="1070"/>
      <c r="F54" s="1069">
        <v>9400</v>
      </c>
      <c r="G54" s="1070"/>
      <c r="H54" s="1071">
        <f>SUM(H55:H63)</f>
        <v>16730</v>
      </c>
      <c r="I54" s="1070"/>
      <c r="J54" s="259">
        <v>2250</v>
      </c>
      <c r="K54" s="1031">
        <f>SUM(K55:K63)</f>
        <v>16730</v>
      </c>
      <c r="L54" s="1031">
        <f>SUM(L55:L63)</f>
        <v>0</v>
      </c>
      <c r="M54" s="1563" t="s">
        <v>1355</v>
      </c>
      <c r="N54" s="1031"/>
    </row>
    <row r="55" spans="1:14" s="367" customFormat="1" ht="12.75" hidden="1" customHeight="1" x14ac:dyDescent="0.2">
      <c r="A55" s="1951"/>
      <c r="B55" s="575" t="s">
        <v>1368</v>
      </c>
      <c r="C55" s="575"/>
      <c r="D55" s="1069"/>
      <c r="E55" s="1070"/>
      <c r="F55" s="1069"/>
      <c r="G55" s="1070"/>
      <c r="H55" s="1072">
        <v>940</v>
      </c>
      <c r="I55" s="1070"/>
      <c r="J55" s="259"/>
      <c r="K55" s="1031">
        <v>940</v>
      </c>
      <c r="L55" s="325"/>
      <c r="M55" s="1508" t="s">
        <v>1355</v>
      </c>
      <c r="N55" s="1031"/>
    </row>
    <row r="56" spans="1:14" s="367" customFormat="1" ht="12.75" hidden="1" customHeight="1" x14ac:dyDescent="0.2">
      <c r="A56" s="1952"/>
      <c r="B56" s="582" t="s">
        <v>1369</v>
      </c>
      <c r="C56" s="582"/>
      <c r="D56" s="1069"/>
      <c r="E56" s="1070"/>
      <c r="F56" s="1069"/>
      <c r="G56" s="1070"/>
      <c r="H56" s="1072">
        <v>300</v>
      </c>
      <c r="I56" s="1070"/>
      <c r="J56" s="259"/>
      <c r="K56" s="1031">
        <v>300</v>
      </c>
      <c r="L56" s="325"/>
      <c r="M56" s="1508" t="s">
        <v>1355</v>
      </c>
      <c r="N56" s="1031"/>
    </row>
    <row r="57" spans="1:14" s="367" customFormat="1" ht="12.75" hidden="1" customHeight="1" x14ac:dyDescent="0.2">
      <c r="A57" s="1952"/>
      <c r="B57" s="580" t="s">
        <v>1370</v>
      </c>
      <c r="C57" s="580"/>
      <c r="D57" s="1069"/>
      <c r="E57" s="1070"/>
      <c r="F57" s="1069"/>
      <c r="G57" s="1070"/>
      <c r="H57" s="1072">
        <v>425</v>
      </c>
      <c r="I57" s="1070"/>
      <c r="J57" s="259"/>
      <c r="K57" s="1031">
        <v>425</v>
      </c>
      <c r="L57" s="325"/>
      <c r="M57" s="1508" t="s">
        <v>1371</v>
      </c>
      <c r="N57" s="1031"/>
    </row>
    <row r="58" spans="1:14" s="367" customFormat="1" ht="24" hidden="1" x14ac:dyDescent="0.2">
      <c r="A58" s="1952"/>
      <c r="B58" s="580" t="s">
        <v>1372</v>
      </c>
      <c r="C58" s="580"/>
      <c r="D58" s="1069"/>
      <c r="E58" s="1070"/>
      <c r="F58" s="1069"/>
      <c r="G58" s="1070"/>
      <c r="H58" s="1072">
        <v>1400</v>
      </c>
      <c r="I58" s="1070"/>
      <c r="J58" s="259"/>
      <c r="K58" s="1031">
        <v>1400</v>
      </c>
      <c r="L58" s="325"/>
      <c r="M58" s="1508" t="s">
        <v>1355</v>
      </c>
      <c r="N58" s="1031"/>
    </row>
    <row r="59" spans="1:14" s="367" customFormat="1" ht="36" hidden="1" x14ac:dyDescent="0.2">
      <c r="A59" s="1952"/>
      <c r="B59" s="580" t="s">
        <v>1373</v>
      </c>
      <c r="C59" s="580"/>
      <c r="D59" s="1069"/>
      <c r="E59" s="1070"/>
      <c r="F59" s="1069"/>
      <c r="G59" s="1070"/>
      <c r="H59" s="1072">
        <v>6300</v>
      </c>
      <c r="I59" s="1070"/>
      <c r="J59" s="259"/>
      <c r="K59" s="1031">
        <v>6300</v>
      </c>
      <c r="L59" s="325"/>
      <c r="M59" s="1508" t="s">
        <v>1355</v>
      </c>
      <c r="N59" s="1031" t="s">
        <v>1374</v>
      </c>
    </row>
    <row r="60" spans="1:14" s="367" customFormat="1" ht="24" hidden="1" x14ac:dyDescent="0.2">
      <c r="A60" s="1952"/>
      <c r="B60" s="580" t="s">
        <v>1375</v>
      </c>
      <c r="C60" s="580"/>
      <c r="D60" s="1069"/>
      <c r="E60" s="1070"/>
      <c r="F60" s="1069"/>
      <c r="G60" s="1070"/>
      <c r="H60" s="1072">
        <v>60</v>
      </c>
      <c r="I60" s="1070"/>
      <c r="J60" s="259"/>
      <c r="K60" s="1031">
        <v>60</v>
      </c>
      <c r="L60" s="325"/>
      <c r="M60" s="1508" t="s">
        <v>1371</v>
      </c>
      <c r="N60" s="1031"/>
    </row>
    <row r="61" spans="1:14" s="367" customFormat="1" ht="48" hidden="1" x14ac:dyDescent="0.2">
      <c r="A61" s="1952"/>
      <c r="B61" s="580" t="s">
        <v>1376</v>
      </c>
      <c r="C61" s="580"/>
      <c r="D61" s="1069"/>
      <c r="E61" s="1070"/>
      <c r="F61" s="1069"/>
      <c r="G61" s="1070"/>
      <c r="H61" s="1072">
        <v>45</v>
      </c>
      <c r="I61" s="1070"/>
      <c r="J61" s="259"/>
      <c r="K61" s="1031">
        <v>45</v>
      </c>
      <c r="L61" s="325"/>
      <c r="M61" s="1508" t="s">
        <v>1371</v>
      </c>
      <c r="N61" s="1031"/>
    </row>
    <row r="62" spans="1:14" s="367" customFormat="1" ht="24" hidden="1" x14ac:dyDescent="0.2">
      <c r="A62" s="1952"/>
      <c r="B62" s="580" t="s">
        <v>1377</v>
      </c>
      <c r="C62" s="580"/>
      <c r="D62" s="1069"/>
      <c r="E62" s="1070"/>
      <c r="F62" s="1069"/>
      <c r="G62" s="1070"/>
      <c r="H62" s="1072">
        <v>7260</v>
      </c>
      <c r="I62" s="1070"/>
      <c r="J62" s="259"/>
      <c r="K62" s="1031">
        <v>7260</v>
      </c>
      <c r="L62" s="325"/>
      <c r="M62" s="1508" t="s">
        <v>1355</v>
      </c>
      <c r="N62" s="1031" t="s">
        <v>1378</v>
      </c>
    </row>
    <row r="63" spans="1:14" s="367" customFormat="1" hidden="1" x14ac:dyDescent="0.2">
      <c r="A63" s="1953"/>
      <c r="B63" s="288"/>
      <c r="C63" s="288"/>
      <c r="D63" s="288"/>
      <c r="E63" s="288"/>
      <c r="F63" s="288"/>
      <c r="G63" s="288"/>
      <c r="H63" s="288"/>
      <c r="I63" s="288"/>
      <c r="J63" s="288"/>
      <c r="K63" s="288"/>
      <c r="L63" s="288"/>
      <c r="M63" s="1485"/>
      <c r="N63" s="288"/>
    </row>
    <row r="64" spans="1:14" s="367" customFormat="1" ht="36" x14ac:dyDescent="0.2">
      <c r="A64" s="574">
        <v>7</v>
      </c>
      <c r="B64" s="1956" t="s">
        <v>1379</v>
      </c>
      <c r="C64" s="1957"/>
      <c r="D64" s="1069">
        <v>1002</v>
      </c>
      <c r="E64" s="1070"/>
      <c r="F64" s="1069">
        <v>1002</v>
      </c>
      <c r="G64" s="1070"/>
      <c r="H64" s="1071">
        <v>1002</v>
      </c>
      <c r="I64" s="1070"/>
      <c r="J64" s="259">
        <v>2352</v>
      </c>
      <c r="K64" s="1031">
        <v>1002</v>
      </c>
      <c r="L64" s="325"/>
      <c r="M64" s="1508" t="s">
        <v>1380</v>
      </c>
      <c r="N64" s="1031" t="s">
        <v>1381</v>
      </c>
    </row>
    <row r="65" spans="1:14" s="367" customFormat="1" ht="27" customHeight="1" x14ac:dyDescent="0.2">
      <c r="A65" s="1951">
        <v>8</v>
      </c>
      <c r="B65" s="1960" t="s">
        <v>1382</v>
      </c>
      <c r="C65" s="1961"/>
      <c r="D65" s="1069">
        <v>4765</v>
      </c>
      <c r="E65" s="1070"/>
      <c r="F65" s="1069">
        <v>4765</v>
      </c>
      <c r="G65" s="1070"/>
      <c r="H65" s="1071">
        <f>3300+7*120-840</f>
        <v>3300</v>
      </c>
      <c r="I65" s="1070"/>
      <c r="J65" s="259">
        <v>2311</v>
      </c>
      <c r="K65" s="1031">
        <v>3300</v>
      </c>
      <c r="L65" s="325"/>
      <c r="M65" s="1732" t="s">
        <v>1383</v>
      </c>
      <c r="N65" s="1031" t="s">
        <v>1384</v>
      </c>
    </row>
    <row r="66" spans="1:14" s="367" customFormat="1" ht="27" customHeight="1" x14ac:dyDescent="0.2">
      <c r="A66" s="1953"/>
      <c r="B66" s="1962"/>
      <c r="C66" s="1963"/>
      <c r="D66" s="1069"/>
      <c r="E66" s="1070"/>
      <c r="F66" s="1069"/>
      <c r="G66" s="1070"/>
      <c r="H66" s="1071">
        <v>840</v>
      </c>
      <c r="I66" s="1070"/>
      <c r="J66" s="259">
        <v>2312</v>
      </c>
      <c r="K66" s="1031">
        <v>840</v>
      </c>
      <c r="L66" s="325"/>
      <c r="M66" s="1734"/>
      <c r="N66" s="1031" t="s">
        <v>1385</v>
      </c>
    </row>
    <row r="67" spans="1:14" s="367" customFormat="1" ht="105.75" customHeight="1" x14ac:dyDescent="0.2">
      <c r="A67" s="574">
        <v>9</v>
      </c>
      <c r="B67" s="1956" t="s">
        <v>1386</v>
      </c>
      <c r="C67" s="1957"/>
      <c r="D67" s="1069">
        <v>97715</v>
      </c>
      <c r="E67" s="1070"/>
      <c r="F67" s="1069">
        <v>97715</v>
      </c>
      <c r="G67" s="1070"/>
      <c r="H67" s="1071">
        <f>SUM(H68:H74)</f>
        <v>202871.3</v>
      </c>
      <c r="I67" s="1070"/>
      <c r="J67" s="259">
        <v>5120</v>
      </c>
      <c r="K67" s="1031">
        <f>SUM(K68:K74)</f>
        <v>198371</v>
      </c>
      <c r="L67" s="1031">
        <f>SUM(L68:L74)</f>
        <v>0</v>
      </c>
      <c r="M67" s="1564" t="s">
        <v>3379</v>
      </c>
      <c r="N67" s="1031"/>
    </row>
    <row r="68" spans="1:14" s="367" customFormat="1" ht="216" hidden="1" x14ac:dyDescent="0.2">
      <c r="A68" s="1951"/>
      <c r="B68" s="580" t="s">
        <v>1387</v>
      </c>
      <c r="C68" s="580"/>
      <c r="D68" s="1073"/>
      <c r="E68" s="1070"/>
      <c r="F68" s="1073"/>
      <c r="G68" s="1070"/>
      <c r="H68" s="1072">
        <f>3780+3600+2905+3600</f>
        <v>13885</v>
      </c>
      <c r="I68" s="1070"/>
      <c r="J68" s="259"/>
      <c r="K68" s="1031">
        <v>13885</v>
      </c>
      <c r="L68" s="325"/>
      <c r="M68" s="1508" t="s">
        <v>1388</v>
      </c>
      <c r="N68" s="1031" t="s">
        <v>1389</v>
      </c>
    </row>
    <row r="69" spans="1:14" s="367" customFormat="1" ht="24" hidden="1" x14ac:dyDescent="0.2">
      <c r="A69" s="1952"/>
      <c r="B69" s="583" t="s">
        <v>1390</v>
      </c>
      <c r="C69" s="583"/>
      <c r="D69" s="1073"/>
      <c r="E69" s="1070"/>
      <c r="F69" s="1073"/>
      <c r="G69" s="1070"/>
      <c r="H69" s="1072">
        <v>4000</v>
      </c>
      <c r="I69" s="1070"/>
      <c r="J69" s="259"/>
      <c r="K69" s="1031"/>
      <c r="L69" s="325"/>
      <c r="M69" s="1508" t="s">
        <v>1391</v>
      </c>
      <c r="N69" s="1031" t="s">
        <v>1392</v>
      </c>
    </row>
    <row r="70" spans="1:14" s="367" customFormat="1" ht="36" hidden="1" x14ac:dyDescent="0.2">
      <c r="A70" s="1952"/>
      <c r="B70" s="575" t="s">
        <v>1393</v>
      </c>
      <c r="C70" s="575"/>
      <c r="D70" s="1074"/>
      <c r="E70" s="1070"/>
      <c r="F70" s="1074"/>
      <c r="G70" s="1070"/>
      <c r="H70" s="1072">
        <v>2580</v>
      </c>
      <c r="I70" s="1070"/>
      <c r="J70" s="259"/>
      <c r="K70" s="1031">
        <v>2580</v>
      </c>
      <c r="L70" s="325"/>
      <c r="M70" s="1508" t="s">
        <v>1394</v>
      </c>
      <c r="N70" s="1031" t="s">
        <v>1395</v>
      </c>
    </row>
    <row r="71" spans="1:14" s="367" customFormat="1" ht="48" hidden="1" x14ac:dyDescent="0.2">
      <c r="A71" s="1952"/>
      <c r="B71" s="575" t="s">
        <v>1396</v>
      </c>
      <c r="C71" s="575"/>
      <c r="D71" s="1074"/>
      <c r="E71" s="1070"/>
      <c r="F71" s="1074"/>
      <c r="G71" s="1070"/>
      <c r="H71" s="1072">
        <v>2420</v>
      </c>
      <c r="I71" s="1070"/>
      <c r="J71" s="259"/>
      <c r="K71" s="1031">
        <v>2420</v>
      </c>
      <c r="L71" s="325"/>
      <c r="M71" s="1508" t="s">
        <v>1365</v>
      </c>
      <c r="N71" s="1031" t="s">
        <v>1397</v>
      </c>
    </row>
    <row r="72" spans="1:14" s="367" customFormat="1" ht="96" hidden="1" x14ac:dyDescent="0.2">
      <c r="A72" s="1952"/>
      <c r="B72" s="575" t="s">
        <v>1398</v>
      </c>
      <c r="C72" s="575"/>
      <c r="D72" s="1074"/>
      <c r="E72" s="1070"/>
      <c r="F72" s="1074"/>
      <c r="G72" s="1070"/>
      <c r="H72" s="1072">
        <f>(33631+7399)*1.21</f>
        <v>49646.299999999996</v>
      </c>
      <c r="I72" s="1070"/>
      <c r="J72" s="259"/>
      <c r="K72" s="1031">
        <v>49646</v>
      </c>
      <c r="L72" s="325"/>
      <c r="M72" s="1508" t="s">
        <v>1365</v>
      </c>
      <c r="N72" s="1031" t="s">
        <v>1399</v>
      </c>
    </row>
    <row r="73" spans="1:14" s="367" customFormat="1" ht="108" hidden="1" x14ac:dyDescent="0.2">
      <c r="A73" s="1952"/>
      <c r="B73" s="575" t="s">
        <v>1400</v>
      </c>
      <c r="C73" s="575"/>
      <c r="D73" s="1074"/>
      <c r="E73" s="1070"/>
      <c r="F73" s="1074"/>
      <c r="G73" s="1070"/>
      <c r="H73" s="1072">
        <f>(55000+5000+6240+900+36860)*1.21</f>
        <v>125840</v>
      </c>
      <c r="I73" s="1070"/>
      <c r="J73" s="259"/>
      <c r="K73" s="1031">
        <v>125840</v>
      </c>
      <c r="L73" s="325"/>
      <c r="M73" s="1508" t="s">
        <v>1365</v>
      </c>
      <c r="N73" s="1031" t="s">
        <v>1401</v>
      </c>
    </row>
    <row r="74" spans="1:14" s="367" customFormat="1" ht="84" hidden="1" x14ac:dyDescent="0.2">
      <c r="A74" s="1952"/>
      <c r="B74" s="575" t="s">
        <v>1402</v>
      </c>
      <c r="C74" s="575"/>
      <c r="D74" s="1074"/>
      <c r="E74" s="1070"/>
      <c r="F74" s="1074"/>
      <c r="G74" s="1070"/>
      <c r="H74" s="1072">
        <v>4500</v>
      </c>
      <c r="I74" s="1070"/>
      <c r="J74" s="259"/>
      <c r="K74" s="1031">
        <v>4000</v>
      </c>
      <c r="L74" s="325"/>
      <c r="M74" s="1508" t="s">
        <v>1403</v>
      </c>
      <c r="N74" s="1031" t="s">
        <v>1404</v>
      </c>
    </row>
    <row r="75" spans="1:14" s="367" customFormat="1" ht="59.25" customHeight="1" x14ac:dyDescent="0.2">
      <c r="A75" s="1032">
        <v>10</v>
      </c>
      <c r="B75" s="1956" t="s">
        <v>1405</v>
      </c>
      <c r="C75" s="1957"/>
      <c r="D75" s="1075">
        <v>0</v>
      </c>
      <c r="E75" s="1070"/>
      <c r="F75" s="1075">
        <v>0</v>
      </c>
      <c r="G75" s="1070"/>
      <c r="H75" s="1074">
        <v>80000</v>
      </c>
      <c r="I75" s="1070"/>
      <c r="J75" s="259">
        <v>5238</v>
      </c>
      <c r="K75" s="1031">
        <v>80000</v>
      </c>
      <c r="L75" s="325"/>
      <c r="M75" s="1508" t="s">
        <v>1365</v>
      </c>
      <c r="N75" s="1031" t="s">
        <v>1406</v>
      </c>
    </row>
    <row r="76" spans="1:14" s="367" customFormat="1" ht="63.75" customHeight="1" x14ac:dyDescent="0.2">
      <c r="A76" s="574">
        <v>11</v>
      </c>
      <c r="B76" s="1956" t="s">
        <v>1326</v>
      </c>
      <c r="C76" s="1957"/>
      <c r="D76" s="1076">
        <v>4520</v>
      </c>
      <c r="E76" s="1077"/>
      <c r="F76" s="1076">
        <v>3000</v>
      </c>
      <c r="G76" s="1077"/>
      <c r="H76" s="1078">
        <f>SUM(H77:H78)</f>
        <v>8800</v>
      </c>
      <c r="I76" s="1077"/>
      <c r="J76" s="1079">
        <v>5239</v>
      </c>
      <c r="K76" s="381">
        <f>SUM(K77:K78)</f>
        <v>8800</v>
      </c>
      <c r="L76" s="381">
        <f>SUM(L77:L78)</f>
        <v>0</v>
      </c>
      <c r="M76" s="1564" t="s">
        <v>3380</v>
      </c>
      <c r="N76" s="1031"/>
    </row>
    <row r="77" spans="1:14" s="367" customFormat="1" ht="36" hidden="1" x14ac:dyDescent="0.2">
      <c r="A77" s="1951"/>
      <c r="B77" s="583" t="s">
        <v>1407</v>
      </c>
      <c r="C77" s="583"/>
      <c r="D77" s="1074"/>
      <c r="E77" s="1070"/>
      <c r="F77" s="1074"/>
      <c r="G77" s="1070"/>
      <c r="H77" s="1072">
        <f>10*400</f>
        <v>4000</v>
      </c>
      <c r="I77" s="1070"/>
      <c r="J77" s="259"/>
      <c r="K77" s="1031">
        <v>4000</v>
      </c>
      <c r="L77" s="325"/>
      <c r="M77" s="1564" t="s">
        <v>1408</v>
      </c>
      <c r="N77" s="1031" t="s">
        <v>1409</v>
      </c>
    </row>
    <row r="78" spans="1:14" s="367" customFormat="1" ht="24" hidden="1" x14ac:dyDescent="0.2">
      <c r="A78" s="1953"/>
      <c r="B78" s="583" t="s">
        <v>1410</v>
      </c>
      <c r="C78" s="1592"/>
      <c r="D78" s="1080"/>
      <c r="E78" s="1070"/>
      <c r="F78" s="1080"/>
      <c r="G78" s="1070"/>
      <c r="H78" s="1072">
        <v>4800</v>
      </c>
      <c r="I78" s="1070"/>
      <c r="J78" s="259"/>
      <c r="K78" s="1031">
        <v>4800</v>
      </c>
      <c r="L78" s="325"/>
      <c r="M78" s="1564" t="s">
        <v>1411</v>
      </c>
      <c r="N78" s="1031" t="s">
        <v>1412</v>
      </c>
    </row>
    <row r="79" spans="1:14" s="367" customFormat="1" ht="219.75" customHeight="1" x14ac:dyDescent="0.2">
      <c r="A79" s="584">
        <v>12</v>
      </c>
      <c r="B79" s="1964" t="s">
        <v>1413</v>
      </c>
      <c r="C79" s="1965"/>
      <c r="D79" s="1081">
        <v>176600</v>
      </c>
      <c r="E79" s="1070"/>
      <c r="F79" s="1081">
        <v>170000</v>
      </c>
      <c r="G79" s="1070"/>
      <c r="H79" s="1082">
        <f>20000+30000+20000+11000</f>
        <v>81000</v>
      </c>
      <c r="I79" s="1070"/>
      <c r="J79" s="600">
        <v>5240</v>
      </c>
      <c r="K79" s="1031">
        <f>30000+20000+11000</f>
        <v>61000</v>
      </c>
      <c r="L79" s="325"/>
      <c r="M79" s="1506" t="s">
        <v>1414</v>
      </c>
      <c r="N79" s="320" t="s">
        <v>2497</v>
      </c>
    </row>
    <row r="80" spans="1:14" hidden="1" x14ac:dyDescent="0.2">
      <c r="A80" s="1958" t="s">
        <v>239</v>
      </c>
      <c r="B80" s="1959"/>
      <c r="C80" s="1516"/>
      <c r="D80" s="1083">
        <f t="shared" ref="D80:I80" si="3">SUM(D11+D38)</f>
        <v>771280</v>
      </c>
      <c r="E80" s="1083">
        <f t="shared" si="3"/>
        <v>20018</v>
      </c>
      <c r="F80" s="1083">
        <f t="shared" si="3"/>
        <v>733808</v>
      </c>
      <c r="G80" s="1083">
        <f t="shared" si="3"/>
        <v>14870</v>
      </c>
      <c r="H80" s="1083">
        <f t="shared" si="3"/>
        <v>1083765.5</v>
      </c>
      <c r="I80" s="1083">
        <f t="shared" si="3"/>
        <v>17280</v>
      </c>
      <c r="J80" s="1083"/>
      <c r="K80" s="1083">
        <f>SUM(K11+K38)</f>
        <v>920246</v>
      </c>
      <c r="L80" s="1083">
        <f>SUM(L11+L38)</f>
        <v>24117</v>
      </c>
      <c r="M80" s="1599"/>
      <c r="N80" s="1084"/>
    </row>
    <row r="81" spans="1:14" x14ac:dyDescent="0.2">
      <c r="A81" s="1602"/>
      <c r="B81" s="1602"/>
      <c r="C81" s="1602"/>
      <c r="D81" s="1603"/>
      <c r="E81" s="1603"/>
      <c r="F81" s="1603"/>
      <c r="G81" s="1603"/>
      <c r="H81" s="1603"/>
      <c r="I81" s="1603"/>
      <c r="J81" s="1603"/>
      <c r="K81" s="1603"/>
      <c r="L81" s="1603"/>
      <c r="M81" s="1485"/>
      <c r="N81" s="288"/>
    </row>
    <row r="82" spans="1:14" s="586" customFormat="1" x14ac:dyDescent="0.2">
      <c r="A82" s="287" t="s">
        <v>400</v>
      </c>
      <c r="B82" s="287"/>
      <c r="C82" s="287"/>
      <c r="D82" s="1086"/>
      <c r="E82" s="1086"/>
      <c r="F82" s="1087"/>
      <c r="G82" s="1088"/>
      <c r="H82" s="287"/>
      <c r="I82" s="287"/>
      <c r="J82" s="287"/>
      <c r="K82" s="287"/>
      <c r="L82" s="287"/>
      <c r="M82" s="335"/>
      <c r="N82" s="287"/>
    </row>
    <row r="83" spans="1:14" s="586" customFormat="1" x14ac:dyDescent="0.2">
      <c r="A83" s="287" t="s">
        <v>401</v>
      </c>
      <c r="B83" s="287"/>
      <c r="C83" s="287"/>
      <c r="D83" s="1086"/>
      <c r="E83" s="1086"/>
      <c r="F83" s="1087"/>
      <c r="G83" s="1088"/>
      <c r="H83" s="287"/>
      <c r="I83" s="287"/>
      <c r="J83" s="287"/>
      <c r="K83" s="287"/>
      <c r="L83" s="287"/>
      <c r="M83" s="335"/>
      <c r="N83" s="287"/>
    </row>
    <row r="84" spans="1:14" s="588" customFormat="1" x14ac:dyDescent="0.2">
      <c r="A84" s="287" t="s">
        <v>493</v>
      </c>
      <c r="B84" s="324"/>
      <c r="C84" s="324"/>
      <c r="D84" s="438"/>
      <c r="E84" s="438"/>
      <c r="F84" s="1089"/>
      <c r="G84" s="1090"/>
      <c r="H84" s="324"/>
      <c r="I84" s="324"/>
      <c r="J84" s="324"/>
      <c r="K84" s="324"/>
      <c r="L84" s="288"/>
      <c r="M84" s="1485"/>
      <c r="N84" s="324"/>
    </row>
    <row r="85" spans="1:14" s="586" customFormat="1" ht="12.75" x14ac:dyDescent="0.2">
      <c r="A85" s="287" t="s">
        <v>452</v>
      </c>
      <c r="B85" s="1091"/>
      <c r="C85" s="1091"/>
      <c r="D85" s="1092"/>
      <c r="E85" s="1092"/>
      <c r="F85" s="1093"/>
      <c r="G85" s="1094"/>
      <c r="H85" s="340"/>
      <c r="I85" s="340"/>
      <c r="J85" s="340"/>
      <c r="K85" s="340"/>
      <c r="L85" s="340"/>
      <c r="M85" s="341"/>
      <c r="N85" s="340"/>
    </row>
    <row r="86" spans="1:14" s="586" customFormat="1" ht="12.75" x14ac:dyDescent="0.2">
      <c r="A86" s="287" t="s">
        <v>1415</v>
      </c>
      <c r="B86" s="1091"/>
      <c r="C86" s="1091"/>
      <c r="D86" s="1092"/>
      <c r="E86" s="1092"/>
      <c r="F86" s="1093"/>
      <c r="G86" s="1094"/>
      <c r="H86" s="340"/>
      <c r="I86" s="1095"/>
      <c r="J86" s="340"/>
      <c r="K86" s="340"/>
      <c r="L86" s="340"/>
      <c r="M86" s="341"/>
      <c r="N86" s="340"/>
    </row>
    <row r="87" spans="1:14" s="586" customFormat="1" ht="12.75" x14ac:dyDescent="0.2">
      <c r="A87" s="287" t="s">
        <v>1416</v>
      </c>
      <c r="B87" s="1091"/>
      <c r="C87" s="1091"/>
      <c r="D87" s="1092"/>
      <c r="E87" s="1092"/>
      <c r="F87" s="1093"/>
      <c r="G87" s="1094"/>
      <c r="H87" s="340"/>
      <c r="I87" s="340"/>
      <c r="J87" s="340"/>
      <c r="K87" s="340"/>
      <c r="L87" s="340"/>
      <c r="M87" s="341"/>
      <c r="N87" s="340"/>
    </row>
    <row r="88" spans="1:14" s="586" customFormat="1" ht="12.75" x14ac:dyDescent="0.2">
      <c r="A88" s="287" t="s">
        <v>1417</v>
      </c>
      <c r="B88" s="1091"/>
      <c r="C88" s="1091"/>
      <c r="D88" s="1092"/>
      <c r="E88" s="1092"/>
      <c r="F88" s="1093"/>
      <c r="G88" s="1094"/>
      <c r="H88" s="340"/>
      <c r="I88" s="340"/>
      <c r="J88" s="340"/>
      <c r="K88" s="340"/>
      <c r="L88" s="340"/>
      <c r="M88" s="341"/>
      <c r="N88" s="340"/>
    </row>
    <row r="89" spans="1:14" s="586" customFormat="1" ht="12.75" x14ac:dyDescent="0.2">
      <c r="A89" s="287" t="s">
        <v>1418</v>
      </c>
      <c r="B89" s="1091"/>
      <c r="C89" s="1091"/>
      <c r="D89" s="1092"/>
      <c r="E89" s="1092"/>
      <c r="F89" s="1093"/>
      <c r="G89" s="1094"/>
      <c r="H89" s="340"/>
      <c r="I89" s="340"/>
      <c r="J89" s="340"/>
      <c r="K89" s="340"/>
      <c r="L89" s="340"/>
      <c r="M89" s="341"/>
      <c r="N89" s="340"/>
    </row>
    <row r="90" spans="1:14" s="586" customFormat="1" ht="12.75" x14ac:dyDescent="0.2">
      <c r="A90" s="287" t="s">
        <v>1419</v>
      </c>
      <c r="B90" s="1091"/>
      <c r="C90" s="1091"/>
      <c r="D90" s="1092"/>
      <c r="E90" s="1092"/>
      <c r="F90" s="1093"/>
      <c r="G90" s="1094"/>
      <c r="H90" s="340"/>
      <c r="I90" s="340"/>
      <c r="J90" s="340"/>
      <c r="K90" s="340"/>
      <c r="L90" s="340"/>
      <c r="M90" s="341"/>
      <c r="N90" s="340"/>
    </row>
    <row r="91" spans="1:14" s="586" customFormat="1" ht="12.75" x14ac:dyDescent="0.2">
      <c r="A91" s="287" t="s">
        <v>245</v>
      </c>
      <c r="B91" s="1091"/>
      <c r="C91" s="1091"/>
      <c r="D91" s="1092"/>
      <c r="E91" s="1092"/>
      <c r="F91" s="1093"/>
      <c r="G91" s="1094"/>
      <c r="H91" s="340"/>
      <c r="I91" s="340"/>
      <c r="J91" s="340"/>
      <c r="K91" s="340"/>
      <c r="L91" s="340"/>
      <c r="M91" s="341"/>
      <c r="N91" s="340"/>
    </row>
    <row r="92" spans="1:14" s="586" customFormat="1" ht="12.75" x14ac:dyDescent="0.2">
      <c r="A92" s="287" t="s">
        <v>1420</v>
      </c>
      <c r="B92" s="1091"/>
      <c r="C92" s="1091"/>
      <c r="D92" s="1092"/>
      <c r="E92" s="1092"/>
      <c r="F92" s="1093"/>
      <c r="G92" s="1094"/>
      <c r="H92" s="340"/>
      <c r="I92" s="340"/>
      <c r="J92" s="340"/>
      <c r="K92" s="340"/>
      <c r="L92" s="340"/>
      <c r="M92" s="341"/>
      <c r="N92" s="340"/>
    </row>
    <row r="93" spans="1:14" s="586" customFormat="1" ht="12.75" x14ac:dyDescent="0.2">
      <c r="A93" s="287" t="s">
        <v>1421</v>
      </c>
      <c r="B93" s="1091"/>
      <c r="C93" s="1091"/>
      <c r="D93" s="1092"/>
      <c r="E93" s="1092"/>
      <c r="F93" s="1093"/>
      <c r="G93" s="1094"/>
      <c r="H93" s="340"/>
      <c r="I93" s="340"/>
      <c r="J93" s="340"/>
      <c r="K93" s="340"/>
      <c r="L93" s="340"/>
      <c r="M93" s="341"/>
      <c r="N93" s="340"/>
    </row>
    <row r="94" spans="1:14" s="586" customFormat="1" ht="12.75" x14ac:dyDescent="0.2">
      <c r="A94" s="287" t="s">
        <v>1422</v>
      </c>
      <c r="B94" s="1091"/>
      <c r="C94" s="1091"/>
      <c r="D94" s="1092"/>
      <c r="E94" s="1092"/>
      <c r="F94" s="1093"/>
      <c r="G94" s="1094"/>
      <c r="H94" s="340"/>
      <c r="I94" s="340"/>
      <c r="J94" s="340"/>
      <c r="K94" s="340"/>
      <c r="L94" s="340"/>
      <c r="M94" s="341"/>
      <c r="N94" s="340"/>
    </row>
    <row r="95" spans="1:14" s="586" customFormat="1" ht="12.75" x14ac:dyDescent="0.2">
      <c r="A95" s="287" t="s">
        <v>1423</v>
      </c>
      <c r="B95" s="1091"/>
      <c r="C95" s="1091"/>
      <c r="D95" s="1092"/>
      <c r="E95" s="1092"/>
      <c r="F95" s="1093"/>
      <c r="G95" s="1094"/>
      <c r="H95" s="340"/>
      <c r="I95" s="340"/>
      <c r="J95" s="340"/>
      <c r="K95" s="340"/>
      <c r="L95" s="340"/>
      <c r="M95" s="341"/>
      <c r="N95" s="340"/>
    </row>
    <row r="96" spans="1:14" s="586" customFormat="1" ht="12.75" x14ac:dyDescent="0.2">
      <c r="A96" s="287" t="s">
        <v>1424</v>
      </c>
      <c r="B96" s="1091"/>
      <c r="C96" s="1091"/>
      <c r="D96" s="1092"/>
      <c r="E96" s="1092"/>
      <c r="F96" s="1093"/>
      <c r="G96" s="1094"/>
      <c r="H96" s="340"/>
      <c r="I96" s="340"/>
      <c r="J96" s="340"/>
      <c r="K96" s="340"/>
      <c r="L96" s="340"/>
      <c r="M96" s="341"/>
      <c r="N96" s="340"/>
    </row>
    <row r="97" spans="1:14" s="586" customFormat="1" ht="12.75" x14ac:dyDescent="0.2">
      <c r="A97" s="287" t="s">
        <v>247</v>
      </c>
      <c r="B97" s="1091"/>
      <c r="C97" s="1091"/>
      <c r="D97" s="1092"/>
      <c r="E97" s="1092"/>
      <c r="F97" s="1093"/>
      <c r="G97" s="1094"/>
      <c r="H97" s="340"/>
      <c r="I97" s="340"/>
      <c r="J97" s="340"/>
      <c r="K97" s="340"/>
      <c r="L97" s="340"/>
      <c r="M97" s="341"/>
      <c r="N97" s="340"/>
    </row>
    <row r="98" spans="1:14" s="586" customFormat="1" ht="12.75" x14ac:dyDescent="0.2">
      <c r="A98" s="287" t="s">
        <v>1425</v>
      </c>
      <c r="B98" s="1091"/>
      <c r="C98" s="1091"/>
      <c r="D98" s="1092"/>
      <c r="E98" s="1092"/>
      <c r="F98" s="1093"/>
      <c r="G98" s="1094"/>
      <c r="H98" s="340"/>
      <c r="I98" s="340"/>
      <c r="J98" s="340"/>
      <c r="K98" s="340"/>
      <c r="L98" s="340"/>
      <c r="M98" s="341"/>
      <c r="N98" s="340"/>
    </row>
    <row r="99" spans="1:14" s="586" customFormat="1" ht="12.75" x14ac:dyDescent="0.2">
      <c r="A99" s="287" t="s">
        <v>1426</v>
      </c>
      <c r="B99" s="1091"/>
      <c r="C99" s="1091"/>
      <c r="D99" s="1092"/>
      <c r="E99" s="1092"/>
      <c r="F99" s="1093"/>
      <c r="G99" s="1094"/>
      <c r="H99" s="340"/>
      <c r="I99" s="340"/>
      <c r="J99" s="340"/>
      <c r="K99" s="340"/>
      <c r="L99" s="340"/>
      <c r="M99" s="341"/>
      <c r="N99" s="340"/>
    </row>
    <row r="100" spans="1:14" s="586" customFormat="1" ht="12.75" x14ac:dyDescent="0.2">
      <c r="A100" s="287" t="s">
        <v>1427</v>
      </c>
      <c r="B100" s="1091"/>
      <c r="C100" s="1091"/>
      <c r="D100" s="1092"/>
      <c r="E100" s="1092"/>
      <c r="F100" s="1093"/>
      <c r="G100" s="1094"/>
      <c r="H100" s="340"/>
      <c r="I100" s="340"/>
      <c r="J100" s="340"/>
      <c r="K100" s="340"/>
      <c r="L100" s="340"/>
      <c r="M100" s="341"/>
      <c r="N100" s="340"/>
    </row>
    <row r="101" spans="1:14" s="586" customFormat="1" ht="12.75" x14ac:dyDescent="0.2">
      <c r="A101" s="287" t="s">
        <v>1428</v>
      </c>
      <c r="B101" s="1091"/>
      <c r="C101" s="1091"/>
      <c r="D101" s="1092"/>
      <c r="E101" s="1092"/>
      <c r="F101" s="1093"/>
      <c r="G101" s="1094"/>
      <c r="H101" s="340"/>
      <c r="I101" s="340"/>
      <c r="J101" s="340"/>
      <c r="K101" s="340"/>
      <c r="L101" s="340"/>
      <c r="M101" s="341"/>
      <c r="N101" s="340"/>
    </row>
    <row r="102" spans="1:14" s="586" customFormat="1" ht="12.75" x14ac:dyDescent="0.2">
      <c r="A102" s="287" t="s">
        <v>248</v>
      </c>
      <c r="B102" s="1091"/>
      <c r="C102" s="1091"/>
      <c r="D102" s="1092"/>
      <c r="E102" s="1092"/>
      <c r="F102" s="1093"/>
      <c r="G102" s="1094"/>
      <c r="H102" s="340"/>
      <c r="I102" s="340"/>
      <c r="J102" s="340"/>
      <c r="K102" s="340"/>
      <c r="L102" s="340"/>
      <c r="M102" s="341"/>
      <c r="N102" s="340"/>
    </row>
    <row r="103" spans="1:14" s="586" customFormat="1" ht="12.75" x14ac:dyDescent="0.2">
      <c r="A103" s="287" t="s">
        <v>1429</v>
      </c>
      <c r="B103" s="1091"/>
      <c r="C103" s="1091"/>
      <c r="D103" s="1092"/>
      <c r="E103" s="1092"/>
      <c r="F103" s="1093"/>
      <c r="G103" s="1094"/>
      <c r="H103" s="340"/>
      <c r="I103" s="340"/>
      <c r="J103" s="340"/>
      <c r="K103" s="340"/>
      <c r="L103" s="340"/>
      <c r="M103" s="341"/>
      <c r="N103" s="340"/>
    </row>
    <row r="104" spans="1:14" s="586" customFormat="1" ht="12.75" x14ac:dyDescent="0.2">
      <c r="A104" s="287" t="s">
        <v>1430</v>
      </c>
      <c r="B104" s="1091"/>
      <c r="C104" s="1091"/>
      <c r="D104" s="1092"/>
      <c r="E104" s="1092"/>
      <c r="F104" s="1093"/>
      <c r="G104" s="1094"/>
      <c r="H104" s="340"/>
      <c r="I104" s="340"/>
      <c r="J104" s="340"/>
      <c r="K104" s="340"/>
      <c r="L104" s="340"/>
      <c r="M104" s="341"/>
      <c r="N104" s="340"/>
    </row>
    <row r="105" spans="1:14" s="586" customFormat="1" ht="12.75" x14ac:dyDescent="0.2">
      <c r="A105" s="287" t="s">
        <v>1431</v>
      </c>
      <c r="B105" s="1091"/>
      <c r="C105" s="1091"/>
      <c r="D105" s="1092"/>
      <c r="E105" s="1092"/>
      <c r="F105" s="1093"/>
      <c r="G105" s="1094"/>
      <c r="H105" s="340"/>
      <c r="I105" s="340"/>
      <c r="J105" s="340"/>
      <c r="K105" s="340"/>
      <c r="L105" s="340"/>
      <c r="M105" s="341"/>
      <c r="N105" s="340"/>
    </row>
    <row r="106" spans="1:14" s="586" customFormat="1" ht="12.75" x14ac:dyDescent="0.2">
      <c r="A106" s="287" t="s">
        <v>1025</v>
      </c>
      <c r="B106" s="1091"/>
      <c r="C106" s="1091"/>
      <c r="D106" s="1092"/>
      <c r="E106" s="1092"/>
      <c r="F106" s="1093"/>
      <c r="G106" s="1094"/>
      <c r="H106" s="340"/>
      <c r="I106" s="340"/>
      <c r="J106" s="340"/>
      <c r="K106" s="340"/>
      <c r="L106" s="340"/>
      <c r="M106" s="341"/>
      <c r="N106" s="340"/>
    </row>
    <row r="107" spans="1:14" s="586" customFormat="1" ht="12.75" x14ac:dyDescent="0.2">
      <c r="A107" s="287" t="s">
        <v>1432</v>
      </c>
      <c r="B107" s="1091"/>
      <c r="C107" s="1091"/>
      <c r="D107" s="1092"/>
      <c r="E107" s="1092"/>
      <c r="F107" s="1093"/>
      <c r="G107" s="1094"/>
      <c r="H107" s="340"/>
      <c r="I107" s="340"/>
      <c r="J107" s="340"/>
      <c r="K107" s="340"/>
      <c r="L107" s="340"/>
      <c r="M107" s="341"/>
      <c r="N107" s="340"/>
    </row>
    <row r="108" spans="1:14" s="586" customFormat="1" ht="12.75" x14ac:dyDescent="0.2">
      <c r="A108" s="287" t="s">
        <v>1433</v>
      </c>
      <c r="B108" s="1091"/>
      <c r="C108" s="1091"/>
      <c r="D108" s="1092"/>
      <c r="E108" s="1092"/>
      <c r="F108" s="1093"/>
      <c r="G108" s="1094"/>
      <c r="H108" s="340"/>
      <c r="I108" s="340"/>
      <c r="J108" s="340"/>
      <c r="K108" s="340"/>
      <c r="L108" s="340"/>
      <c r="M108" s="341"/>
      <c r="N108" s="340"/>
    </row>
    <row r="109" spans="1:14" s="586" customFormat="1" ht="12.75" x14ac:dyDescent="0.2">
      <c r="A109" s="287" t="s">
        <v>1434</v>
      </c>
      <c r="B109" s="1091"/>
      <c r="C109" s="1091"/>
      <c r="D109" s="1092"/>
      <c r="E109" s="1092"/>
      <c r="F109" s="1093"/>
      <c r="G109" s="1094"/>
      <c r="H109" s="340"/>
      <c r="I109" s="340"/>
      <c r="J109" s="340"/>
      <c r="K109" s="340"/>
      <c r="L109" s="340"/>
      <c r="M109" s="341"/>
      <c r="N109" s="340"/>
    </row>
    <row r="110" spans="1:14" s="586" customFormat="1" ht="12.75" x14ac:dyDescent="0.2">
      <c r="A110" s="287" t="s">
        <v>1435</v>
      </c>
      <c r="B110" s="1091"/>
      <c r="C110" s="1091"/>
      <c r="D110" s="1092"/>
      <c r="E110" s="1092"/>
      <c r="F110" s="1093"/>
      <c r="G110" s="1094"/>
      <c r="H110" s="340"/>
      <c r="I110" s="340"/>
      <c r="J110" s="340"/>
      <c r="K110" s="340"/>
      <c r="L110" s="340"/>
      <c r="M110" s="341"/>
      <c r="N110" s="340"/>
    </row>
    <row r="111" spans="1:14" s="586" customFormat="1" ht="12.75" x14ac:dyDescent="0.2">
      <c r="A111" s="287" t="s">
        <v>1436</v>
      </c>
      <c r="B111" s="1091"/>
      <c r="C111" s="1091"/>
      <c r="D111" s="1092"/>
      <c r="E111" s="1092"/>
      <c r="F111" s="1093"/>
      <c r="G111" s="1094"/>
      <c r="H111" s="340"/>
      <c r="I111" s="340"/>
      <c r="J111" s="340"/>
      <c r="K111" s="340"/>
      <c r="L111" s="340"/>
      <c r="M111" s="341"/>
      <c r="N111" s="340"/>
    </row>
    <row r="112" spans="1:14" s="586" customFormat="1" ht="12.75" x14ac:dyDescent="0.2">
      <c r="A112" s="287" t="s">
        <v>1437</v>
      </c>
      <c r="B112" s="1091"/>
      <c r="C112" s="1091"/>
      <c r="D112" s="1092"/>
      <c r="E112" s="1092"/>
      <c r="F112" s="1093"/>
      <c r="G112" s="1094"/>
      <c r="H112" s="340"/>
      <c r="I112" s="340"/>
      <c r="J112" s="340"/>
      <c r="K112" s="340"/>
      <c r="L112" s="340"/>
      <c r="M112" s="341"/>
      <c r="N112" s="340"/>
    </row>
    <row r="113" spans="1:14" s="586" customFormat="1" ht="12.75" x14ac:dyDescent="0.2">
      <c r="A113" s="287" t="s">
        <v>1438</v>
      </c>
      <c r="B113" s="1091"/>
      <c r="C113" s="1091"/>
      <c r="D113" s="1092"/>
      <c r="E113" s="1092"/>
      <c r="F113" s="1093"/>
      <c r="G113" s="1094"/>
      <c r="H113" s="340"/>
      <c r="I113" s="340"/>
      <c r="J113" s="340"/>
      <c r="K113" s="340"/>
      <c r="L113" s="340"/>
      <c r="M113" s="341"/>
      <c r="N113" s="340"/>
    </row>
    <row r="114" spans="1:14" s="588" customFormat="1" x14ac:dyDescent="0.2">
      <c r="A114" s="287" t="s">
        <v>1439</v>
      </c>
      <c r="B114" s="324"/>
      <c r="C114" s="324"/>
      <c r="D114" s="438"/>
      <c r="E114" s="438"/>
      <c r="F114" s="1089"/>
      <c r="G114" s="1090"/>
      <c r="H114" s="324"/>
      <c r="I114" s="324"/>
      <c r="J114" s="324"/>
      <c r="K114" s="324"/>
      <c r="L114" s="288"/>
      <c r="M114" s="1485"/>
      <c r="N114" s="324"/>
    </row>
    <row r="115" spans="1:14" s="586" customFormat="1" ht="12.75" x14ac:dyDescent="0.2">
      <c r="A115" s="287" t="s">
        <v>1440</v>
      </c>
      <c r="B115" s="1091"/>
      <c r="C115" s="1091"/>
      <c r="D115" s="1092"/>
      <c r="E115" s="1092"/>
      <c r="F115" s="1093"/>
      <c r="G115" s="1094"/>
      <c r="H115" s="340"/>
      <c r="I115" s="340"/>
      <c r="J115" s="340"/>
      <c r="K115" s="340"/>
      <c r="L115" s="340"/>
      <c r="M115" s="341"/>
      <c r="N115" s="340"/>
    </row>
    <row r="116" spans="1:14" s="586" customFormat="1" ht="12.75" x14ac:dyDescent="0.2">
      <c r="A116" s="287" t="s">
        <v>1441</v>
      </c>
      <c r="B116" s="1091"/>
      <c r="C116" s="1091"/>
      <c r="D116" s="1092"/>
      <c r="E116" s="1092"/>
      <c r="F116" s="1093"/>
      <c r="G116" s="1094"/>
      <c r="H116" s="340"/>
      <c r="I116" s="340"/>
      <c r="J116" s="340"/>
      <c r="K116" s="340"/>
      <c r="L116" s="340"/>
      <c r="M116" s="341"/>
      <c r="N116" s="340"/>
    </row>
    <row r="117" spans="1:14" s="586" customFormat="1" ht="12.75" x14ac:dyDescent="0.2">
      <c r="A117" s="287" t="s">
        <v>1442</v>
      </c>
      <c r="B117" s="1091"/>
      <c r="C117" s="1091"/>
      <c r="D117" s="1092"/>
      <c r="E117" s="1092"/>
      <c r="F117" s="1093"/>
      <c r="G117" s="1094"/>
      <c r="H117" s="340"/>
      <c r="I117" s="340"/>
      <c r="J117" s="340"/>
      <c r="K117" s="340"/>
      <c r="L117" s="340"/>
      <c r="M117" s="341"/>
      <c r="N117" s="340"/>
    </row>
    <row r="118" spans="1:14" s="586" customFormat="1" ht="12.75" x14ac:dyDescent="0.2">
      <c r="A118" s="287" t="s">
        <v>1443</v>
      </c>
      <c r="B118" s="1091"/>
      <c r="C118" s="1091"/>
      <c r="D118" s="1092"/>
      <c r="E118" s="1092"/>
      <c r="F118" s="1093"/>
      <c r="G118" s="1094"/>
      <c r="H118" s="340"/>
      <c r="I118" s="340"/>
      <c r="J118" s="340"/>
      <c r="K118" s="340"/>
      <c r="L118" s="340"/>
      <c r="M118" s="341"/>
      <c r="N118" s="340"/>
    </row>
    <row r="119" spans="1:14" s="586" customFormat="1" ht="12.75" x14ac:dyDescent="0.2">
      <c r="A119" s="287" t="s">
        <v>1444</v>
      </c>
      <c r="B119" s="1091"/>
      <c r="C119" s="1091"/>
      <c r="D119" s="1092"/>
      <c r="E119" s="1092"/>
      <c r="F119" s="1093"/>
      <c r="G119" s="1094"/>
      <c r="H119" s="340"/>
      <c r="I119" s="340"/>
      <c r="J119" s="340"/>
      <c r="K119" s="340"/>
      <c r="L119" s="340"/>
      <c r="M119" s="341"/>
      <c r="N119" s="340"/>
    </row>
    <row r="120" spans="1:14" s="586" customFormat="1" ht="12.75" x14ac:dyDescent="0.2">
      <c r="A120" s="287" t="s">
        <v>1445</v>
      </c>
      <c r="B120" s="1091"/>
      <c r="C120" s="1091"/>
      <c r="D120" s="1092"/>
      <c r="E120" s="1092"/>
      <c r="F120" s="1093"/>
      <c r="G120" s="1094"/>
      <c r="H120" s="340"/>
      <c r="I120" s="340"/>
      <c r="J120" s="340"/>
      <c r="K120" s="340"/>
      <c r="L120" s="340"/>
      <c r="M120" s="341"/>
      <c r="N120" s="340"/>
    </row>
    <row r="121" spans="1:14" s="586" customFormat="1" ht="12.75" x14ac:dyDescent="0.2">
      <c r="A121" s="287" t="s">
        <v>1446</v>
      </c>
      <c r="B121" s="1091"/>
      <c r="C121" s="1091"/>
      <c r="D121" s="1092"/>
      <c r="E121" s="1092"/>
      <c r="F121" s="1093"/>
      <c r="G121" s="1094"/>
      <c r="H121" s="340"/>
      <c r="I121" s="340"/>
      <c r="J121" s="340"/>
      <c r="K121" s="340"/>
      <c r="L121" s="340"/>
      <c r="M121" s="341"/>
      <c r="N121" s="340"/>
    </row>
    <row r="122" spans="1:14" s="588" customFormat="1" x14ac:dyDescent="0.2">
      <c r="A122" s="287" t="s">
        <v>1447</v>
      </c>
      <c r="B122" s="324"/>
      <c r="C122" s="324"/>
      <c r="D122" s="438"/>
      <c r="E122" s="438"/>
      <c r="F122" s="1089"/>
      <c r="G122" s="1090"/>
      <c r="H122" s="324"/>
      <c r="I122" s="324"/>
      <c r="J122" s="324"/>
      <c r="K122" s="324"/>
      <c r="L122" s="288"/>
      <c r="M122" s="1485"/>
      <c r="N122" s="324"/>
    </row>
    <row r="123" spans="1:14" s="586" customFormat="1" ht="12.75" x14ac:dyDescent="0.2">
      <c r="A123" s="287" t="s">
        <v>1448</v>
      </c>
      <c r="B123" s="1091"/>
      <c r="C123" s="1091"/>
      <c r="D123" s="1092"/>
      <c r="E123" s="1092"/>
      <c r="F123" s="1093"/>
      <c r="G123" s="1094"/>
      <c r="H123" s="340"/>
      <c r="I123" s="340"/>
      <c r="J123" s="340"/>
      <c r="K123" s="340"/>
      <c r="L123" s="340"/>
      <c r="M123" s="341"/>
      <c r="N123" s="340"/>
    </row>
    <row r="124" spans="1:14" s="586" customFormat="1" ht="12.75" x14ac:dyDescent="0.2">
      <c r="A124" s="287" t="s">
        <v>1449</v>
      </c>
      <c r="B124" s="1091"/>
      <c r="C124" s="1091"/>
      <c r="D124" s="1092"/>
      <c r="E124" s="1092"/>
      <c r="F124" s="1093"/>
      <c r="G124" s="1094"/>
      <c r="H124" s="340"/>
      <c r="I124" s="340"/>
      <c r="J124" s="340"/>
      <c r="K124" s="340"/>
      <c r="L124" s="340"/>
      <c r="M124" s="341"/>
      <c r="N124" s="340"/>
    </row>
    <row r="125" spans="1:14" s="586" customFormat="1" ht="12.75" x14ac:dyDescent="0.2">
      <c r="A125" s="287" t="s">
        <v>250</v>
      </c>
      <c r="B125" s="1091"/>
      <c r="C125" s="1091"/>
      <c r="D125" s="1092"/>
      <c r="E125" s="1092"/>
      <c r="F125" s="1093"/>
      <c r="G125" s="1094"/>
      <c r="H125" s="340"/>
      <c r="I125" s="340"/>
      <c r="J125" s="340"/>
      <c r="K125" s="340"/>
      <c r="L125" s="340"/>
      <c r="M125" s="341"/>
      <c r="N125" s="340"/>
    </row>
    <row r="126" spans="1:14" s="586" customFormat="1" ht="12.75" x14ac:dyDescent="0.2">
      <c r="A126" s="287" t="s">
        <v>268</v>
      </c>
      <c r="B126" s="1091"/>
      <c r="C126" s="1091"/>
      <c r="D126" s="1092"/>
      <c r="E126" s="1092"/>
      <c r="F126" s="1093"/>
      <c r="G126" s="1094"/>
      <c r="H126" s="340"/>
      <c r="I126" s="340"/>
      <c r="J126" s="340"/>
      <c r="K126" s="340"/>
      <c r="L126" s="340"/>
      <c r="M126" s="341"/>
      <c r="N126" s="340"/>
    </row>
    <row r="127" spans="1:14" s="586" customFormat="1" ht="12.75" x14ac:dyDescent="0.2">
      <c r="A127" s="287" t="s">
        <v>1450</v>
      </c>
      <c r="B127" s="1091"/>
      <c r="C127" s="1091"/>
      <c r="D127" s="1092"/>
      <c r="E127" s="1092"/>
      <c r="F127" s="1093"/>
      <c r="G127" s="1094"/>
      <c r="H127" s="340"/>
      <c r="I127" s="340"/>
      <c r="J127" s="340"/>
      <c r="K127" s="340"/>
      <c r="L127" s="340"/>
      <c r="M127" s="341"/>
      <c r="N127" s="340"/>
    </row>
    <row r="128" spans="1:14" s="586" customFormat="1" ht="12.75" x14ac:dyDescent="0.2">
      <c r="A128" s="287" t="s">
        <v>269</v>
      </c>
      <c r="B128" s="1091"/>
      <c r="C128" s="1091"/>
      <c r="D128" s="1092"/>
      <c r="E128" s="1092"/>
      <c r="F128" s="1093"/>
      <c r="G128" s="1094"/>
      <c r="H128" s="340"/>
      <c r="I128" s="340"/>
      <c r="J128" s="340"/>
      <c r="K128" s="340"/>
      <c r="L128" s="340"/>
      <c r="M128" s="341"/>
      <c r="N128" s="340"/>
    </row>
    <row r="129" spans="1:14" s="586" customFormat="1" ht="12.75" x14ac:dyDescent="0.2">
      <c r="A129" s="287" t="s">
        <v>1451</v>
      </c>
      <c r="B129" s="1091"/>
      <c r="C129" s="1091"/>
      <c r="D129" s="1092"/>
      <c r="E129" s="1092"/>
      <c r="F129" s="1093"/>
      <c r="G129" s="1094"/>
      <c r="H129" s="340"/>
      <c r="I129" s="340"/>
      <c r="J129" s="340"/>
      <c r="K129" s="340"/>
      <c r="L129" s="340"/>
      <c r="M129" s="341"/>
      <c r="N129" s="340"/>
    </row>
    <row r="130" spans="1:14" s="586" customFormat="1" ht="12.75" x14ac:dyDescent="0.2">
      <c r="A130" s="287" t="s">
        <v>1035</v>
      </c>
      <c r="B130" s="1091"/>
      <c r="C130" s="1091"/>
      <c r="D130" s="1092"/>
      <c r="E130" s="1092"/>
      <c r="F130" s="1093"/>
      <c r="G130" s="1094"/>
      <c r="H130" s="340"/>
      <c r="I130" s="340"/>
      <c r="J130" s="340"/>
      <c r="K130" s="340"/>
      <c r="L130" s="340"/>
      <c r="M130" s="341"/>
      <c r="N130" s="340"/>
    </row>
    <row r="131" spans="1:14" s="586" customFormat="1" ht="12.75" x14ac:dyDescent="0.2">
      <c r="A131" s="287" t="s">
        <v>1452</v>
      </c>
      <c r="B131" s="1091"/>
      <c r="C131" s="1091"/>
      <c r="D131" s="1092"/>
      <c r="E131" s="1092"/>
      <c r="F131" s="1093"/>
      <c r="G131" s="1094"/>
      <c r="H131" s="340"/>
      <c r="I131" s="340"/>
      <c r="J131" s="340"/>
      <c r="K131" s="340"/>
      <c r="L131" s="340"/>
      <c r="M131" s="341"/>
      <c r="N131" s="340"/>
    </row>
    <row r="132" spans="1:14" s="586" customFormat="1" ht="12.75" x14ac:dyDescent="0.2">
      <c r="A132" s="287" t="s">
        <v>1453</v>
      </c>
      <c r="B132" s="1091"/>
      <c r="C132" s="1091"/>
      <c r="D132" s="1092"/>
      <c r="E132" s="1092"/>
      <c r="F132" s="1093"/>
      <c r="G132" s="1094"/>
      <c r="H132" s="340"/>
      <c r="I132" s="340"/>
      <c r="J132" s="340"/>
      <c r="K132" s="340"/>
      <c r="L132" s="340"/>
      <c r="M132" s="341"/>
      <c r="N132" s="340"/>
    </row>
    <row r="133" spans="1:14" s="586" customFormat="1" ht="12.75" x14ac:dyDescent="0.2">
      <c r="A133" s="287" t="s">
        <v>1454</v>
      </c>
      <c r="B133" s="1091"/>
      <c r="C133" s="1091"/>
      <c r="D133" s="1092"/>
      <c r="E133" s="1092"/>
      <c r="F133" s="1093"/>
      <c r="G133" s="1094"/>
      <c r="H133" s="340"/>
      <c r="I133" s="340"/>
      <c r="J133" s="340"/>
      <c r="K133" s="340"/>
      <c r="L133" s="340"/>
      <c r="M133" s="341"/>
      <c r="N133" s="340"/>
    </row>
    <row r="134" spans="1:14" s="586" customFormat="1" ht="12.75" x14ac:dyDescent="0.2">
      <c r="A134" s="287" t="s">
        <v>1455</v>
      </c>
      <c r="B134" s="1091"/>
      <c r="C134" s="1091"/>
      <c r="D134" s="1092"/>
      <c r="E134" s="1092"/>
      <c r="F134" s="1093"/>
      <c r="G134" s="1094"/>
      <c r="H134" s="340"/>
      <c r="I134" s="340"/>
      <c r="J134" s="340"/>
      <c r="K134" s="340"/>
      <c r="L134" s="340"/>
      <c r="M134" s="341"/>
      <c r="N134" s="340"/>
    </row>
    <row r="135" spans="1:14" s="586" customFormat="1" ht="12.75" x14ac:dyDescent="0.2">
      <c r="A135" s="287" t="s">
        <v>252</v>
      </c>
      <c r="B135" s="1091"/>
      <c r="C135" s="1091"/>
      <c r="D135" s="1092"/>
      <c r="E135" s="1092"/>
      <c r="F135" s="1093"/>
      <c r="G135" s="1094"/>
      <c r="H135" s="340"/>
      <c r="I135" s="340"/>
      <c r="J135" s="340"/>
      <c r="K135" s="340"/>
      <c r="L135" s="340"/>
      <c r="M135" s="341"/>
      <c r="N135" s="340"/>
    </row>
    <row r="136" spans="1:14" s="586" customFormat="1" ht="12.75" x14ac:dyDescent="0.2">
      <c r="A136" s="287" t="s">
        <v>1456</v>
      </c>
      <c r="B136" s="1091"/>
      <c r="C136" s="1091"/>
      <c r="D136" s="1092"/>
      <c r="E136" s="1092"/>
      <c r="F136" s="1093"/>
      <c r="G136" s="1094"/>
      <c r="H136" s="340"/>
      <c r="I136" s="340"/>
      <c r="J136" s="340"/>
      <c r="K136" s="340"/>
      <c r="L136" s="340"/>
      <c r="M136" s="341"/>
      <c r="N136" s="340"/>
    </row>
    <row r="137" spans="1:14" s="586" customFormat="1" ht="12.75" x14ac:dyDescent="0.2">
      <c r="A137" s="287" t="s">
        <v>1457</v>
      </c>
      <c r="B137" s="1091"/>
      <c r="C137" s="1091"/>
      <c r="D137" s="1092"/>
      <c r="E137" s="1092"/>
      <c r="F137" s="1093"/>
      <c r="G137" s="1094"/>
      <c r="H137" s="340"/>
      <c r="I137" s="340"/>
      <c r="J137" s="340"/>
      <c r="K137" s="340"/>
      <c r="L137" s="340"/>
      <c r="M137" s="341"/>
      <c r="N137" s="340"/>
    </row>
    <row r="138" spans="1:14" s="588" customFormat="1" x14ac:dyDescent="0.2">
      <c r="A138" s="287"/>
      <c r="B138" s="324"/>
      <c r="C138" s="324"/>
      <c r="D138" s="438"/>
      <c r="E138" s="438"/>
      <c r="F138" s="1089"/>
      <c r="G138" s="1090"/>
      <c r="H138" s="324"/>
      <c r="I138" s="324"/>
      <c r="J138" s="324"/>
      <c r="K138" s="324"/>
      <c r="L138" s="288"/>
      <c r="M138" s="1485"/>
      <c r="N138" s="324"/>
    </row>
    <row r="139" spans="1:14" s="588" customFormat="1" x14ac:dyDescent="0.2">
      <c r="A139" s="324"/>
      <c r="B139" s="324"/>
      <c r="C139" s="324"/>
      <c r="D139" s="438"/>
      <c r="E139" s="438"/>
      <c r="F139" s="1089"/>
      <c r="G139" s="1090"/>
      <c r="H139" s="324"/>
      <c r="I139" s="324"/>
      <c r="J139" s="324"/>
      <c r="K139" s="324"/>
      <c r="L139" s="288"/>
      <c r="M139" s="1485"/>
      <c r="N139" s="324"/>
    </row>
    <row r="140" spans="1:14" s="588" customFormat="1" x14ac:dyDescent="0.2">
      <c r="A140" s="287" t="s">
        <v>1458</v>
      </c>
      <c r="B140" s="324"/>
      <c r="C140" s="324"/>
      <c r="D140" s="438"/>
      <c r="E140" s="438"/>
      <c r="F140" s="1089"/>
      <c r="G140" s="1090"/>
      <c r="H140" s="324"/>
      <c r="I140" s="324"/>
      <c r="J140" s="324"/>
      <c r="K140" s="324"/>
      <c r="L140" s="288"/>
      <c r="M140" s="1485"/>
      <c r="N140" s="324"/>
    </row>
    <row r="141" spans="1:14" s="586" customFormat="1" ht="12.75" x14ac:dyDescent="0.2">
      <c r="A141" s="287" t="s">
        <v>1459</v>
      </c>
      <c r="B141" s="1091"/>
      <c r="C141" s="1091"/>
      <c r="D141" s="1092"/>
      <c r="E141" s="1092"/>
      <c r="F141" s="1093"/>
      <c r="G141" s="1094"/>
      <c r="H141" s="340"/>
      <c r="I141" s="340"/>
      <c r="J141" s="340"/>
      <c r="K141" s="340"/>
      <c r="L141" s="340"/>
      <c r="M141" s="341"/>
      <c r="N141" s="340"/>
    </row>
    <row r="142" spans="1:14" s="586" customFormat="1" ht="12.75" x14ac:dyDescent="0.2">
      <c r="A142" s="287" t="s">
        <v>1460</v>
      </c>
      <c r="B142" s="1091"/>
      <c r="C142" s="1091"/>
      <c r="D142" s="1092"/>
      <c r="E142" s="1092"/>
      <c r="F142" s="1093"/>
      <c r="G142" s="1094"/>
      <c r="H142" s="340"/>
      <c r="I142" s="340"/>
      <c r="J142" s="340"/>
      <c r="K142" s="340"/>
      <c r="L142" s="340"/>
      <c r="M142" s="341"/>
      <c r="N142" s="340"/>
    </row>
    <row r="143" spans="1:14" s="586" customFormat="1" ht="12.75" x14ac:dyDescent="0.2">
      <c r="A143" s="287" t="s">
        <v>1461</v>
      </c>
      <c r="B143" s="1091"/>
      <c r="C143" s="1091"/>
      <c r="D143" s="1092"/>
      <c r="E143" s="1092"/>
      <c r="F143" s="1093"/>
      <c r="G143" s="1094"/>
      <c r="H143" s="340"/>
      <c r="I143" s="340"/>
      <c r="J143" s="340"/>
      <c r="K143" s="340"/>
      <c r="L143" s="340"/>
      <c r="M143" s="341"/>
      <c r="N143" s="340"/>
    </row>
    <row r="144" spans="1:14" s="586" customFormat="1" ht="12.75" x14ac:dyDescent="0.2">
      <c r="A144" s="287" t="s">
        <v>1462</v>
      </c>
      <c r="B144" s="1091"/>
      <c r="C144" s="1091"/>
      <c r="D144" s="1092"/>
      <c r="E144" s="1092"/>
      <c r="F144" s="1093"/>
      <c r="G144" s="1094"/>
      <c r="H144" s="340"/>
      <c r="I144" s="340"/>
      <c r="J144" s="340"/>
      <c r="K144" s="340"/>
      <c r="L144" s="340"/>
      <c r="M144" s="341"/>
      <c r="N144" s="340"/>
    </row>
    <row r="145" spans="1:14" s="586" customFormat="1" ht="12.75" x14ac:dyDescent="0.2">
      <c r="A145" s="287" t="s">
        <v>1463</v>
      </c>
      <c r="B145" s="1091"/>
      <c r="C145" s="1091"/>
      <c r="D145" s="1092"/>
      <c r="E145" s="1092"/>
      <c r="F145" s="1093"/>
      <c r="G145" s="1094"/>
      <c r="H145" s="340"/>
      <c r="I145" s="340"/>
      <c r="J145" s="340"/>
      <c r="K145" s="340"/>
      <c r="L145" s="340"/>
      <c r="M145" s="341"/>
      <c r="N145" s="340"/>
    </row>
    <row r="146" spans="1:14" s="586" customFormat="1" ht="12.75" x14ac:dyDescent="0.2">
      <c r="A146" s="287" t="s">
        <v>513</v>
      </c>
      <c r="B146" s="1091"/>
      <c r="C146" s="1091"/>
      <c r="D146" s="1092"/>
      <c r="E146" s="1092"/>
      <c r="F146" s="1093"/>
      <c r="G146" s="1094"/>
      <c r="H146" s="340"/>
      <c r="I146" s="340"/>
      <c r="J146" s="340"/>
      <c r="K146" s="340"/>
      <c r="L146" s="340"/>
      <c r="M146" s="341"/>
      <c r="N146" s="340"/>
    </row>
    <row r="147" spans="1:14" s="586" customFormat="1" ht="12.75" x14ac:dyDescent="0.2">
      <c r="A147" s="287" t="s">
        <v>1464</v>
      </c>
      <c r="B147" s="1091"/>
      <c r="C147" s="1091"/>
      <c r="D147" s="1092"/>
      <c r="E147" s="1092"/>
      <c r="F147" s="1093"/>
      <c r="G147" s="1094"/>
      <c r="H147" s="340"/>
      <c r="I147" s="340"/>
      <c r="J147" s="340"/>
      <c r="K147" s="340"/>
      <c r="L147" s="340"/>
      <c r="M147" s="341"/>
      <c r="N147" s="340"/>
    </row>
    <row r="148" spans="1:14" s="586" customFormat="1" ht="12.75" x14ac:dyDescent="0.2">
      <c r="A148" s="287" t="s">
        <v>1465</v>
      </c>
      <c r="B148" s="1091"/>
      <c r="C148" s="1091"/>
      <c r="D148" s="1092"/>
      <c r="E148" s="1092"/>
      <c r="F148" s="1093"/>
      <c r="G148" s="1094"/>
      <c r="H148" s="340"/>
      <c r="I148" s="340"/>
      <c r="J148" s="340"/>
      <c r="K148" s="340"/>
      <c r="L148" s="340"/>
      <c r="M148" s="341"/>
      <c r="N148" s="340"/>
    </row>
    <row r="149" spans="1:14" s="586" customFormat="1" ht="12.75" x14ac:dyDescent="0.2">
      <c r="A149" s="287" t="s">
        <v>1466</v>
      </c>
      <c r="B149" s="1091"/>
      <c r="C149" s="1091"/>
      <c r="D149" s="1092"/>
      <c r="E149" s="1092"/>
      <c r="F149" s="1093"/>
      <c r="G149" s="1094"/>
      <c r="H149" s="340"/>
      <c r="I149" s="340"/>
      <c r="J149" s="340"/>
      <c r="K149" s="340"/>
      <c r="L149" s="340"/>
      <c r="M149" s="341"/>
      <c r="N149" s="340"/>
    </row>
    <row r="150" spans="1:14" s="586" customFormat="1" ht="12.75" x14ac:dyDescent="0.2">
      <c r="A150" s="287" t="s">
        <v>1467</v>
      </c>
      <c r="B150" s="1091"/>
      <c r="C150" s="1091"/>
      <c r="D150" s="1092"/>
      <c r="E150" s="1092"/>
      <c r="F150" s="1093"/>
      <c r="G150" s="1094"/>
      <c r="H150" s="340"/>
      <c r="I150" s="340"/>
      <c r="J150" s="340"/>
      <c r="K150" s="340"/>
      <c r="L150" s="340"/>
      <c r="M150" s="341"/>
      <c r="N150" s="340"/>
    </row>
    <row r="151" spans="1:14" s="586" customFormat="1" ht="12.75" x14ac:dyDescent="0.2">
      <c r="A151" s="287" t="s">
        <v>1468</v>
      </c>
      <c r="B151" s="1091"/>
      <c r="C151" s="1091"/>
      <c r="D151" s="1092"/>
      <c r="E151" s="1092"/>
      <c r="F151" s="1093"/>
      <c r="G151" s="1094"/>
      <c r="H151" s="340"/>
      <c r="I151" s="340"/>
      <c r="J151" s="340"/>
      <c r="K151" s="340"/>
      <c r="L151" s="340"/>
      <c r="M151" s="341"/>
      <c r="N151" s="340"/>
    </row>
    <row r="152" spans="1:14" s="586" customFormat="1" ht="12.75" x14ac:dyDescent="0.2">
      <c r="A152" s="287" t="s">
        <v>1469</v>
      </c>
      <c r="B152" s="1091"/>
      <c r="C152" s="1091"/>
      <c r="D152" s="1092"/>
      <c r="E152" s="1092"/>
      <c r="F152" s="1093"/>
      <c r="G152" s="1094"/>
      <c r="H152" s="340"/>
      <c r="I152" s="340"/>
      <c r="J152" s="340"/>
      <c r="K152" s="340"/>
      <c r="L152" s="340"/>
      <c r="M152" s="341"/>
      <c r="N152" s="340"/>
    </row>
    <row r="153" spans="1:14" s="586" customFormat="1" ht="12.75" x14ac:dyDescent="0.2">
      <c r="A153" s="287" t="s">
        <v>1470</v>
      </c>
      <c r="B153" s="1091"/>
      <c r="C153" s="1091"/>
      <c r="D153" s="1092"/>
      <c r="E153" s="1092"/>
      <c r="F153" s="1093"/>
      <c r="G153" s="1094"/>
      <c r="H153" s="340"/>
      <c r="I153" s="340"/>
      <c r="J153" s="340"/>
      <c r="K153" s="340"/>
      <c r="L153" s="340"/>
      <c r="M153" s="341"/>
      <c r="N153" s="340"/>
    </row>
    <row r="154" spans="1:14" s="586" customFormat="1" ht="12.75" x14ac:dyDescent="0.2">
      <c r="A154" s="287" t="s">
        <v>1471</v>
      </c>
      <c r="B154" s="1091"/>
      <c r="C154" s="1091"/>
      <c r="D154" s="1092"/>
      <c r="E154" s="1092"/>
      <c r="F154" s="1093"/>
      <c r="G154" s="1094"/>
      <c r="H154" s="340"/>
      <c r="I154" s="340"/>
      <c r="J154" s="340"/>
      <c r="K154" s="340"/>
      <c r="L154" s="340"/>
      <c r="M154" s="341"/>
      <c r="N154" s="340"/>
    </row>
    <row r="155" spans="1:14" s="586" customFormat="1" ht="12.75" x14ac:dyDescent="0.2">
      <c r="A155" s="287" t="s">
        <v>1472</v>
      </c>
      <c r="B155" s="1091"/>
      <c r="C155" s="1091"/>
      <c r="D155" s="1092"/>
      <c r="E155" s="1092"/>
      <c r="F155" s="1093"/>
      <c r="G155" s="1094"/>
      <c r="H155" s="340"/>
      <c r="I155" s="340"/>
      <c r="J155" s="340"/>
      <c r="K155" s="340"/>
      <c r="L155" s="340"/>
      <c r="M155" s="341"/>
      <c r="N155" s="340"/>
    </row>
    <row r="156" spans="1:14" s="586" customFormat="1" ht="12.75" x14ac:dyDescent="0.2">
      <c r="A156" s="287" t="s">
        <v>1473</v>
      </c>
      <c r="B156" s="1091"/>
      <c r="C156" s="1091"/>
      <c r="D156" s="1092"/>
      <c r="E156" s="1092"/>
      <c r="F156" s="1093"/>
      <c r="G156" s="1094"/>
      <c r="H156" s="340"/>
      <c r="I156" s="340"/>
      <c r="J156" s="340"/>
      <c r="K156" s="340"/>
      <c r="L156" s="340"/>
      <c r="M156" s="341"/>
      <c r="N156" s="340"/>
    </row>
    <row r="157" spans="1:14" s="586" customFormat="1" ht="12.75" x14ac:dyDescent="0.2">
      <c r="A157" s="287" t="s">
        <v>1474</v>
      </c>
      <c r="B157" s="1091"/>
      <c r="C157" s="1091"/>
      <c r="D157" s="1092"/>
      <c r="E157" s="1092"/>
      <c r="F157" s="1093"/>
      <c r="G157" s="1094"/>
      <c r="H157" s="340"/>
      <c r="I157" s="340"/>
      <c r="J157" s="340"/>
      <c r="K157" s="340"/>
      <c r="L157" s="340"/>
      <c r="M157" s="341"/>
      <c r="N157" s="340"/>
    </row>
    <row r="158" spans="1:14" s="586" customFormat="1" ht="12.75" x14ac:dyDescent="0.2">
      <c r="A158" s="287" t="s">
        <v>1475</v>
      </c>
      <c r="B158" s="1091"/>
      <c r="C158" s="1091"/>
      <c r="D158" s="1092"/>
      <c r="E158" s="1092"/>
      <c r="F158" s="1093"/>
      <c r="G158" s="1094"/>
      <c r="H158" s="340"/>
      <c r="I158" s="340"/>
      <c r="J158" s="340"/>
      <c r="K158" s="340"/>
      <c r="L158" s="340"/>
      <c r="M158" s="341"/>
      <c r="N158" s="340"/>
    </row>
    <row r="159" spans="1:14" s="586" customFormat="1" ht="12.75" x14ac:dyDescent="0.2">
      <c r="A159" s="287" t="s">
        <v>1476</v>
      </c>
      <c r="B159" s="1091"/>
      <c r="C159" s="1091"/>
      <c r="D159" s="1092"/>
      <c r="E159" s="1092"/>
      <c r="F159" s="1093"/>
      <c r="G159" s="1094"/>
      <c r="H159" s="340"/>
      <c r="I159" s="340"/>
      <c r="J159" s="340"/>
      <c r="K159" s="340"/>
      <c r="L159" s="340"/>
      <c r="M159" s="341"/>
      <c r="N159" s="340"/>
    </row>
    <row r="160" spans="1:14" s="586" customFormat="1" ht="12.75" x14ac:dyDescent="0.2">
      <c r="A160" s="287" t="s">
        <v>1477</v>
      </c>
      <c r="B160" s="1091"/>
      <c r="C160" s="1091"/>
      <c r="D160" s="1092"/>
      <c r="E160" s="1092"/>
      <c r="F160" s="1093"/>
      <c r="G160" s="1094"/>
      <c r="H160" s="340"/>
      <c r="I160" s="340"/>
      <c r="J160" s="340"/>
      <c r="K160" s="340"/>
      <c r="L160" s="340"/>
      <c r="M160" s="341"/>
      <c r="N160" s="340"/>
    </row>
    <row r="161" spans="1:14" s="586" customFormat="1" ht="12.75" x14ac:dyDescent="0.2">
      <c r="A161" s="287" t="s">
        <v>707</v>
      </c>
      <c r="B161" s="1091"/>
      <c r="C161" s="1091"/>
      <c r="D161" s="1092"/>
      <c r="E161" s="1092"/>
      <c r="F161" s="1093"/>
      <c r="G161" s="1094"/>
      <c r="H161" s="340"/>
      <c r="I161" s="340"/>
      <c r="J161" s="340"/>
      <c r="K161" s="340"/>
      <c r="L161" s="340"/>
      <c r="M161" s="341"/>
      <c r="N161" s="340"/>
    </row>
    <row r="162" spans="1:14" s="586" customFormat="1" ht="12.75" x14ac:dyDescent="0.2">
      <c r="A162" s="287" t="s">
        <v>1478</v>
      </c>
      <c r="B162" s="1091"/>
      <c r="C162" s="1091"/>
      <c r="D162" s="1092"/>
      <c r="E162" s="1092"/>
      <c r="F162" s="1093"/>
      <c r="G162" s="1094"/>
      <c r="H162" s="340"/>
      <c r="I162" s="340"/>
      <c r="J162" s="340"/>
      <c r="K162" s="340"/>
      <c r="L162" s="340"/>
      <c r="M162" s="341"/>
      <c r="N162" s="340"/>
    </row>
    <row r="163" spans="1:14" s="586" customFormat="1" ht="12.75" x14ac:dyDescent="0.2">
      <c r="A163" s="287" t="s">
        <v>1479</v>
      </c>
      <c r="B163" s="1091"/>
      <c r="C163" s="1091"/>
      <c r="D163" s="1092"/>
      <c r="E163" s="1092"/>
      <c r="F163" s="1093"/>
      <c r="G163" s="1094"/>
      <c r="H163" s="340"/>
      <c r="I163" s="340"/>
      <c r="J163" s="340"/>
      <c r="K163" s="340"/>
      <c r="L163" s="340"/>
      <c r="M163" s="341"/>
      <c r="N163" s="340"/>
    </row>
    <row r="164" spans="1:14" s="586" customFormat="1" ht="12.75" x14ac:dyDescent="0.2">
      <c r="A164" s="287" t="s">
        <v>1480</v>
      </c>
      <c r="B164" s="1091"/>
      <c r="C164" s="1091"/>
      <c r="D164" s="1092"/>
      <c r="E164" s="1092"/>
      <c r="F164" s="1093"/>
      <c r="G164" s="1094"/>
      <c r="H164" s="340"/>
      <c r="I164" s="340"/>
      <c r="J164" s="340"/>
      <c r="K164" s="340"/>
      <c r="L164" s="340"/>
      <c r="M164" s="341"/>
      <c r="N164" s="340"/>
    </row>
    <row r="165" spans="1:14" s="586" customFormat="1" ht="12.75" x14ac:dyDescent="0.2">
      <c r="A165" s="287" t="s">
        <v>1442</v>
      </c>
      <c r="B165" s="1091"/>
      <c r="C165" s="1091"/>
      <c r="D165" s="1092"/>
      <c r="E165" s="1092"/>
      <c r="F165" s="1093"/>
      <c r="G165" s="1094"/>
      <c r="H165" s="340"/>
      <c r="I165" s="340"/>
      <c r="J165" s="340"/>
      <c r="K165" s="340"/>
      <c r="L165" s="340"/>
      <c r="M165" s="341"/>
      <c r="N165" s="340"/>
    </row>
    <row r="166" spans="1:14" s="586" customFormat="1" ht="12.75" x14ac:dyDescent="0.2">
      <c r="A166" s="287" t="s">
        <v>1481</v>
      </c>
      <c r="B166" s="1091"/>
      <c r="C166" s="1091"/>
      <c r="D166" s="1092"/>
      <c r="E166" s="1092"/>
      <c r="F166" s="1093"/>
      <c r="G166" s="1094"/>
      <c r="H166" s="340"/>
      <c r="I166" s="340"/>
      <c r="J166" s="340"/>
      <c r="K166" s="340"/>
      <c r="L166" s="340"/>
      <c r="M166" s="341"/>
      <c r="N166" s="340"/>
    </row>
    <row r="167" spans="1:14" s="586" customFormat="1" ht="12.75" x14ac:dyDescent="0.2">
      <c r="A167" s="287" t="s">
        <v>1482</v>
      </c>
      <c r="B167" s="1091"/>
      <c r="C167" s="1091"/>
      <c r="D167" s="1092"/>
      <c r="E167" s="1092"/>
      <c r="F167" s="1093"/>
      <c r="G167" s="1094"/>
      <c r="H167" s="340"/>
      <c r="I167" s="340"/>
      <c r="J167" s="340"/>
      <c r="K167" s="340"/>
      <c r="L167" s="340"/>
      <c r="M167" s="341"/>
      <c r="N167" s="340"/>
    </row>
    <row r="168" spans="1:14" s="586" customFormat="1" ht="12.75" x14ac:dyDescent="0.2">
      <c r="A168" s="287" t="s">
        <v>1483</v>
      </c>
      <c r="B168" s="1091"/>
      <c r="C168" s="1091"/>
      <c r="D168" s="1092"/>
      <c r="E168" s="1092"/>
      <c r="F168" s="1093"/>
      <c r="G168" s="1094"/>
      <c r="H168" s="340"/>
      <c r="I168" s="340"/>
      <c r="J168" s="340"/>
      <c r="K168" s="340"/>
      <c r="L168" s="340"/>
      <c r="M168" s="341"/>
      <c r="N168" s="340"/>
    </row>
    <row r="169" spans="1:14" s="586" customFormat="1" ht="12.75" x14ac:dyDescent="0.2">
      <c r="A169" s="586" t="s">
        <v>1484</v>
      </c>
      <c r="B169" s="589"/>
      <c r="C169" s="589"/>
      <c r="D169" s="590"/>
      <c r="E169" s="591"/>
      <c r="F169" s="592"/>
      <c r="G169" s="593"/>
      <c r="H169" s="594"/>
      <c r="I169" s="594"/>
      <c r="J169" s="594"/>
      <c r="K169" s="594"/>
      <c r="L169" s="594"/>
      <c r="M169" s="1600"/>
      <c r="N169" s="594"/>
    </row>
    <row r="170" spans="1:14" s="586" customFormat="1" ht="12.75" x14ac:dyDescent="0.2">
      <c r="A170" s="586" t="s">
        <v>1485</v>
      </c>
      <c r="B170" s="589"/>
      <c r="C170" s="589"/>
      <c r="D170" s="590"/>
      <c r="E170" s="591"/>
      <c r="F170" s="592"/>
      <c r="G170" s="593"/>
      <c r="H170" s="594"/>
      <c r="I170" s="594"/>
      <c r="J170" s="594"/>
      <c r="K170" s="594"/>
      <c r="L170" s="594"/>
      <c r="M170" s="1600"/>
      <c r="N170" s="594"/>
    </row>
    <row r="171" spans="1:14" s="586" customFormat="1" ht="12.75" x14ac:dyDescent="0.2">
      <c r="A171" s="586" t="s">
        <v>1486</v>
      </c>
      <c r="B171" s="589"/>
      <c r="C171" s="589"/>
      <c r="D171" s="590"/>
      <c r="E171" s="591"/>
      <c r="F171" s="592"/>
      <c r="G171" s="593"/>
      <c r="H171" s="594"/>
      <c r="I171" s="594"/>
      <c r="J171" s="594"/>
      <c r="K171" s="594"/>
      <c r="L171" s="594"/>
      <c r="M171" s="1600"/>
      <c r="N171" s="594"/>
    </row>
    <row r="172" spans="1:14" s="586" customFormat="1" ht="12.75" x14ac:dyDescent="0.2">
      <c r="A172" s="586" t="s">
        <v>1487</v>
      </c>
      <c r="B172" s="589"/>
      <c r="C172" s="589"/>
      <c r="D172" s="590"/>
      <c r="E172" s="591"/>
      <c r="F172" s="592"/>
      <c r="G172" s="593"/>
      <c r="H172" s="594"/>
      <c r="I172" s="594"/>
      <c r="J172" s="594"/>
      <c r="K172" s="594"/>
      <c r="L172" s="594"/>
      <c r="M172" s="1600"/>
      <c r="N172" s="594"/>
    </row>
    <row r="173" spans="1:14" s="586" customFormat="1" ht="12.75" x14ac:dyDescent="0.2">
      <c r="A173" s="586" t="s">
        <v>1488</v>
      </c>
      <c r="B173" s="589"/>
      <c r="C173" s="589"/>
      <c r="D173" s="590"/>
      <c r="E173" s="591"/>
      <c r="F173" s="592"/>
      <c r="G173" s="593"/>
      <c r="H173" s="594"/>
      <c r="I173" s="594"/>
      <c r="J173" s="594"/>
      <c r="K173" s="594"/>
      <c r="L173" s="594"/>
      <c r="M173" s="1600"/>
      <c r="N173" s="594"/>
    </row>
    <row r="174" spans="1:14" s="586" customFormat="1" ht="12.75" x14ac:dyDescent="0.2">
      <c r="A174" s="586" t="s">
        <v>1489</v>
      </c>
      <c r="B174" s="589"/>
      <c r="C174" s="589"/>
      <c r="D174" s="590"/>
      <c r="E174" s="591"/>
      <c r="F174" s="592"/>
      <c r="G174" s="593"/>
      <c r="H174" s="594"/>
      <c r="I174" s="594"/>
      <c r="J174" s="594"/>
      <c r="K174" s="594"/>
      <c r="L174" s="594"/>
      <c r="M174" s="1600"/>
      <c r="N174" s="594"/>
    </row>
    <row r="175" spans="1:14" s="586" customFormat="1" ht="12.75" x14ac:dyDescent="0.2">
      <c r="A175" s="586" t="s">
        <v>1490</v>
      </c>
      <c r="B175" s="589"/>
      <c r="C175" s="589"/>
      <c r="D175" s="590"/>
      <c r="E175" s="591"/>
      <c r="F175" s="592"/>
      <c r="G175" s="593"/>
      <c r="H175" s="594"/>
      <c r="I175" s="594"/>
      <c r="J175" s="594"/>
      <c r="K175" s="594"/>
      <c r="L175" s="594"/>
      <c r="M175" s="1600"/>
      <c r="N175" s="594"/>
    </row>
    <row r="176" spans="1:14" s="586" customFormat="1" ht="12.75" x14ac:dyDescent="0.2">
      <c r="A176" s="586" t="s">
        <v>1491</v>
      </c>
      <c r="B176" s="589"/>
      <c r="C176" s="589"/>
      <c r="D176" s="590"/>
      <c r="E176" s="591"/>
      <c r="F176" s="592"/>
      <c r="G176" s="593"/>
      <c r="H176" s="594"/>
      <c r="I176" s="594"/>
      <c r="J176" s="594"/>
      <c r="K176" s="594"/>
      <c r="L176" s="594"/>
      <c r="M176" s="1600"/>
      <c r="N176" s="594"/>
    </row>
    <row r="177" spans="1:14" s="586" customFormat="1" ht="12.75" x14ac:dyDescent="0.2">
      <c r="A177" s="586" t="s">
        <v>1492</v>
      </c>
      <c r="B177" s="589"/>
      <c r="C177" s="589"/>
      <c r="D177" s="590"/>
      <c r="E177" s="591"/>
      <c r="F177" s="592"/>
      <c r="G177" s="593"/>
      <c r="H177" s="594"/>
      <c r="I177" s="594"/>
      <c r="J177" s="594"/>
      <c r="K177" s="594"/>
      <c r="L177" s="594"/>
      <c r="M177" s="1600"/>
      <c r="N177" s="594"/>
    </row>
    <row r="178" spans="1:14" s="586" customFormat="1" ht="12.75" x14ac:dyDescent="0.2">
      <c r="A178" s="586" t="s">
        <v>1493</v>
      </c>
      <c r="B178" s="589"/>
      <c r="C178" s="589"/>
      <c r="D178" s="590"/>
      <c r="E178" s="591"/>
      <c r="F178" s="592"/>
      <c r="G178" s="593"/>
      <c r="H178" s="594"/>
      <c r="I178" s="594"/>
      <c r="J178" s="594"/>
      <c r="K178" s="594"/>
      <c r="L178" s="594"/>
      <c r="M178" s="1600"/>
      <c r="N178" s="594"/>
    </row>
    <row r="179" spans="1:14" s="586" customFormat="1" ht="12.75" x14ac:dyDescent="0.2">
      <c r="A179" s="586" t="s">
        <v>1494</v>
      </c>
      <c r="B179" s="589"/>
      <c r="C179" s="589"/>
      <c r="D179" s="590"/>
      <c r="E179" s="591"/>
      <c r="F179" s="592"/>
      <c r="G179" s="593"/>
      <c r="H179" s="594"/>
      <c r="I179" s="594"/>
      <c r="J179" s="594"/>
      <c r="K179" s="594"/>
      <c r="L179" s="594"/>
      <c r="M179" s="1600"/>
      <c r="N179" s="594"/>
    </row>
    <row r="180" spans="1:14" s="586" customFormat="1" x14ac:dyDescent="0.2">
      <c r="A180" s="594"/>
      <c r="B180" s="594"/>
      <c r="C180" s="594"/>
      <c r="D180" s="595"/>
      <c r="E180" s="595"/>
      <c r="F180" s="596"/>
      <c r="G180" s="587"/>
      <c r="M180" s="1601"/>
    </row>
    <row r="181" spans="1:14" s="586" customFormat="1" x14ac:dyDescent="0.2">
      <c r="A181" s="594" t="s">
        <v>508</v>
      </c>
      <c r="B181" s="594"/>
      <c r="C181" s="594"/>
      <c r="D181" s="595"/>
      <c r="E181" s="595"/>
      <c r="F181" s="596"/>
      <c r="G181" s="597"/>
      <c r="H181" s="597"/>
      <c r="I181" s="597"/>
      <c r="J181" s="588"/>
      <c r="M181" s="1601"/>
    </row>
    <row r="182" spans="1:14" s="586" customFormat="1" x14ac:dyDescent="0.2">
      <c r="A182" s="594" t="s">
        <v>1495</v>
      </c>
      <c r="B182" s="594"/>
      <c r="C182" s="594"/>
      <c r="D182" s="595"/>
      <c r="E182" s="595"/>
      <c r="F182" s="596"/>
      <c r="G182" s="597"/>
      <c r="H182" s="597"/>
      <c r="I182" s="597"/>
      <c r="J182" s="588"/>
      <c r="M182" s="1601"/>
    </row>
    <row r="183" spans="1:14" s="586" customFormat="1" x14ac:dyDescent="0.2">
      <c r="A183" s="586" t="s">
        <v>1496</v>
      </c>
      <c r="G183" s="597"/>
      <c r="H183" s="597"/>
      <c r="I183" s="597"/>
      <c r="J183" s="588"/>
      <c r="M183" s="1601"/>
    </row>
    <row r="184" spans="1:14" s="586" customFormat="1" x14ac:dyDescent="0.2">
      <c r="A184" s="244"/>
      <c r="B184" s="244"/>
      <c r="C184" s="244"/>
      <c r="D184" s="244"/>
      <c r="E184" s="244"/>
      <c r="F184" s="244"/>
      <c r="G184" s="587"/>
      <c r="M184" s="1601"/>
    </row>
    <row r="185" spans="1:14" s="586" customFormat="1" x14ac:dyDescent="0.2">
      <c r="A185" s="594"/>
      <c r="B185" s="594"/>
      <c r="C185" s="594"/>
      <c r="D185" s="595"/>
      <c r="E185" s="595"/>
      <c r="F185" s="596"/>
      <c r="G185" s="598"/>
      <c r="H185" s="594"/>
      <c r="I185" s="594"/>
      <c r="J185" s="594"/>
      <c r="K185" s="594"/>
      <c r="M185" s="1601"/>
    </row>
    <row r="186" spans="1:14" s="586" customFormat="1" x14ac:dyDescent="0.2">
      <c r="A186" s="594"/>
      <c r="B186" s="594"/>
      <c r="C186" s="594"/>
      <c r="D186" s="595"/>
      <c r="E186" s="595"/>
      <c r="F186" s="596"/>
      <c r="G186" s="598"/>
      <c r="H186" s="594"/>
      <c r="I186" s="594"/>
      <c r="J186" s="594"/>
      <c r="K186" s="594"/>
      <c r="M186" s="1601"/>
    </row>
    <row r="187" spans="1:14" s="586" customFormat="1" x14ac:dyDescent="0.2">
      <c r="A187" s="594"/>
      <c r="B187" s="594"/>
      <c r="C187" s="594"/>
      <c r="D187" s="595"/>
      <c r="E187" s="595"/>
      <c r="F187" s="596"/>
      <c r="G187" s="598"/>
      <c r="H187" s="594"/>
      <c r="I187" s="594"/>
      <c r="J187" s="594"/>
      <c r="K187" s="594"/>
      <c r="M187" s="1601"/>
    </row>
    <row r="188" spans="1:14" s="586" customFormat="1" x14ac:dyDescent="0.2">
      <c r="M188" s="1601"/>
    </row>
  </sheetData>
  <sheetProtection algorithmName="SHA-512" hashValue="OuvmiyGHPx+4QGIk1UKSL7osS8yi6t4u7ZYYBgFhGHblUnvHIAgneQEIqruUmW+GDiMtLJ15V1dlA5QReowAaQ==" saltValue="WVORS4mVkdjAEREoEHdDEA==" spinCount="100000" sheet="1" objects="1" scenarios="1"/>
  <mergeCells count="55">
    <mergeCell ref="A77:A78"/>
    <mergeCell ref="A80:B80"/>
    <mergeCell ref="A51:A53"/>
    <mergeCell ref="A55:A63"/>
    <mergeCell ref="A65:A66"/>
    <mergeCell ref="B54:C54"/>
    <mergeCell ref="B64:C64"/>
    <mergeCell ref="B65:C66"/>
    <mergeCell ref="B67:C67"/>
    <mergeCell ref="B76:C76"/>
    <mergeCell ref="B79:C79"/>
    <mergeCell ref="B75:C75"/>
    <mergeCell ref="M65:M66"/>
    <mergeCell ref="A68:A74"/>
    <mergeCell ref="J36:J37"/>
    <mergeCell ref="K36:L36"/>
    <mergeCell ref="M36:M37"/>
    <mergeCell ref="B36:C37"/>
    <mergeCell ref="A38:C38"/>
    <mergeCell ref="B39:C39"/>
    <mergeCell ref="B40:C40"/>
    <mergeCell ref="B41:C41"/>
    <mergeCell ref="B42:C42"/>
    <mergeCell ref="B50:C50"/>
    <mergeCell ref="N36:N37"/>
    <mergeCell ref="A43:A48"/>
    <mergeCell ref="A28:A29"/>
    <mergeCell ref="M28:M29"/>
    <mergeCell ref="A36:A37"/>
    <mergeCell ref="D36:E36"/>
    <mergeCell ref="F36:G36"/>
    <mergeCell ref="H36:I36"/>
    <mergeCell ref="B28:C29"/>
    <mergeCell ref="B30:C30"/>
    <mergeCell ref="A23:A25"/>
    <mergeCell ref="M23:M25"/>
    <mergeCell ref="A26:A27"/>
    <mergeCell ref="M26:M27"/>
    <mergeCell ref="B23:C25"/>
    <mergeCell ref="B26:C27"/>
    <mergeCell ref="M9:M10"/>
    <mergeCell ref="N9:N10"/>
    <mergeCell ref="A12:A22"/>
    <mergeCell ref="M12:M22"/>
    <mergeCell ref="B9:C10"/>
    <mergeCell ref="A11:C11"/>
    <mergeCell ref="B12:C22"/>
    <mergeCell ref="A4:L4"/>
    <mergeCell ref="A6:B6"/>
    <mergeCell ref="A9:A10"/>
    <mergeCell ref="D9:E9"/>
    <mergeCell ref="F9:G9"/>
    <mergeCell ref="H9:I9"/>
    <mergeCell ref="J9:J10"/>
    <mergeCell ref="K9:L9"/>
  </mergeCells>
  <printOptions horizontalCentered="1"/>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15.pielikums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67"/>
  <sheetViews>
    <sheetView view="pageLayout" zoomScaleNormal="100" workbookViewId="0">
      <selection activeCell="M9" sqref="M9"/>
    </sheetView>
  </sheetViews>
  <sheetFormatPr defaultRowHeight="12.75" x14ac:dyDescent="0.2"/>
  <cols>
    <col min="1" max="1" width="4.7109375" style="571" customWidth="1"/>
    <col min="2" max="2" width="21" style="571" customWidth="1"/>
    <col min="3" max="3" width="12" style="571" customWidth="1"/>
    <col min="4" max="4" width="10.140625" style="571" hidden="1" customWidth="1"/>
    <col min="5" max="5" width="8.28515625" style="571" hidden="1" customWidth="1"/>
    <col min="6" max="6" width="9.5703125" style="571" hidden="1" customWidth="1"/>
    <col min="7" max="7" width="9.85546875" style="571" customWidth="1"/>
    <col min="8" max="8" width="9.140625" style="571" customWidth="1"/>
    <col min="9" max="9" width="16.140625" style="1607" customWidth="1"/>
    <col min="10" max="10" width="35.85546875" style="571" hidden="1" customWidth="1"/>
    <col min="11" max="11" width="9.140625" style="571"/>
    <col min="12" max="12" width="0" style="571" hidden="1" customWidth="1"/>
    <col min="13" max="16384" width="9.140625" style="571"/>
  </cols>
  <sheetData>
    <row r="1" spans="1:12" x14ac:dyDescent="0.2">
      <c r="A1" s="1793" t="s">
        <v>117</v>
      </c>
      <c r="B1" s="1793"/>
      <c r="C1" s="1547" t="s">
        <v>118</v>
      </c>
      <c r="D1" s="1350"/>
      <c r="E1" s="1350"/>
      <c r="F1" s="1350"/>
      <c r="G1" s="1350"/>
      <c r="H1" s="1350"/>
      <c r="I1" s="283"/>
      <c r="J1" s="1350"/>
    </row>
    <row r="2" spans="1:12" x14ac:dyDescent="0.2">
      <c r="A2" s="1793" t="s">
        <v>119</v>
      </c>
      <c r="B2" s="1793"/>
      <c r="C2" s="1503">
        <v>90000056357</v>
      </c>
      <c r="D2" s="1340"/>
      <c r="E2" s="1350"/>
      <c r="F2" s="1350"/>
      <c r="G2" s="1350"/>
      <c r="H2" s="1350"/>
      <c r="I2" s="283"/>
      <c r="J2" s="1350"/>
    </row>
    <row r="3" spans="1:12" x14ac:dyDescent="0.2">
      <c r="A3" s="1340"/>
      <c r="B3" s="1340"/>
      <c r="C3" s="1503"/>
      <c r="D3" s="1350"/>
      <c r="E3" s="1350"/>
      <c r="F3" s="1350"/>
      <c r="G3" s="1350"/>
      <c r="H3" s="1350"/>
      <c r="I3" s="283"/>
      <c r="J3" s="1350"/>
    </row>
    <row r="4" spans="1:12" ht="15.75" x14ac:dyDescent="0.25">
      <c r="A4" s="1794" t="s">
        <v>120</v>
      </c>
      <c r="B4" s="1794"/>
      <c r="C4" s="1794"/>
      <c r="D4" s="1794"/>
      <c r="E4" s="1794"/>
      <c r="F4" s="1794"/>
      <c r="G4" s="1794"/>
      <c r="H4" s="1794"/>
      <c r="I4" s="1794"/>
      <c r="J4" s="1794"/>
    </row>
    <row r="5" spans="1:12" ht="15.75" x14ac:dyDescent="0.25">
      <c r="A5" s="1341"/>
      <c r="B5" s="1341"/>
      <c r="C5" s="1504"/>
      <c r="D5" s="1341"/>
      <c r="E5" s="1341"/>
      <c r="F5" s="1341"/>
      <c r="G5" s="1341"/>
      <c r="H5" s="1341"/>
      <c r="I5" s="1504"/>
      <c r="J5" s="1341"/>
    </row>
    <row r="6" spans="1:12" ht="15.75" x14ac:dyDescent="0.25">
      <c r="A6" s="1350" t="s">
        <v>121</v>
      </c>
      <c r="B6" s="1350"/>
      <c r="C6" s="247" t="s">
        <v>1497</v>
      </c>
      <c r="D6" s="247"/>
      <c r="E6" s="1350"/>
      <c r="F6" s="1350"/>
      <c r="G6" s="1350"/>
      <c r="H6" s="1350"/>
      <c r="I6" s="283"/>
      <c r="J6" s="1350"/>
    </row>
    <row r="7" spans="1:12" x14ac:dyDescent="0.2">
      <c r="A7" s="1350" t="s">
        <v>1498</v>
      </c>
      <c r="B7" s="1350"/>
      <c r="C7" s="274" t="s">
        <v>1499</v>
      </c>
      <c r="D7" s="274"/>
      <c r="E7" s="274"/>
      <c r="F7" s="1348"/>
      <c r="G7" s="1348"/>
      <c r="H7" s="1350"/>
      <c r="I7" s="283"/>
      <c r="J7" s="1350"/>
    </row>
    <row r="8" spans="1:12" x14ac:dyDescent="0.2">
      <c r="A8" s="1350" t="s">
        <v>125</v>
      </c>
      <c r="B8" s="1350"/>
      <c r="C8" s="271" t="s">
        <v>999</v>
      </c>
      <c r="D8" s="271"/>
      <c r="E8" s="1350"/>
      <c r="F8" s="1350"/>
      <c r="G8" s="1350"/>
      <c r="H8" s="1350"/>
      <c r="I8" s="283"/>
      <c r="J8" s="1350"/>
      <c r="K8" s="250"/>
    </row>
    <row r="9" spans="1:12" ht="60" x14ac:dyDescent="0.2">
      <c r="A9" s="1347" t="s">
        <v>1</v>
      </c>
      <c r="B9" s="1797" t="s">
        <v>127</v>
      </c>
      <c r="C9" s="1798"/>
      <c r="D9" s="1347" t="s">
        <v>14</v>
      </c>
      <c r="E9" s="1347" t="s">
        <v>12</v>
      </c>
      <c r="F9" s="1347" t="s">
        <v>128</v>
      </c>
      <c r="G9" s="1347" t="s">
        <v>129</v>
      </c>
      <c r="H9" s="1347" t="s">
        <v>3357</v>
      </c>
      <c r="I9" s="1533" t="s">
        <v>11</v>
      </c>
      <c r="J9" s="1347" t="s">
        <v>131</v>
      </c>
      <c r="L9" s="373" t="s">
        <v>523</v>
      </c>
    </row>
    <row r="10" spans="1:12" ht="12.75" customHeight="1" x14ac:dyDescent="0.2">
      <c r="A10" s="1807" t="s">
        <v>132</v>
      </c>
      <c r="B10" s="1808"/>
      <c r="C10" s="1809"/>
      <c r="D10" s="253">
        <f>SUM(D11,D32)</f>
        <v>70567</v>
      </c>
      <c r="E10" s="253">
        <f>SUM(E11,E32)</f>
        <v>70251</v>
      </c>
      <c r="F10" s="253">
        <f>SUM(F11,F32)</f>
        <v>170367</v>
      </c>
      <c r="G10" s="253"/>
      <c r="H10" s="253">
        <f>SUM(H11,H32)</f>
        <v>167341</v>
      </c>
      <c r="I10" s="1468"/>
      <c r="J10" s="254"/>
    </row>
    <row r="11" spans="1:12" ht="15" customHeight="1" x14ac:dyDescent="0.2">
      <c r="A11" s="1345" t="s">
        <v>1122</v>
      </c>
      <c r="B11" s="1967" t="s">
        <v>1500</v>
      </c>
      <c r="C11" s="1968"/>
      <c r="D11" s="253">
        <f>SUM(D12:D31)</f>
        <v>53148</v>
      </c>
      <c r="E11" s="253">
        <f>SUM(E12:E31)</f>
        <v>53166</v>
      </c>
      <c r="F11" s="253">
        <f>SUM(F12:F31)</f>
        <v>22691</v>
      </c>
      <c r="G11" s="253"/>
      <c r="H11" s="253">
        <f>SUM(H12:H31)</f>
        <v>19945</v>
      </c>
      <c r="I11" s="1468"/>
      <c r="J11" s="254"/>
    </row>
    <row r="12" spans="1:12" ht="12.75" hidden="1" customHeight="1" x14ac:dyDescent="0.2">
      <c r="A12" s="1966" t="s">
        <v>1501</v>
      </c>
      <c r="B12" s="1799" t="s">
        <v>1502</v>
      </c>
      <c r="C12" s="1800"/>
      <c r="D12" s="321">
        <v>160</v>
      </c>
      <c r="E12" s="321">
        <v>160</v>
      </c>
      <c r="F12" s="541">
        <v>0</v>
      </c>
      <c r="G12" s="450">
        <v>2262</v>
      </c>
      <c r="H12" s="541"/>
      <c r="I12" s="1815" t="s">
        <v>1503</v>
      </c>
      <c r="J12" s="254"/>
    </row>
    <row r="13" spans="1:12" ht="15" customHeight="1" x14ac:dyDescent="0.2">
      <c r="A13" s="1966"/>
      <c r="B13" s="1889"/>
      <c r="C13" s="1890"/>
      <c r="D13" s="321">
        <f>2298+1767</f>
        <v>4065</v>
      </c>
      <c r="E13" s="321">
        <f>2298+1767</f>
        <v>4065</v>
      </c>
      <c r="F13" s="541">
        <f>2924+1900-250</f>
        <v>4574</v>
      </c>
      <c r="G13" s="450">
        <v>2370</v>
      </c>
      <c r="H13" s="541">
        <f>2298+1767-250</f>
        <v>3815</v>
      </c>
      <c r="I13" s="1887"/>
      <c r="J13" s="254"/>
    </row>
    <row r="14" spans="1:12" ht="15" customHeight="1" x14ac:dyDescent="0.2">
      <c r="A14" s="1966"/>
      <c r="B14" s="1889"/>
      <c r="C14" s="1890"/>
      <c r="D14" s="321"/>
      <c r="E14" s="321"/>
      <c r="F14" s="541">
        <v>250</v>
      </c>
      <c r="G14" s="450">
        <v>2314</v>
      </c>
      <c r="H14" s="541">
        <v>250</v>
      </c>
      <c r="I14" s="1887"/>
      <c r="J14" s="254"/>
    </row>
    <row r="15" spans="1:12" ht="15" customHeight="1" x14ac:dyDescent="0.2">
      <c r="A15" s="1966"/>
      <c r="B15" s="1889"/>
      <c r="C15" s="1890"/>
      <c r="D15" s="321">
        <v>1095</v>
      </c>
      <c r="E15" s="321">
        <v>1095</v>
      </c>
      <c r="F15" s="541">
        <v>900</v>
      </c>
      <c r="G15" s="450">
        <v>2363</v>
      </c>
      <c r="H15" s="541">
        <v>900</v>
      </c>
      <c r="I15" s="1887"/>
      <c r="J15" s="254"/>
    </row>
    <row r="16" spans="1:12" ht="15" customHeight="1" x14ac:dyDescent="0.2">
      <c r="A16" s="1966"/>
      <c r="B16" s="1889"/>
      <c r="C16" s="1890"/>
      <c r="D16" s="321">
        <v>2761</v>
      </c>
      <c r="E16" s="321">
        <v>2761</v>
      </c>
      <c r="F16" s="541">
        <v>2971</v>
      </c>
      <c r="G16" s="450">
        <v>1150</v>
      </c>
      <c r="H16" s="541">
        <v>2971</v>
      </c>
      <c r="I16" s="1887"/>
      <c r="J16" s="254"/>
    </row>
    <row r="17" spans="1:11" ht="15" customHeight="1" x14ac:dyDescent="0.2">
      <c r="A17" s="1966"/>
      <c r="B17" s="1889"/>
      <c r="C17" s="1890"/>
      <c r="D17" s="321">
        <v>260</v>
      </c>
      <c r="E17" s="321">
        <v>260</v>
      </c>
      <c r="F17" s="541">
        <v>1175</v>
      </c>
      <c r="G17" s="450">
        <v>1210</v>
      </c>
      <c r="H17" s="541">
        <v>716</v>
      </c>
      <c r="I17" s="1887"/>
      <c r="J17" s="254"/>
    </row>
    <row r="18" spans="1:11" ht="15" customHeight="1" x14ac:dyDescent="0.2">
      <c r="A18" s="1966"/>
      <c r="B18" s="1889"/>
      <c r="C18" s="1890"/>
      <c r="D18" s="321">
        <f>997+2266+188+35+50</f>
        <v>3536</v>
      </c>
      <c r="E18" s="321">
        <f>997+2266+188+35+50</f>
        <v>3536</v>
      </c>
      <c r="F18" s="381">
        <f>1480+2600+150+35+50</f>
        <v>4315</v>
      </c>
      <c r="G18" s="600">
        <v>2231</v>
      </c>
      <c r="H18" s="381">
        <f>997+2450+150+35+50</f>
        <v>3682</v>
      </c>
      <c r="I18" s="1887"/>
      <c r="J18" s="254"/>
    </row>
    <row r="19" spans="1:11" ht="15" hidden="1" customHeight="1" x14ac:dyDescent="0.2">
      <c r="A19" s="1966"/>
      <c r="B19" s="1801"/>
      <c r="C19" s="1802"/>
      <c r="D19" s="321">
        <v>34216</v>
      </c>
      <c r="E19" s="321">
        <v>34216</v>
      </c>
      <c r="F19" s="381">
        <v>0</v>
      </c>
      <c r="G19" s="600">
        <v>2361</v>
      </c>
      <c r="H19" s="381"/>
      <c r="I19" s="1887"/>
      <c r="J19" s="254"/>
    </row>
    <row r="20" spans="1:11" ht="12.75" customHeight="1" x14ac:dyDescent="0.2">
      <c r="A20" s="1966" t="s">
        <v>1504</v>
      </c>
      <c r="B20" s="1970" t="s">
        <v>1505</v>
      </c>
      <c r="C20" s="1971"/>
      <c r="D20" s="321">
        <v>770</v>
      </c>
      <c r="E20" s="321">
        <v>770</v>
      </c>
      <c r="F20" s="606">
        <v>920</v>
      </c>
      <c r="G20" s="600">
        <v>1150</v>
      </c>
      <c r="H20" s="381">
        <v>920</v>
      </c>
      <c r="I20" s="1815" t="s">
        <v>1506</v>
      </c>
      <c r="J20" s="545"/>
    </row>
    <row r="21" spans="1:11" ht="12.75" customHeight="1" x14ac:dyDescent="0.2">
      <c r="A21" s="1966"/>
      <c r="B21" s="1972"/>
      <c r="C21" s="1973"/>
      <c r="D21" s="321">
        <v>173</v>
      </c>
      <c r="E21" s="321">
        <v>173</v>
      </c>
      <c r="F21" s="606">
        <v>230</v>
      </c>
      <c r="G21" s="600">
        <v>1210</v>
      </c>
      <c r="H21" s="381">
        <v>230</v>
      </c>
      <c r="I21" s="1887"/>
      <c r="J21" s="545"/>
    </row>
    <row r="22" spans="1:11" ht="12.75" customHeight="1" x14ac:dyDescent="0.2">
      <c r="A22" s="1966"/>
      <c r="B22" s="1972"/>
      <c r="C22" s="1973"/>
      <c r="D22" s="321">
        <v>2257</v>
      </c>
      <c r="E22" s="321">
        <v>2275</v>
      </c>
      <c r="F22" s="606">
        <f>2565-210</f>
        <v>2355</v>
      </c>
      <c r="G22" s="600">
        <v>2370</v>
      </c>
      <c r="H22" s="381">
        <f>2260-210</f>
        <v>2050</v>
      </c>
      <c r="I22" s="1887"/>
      <c r="J22" s="545"/>
    </row>
    <row r="23" spans="1:11" ht="12.75" customHeight="1" x14ac:dyDescent="0.2">
      <c r="A23" s="1966"/>
      <c r="B23" s="1972"/>
      <c r="C23" s="1973"/>
      <c r="D23" s="321"/>
      <c r="E23" s="321"/>
      <c r="F23" s="606">
        <v>210</v>
      </c>
      <c r="G23" s="600">
        <v>2314</v>
      </c>
      <c r="H23" s="381">
        <v>210</v>
      </c>
      <c r="I23" s="1887"/>
      <c r="J23" s="545"/>
    </row>
    <row r="24" spans="1:11" ht="12.75" customHeight="1" x14ac:dyDescent="0.2">
      <c r="A24" s="1966"/>
      <c r="B24" s="1972"/>
      <c r="C24" s="1973"/>
      <c r="D24" s="321">
        <f>300+300</f>
        <v>600</v>
      </c>
      <c r="E24" s="321">
        <f>300+300</f>
        <v>600</v>
      </c>
      <c r="F24" s="606">
        <f>650+300</f>
        <v>950</v>
      </c>
      <c r="G24" s="600">
        <v>2231</v>
      </c>
      <c r="H24" s="381">
        <f>500+300</f>
        <v>800</v>
      </c>
      <c r="I24" s="1887"/>
      <c r="J24" s="545"/>
    </row>
    <row r="25" spans="1:11" ht="12.75" customHeight="1" x14ac:dyDescent="0.2">
      <c r="A25" s="1966"/>
      <c r="B25" s="1974"/>
      <c r="C25" s="1975"/>
      <c r="D25" s="321">
        <v>180</v>
      </c>
      <c r="E25" s="321">
        <v>180</v>
      </c>
      <c r="F25" s="606">
        <v>330</v>
      </c>
      <c r="G25" s="600">
        <v>2363</v>
      </c>
      <c r="H25" s="381">
        <v>250</v>
      </c>
      <c r="I25" s="1887"/>
      <c r="J25" s="545"/>
    </row>
    <row r="26" spans="1:11" ht="13.5" customHeight="1" x14ac:dyDescent="0.2">
      <c r="A26" s="1867" t="s">
        <v>1507</v>
      </c>
      <c r="B26" s="1799" t="s">
        <v>1508</v>
      </c>
      <c r="C26" s="1800"/>
      <c r="D26" s="323">
        <v>1476</v>
      </c>
      <c r="E26" s="323">
        <v>1476</v>
      </c>
      <c r="F26" s="606">
        <v>1476</v>
      </c>
      <c r="G26" s="600">
        <v>1150</v>
      </c>
      <c r="H26" s="381">
        <v>1476</v>
      </c>
      <c r="I26" s="1815" t="s">
        <v>1509</v>
      </c>
      <c r="J26" s="545"/>
    </row>
    <row r="27" spans="1:11" ht="13.5" customHeight="1" x14ac:dyDescent="0.2">
      <c r="A27" s="1867"/>
      <c r="B27" s="1889"/>
      <c r="C27" s="1890"/>
      <c r="D27" s="323">
        <v>199</v>
      </c>
      <c r="E27" s="323">
        <v>199</v>
      </c>
      <c r="F27" s="606">
        <v>195</v>
      </c>
      <c r="G27" s="600">
        <v>1210</v>
      </c>
      <c r="H27" s="381">
        <v>195</v>
      </c>
      <c r="I27" s="1887"/>
      <c r="J27" s="545"/>
    </row>
    <row r="28" spans="1:11" ht="13.5" customHeight="1" x14ac:dyDescent="0.2">
      <c r="A28" s="1867"/>
      <c r="B28" s="1889"/>
      <c r="C28" s="1890"/>
      <c r="D28" s="323">
        <v>80</v>
      </c>
      <c r="E28" s="323">
        <v>80</v>
      </c>
      <c r="F28" s="606">
        <v>80</v>
      </c>
      <c r="G28" s="600">
        <v>2363</v>
      </c>
      <c r="H28" s="381">
        <v>80</v>
      </c>
      <c r="I28" s="1887"/>
      <c r="J28" s="545"/>
    </row>
    <row r="29" spans="1:11" ht="13.5" customHeight="1" x14ac:dyDescent="0.2">
      <c r="A29" s="1867"/>
      <c r="B29" s="1889"/>
      <c r="C29" s="1890"/>
      <c r="D29" s="323">
        <v>830</v>
      </c>
      <c r="E29" s="323">
        <v>830</v>
      </c>
      <c r="F29" s="606">
        <v>1120</v>
      </c>
      <c r="G29" s="600">
        <v>2370</v>
      </c>
      <c r="H29" s="381">
        <v>830</v>
      </c>
      <c r="I29" s="1887"/>
      <c r="J29" s="545"/>
    </row>
    <row r="30" spans="1:11" ht="13.5" customHeight="1" x14ac:dyDescent="0.2">
      <c r="A30" s="1867"/>
      <c r="B30" s="1889"/>
      <c r="C30" s="1890"/>
      <c r="D30" s="323">
        <f>300+150</f>
        <v>450</v>
      </c>
      <c r="E30" s="323">
        <f>300+150</f>
        <v>450</v>
      </c>
      <c r="F30" s="606">
        <f>300+300</f>
        <v>600</v>
      </c>
      <c r="G30" s="600">
        <v>2231</v>
      </c>
      <c r="H30" s="381">
        <f>300+230</f>
        <v>530</v>
      </c>
      <c r="I30" s="1887"/>
      <c r="J30" s="545"/>
    </row>
    <row r="31" spans="1:11" ht="13.5" customHeight="1" x14ac:dyDescent="0.2">
      <c r="A31" s="1867"/>
      <c r="B31" s="1801"/>
      <c r="C31" s="1802"/>
      <c r="D31" s="323">
        <v>40</v>
      </c>
      <c r="E31" s="323">
        <v>40</v>
      </c>
      <c r="F31" s="606">
        <v>40</v>
      </c>
      <c r="G31" s="600">
        <v>2311</v>
      </c>
      <c r="H31" s="381">
        <v>40</v>
      </c>
      <c r="I31" s="1816"/>
      <c r="J31" s="544"/>
      <c r="K31" s="602"/>
    </row>
    <row r="32" spans="1:11" ht="30" customHeight="1" x14ac:dyDescent="0.2">
      <c r="A32" s="1351" t="s">
        <v>1510</v>
      </c>
      <c r="B32" s="1976" t="s">
        <v>1511</v>
      </c>
      <c r="C32" s="1977"/>
      <c r="D32" s="298">
        <f>SUM(D33:D49)</f>
        <v>17419</v>
      </c>
      <c r="E32" s="298">
        <f>SUM(E33:E49)</f>
        <v>17085</v>
      </c>
      <c r="F32" s="298">
        <f>SUM(F33:F49)</f>
        <v>147676</v>
      </c>
      <c r="G32" s="298"/>
      <c r="H32" s="298">
        <f>SUM(H33:H49)</f>
        <v>147396</v>
      </c>
      <c r="I32" s="1555"/>
      <c r="J32" s="545"/>
    </row>
    <row r="33" spans="1:12" ht="12.75" customHeight="1" x14ac:dyDescent="0.2">
      <c r="A33" s="1966" t="s">
        <v>1512</v>
      </c>
      <c r="B33" s="1741" t="s">
        <v>1513</v>
      </c>
      <c r="C33" s="1742"/>
      <c r="D33" s="1342">
        <v>160</v>
      </c>
      <c r="E33" s="1342">
        <v>160</v>
      </c>
      <c r="F33" s="606">
        <v>330</v>
      </c>
      <c r="G33" s="259">
        <v>2363</v>
      </c>
      <c r="H33" s="381">
        <v>250</v>
      </c>
      <c r="I33" s="1815" t="s">
        <v>1514</v>
      </c>
      <c r="J33" s="545"/>
    </row>
    <row r="34" spans="1:12" ht="12.75" customHeight="1" x14ac:dyDescent="0.2">
      <c r="A34" s="1966"/>
      <c r="B34" s="1743"/>
      <c r="C34" s="1744"/>
      <c r="D34" s="1342">
        <f>4403+150</f>
        <v>4553</v>
      </c>
      <c r="E34" s="1342">
        <f>3775+150</f>
        <v>3925</v>
      </c>
      <c r="F34" s="606">
        <f>955+950-50</f>
        <v>1855</v>
      </c>
      <c r="G34" s="259">
        <v>2370</v>
      </c>
      <c r="H34" s="381">
        <f>955+750-50</f>
        <v>1655</v>
      </c>
      <c r="I34" s="1887"/>
      <c r="J34" s="545"/>
    </row>
    <row r="35" spans="1:12" ht="12.75" customHeight="1" x14ac:dyDescent="0.2">
      <c r="A35" s="1966"/>
      <c r="B35" s="1743"/>
      <c r="C35" s="1744"/>
      <c r="D35" s="1342"/>
      <c r="E35" s="1342"/>
      <c r="F35" s="606">
        <v>50</v>
      </c>
      <c r="G35" s="259">
        <v>2314</v>
      </c>
      <c r="H35" s="381">
        <v>50</v>
      </c>
      <c r="I35" s="1887"/>
      <c r="J35" s="545"/>
    </row>
    <row r="36" spans="1:12" ht="12.75" customHeight="1" x14ac:dyDescent="0.2">
      <c r="A36" s="1966"/>
      <c r="B36" s="1743"/>
      <c r="C36" s="1744"/>
      <c r="D36" s="1342">
        <f>296+1652+100+577</f>
        <v>2625</v>
      </c>
      <c r="E36" s="1342">
        <f>260+1652+100+577</f>
        <v>2589</v>
      </c>
      <c r="F36" s="606">
        <f>60+1300+50+580</f>
        <v>1990</v>
      </c>
      <c r="G36" s="259">
        <v>2231</v>
      </c>
      <c r="H36" s="381">
        <f>60+1300+50+580</f>
        <v>1990</v>
      </c>
      <c r="I36" s="1887"/>
      <c r="J36" s="545"/>
    </row>
    <row r="37" spans="1:12" ht="12.75" customHeight="1" x14ac:dyDescent="0.2">
      <c r="A37" s="1966"/>
      <c r="B37" s="1743"/>
      <c r="C37" s="1744"/>
      <c r="D37" s="1342">
        <v>3942</v>
      </c>
      <c r="E37" s="1342">
        <v>3942</v>
      </c>
      <c r="F37" s="601">
        <v>4248</v>
      </c>
      <c r="G37" s="259">
        <v>1150</v>
      </c>
      <c r="H37" s="541">
        <v>4248</v>
      </c>
      <c r="I37" s="1887"/>
      <c r="J37" s="545"/>
    </row>
    <row r="38" spans="1:12" ht="12.75" customHeight="1" x14ac:dyDescent="0.2">
      <c r="A38" s="1966"/>
      <c r="B38" s="1743"/>
      <c r="C38" s="1744"/>
      <c r="D38" s="1342">
        <v>214</v>
      </c>
      <c r="E38" s="1342">
        <v>214</v>
      </c>
      <c r="F38" s="601">
        <v>308</v>
      </c>
      <c r="G38" s="259">
        <v>1210</v>
      </c>
      <c r="H38" s="541">
        <v>308</v>
      </c>
      <c r="I38" s="1887"/>
      <c r="J38" s="545"/>
    </row>
    <row r="39" spans="1:12" ht="14.25" hidden="1" customHeight="1" x14ac:dyDescent="0.2">
      <c r="A39" s="1966"/>
      <c r="B39" s="1743"/>
      <c r="C39" s="1744"/>
      <c r="D39" s="1342">
        <v>250</v>
      </c>
      <c r="E39" s="1342">
        <v>250</v>
      </c>
      <c r="F39" s="601">
        <v>0</v>
      </c>
      <c r="G39" s="259">
        <v>2210</v>
      </c>
      <c r="H39" s="541"/>
      <c r="I39" s="1887"/>
      <c r="J39" s="545"/>
    </row>
    <row r="40" spans="1:12" ht="12.75" customHeight="1" x14ac:dyDescent="0.2">
      <c r="A40" s="1966"/>
      <c r="B40" s="1743"/>
      <c r="C40" s="1744"/>
      <c r="D40" s="272">
        <v>2000</v>
      </c>
      <c r="E40" s="272">
        <v>2000</v>
      </c>
      <c r="F40" s="601">
        <v>2000</v>
      </c>
      <c r="G40" s="600">
        <v>6422</v>
      </c>
      <c r="H40" s="541">
        <v>2000</v>
      </c>
      <c r="I40" s="1887"/>
      <c r="J40" s="545"/>
    </row>
    <row r="41" spans="1:12" ht="12.75" customHeight="1" x14ac:dyDescent="0.2">
      <c r="A41" s="1966"/>
      <c r="B41" s="1745"/>
      <c r="C41" s="1746"/>
      <c r="D41" s="272">
        <v>0</v>
      </c>
      <c r="E41" s="272">
        <v>0</v>
      </c>
      <c r="F41" s="601">
        <v>400</v>
      </c>
      <c r="G41" s="600">
        <v>2390</v>
      </c>
      <c r="H41" s="541">
        <v>400</v>
      </c>
      <c r="I41" s="1816"/>
      <c r="J41" s="544"/>
      <c r="K41" s="602"/>
    </row>
    <row r="42" spans="1:12" ht="15" customHeight="1" x14ac:dyDescent="0.2">
      <c r="A42" s="1966" t="s">
        <v>1515</v>
      </c>
      <c r="B42" s="1799" t="s">
        <v>1502</v>
      </c>
      <c r="C42" s="1800"/>
      <c r="D42" s="1681">
        <v>805</v>
      </c>
      <c r="E42" s="1681">
        <v>805</v>
      </c>
      <c r="F42" s="606">
        <v>46880</v>
      </c>
      <c r="G42" s="259">
        <v>2363</v>
      </c>
      <c r="H42" s="381">
        <v>46880</v>
      </c>
      <c r="I42" s="1969" t="s">
        <v>3368</v>
      </c>
      <c r="J42" s="1878"/>
      <c r="L42" s="602">
        <v>36000</v>
      </c>
    </row>
    <row r="43" spans="1:12" ht="15" customHeight="1" x14ac:dyDescent="0.2">
      <c r="A43" s="1966"/>
      <c r="B43" s="1889"/>
      <c r="C43" s="1890"/>
      <c r="D43" s="272">
        <v>300</v>
      </c>
      <c r="E43" s="272">
        <v>300</v>
      </c>
      <c r="F43" s="601">
        <v>16900</v>
      </c>
      <c r="G43" s="259">
        <v>2314</v>
      </c>
      <c r="H43" s="381">
        <f>16900-9000</f>
        <v>7900</v>
      </c>
      <c r="I43" s="1969"/>
      <c r="J43" s="1878"/>
      <c r="K43" s="405"/>
      <c r="L43" s="602"/>
    </row>
    <row r="44" spans="1:12" ht="15" customHeight="1" x14ac:dyDescent="0.2">
      <c r="A44" s="1966"/>
      <c r="B44" s="1889"/>
      <c r="C44" s="1890"/>
      <c r="D44" s="1681">
        <f>2270+300</f>
        <v>2570</v>
      </c>
      <c r="E44" s="1681">
        <f>2600+300</f>
        <v>2900</v>
      </c>
      <c r="F44" s="606">
        <f>15400+31700+2780+800+120+500+60</f>
        <v>51360</v>
      </c>
      <c r="G44" s="259">
        <v>2231</v>
      </c>
      <c r="H44" s="381">
        <f>15400+31700+2780+9000+800+120+500+60</f>
        <v>60360</v>
      </c>
      <c r="I44" s="1969"/>
      <c r="J44" s="1878"/>
      <c r="K44" s="405"/>
      <c r="L44" s="605">
        <v>14400</v>
      </c>
    </row>
    <row r="45" spans="1:12" ht="15" customHeight="1" x14ac:dyDescent="0.2">
      <c r="A45" s="1966"/>
      <c r="B45" s="1889"/>
      <c r="C45" s="1890"/>
      <c r="D45" s="272">
        <v>0</v>
      </c>
      <c r="E45" s="272">
        <v>0</v>
      </c>
      <c r="F45" s="606">
        <v>300</v>
      </c>
      <c r="G45" s="259">
        <v>2390</v>
      </c>
      <c r="H45" s="381">
        <v>300</v>
      </c>
      <c r="I45" s="1969"/>
      <c r="J45" s="1878"/>
      <c r="K45" s="405"/>
      <c r="L45" s="607"/>
    </row>
    <row r="46" spans="1:12" ht="15" customHeight="1" x14ac:dyDescent="0.2">
      <c r="A46" s="1966"/>
      <c r="B46" s="1889"/>
      <c r="C46" s="1890"/>
      <c r="D46" s="272">
        <v>0</v>
      </c>
      <c r="E46" s="272">
        <v>0</v>
      </c>
      <c r="F46" s="601">
        <v>3855</v>
      </c>
      <c r="G46" s="256">
        <v>1210</v>
      </c>
      <c r="H46" s="541">
        <v>3855</v>
      </c>
      <c r="I46" s="1969"/>
      <c r="J46" s="1878"/>
      <c r="K46" s="405"/>
      <c r="L46" s="607"/>
    </row>
    <row r="47" spans="1:12" ht="15" customHeight="1" x14ac:dyDescent="0.2">
      <c r="A47" s="1966"/>
      <c r="B47" s="1889"/>
      <c r="C47" s="1890"/>
      <c r="D47" s="272">
        <v>0</v>
      </c>
      <c r="E47" s="272">
        <v>0</v>
      </c>
      <c r="F47" s="601">
        <v>16000</v>
      </c>
      <c r="G47" s="256">
        <v>1150</v>
      </c>
      <c r="H47" s="541">
        <v>16000</v>
      </c>
      <c r="I47" s="1969"/>
      <c r="J47" s="1878"/>
      <c r="K47" s="405"/>
      <c r="L47" s="607"/>
    </row>
    <row r="48" spans="1:12" ht="15" customHeight="1" x14ac:dyDescent="0.2">
      <c r="A48" s="1966"/>
      <c r="B48" s="1889"/>
      <c r="C48" s="1890"/>
      <c r="D48" s="272">
        <v>0</v>
      </c>
      <c r="E48" s="272">
        <v>0</v>
      </c>
      <c r="F48" s="601">
        <v>1200</v>
      </c>
      <c r="G48" s="256">
        <v>2370</v>
      </c>
      <c r="H48" s="541">
        <v>1200</v>
      </c>
      <c r="I48" s="1969"/>
      <c r="J48" s="1878"/>
      <c r="K48" s="405"/>
      <c r="L48" s="607"/>
    </row>
    <row r="49" spans="1:12" ht="15" hidden="1" customHeight="1" x14ac:dyDescent="0.2">
      <c r="A49" s="1966"/>
      <c r="B49" s="1801"/>
      <c r="C49" s="1802"/>
      <c r="D49" s="272">
        <v>0</v>
      </c>
      <c r="E49" s="272">
        <v>0</v>
      </c>
      <c r="F49" s="601"/>
      <c r="G49" s="256">
        <v>2231</v>
      </c>
      <c r="H49" s="541"/>
      <c r="I49" s="1969"/>
      <c r="J49" s="1818"/>
      <c r="K49" s="608"/>
      <c r="L49" s="607"/>
    </row>
    <row r="50" spans="1:12" ht="15" customHeight="1" x14ac:dyDescent="0.2">
      <c r="A50" s="1682"/>
      <c r="B50" s="1680"/>
      <c r="C50" s="1680"/>
      <c r="D50" s="1683"/>
      <c r="E50" s="1683"/>
      <c r="F50" s="1583"/>
      <c r="G50" s="1684"/>
      <c r="H50" s="1167"/>
      <c r="I50" s="1588"/>
      <c r="J50" s="1349"/>
      <c r="K50" s="405"/>
      <c r="L50" s="607"/>
    </row>
    <row r="51" spans="1:12" x14ac:dyDescent="0.2">
      <c r="A51" s="1350" t="s">
        <v>1516</v>
      </c>
      <c r="B51" s="1350"/>
      <c r="C51" s="274" t="s">
        <v>1517</v>
      </c>
      <c r="D51" s="274"/>
      <c r="E51" s="615"/>
      <c r="F51" s="1350"/>
      <c r="G51" s="1350"/>
      <c r="H51" s="1350"/>
      <c r="I51" s="283"/>
      <c r="J51" s="1350"/>
    </row>
    <row r="52" spans="1:12" x14ac:dyDescent="0.2">
      <c r="A52" s="1350" t="s">
        <v>125</v>
      </c>
      <c r="B52" s="1350"/>
      <c r="C52" s="271" t="s">
        <v>999</v>
      </c>
      <c r="D52" s="271"/>
      <c r="E52" s="1350"/>
      <c r="F52" s="1350"/>
      <c r="G52" s="1350"/>
      <c r="H52" s="1350"/>
      <c r="I52" s="283"/>
      <c r="J52" s="1350"/>
    </row>
    <row r="53" spans="1:12" ht="60" x14ac:dyDescent="0.2">
      <c r="A53" s="1347" t="s">
        <v>1</v>
      </c>
      <c r="B53" s="1797" t="s">
        <v>127</v>
      </c>
      <c r="C53" s="1798"/>
      <c r="D53" s="1347" t="s">
        <v>14</v>
      </c>
      <c r="E53" s="1347" t="s">
        <v>12</v>
      </c>
      <c r="F53" s="1347" t="s">
        <v>128</v>
      </c>
      <c r="G53" s="1347" t="s">
        <v>129</v>
      </c>
      <c r="H53" s="1347" t="s">
        <v>3357</v>
      </c>
      <c r="I53" s="1533" t="s">
        <v>11</v>
      </c>
      <c r="J53" s="1347" t="s">
        <v>131</v>
      </c>
    </row>
    <row r="54" spans="1:12" ht="12.75" customHeight="1" x14ac:dyDescent="0.2">
      <c r="A54" s="1807" t="s">
        <v>132</v>
      </c>
      <c r="B54" s="1808"/>
      <c r="C54" s="1809"/>
      <c r="D54" s="253">
        <f>SUM(D55:D63)</f>
        <v>17264</v>
      </c>
      <c r="E54" s="253">
        <f>SUM(E55:E63)</f>
        <v>16595</v>
      </c>
      <c r="F54" s="253">
        <f>SUM(F55:F63)</f>
        <v>18442</v>
      </c>
      <c r="G54" s="253"/>
      <c r="H54" s="253">
        <f>SUM(H55:H63)</f>
        <v>17266</v>
      </c>
      <c r="I54" s="1468"/>
      <c r="J54" s="254"/>
    </row>
    <row r="55" spans="1:12" ht="12.75" customHeight="1" x14ac:dyDescent="0.2">
      <c r="A55" s="1829">
        <v>1</v>
      </c>
      <c r="B55" s="1741" t="s">
        <v>1518</v>
      </c>
      <c r="C55" s="1742"/>
      <c r="D55" s="616">
        <v>472</v>
      </c>
      <c r="E55" s="616">
        <v>472</v>
      </c>
      <c r="F55" s="541">
        <v>472</v>
      </c>
      <c r="G55" s="600">
        <v>2363</v>
      </c>
      <c r="H55" s="541">
        <v>472</v>
      </c>
      <c r="I55" s="1815" t="s">
        <v>1519</v>
      </c>
      <c r="J55" s="254"/>
    </row>
    <row r="56" spans="1:12" ht="15" customHeight="1" x14ac:dyDescent="0.2">
      <c r="A56" s="1829"/>
      <c r="B56" s="1743"/>
      <c r="C56" s="1744"/>
      <c r="D56" s="616">
        <v>5165</v>
      </c>
      <c r="E56" s="616">
        <v>5165</v>
      </c>
      <c r="F56" s="541">
        <v>5300</v>
      </c>
      <c r="G56" s="600">
        <v>2370</v>
      </c>
      <c r="H56" s="541">
        <v>5165</v>
      </c>
      <c r="I56" s="1887"/>
      <c r="J56" s="254"/>
    </row>
    <row r="57" spans="1:12" ht="15" customHeight="1" x14ac:dyDescent="0.2">
      <c r="A57" s="1829"/>
      <c r="B57" s="1743"/>
      <c r="C57" s="1744"/>
      <c r="D57" s="616">
        <f>140+600</f>
        <v>740</v>
      </c>
      <c r="E57" s="616">
        <f>100+300</f>
        <v>400</v>
      </c>
      <c r="F57" s="381">
        <f>100+300</f>
        <v>400</v>
      </c>
      <c r="G57" s="600">
        <v>2231</v>
      </c>
      <c r="H57" s="381">
        <f>100+300</f>
        <v>400</v>
      </c>
      <c r="I57" s="1887"/>
      <c r="J57" s="254"/>
    </row>
    <row r="58" spans="1:12" ht="15" customHeight="1" x14ac:dyDescent="0.2">
      <c r="A58" s="1829"/>
      <c r="B58" s="1743"/>
      <c r="C58" s="1744"/>
      <c r="D58" s="616">
        <v>2382</v>
      </c>
      <c r="E58" s="616">
        <v>2117</v>
      </c>
      <c r="F58" s="381">
        <v>2117</v>
      </c>
      <c r="G58" s="600">
        <v>1150</v>
      </c>
      <c r="H58" s="381">
        <v>2117</v>
      </c>
      <c r="I58" s="1887"/>
      <c r="J58" s="254"/>
    </row>
    <row r="59" spans="1:12" ht="12" customHeight="1" x14ac:dyDescent="0.2">
      <c r="A59" s="1829"/>
      <c r="B59" s="1745"/>
      <c r="C59" s="1746"/>
      <c r="D59" s="616">
        <v>578</v>
      </c>
      <c r="E59" s="616">
        <v>514</v>
      </c>
      <c r="F59" s="381">
        <v>514</v>
      </c>
      <c r="G59" s="600">
        <v>1210</v>
      </c>
      <c r="H59" s="381">
        <v>514</v>
      </c>
      <c r="I59" s="1816"/>
      <c r="J59" s="254"/>
      <c r="K59" s="602"/>
    </row>
    <row r="60" spans="1:12" ht="12.75" customHeight="1" x14ac:dyDescent="0.2">
      <c r="A60" s="1829">
        <v>2</v>
      </c>
      <c r="B60" s="1741" t="s">
        <v>1520</v>
      </c>
      <c r="C60" s="1742"/>
      <c r="D60" s="616">
        <v>4268</v>
      </c>
      <c r="E60" s="616">
        <v>4268</v>
      </c>
      <c r="F60" s="381">
        <v>4548</v>
      </c>
      <c r="G60" s="600">
        <v>2370</v>
      </c>
      <c r="H60" s="381">
        <v>4268</v>
      </c>
      <c r="I60" s="1815" t="s">
        <v>1521</v>
      </c>
      <c r="J60" s="254"/>
    </row>
    <row r="61" spans="1:12" ht="15" customHeight="1" x14ac:dyDescent="0.2">
      <c r="A61" s="1829"/>
      <c r="B61" s="1743"/>
      <c r="C61" s="1744"/>
      <c r="D61" s="616">
        <v>2692</v>
      </c>
      <c r="E61" s="616">
        <v>2692</v>
      </c>
      <c r="F61" s="381">
        <v>3840</v>
      </c>
      <c r="G61" s="600">
        <v>1150</v>
      </c>
      <c r="H61" s="381">
        <v>3230</v>
      </c>
      <c r="I61" s="1887"/>
      <c r="J61" s="254"/>
    </row>
    <row r="62" spans="1:12" ht="15" customHeight="1" x14ac:dyDescent="0.2">
      <c r="A62" s="1829"/>
      <c r="B62" s="1743"/>
      <c r="C62" s="1744"/>
      <c r="D62" s="616">
        <v>647</v>
      </c>
      <c r="E62" s="616">
        <v>647</v>
      </c>
      <c r="F62" s="381">
        <v>931</v>
      </c>
      <c r="G62" s="600">
        <v>1210</v>
      </c>
      <c r="H62" s="381">
        <v>780</v>
      </c>
      <c r="I62" s="1887"/>
      <c r="J62" s="254"/>
    </row>
    <row r="63" spans="1:12" ht="15" customHeight="1" x14ac:dyDescent="0.2">
      <c r="A63" s="1829"/>
      <c r="B63" s="1745"/>
      <c r="C63" s="1746"/>
      <c r="D63" s="616">
        <f>20+300</f>
        <v>320</v>
      </c>
      <c r="E63" s="616">
        <f>20+300</f>
        <v>320</v>
      </c>
      <c r="F63" s="381">
        <f>20+300</f>
        <v>320</v>
      </c>
      <c r="G63" s="600">
        <v>2231</v>
      </c>
      <c r="H63" s="381">
        <f>20+300</f>
        <v>320</v>
      </c>
      <c r="I63" s="1816"/>
      <c r="J63" s="254"/>
      <c r="K63" s="602"/>
    </row>
    <row r="64" spans="1:12" ht="16.5" customHeight="1" x14ac:dyDescent="0.2">
      <c r="A64" s="356"/>
      <c r="B64" s="356"/>
      <c r="C64" s="356"/>
      <c r="D64" s="356"/>
      <c r="E64" s="356"/>
      <c r="F64" s="356"/>
      <c r="G64" s="356"/>
      <c r="H64" s="357"/>
      <c r="I64" s="1591"/>
      <c r="J64" s="356"/>
    </row>
    <row r="65" spans="1:11" x14ac:dyDescent="0.2">
      <c r="A65" s="1350" t="s">
        <v>1522</v>
      </c>
      <c r="B65" s="1350"/>
      <c r="C65" s="274" t="s">
        <v>1523</v>
      </c>
      <c r="D65" s="274"/>
      <c r="E65" s="615"/>
      <c r="F65" s="1348"/>
      <c r="G65" s="1348"/>
      <c r="H65" s="1348"/>
      <c r="I65" s="263"/>
      <c r="J65" s="274"/>
    </row>
    <row r="66" spans="1:11" x14ac:dyDescent="0.2">
      <c r="A66" s="1350" t="s">
        <v>125</v>
      </c>
      <c r="B66" s="1350"/>
      <c r="C66" s="271" t="s">
        <v>999</v>
      </c>
      <c r="D66" s="271"/>
      <c r="E66" s="1350"/>
      <c r="F66" s="1350"/>
      <c r="G66" s="1350"/>
      <c r="H66" s="1350"/>
      <c r="I66" s="283"/>
      <c r="J66" s="1350"/>
    </row>
    <row r="67" spans="1:11" ht="60" x14ac:dyDescent="0.2">
      <c r="A67" s="1347" t="s">
        <v>1</v>
      </c>
      <c r="B67" s="1797" t="s">
        <v>127</v>
      </c>
      <c r="C67" s="1798"/>
      <c r="D67" s="1347" t="s">
        <v>14</v>
      </c>
      <c r="E67" s="1347" t="s">
        <v>12</v>
      </c>
      <c r="F67" s="1347" t="s">
        <v>128</v>
      </c>
      <c r="G67" s="1347" t="s">
        <v>129</v>
      </c>
      <c r="H67" s="1347" t="s">
        <v>3357</v>
      </c>
      <c r="I67" s="1533" t="s">
        <v>11</v>
      </c>
      <c r="J67" s="1347" t="s">
        <v>131</v>
      </c>
    </row>
    <row r="68" spans="1:11" ht="15.75" customHeight="1" x14ac:dyDescent="0.2">
      <c r="A68" s="1807" t="s">
        <v>132</v>
      </c>
      <c r="B68" s="1808"/>
      <c r="C68" s="1809"/>
      <c r="D68" s="253">
        <f>SUM(D69:D87)</f>
        <v>138899</v>
      </c>
      <c r="E68" s="253">
        <f>SUM(E69:E87)</f>
        <v>132121</v>
      </c>
      <c r="F68" s="253">
        <f>SUM(F69:F87)</f>
        <v>136899</v>
      </c>
      <c r="G68" s="253"/>
      <c r="H68" s="253">
        <f>SUM(H69:H87)</f>
        <v>134751</v>
      </c>
      <c r="I68" s="1468"/>
      <c r="J68" s="254"/>
    </row>
    <row r="69" spans="1:11" ht="30.75" customHeight="1" x14ac:dyDescent="0.2">
      <c r="A69" s="1867">
        <v>1</v>
      </c>
      <c r="B69" s="1799" t="s">
        <v>1524</v>
      </c>
      <c r="C69" s="1800"/>
      <c r="D69" s="398">
        <f>3606+0</f>
        <v>3606</v>
      </c>
      <c r="E69" s="398">
        <f>3110+0</f>
        <v>3110</v>
      </c>
      <c r="F69" s="272">
        <f>3210+500</f>
        <v>3710</v>
      </c>
      <c r="G69" s="450">
        <v>2370</v>
      </c>
      <c r="H69" s="272">
        <f>3110+500</f>
        <v>3610</v>
      </c>
      <c r="I69" s="1815" t="s">
        <v>1525</v>
      </c>
      <c r="J69" s="254"/>
    </row>
    <row r="70" spans="1:11" ht="21" hidden="1" customHeight="1" x14ac:dyDescent="0.2">
      <c r="A70" s="1867"/>
      <c r="B70" s="1889"/>
      <c r="C70" s="1890"/>
      <c r="D70" s="398">
        <v>100</v>
      </c>
      <c r="E70" s="398">
        <v>0</v>
      </c>
      <c r="F70" s="272">
        <v>0</v>
      </c>
      <c r="G70" s="450">
        <v>2363</v>
      </c>
      <c r="H70" s="272"/>
      <c r="I70" s="1887"/>
      <c r="J70" s="254"/>
    </row>
    <row r="71" spans="1:11" ht="36" customHeight="1" x14ac:dyDescent="0.2">
      <c r="A71" s="1867"/>
      <c r="B71" s="1889"/>
      <c r="C71" s="1890"/>
      <c r="D71" s="321">
        <f>4974+4625+2020</f>
        <v>11619</v>
      </c>
      <c r="E71" s="321">
        <f>3650+4625+720</f>
        <v>8995</v>
      </c>
      <c r="F71" s="1681">
        <f>3650+10261+720</f>
        <v>14631</v>
      </c>
      <c r="G71" s="600">
        <v>2231</v>
      </c>
      <c r="H71" s="1681">
        <f>3650+10261+720</f>
        <v>14631</v>
      </c>
      <c r="I71" s="1887"/>
      <c r="J71" s="254"/>
    </row>
    <row r="72" spans="1:11" ht="36" customHeight="1" x14ac:dyDescent="0.2">
      <c r="A72" s="1867"/>
      <c r="B72" s="1889"/>
      <c r="C72" s="1890"/>
      <c r="D72" s="321">
        <v>5197</v>
      </c>
      <c r="E72" s="321">
        <v>3492</v>
      </c>
      <c r="F72" s="1681">
        <v>5197</v>
      </c>
      <c r="G72" s="600">
        <v>1150</v>
      </c>
      <c r="H72" s="1681">
        <v>3492</v>
      </c>
      <c r="I72" s="1887"/>
      <c r="J72" s="254"/>
    </row>
    <row r="73" spans="1:11" ht="36" customHeight="1" x14ac:dyDescent="0.2">
      <c r="A73" s="1867"/>
      <c r="B73" s="1889"/>
      <c r="C73" s="1890"/>
      <c r="D73" s="321">
        <v>768</v>
      </c>
      <c r="E73" s="321">
        <v>667</v>
      </c>
      <c r="F73" s="1681">
        <v>768</v>
      </c>
      <c r="G73" s="600">
        <v>1210</v>
      </c>
      <c r="H73" s="1681">
        <v>768</v>
      </c>
      <c r="I73" s="1887"/>
      <c r="J73" s="254"/>
    </row>
    <row r="74" spans="1:11" ht="36" customHeight="1" x14ac:dyDescent="0.2">
      <c r="A74" s="1867"/>
      <c r="B74" s="1889"/>
      <c r="C74" s="1890"/>
      <c r="D74" s="321">
        <v>3600</v>
      </c>
      <c r="E74" s="321">
        <v>3057</v>
      </c>
      <c r="F74" s="1681">
        <v>3600</v>
      </c>
      <c r="G74" s="600">
        <v>2235</v>
      </c>
      <c r="H74" s="1681">
        <v>3057</v>
      </c>
      <c r="I74" s="1887"/>
      <c r="J74" s="254"/>
    </row>
    <row r="75" spans="1:11" ht="21" hidden="1" customHeight="1" x14ac:dyDescent="0.2">
      <c r="A75" s="1867"/>
      <c r="B75" s="1889"/>
      <c r="C75" s="1890"/>
      <c r="D75" s="321">
        <v>1323</v>
      </c>
      <c r="E75" s="321">
        <v>1323</v>
      </c>
      <c r="F75" s="1681">
        <v>0</v>
      </c>
      <c r="G75" s="600">
        <v>2121</v>
      </c>
      <c r="H75" s="1681"/>
      <c r="I75" s="1887"/>
      <c r="J75" s="254"/>
    </row>
    <row r="76" spans="1:11" ht="21" hidden="1" customHeight="1" x14ac:dyDescent="0.2">
      <c r="A76" s="1867"/>
      <c r="B76" s="1801"/>
      <c r="C76" s="1802"/>
      <c r="D76" s="321">
        <v>18</v>
      </c>
      <c r="E76" s="321">
        <v>13</v>
      </c>
      <c r="F76" s="1681">
        <v>0</v>
      </c>
      <c r="G76" s="600">
        <v>2122</v>
      </c>
      <c r="H76" s="1681"/>
      <c r="I76" s="1816"/>
      <c r="J76" s="254"/>
      <c r="K76" s="602"/>
    </row>
    <row r="77" spans="1:11" ht="14.25" customHeight="1" x14ac:dyDescent="0.2">
      <c r="A77" s="1795">
        <v>2</v>
      </c>
      <c r="B77" s="1799" t="s">
        <v>1526</v>
      </c>
      <c r="C77" s="1800"/>
      <c r="D77" s="1681">
        <v>1150</v>
      </c>
      <c r="E77" s="1681">
        <v>1150</v>
      </c>
      <c r="F77" s="301">
        <v>1150</v>
      </c>
      <c r="G77" s="259">
        <v>2231</v>
      </c>
      <c r="H77" s="1681">
        <v>2280</v>
      </c>
      <c r="I77" s="1815" t="s">
        <v>1527</v>
      </c>
      <c r="J77" s="254"/>
    </row>
    <row r="78" spans="1:11" ht="15" customHeight="1" x14ac:dyDescent="0.2">
      <c r="A78" s="1863"/>
      <c r="B78" s="1889"/>
      <c r="C78" s="1890"/>
      <c r="D78" s="1681">
        <v>3210</v>
      </c>
      <c r="E78" s="1681">
        <v>3210</v>
      </c>
      <c r="F78" s="1681">
        <v>4035</v>
      </c>
      <c r="G78" s="259">
        <v>2370</v>
      </c>
      <c r="H78" s="1681">
        <v>3500</v>
      </c>
      <c r="I78" s="1887"/>
      <c r="J78" s="254"/>
    </row>
    <row r="79" spans="1:11" ht="15" customHeight="1" x14ac:dyDescent="0.2">
      <c r="A79" s="1863"/>
      <c r="B79" s="1889"/>
      <c r="C79" s="1890"/>
      <c r="D79" s="1681">
        <v>850</v>
      </c>
      <c r="E79" s="1681">
        <v>850</v>
      </c>
      <c r="F79" s="1681">
        <v>850</v>
      </c>
      <c r="G79" s="259">
        <v>2363</v>
      </c>
      <c r="H79" s="1681">
        <v>850</v>
      </c>
      <c r="I79" s="1887"/>
      <c r="J79" s="254"/>
    </row>
    <row r="80" spans="1:11" ht="15" customHeight="1" x14ac:dyDescent="0.2">
      <c r="A80" s="1796"/>
      <c r="B80" s="1801"/>
      <c r="C80" s="1802"/>
      <c r="D80" s="1681">
        <v>25258</v>
      </c>
      <c r="E80" s="1681">
        <v>24433</v>
      </c>
      <c r="F80" s="1681">
        <v>25000</v>
      </c>
      <c r="G80" s="259">
        <v>6422</v>
      </c>
      <c r="H80" s="1681">
        <v>25000</v>
      </c>
      <c r="I80" s="1816"/>
      <c r="J80" s="254"/>
      <c r="K80" s="602"/>
    </row>
    <row r="81" spans="1:13" ht="15.75" customHeight="1" x14ac:dyDescent="0.2">
      <c r="A81" s="1867">
        <v>3</v>
      </c>
      <c r="B81" s="1799" t="s">
        <v>1528</v>
      </c>
      <c r="C81" s="1800"/>
      <c r="D81" s="1342">
        <v>530</v>
      </c>
      <c r="E81" s="1342">
        <v>530</v>
      </c>
      <c r="F81" s="1342">
        <v>530</v>
      </c>
      <c r="G81" s="259">
        <v>2370</v>
      </c>
      <c r="H81" s="1342">
        <v>530</v>
      </c>
      <c r="I81" s="1815" t="s">
        <v>1529</v>
      </c>
      <c r="J81" s="1795" t="s">
        <v>1530</v>
      </c>
    </row>
    <row r="82" spans="1:13" ht="15.75" customHeight="1" x14ac:dyDescent="0.2">
      <c r="A82" s="1867"/>
      <c r="B82" s="1889"/>
      <c r="C82" s="1890"/>
      <c r="D82" s="1342">
        <f>75011+1262</f>
        <v>76273</v>
      </c>
      <c r="E82" s="1342">
        <f>75011+900</f>
        <v>75911</v>
      </c>
      <c r="F82" s="1342">
        <f>75250+900</f>
        <v>76150</v>
      </c>
      <c r="G82" s="259">
        <v>2231</v>
      </c>
      <c r="H82" s="1342">
        <f>75000+900</f>
        <v>75900</v>
      </c>
      <c r="I82" s="1887"/>
      <c r="J82" s="1863"/>
    </row>
    <row r="83" spans="1:13" ht="15.75" customHeight="1" x14ac:dyDescent="0.2">
      <c r="A83" s="1867"/>
      <c r="B83" s="1889"/>
      <c r="C83" s="1890"/>
      <c r="D83" s="272">
        <v>600</v>
      </c>
      <c r="E83" s="272">
        <v>600</v>
      </c>
      <c r="F83" s="272">
        <v>600</v>
      </c>
      <c r="G83" s="256">
        <v>2363</v>
      </c>
      <c r="H83" s="272">
        <v>600</v>
      </c>
      <c r="I83" s="1887"/>
      <c r="J83" s="1863"/>
    </row>
    <row r="84" spans="1:13" ht="15.75" customHeight="1" x14ac:dyDescent="0.2">
      <c r="A84" s="1867"/>
      <c r="B84" s="1889"/>
      <c r="C84" s="1890"/>
      <c r="D84" s="272">
        <v>289</v>
      </c>
      <c r="E84" s="272">
        <v>289</v>
      </c>
      <c r="F84" s="272">
        <v>625</v>
      </c>
      <c r="G84" s="256">
        <v>1150</v>
      </c>
      <c r="H84" s="272">
        <v>480</v>
      </c>
      <c r="I84" s="1887"/>
      <c r="J84" s="1863"/>
    </row>
    <row r="85" spans="1:13" ht="15.75" customHeight="1" x14ac:dyDescent="0.2">
      <c r="A85" s="1867"/>
      <c r="B85" s="1801"/>
      <c r="C85" s="1802"/>
      <c r="D85" s="272">
        <v>70</v>
      </c>
      <c r="E85" s="272">
        <v>53</v>
      </c>
      <c r="F85" s="272">
        <v>53</v>
      </c>
      <c r="G85" s="256">
        <v>1210</v>
      </c>
      <c r="H85" s="272">
        <v>53</v>
      </c>
      <c r="I85" s="1816"/>
      <c r="J85" s="1796"/>
      <c r="K85" s="602"/>
    </row>
    <row r="86" spans="1:13" ht="12.75" hidden="1" customHeight="1" x14ac:dyDescent="0.2">
      <c r="A86" s="1867">
        <v>4</v>
      </c>
      <c r="B86" s="1741" t="s">
        <v>1531</v>
      </c>
      <c r="C86" s="1742"/>
      <c r="D86" s="272">
        <v>3640</v>
      </c>
      <c r="E86" s="272">
        <v>3640</v>
      </c>
      <c r="F86" s="272">
        <v>0</v>
      </c>
      <c r="G86" s="256">
        <v>1150</v>
      </c>
      <c r="H86" s="272"/>
      <c r="I86" s="1815"/>
      <c r="J86" s="254"/>
    </row>
    <row r="87" spans="1:13" ht="37.5" hidden="1" customHeight="1" x14ac:dyDescent="0.2">
      <c r="A87" s="1867"/>
      <c r="B87" s="1745"/>
      <c r="C87" s="1746"/>
      <c r="D87" s="416">
        <v>798</v>
      </c>
      <c r="E87" s="416">
        <v>798</v>
      </c>
      <c r="F87" s="416">
        <v>0</v>
      </c>
      <c r="G87" s="256">
        <v>1210</v>
      </c>
      <c r="H87" s="272"/>
      <c r="I87" s="1816"/>
      <c r="J87" s="254"/>
    </row>
    <row r="88" spans="1:13" s="621" customFormat="1" hidden="1" x14ac:dyDescent="0.2">
      <c r="A88" s="1981" t="s">
        <v>1532</v>
      </c>
      <c r="B88" s="1981"/>
      <c r="C88" s="1524"/>
      <c r="D88" s="618">
        <f>SUM(D10,D54,D68)</f>
        <v>226730</v>
      </c>
      <c r="E88" s="618">
        <f>SUM(E10,E54,E68)</f>
        <v>218967</v>
      </c>
      <c r="F88" s="618">
        <f>F68+F54+F10</f>
        <v>325708</v>
      </c>
      <c r="G88" s="619"/>
      <c r="H88" s="618">
        <f>SUM(H10,H54,H68)</f>
        <v>319358</v>
      </c>
      <c r="I88" s="1604"/>
      <c r="J88" s="620"/>
    </row>
    <row r="89" spans="1:13" x14ac:dyDescent="0.2">
      <c r="A89" s="432"/>
      <c r="B89" s="432"/>
      <c r="C89" s="432"/>
      <c r="D89" s="436"/>
      <c r="E89" s="436"/>
      <c r="F89" s="436"/>
      <c r="G89" s="622"/>
      <c r="H89" s="436"/>
      <c r="I89" s="1470"/>
      <c r="J89" s="367"/>
    </row>
    <row r="90" spans="1:13" x14ac:dyDescent="0.2">
      <c r="A90" s="1350" t="s">
        <v>1533</v>
      </c>
      <c r="B90" s="1350"/>
      <c r="C90" s="1537" t="s">
        <v>1534</v>
      </c>
      <c r="D90" s="1348"/>
      <c r="E90" s="1348"/>
      <c r="F90" s="1348"/>
      <c r="G90" s="1348"/>
      <c r="H90" s="1350"/>
      <c r="I90" s="283"/>
      <c r="J90" s="1350"/>
    </row>
    <row r="91" spans="1:13" x14ac:dyDescent="0.2">
      <c r="A91" s="1350" t="s">
        <v>125</v>
      </c>
      <c r="B91" s="1350"/>
      <c r="C91" s="271" t="s">
        <v>195</v>
      </c>
      <c r="D91" s="271"/>
      <c r="E91" s="1350"/>
      <c r="F91" s="1350"/>
      <c r="G91" s="1350"/>
      <c r="H91" s="1350"/>
      <c r="I91" s="283"/>
      <c r="J91" s="1350"/>
    </row>
    <row r="92" spans="1:13" ht="60" x14ac:dyDescent="0.2">
      <c r="A92" s="1347" t="s">
        <v>1</v>
      </c>
      <c r="B92" s="1797" t="s">
        <v>127</v>
      </c>
      <c r="C92" s="1798"/>
      <c r="D92" s="1347" t="s">
        <v>14</v>
      </c>
      <c r="E92" s="1347" t="s">
        <v>12</v>
      </c>
      <c r="F92" s="1347" t="s">
        <v>128</v>
      </c>
      <c r="G92" s="1347" t="s">
        <v>129</v>
      </c>
      <c r="H92" s="1347" t="s">
        <v>3357</v>
      </c>
      <c r="I92" s="1533" t="s">
        <v>11</v>
      </c>
      <c r="J92" s="1347" t="s">
        <v>131</v>
      </c>
    </row>
    <row r="93" spans="1:13" ht="12.75" customHeight="1" x14ac:dyDescent="0.2">
      <c r="A93" s="1807" t="s">
        <v>132</v>
      </c>
      <c r="B93" s="1808"/>
      <c r="C93" s="1809"/>
      <c r="D93" s="449">
        <f>SUM(D94:D95)</f>
        <v>8323</v>
      </c>
      <c r="E93" s="449">
        <f t="shared" ref="E93" si="0">SUM(E94:E95)</f>
        <v>5020.17</v>
      </c>
      <c r="F93" s="253">
        <f>SUM(F94:F95)</f>
        <v>16953</v>
      </c>
      <c r="G93" s="253"/>
      <c r="H93" s="253">
        <f>SUM(H94:H95)</f>
        <v>16953</v>
      </c>
      <c r="I93" s="1468"/>
      <c r="J93" s="254"/>
    </row>
    <row r="94" spans="1:13" ht="19.5" customHeight="1" x14ac:dyDescent="0.2">
      <c r="A94" s="1346">
        <v>1</v>
      </c>
      <c r="B94" s="1803" t="s">
        <v>1535</v>
      </c>
      <c r="C94" s="1804"/>
      <c r="D94" s="416">
        <v>350</v>
      </c>
      <c r="E94" s="416">
        <v>320.17</v>
      </c>
      <c r="F94" s="272">
        <v>350</v>
      </c>
      <c r="G94" s="256">
        <v>2370</v>
      </c>
      <c r="H94" s="272">
        <v>350</v>
      </c>
      <c r="I94" s="1526" t="s">
        <v>1536</v>
      </c>
      <c r="J94" s="254"/>
    </row>
    <row r="95" spans="1:13" ht="61.5" customHeight="1" x14ac:dyDescent="0.2">
      <c r="A95" s="1346">
        <v>2</v>
      </c>
      <c r="B95" s="1803" t="s">
        <v>1537</v>
      </c>
      <c r="C95" s="1804"/>
      <c r="D95" s="416">
        <v>7973</v>
      </c>
      <c r="E95" s="416">
        <v>4700</v>
      </c>
      <c r="F95" s="272">
        <v>16603</v>
      </c>
      <c r="G95" s="256">
        <v>2232</v>
      </c>
      <c r="H95" s="272">
        <v>16603</v>
      </c>
      <c r="I95" s="1526" t="s">
        <v>1536</v>
      </c>
      <c r="J95" s="254" t="s">
        <v>1538</v>
      </c>
      <c r="K95" s="388"/>
      <c r="L95" s="388"/>
      <c r="M95" s="388"/>
    </row>
    <row r="96" spans="1:13" s="607" customFormat="1" x14ac:dyDescent="0.2">
      <c r="A96" s="388"/>
      <c r="B96" s="1343"/>
      <c r="C96" s="1520"/>
      <c r="D96" s="387"/>
      <c r="E96" s="387"/>
      <c r="F96" s="387"/>
      <c r="G96" s="387"/>
      <c r="H96" s="387"/>
      <c r="I96" s="613"/>
      <c r="J96" s="388"/>
    </row>
    <row r="97" spans="1:10" x14ac:dyDescent="0.2">
      <c r="A97" s="1350" t="s">
        <v>123</v>
      </c>
      <c r="B97" s="1350"/>
      <c r="C97" s="1537" t="s">
        <v>1539</v>
      </c>
      <c r="D97" s="1348"/>
      <c r="E97" s="1348"/>
      <c r="F97" s="1348"/>
      <c r="G97" s="1348"/>
      <c r="H97" s="1350"/>
      <c r="I97" s="283"/>
      <c r="J97" s="1350"/>
    </row>
    <row r="98" spans="1:10" x14ac:dyDescent="0.2">
      <c r="A98" s="1350" t="s">
        <v>125</v>
      </c>
      <c r="B98" s="1350"/>
      <c r="C98" s="271" t="s">
        <v>195</v>
      </c>
      <c r="D98" s="271"/>
      <c r="E98" s="1350"/>
      <c r="F98" s="1350"/>
      <c r="G98" s="1350"/>
      <c r="H98" s="1350"/>
      <c r="I98" s="283"/>
      <c r="J98" s="1350"/>
    </row>
    <row r="99" spans="1:10" ht="60" x14ac:dyDescent="0.2">
      <c r="A99" s="1347" t="s">
        <v>1</v>
      </c>
      <c r="B99" s="1797" t="s">
        <v>127</v>
      </c>
      <c r="C99" s="1798"/>
      <c r="D99" s="1347" t="s">
        <v>14</v>
      </c>
      <c r="E99" s="1347" t="s">
        <v>12</v>
      </c>
      <c r="F99" s="1347" t="s">
        <v>128</v>
      </c>
      <c r="G99" s="1347" t="s">
        <v>129</v>
      </c>
      <c r="H99" s="1347" t="s">
        <v>3357</v>
      </c>
      <c r="I99" s="1533" t="s">
        <v>11</v>
      </c>
      <c r="J99" s="1347" t="s">
        <v>131</v>
      </c>
    </row>
    <row r="100" spans="1:10" ht="12.75" customHeight="1" x14ac:dyDescent="0.2">
      <c r="A100" s="1807" t="s">
        <v>132</v>
      </c>
      <c r="B100" s="1808"/>
      <c r="C100" s="1809"/>
      <c r="D100" s="253">
        <f>SUM(D101:D102)</f>
        <v>229594</v>
      </c>
      <c r="E100" s="253">
        <f>SUM(E101:E102)</f>
        <v>229594</v>
      </c>
      <c r="F100" s="253">
        <f>SUM(F101:F102)</f>
        <v>260000</v>
      </c>
      <c r="G100" s="253"/>
      <c r="H100" s="253">
        <f>SUM(H101:H102)</f>
        <v>229594</v>
      </c>
      <c r="I100" s="1468"/>
      <c r="J100" s="254"/>
    </row>
    <row r="101" spans="1:10" ht="22.5" customHeight="1" x14ac:dyDescent="0.2">
      <c r="A101" s="1795">
        <v>1</v>
      </c>
      <c r="B101" s="1799" t="s">
        <v>1540</v>
      </c>
      <c r="C101" s="1800"/>
      <c r="D101" s="623">
        <v>229594</v>
      </c>
      <c r="E101" s="416">
        <v>229594</v>
      </c>
      <c r="F101" s="416">
        <v>260000</v>
      </c>
      <c r="G101" s="259">
        <v>3262</v>
      </c>
      <c r="H101" s="416">
        <f>229594-13770</f>
        <v>215824</v>
      </c>
      <c r="I101" s="1815" t="s">
        <v>1541</v>
      </c>
      <c r="J101" s="1817" t="s">
        <v>1542</v>
      </c>
    </row>
    <row r="102" spans="1:10" ht="22.5" customHeight="1" x14ac:dyDescent="0.2">
      <c r="A102" s="1796"/>
      <c r="B102" s="1801"/>
      <c r="C102" s="1802"/>
      <c r="D102" s="623"/>
      <c r="E102" s="416"/>
      <c r="F102" s="416"/>
      <c r="G102" s="259">
        <v>3263</v>
      </c>
      <c r="H102" s="416">
        <v>13770</v>
      </c>
      <c r="I102" s="1816"/>
      <c r="J102" s="1818"/>
    </row>
    <row r="103" spans="1:10" hidden="1" x14ac:dyDescent="0.2">
      <c r="A103" s="1978" t="s">
        <v>1543</v>
      </c>
      <c r="B103" s="1978"/>
      <c r="C103" s="1523"/>
      <c r="D103" s="256">
        <f>D10+D54+D68+D93+D100</f>
        <v>464647</v>
      </c>
      <c r="E103" s="256">
        <f>E10+E54+E68+E93+E100</f>
        <v>453581.17000000004</v>
      </c>
      <c r="F103" s="256">
        <f>F10+F54+F68+F93+F100</f>
        <v>602661</v>
      </c>
      <c r="G103" s="624"/>
      <c r="H103" s="624"/>
      <c r="I103" s="1605"/>
      <c r="J103" s="625"/>
    </row>
    <row r="104" spans="1:10" x14ac:dyDescent="0.2">
      <c r="A104" s="626"/>
      <c r="B104" s="626"/>
      <c r="C104" s="626"/>
      <c r="D104" s="612"/>
      <c r="E104" s="627"/>
      <c r="F104" s="628"/>
      <c r="G104" s="628"/>
      <c r="H104" s="628"/>
      <c r="I104" s="1606"/>
      <c r="J104" s="629"/>
    </row>
    <row r="105" spans="1:10" x14ac:dyDescent="0.2">
      <c r="A105" s="244" t="s">
        <v>400</v>
      </c>
      <c r="B105" s="244"/>
      <c r="C105" s="244"/>
      <c r="D105" s="244"/>
      <c r="E105" s="244"/>
      <c r="F105" s="244"/>
      <c r="G105" s="244"/>
      <c r="H105" s="244"/>
      <c r="I105" s="283"/>
      <c r="J105" s="244"/>
    </row>
    <row r="106" spans="1:10" x14ac:dyDescent="0.2">
      <c r="A106" s="244" t="s">
        <v>401</v>
      </c>
      <c r="B106" s="244"/>
      <c r="C106" s="244"/>
      <c r="D106" s="244"/>
      <c r="E106" s="244"/>
      <c r="F106" s="244"/>
      <c r="G106" s="244"/>
      <c r="H106" s="244"/>
      <c r="I106" s="283"/>
      <c r="J106" s="244"/>
    </row>
    <row r="107" spans="1:10" x14ac:dyDescent="0.2">
      <c r="A107" s="244" t="s">
        <v>1154</v>
      </c>
      <c r="B107" s="244"/>
      <c r="C107" s="244"/>
      <c r="D107" s="244"/>
      <c r="E107" s="244"/>
      <c r="F107" s="244"/>
      <c r="G107" s="244"/>
      <c r="H107" s="244"/>
      <c r="I107" s="283"/>
      <c r="J107" s="244"/>
    </row>
    <row r="108" spans="1:10" x14ac:dyDescent="0.2">
      <c r="A108" s="467" t="s">
        <v>1544</v>
      </c>
      <c r="B108" s="630"/>
      <c r="C108" s="630"/>
    </row>
    <row r="109" spans="1:10" x14ac:dyDescent="0.2">
      <c r="A109" s="467"/>
      <c r="B109" s="631" t="s">
        <v>1027</v>
      </c>
      <c r="C109" s="631"/>
    </row>
    <row r="110" spans="1:10" x14ac:dyDescent="0.2">
      <c r="A110" s="467" t="s">
        <v>1545</v>
      </c>
      <c r="B110" s="630"/>
      <c r="C110" s="630"/>
    </row>
    <row r="111" spans="1:10" x14ac:dyDescent="0.2">
      <c r="A111" s="467"/>
      <c r="B111" s="631" t="s">
        <v>1546</v>
      </c>
      <c r="C111" s="631"/>
    </row>
    <row r="112" spans="1:10" x14ac:dyDescent="0.2">
      <c r="A112" s="467" t="s">
        <v>1547</v>
      </c>
      <c r="B112" s="631"/>
      <c r="C112" s="631"/>
      <c r="D112" s="244"/>
      <c r="E112" s="244"/>
      <c r="F112" s="244"/>
      <c r="G112" s="244"/>
      <c r="H112" s="244"/>
      <c r="I112" s="283"/>
      <c r="J112" s="244"/>
    </row>
    <row r="113" spans="1:10" x14ac:dyDescent="0.2">
      <c r="A113" s="467"/>
      <c r="B113" s="631" t="s">
        <v>1548</v>
      </c>
      <c r="C113" s="631"/>
      <c r="D113" s="244"/>
      <c r="E113" s="244"/>
      <c r="F113" s="244"/>
      <c r="G113" s="244"/>
      <c r="H113" s="244"/>
      <c r="I113" s="283"/>
      <c r="J113" s="244"/>
    </row>
    <row r="114" spans="1:10" x14ac:dyDescent="0.2">
      <c r="A114" s="467"/>
      <c r="B114" s="631" t="s">
        <v>1549</v>
      </c>
      <c r="C114" s="631"/>
      <c r="D114" s="244"/>
      <c r="E114" s="244"/>
      <c r="F114" s="244"/>
      <c r="G114" s="244"/>
      <c r="H114" s="244"/>
      <c r="I114" s="283"/>
      <c r="J114" s="244"/>
    </row>
    <row r="115" spans="1:10" x14ac:dyDescent="0.2">
      <c r="A115" s="467" t="s">
        <v>1550</v>
      </c>
      <c r="B115" s="631"/>
      <c r="C115" s="631"/>
      <c r="D115" s="244"/>
      <c r="E115" s="244"/>
      <c r="F115" s="244"/>
      <c r="G115" s="244"/>
      <c r="H115" s="244"/>
      <c r="I115" s="283"/>
      <c r="J115" s="244"/>
    </row>
    <row r="116" spans="1:10" x14ac:dyDescent="0.2">
      <c r="A116" s="467"/>
      <c r="B116" s="631" t="s">
        <v>1551</v>
      </c>
      <c r="C116" s="631"/>
      <c r="D116" s="244"/>
      <c r="E116" s="244"/>
      <c r="F116" s="244"/>
      <c r="G116" s="244"/>
      <c r="H116" s="244"/>
      <c r="I116" s="283"/>
      <c r="J116" s="244"/>
    </row>
    <row r="117" spans="1:10" x14ac:dyDescent="0.2">
      <c r="A117" s="467" t="s">
        <v>1552</v>
      </c>
      <c r="B117" s="631"/>
      <c r="C117" s="631"/>
      <c r="D117" s="244"/>
      <c r="E117" s="244"/>
      <c r="F117" s="244"/>
      <c r="G117" s="244"/>
      <c r="H117" s="244"/>
      <c r="I117" s="283"/>
      <c r="J117" s="244"/>
    </row>
    <row r="118" spans="1:10" x14ac:dyDescent="0.2">
      <c r="A118" s="467"/>
      <c r="B118" s="631" t="s">
        <v>1553</v>
      </c>
      <c r="C118" s="631"/>
      <c r="D118" s="244"/>
      <c r="E118" s="244"/>
      <c r="F118" s="244"/>
      <c r="G118" s="244"/>
      <c r="H118" s="244"/>
      <c r="I118" s="283"/>
      <c r="J118" s="244"/>
    </row>
    <row r="119" spans="1:10" x14ac:dyDescent="0.2">
      <c r="A119" s="467"/>
      <c r="B119" s="631" t="s">
        <v>1554</v>
      </c>
      <c r="C119" s="631"/>
      <c r="D119" s="244"/>
      <c r="E119" s="244"/>
      <c r="F119" s="244"/>
      <c r="G119" s="244"/>
      <c r="H119" s="244"/>
      <c r="I119" s="283"/>
      <c r="J119" s="244"/>
    </row>
    <row r="120" spans="1:10" x14ac:dyDescent="0.2">
      <c r="A120" s="467"/>
      <c r="B120" s="631" t="s">
        <v>1555</v>
      </c>
      <c r="C120" s="631"/>
    </row>
    <row r="121" spans="1:10" x14ac:dyDescent="0.2">
      <c r="A121" s="467"/>
      <c r="B121" s="631" t="s">
        <v>1556</v>
      </c>
      <c r="C121" s="631"/>
    </row>
    <row r="122" spans="1:10" x14ac:dyDescent="0.2">
      <c r="A122" s="467"/>
      <c r="B122" s="631" t="s">
        <v>1557</v>
      </c>
      <c r="C122" s="631"/>
    </row>
    <row r="123" spans="1:10" x14ac:dyDescent="0.2">
      <c r="A123" s="467" t="s">
        <v>1558</v>
      </c>
      <c r="B123" s="630"/>
      <c r="C123" s="630"/>
    </row>
    <row r="124" spans="1:10" x14ac:dyDescent="0.2">
      <c r="A124" s="467"/>
      <c r="B124" s="467" t="s">
        <v>1559</v>
      </c>
      <c r="C124" s="467"/>
    </row>
    <row r="125" spans="1:10" x14ac:dyDescent="0.2">
      <c r="A125" s="274"/>
      <c r="B125" s="467" t="s">
        <v>1560</v>
      </c>
      <c r="C125" s="467"/>
    </row>
    <row r="126" spans="1:10" x14ac:dyDescent="0.2">
      <c r="A126" s="274"/>
      <c r="B126" s="467" t="s">
        <v>1561</v>
      </c>
      <c r="C126" s="467"/>
    </row>
    <row r="127" spans="1:10" x14ac:dyDescent="0.2">
      <c r="A127" s="467"/>
      <c r="B127" s="467" t="s">
        <v>1562</v>
      </c>
      <c r="C127" s="467"/>
    </row>
    <row r="128" spans="1:10" x14ac:dyDescent="0.2">
      <c r="A128" s="467"/>
      <c r="B128" s="467" t="s">
        <v>1563</v>
      </c>
      <c r="C128" s="467"/>
    </row>
    <row r="129" spans="1:9" x14ac:dyDescent="0.2">
      <c r="A129" s="467"/>
      <c r="B129" s="467" t="s">
        <v>1564</v>
      </c>
      <c r="C129" s="467"/>
    </row>
    <row r="130" spans="1:9" x14ac:dyDescent="0.2">
      <c r="A130" s="630"/>
      <c r="B130" s="467" t="s">
        <v>1565</v>
      </c>
      <c r="C130" s="467"/>
    </row>
    <row r="131" spans="1:9" x14ac:dyDescent="0.2">
      <c r="A131" s="631" t="s">
        <v>1566</v>
      </c>
      <c r="B131" s="467"/>
      <c r="C131" s="467"/>
    </row>
    <row r="132" spans="1:9" x14ac:dyDescent="0.2">
      <c r="A132" s="630"/>
      <c r="B132" s="467" t="s">
        <v>1567</v>
      </c>
      <c r="C132" s="467"/>
    </row>
    <row r="134" spans="1:9" s="244" customFormat="1" ht="12" x14ac:dyDescent="0.2">
      <c r="A134" s="244" t="s">
        <v>1568</v>
      </c>
      <c r="G134" s="263"/>
      <c r="I134" s="283"/>
    </row>
    <row r="135" spans="1:9" s="244" customFormat="1" ht="12" x14ac:dyDescent="0.2">
      <c r="A135" s="467" t="s">
        <v>1547</v>
      </c>
      <c r="B135" s="631"/>
      <c r="C135" s="631"/>
      <c r="D135" s="632"/>
      <c r="E135" s="632"/>
      <c r="F135" s="263"/>
      <c r="G135" s="263"/>
      <c r="I135" s="283"/>
    </row>
    <row r="136" spans="1:9" s="244" customFormat="1" ht="12" x14ac:dyDescent="0.2">
      <c r="A136" s="1979" t="s">
        <v>1569</v>
      </c>
      <c r="B136" s="1979"/>
      <c r="C136" s="1979"/>
      <c r="D136" s="1979"/>
      <c r="E136" s="1979"/>
      <c r="F136" s="1979"/>
      <c r="G136" s="263"/>
      <c r="I136" s="283"/>
    </row>
    <row r="137" spans="1:9" s="244" customFormat="1" ht="12" x14ac:dyDescent="0.2">
      <c r="A137" s="1979" t="s">
        <v>1570</v>
      </c>
      <c r="B137" s="1979"/>
      <c r="C137" s="1979"/>
      <c r="D137" s="1979"/>
      <c r="E137" s="1979"/>
      <c r="F137" s="1979"/>
      <c r="G137" s="263"/>
      <c r="I137" s="283"/>
    </row>
    <row r="138" spans="1:9" s="244" customFormat="1" ht="12" x14ac:dyDescent="0.2">
      <c r="A138" s="1979" t="s">
        <v>1571</v>
      </c>
      <c r="B138" s="1979"/>
      <c r="C138" s="1979"/>
      <c r="D138" s="1979"/>
      <c r="E138" s="1979"/>
      <c r="F138" s="1979"/>
      <c r="G138" s="263"/>
      <c r="I138" s="283"/>
    </row>
    <row r="139" spans="1:9" s="244" customFormat="1" ht="12" x14ac:dyDescent="0.2">
      <c r="A139" s="467" t="s">
        <v>1552</v>
      </c>
      <c r="B139" s="631"/>
      <c r="C139" s="631"/>
      <c r="D139" s="632"/>
      <c r="E139" s="633"/>
      <c r="F139" s="1344"/>
      <c r="G139" s="263"/>
      <c r="I139" s="283"/>
    </row>
    <row r="140" spans="1:9" s="244" customFormat="1" ht="12" x14ac:dyDescent="0.2">
      <c r="A140" s="631" t="s">
        <v>1572</v>
      </c>
      <c r="B140" s="1344"/>
      <c r="C140" s="1522"/>
      <c r="D140" s="633"/>
      <c r="E140" s="633"/>
      <c r="F140" s="1344"/>
      <c r="G140" s="263"/>
      <c r="I140" s="283"/>
    </row>
    <row r="141" spans="1:9" s="244" customFormat="1" ht="12" x14ac:dyDescent="0.2">
      <c r="A141" s="1979" t="s">
        <v>1573</v>
      </c>
      <c r="B141" s="1979"/>
      <c r="C141" s="1979"/>
      <c r="D141" s="1979"/>
      <c r="E141" s="1979"/>
      <c r="F141" s="1979"/>
      <c r="G141" s="263"/>
      <c r="I141" s="283"/>
    </row>
    <row r="142" spans="1:9" s="244" customFormat="1" ht="12" x14ac:dyDescent="0.2">
      <c r="A142" s="1979" t="s">
        <v>1574</v>
      </c>
      <c r="B142" s="1979"/>
      <c r="C142" s="1979"/>
      <c r="D142" s="1979"/>
      <c r="E142" s="1979"/>
      <c r="F142" s="1979"/>
      <c r="G142" s="263"/>
      <c r="I142" s="283"/>
    </row>
    <row r="143" spans="1:9" s="244" customFormat="1" ht="12" x14ac:dyDescent="0.2">
      <c r="A143" s="1979" t="s">
        <v>1575</v>
      </c>
      <c r="B143" s="1979"/>
      <c r="C143" s="1979"/>
      <c r="D143" s="1979"/>
      <c r="E143" s="632"/>
      <c r="F143" s="263"/>
      <c r="G143" s="263"/>
      <c r="I143" s="283"/>
    </row>
    <row r="144" spans="1:9" s="244" customFormat="1" ht="12" x14ac:dyDescent="0.2">
      <c r="A144" s="1344"/>
      <c r="B144" s="1344"/>
      <c r="C144" s="1522"/>
      <c r="D144" s="633"/>
      <c r="E144" s="632"/>
      <c r="F144" s="263"/>
      <c r="G144" s="263"/>
      <c r="I144" s="283"/>
    </row>
    <row r="145" spans="1:9" s="244" customFormat="1" ht="12" x14ac:dyDescent="0.2">
      <c r="A145" s="1979" t="s">
        <v>1576</v>
      </c>
      <c r="B145" s="1979"/>
      <c r="C145" s="1979"/>
      <c r="D145" s="1979"/>
      <c r="E145" s="1979"/>
      <c r="F145" s="263"/>
      <c r="G145" s="263"/>
      <c r="I145" s="283"/>
    </row>
    <row r="146" spans="1:9" s="244" customFormat="1" ht="12" x14ac:dyDescent="0.2">
      <c r="A146" s="1979" t="s">
        <v>1577</v>
      </c>
      <c r="B146" s="1979"/>
      <c r="C146" s="1979"/>
      <c r="D146" s="1979"/>
      <c r="E146" s="1979"/>
      <c r="F146" s="263"/>
      <c r="G146" s="263"/>
      <c r="I146" s="283"/>
    </row>
    <row r="147" spans="1:9" s="244" customFormat="1" ht="12" x14ac:dyDescent="0.2">
      <c r="A147" s="1979"/>
      <c r="B147" s="1979"/>
      <c r="C147" s="1979"/>
      <c r="D147" s="1979"/>
      <c r="E147" s="1979"/>
      <c r="G147" s="263"/>
      <c r="I147" s="283"/>
    </row>
    <row r="148" spans="1:9" s="244" customFormat="1" ht="12" x14ac:dyDescent="0.2">
      <c r="A148" s="1344"/>
      <c r="B148" s="274" t="s">
        <v>1578</v>
      </c>
      <c r="C148" s="274"/>
      <c r="D148" s="632"/>
      <c r="E148" s="632"/>
      <c r="F148" s="1344"/>
      <c r="G148" s="263"/>
      <c r="I148" s="283"/>
    </row>
    <row r="149" spans="1:9" s="244" customFormat="1" ht="12" x14ac:dyDescent="0.2">
      <c r="A149" s="1344"/>
      <c r="B149" s="634" t="s">
        <v>1579</v>
      </c>
      <c r="C149" s="634"/>
      <c r="D149" s="633"/>
      <c r="E149" s="633"/>
      <c r="F149" s="1344"/>
      <c r="G149" s="263"/>
      <c r="I149" s="283"/>
    </row>
    <row r="150" spans="1:9" s="244" customFormat="1" ht="12" x14ac:dyDescent="0.2">
      <c r="A150" s="1344"/>
      <c r="B150" s="1979" t="s">
        <v>1580</v>
      </c>
      <c r="C150" s="1979"/>
      <c r="D150" s="1979"/>
      <c r="E150" s="1979"/>
      <c r="F150" s="1979"/>
      <c r="G150" s="263"/>
      <c r="I150" s="283"/>
    </row>
    <row r="151" spans="1:9" s="244" customFormat="1" ht="12" x14ac:dyDescent="0.2">
      <c r="A151" s="1344"/>
      <c r="B151" s="1980" t="s">
        <v>1581</v>
      </c>
      <c r="C151" s="1980"/>
      <c r="D151" s="1980"/>
      <c r="E151" s="1980"/>
      <c r="F151" s="1980"/>
      <c r="G151" s="263"/>
      <c r="I151" s="283"/>
    </row>
    <row r="152" spans="1:9" s="244" customFormat="1" ht="12" x14ac:dyDescent="0.2">
      <c r="G152" s="263"/>
      <c r="I152" s="283"/>
    </row>
    <row r="153" spans="1:9" s="244" customFormat="1" ht="12" x14ac:dyDescent="0.2">
      <c r="A153" s="274" t="s">
        <v>1582</v>
      </c>
      <c r="G153" s="263"/>
      <c r="I153" s="283"/>
    </row>
    <row r="154" spans="1:9" s="244" customFormat="1" ht="12" x14ac:dyDescent="0.2">
      <c r="A154" s="274"/>
      <c r="B154" s="1979" t="s">
        <v>1583</v>
      </c>
      <c r="C154" s="1979"/>
      <c r="D154" s="1979"/>
      <c r="E154" s="1979"/>
      <c r="G154" s="263"/>
      <c r="I154" s="283"/>
    </row>
    <row r="155" spans="1:9" s="244" customFormat="1" ht="12" x14ac:dyDescent="0.2">
      <c r="A155" s="274" t="s">
        <v>1584</v>
      </c>
      <c r="B155" s="630"/>
      <c r="C155" s="630"/>
      <c r="D155" s="467" t="s">
        <v>1585</v>
      </c>
      <c r="E155" s="632"/>
      <c r="G155" s="263"/>
      <c r="I155" s="283"/>
    </row>
    <row r="156" spans="1:9" s="244" customFormat="1" ht="12" x14ac:dyDescent="0.2">
      <c r="A156" s="274" t="s">
        <v>1586</v>
      </c>
      <c r="B156" s="274"/>
      <c r="C156" s="274"/>
      <c r="D156" s="274"/>
      <c r="E156" s="632"/>
      <c r="G156" s="263"/>
      <c r="I156" s="283"/>
    </row>
    <row r="157" spans="1:9" s="244" customFormat="1" ht="12" x14ac:dyDescent="0.2">
      <c r="A157" s="274" t="s">
        <v>1587</v>
      </c>
      <c r="B157" s="274"/>
      <c r="C157" s="274"/>
      <c r="D157" s="274"/>
      <c r="E157" s="632"/>
      <c r="G157" s="263"/>
      <c r="I157" s="283"/>
    </row>
    <row r="158" spans="1:9" s="244" customFormat="1" ht="12" x14ac:dyDescent="0.2">
      <c r="A158" s="274"/>
      <c r="B158" s="274"/>
      <c r="C158" s="274"/>
      <c r="D158" s="274"/>
      <c r="E158" s="632"/>
      <c r="G158" s="263"/>
      <c r="I158" s="283"/>
    </row>
    <row r="159" spans="1:9" s="244" customFormat="1" ht="12" x14ac:dyDescent="0.2">
      <c r="A159" s="635"/>
      <c r="B159" s="274" t="s">
        <v>1588</v>
      </c>
      <c r="C159" s="274"/>
      <c r="D159" s="274"/>
      <c r="E159" s="632"/>
      <c r="G159" s="263"/>
      <c r="I159" s="283"/>
    </row>
    <row r="160" spans="1:9" s="244" customFormat="1" ht="15" x14ac:dyDescent="0.2">
      <c r="A160" s="635"/>
      <c r="B160" s="274" t="s">
        <v>1584</v>
      </c>
      <c r="C160" s="274"/>
      <c r="D160" s="635"/>
      <c r="E160" s="636"/>
      <c r="G160" s="263"/>
      <c r="I160" s="283"/>
    </row>
    <row r="161" spans="1:10" s="244" customFormat="1" ht="12" x14ac:dyDescent="0.2">
      <c r="A161" s="274"/>
      <c r="B161" s="274" t="s">
        <v>1586</v>
      </c>
      <c r="C161" s="274"/>
      <c r="D161" s="635"/>
      <c r="E161" s="637"/>
      <c r="G161" s="263"/>
      <c r="I161" s="283"/>
    </row>
    <row r="162" spans="1:10" s="244" customFormat="1" ht="12" x14ac:dyDescent="0.2">
      <c r="A162" s="274"/>
      <c r="B162" s="274" t="s">
        <v>1587</v>
      </c>
      <c r="C162" s="274"/>
      <c r="D162" s="635"/>
      <c r="E162" s="637"/>
      <c r="G162" s="263"/>
      <c r="I162" s="283"/>
    </row>
    <row r="165" spans="1:10" x14ac:dyDescent="0.2">
      <c r="A165" s="268"/>
      <c r="B165" s="268"/>
      <c r="C165" s="268"/>
      <c r="D165" s="268"/>
      <c r="E165" s="268"/>
      <c r="F165" s="268"/>
      <c r="G165" s="268"/>
      <c r="H165" s="268"/>
      <c r="I165" s="679"/>
      <c r="J165" s="268"/>
    </row>
    <row r="166" spans="1:10" x14ac:dyDescent="0.2">
      <c r="A166" s="268"/>
      <c r="B166" s="268"/>
      <c r="C166" s="268"/>
      <c r="D166" s="268"/>
      <c r="E166" s="268"/>
      <c r="F166" s="268"/>
      <c r="G166" s="268"/>
      <c r="H166" s="268"/>
      <c r="I166" s="679"/>
      <c r="J166" s="268"/>
    </row>
    <row r="167" spans="1:10" x14ac:dyDescent="0.2">
      <c r="A167" s="268"/>
      <c r="B167" s="268"/>
      <c r="C167" s="268"/>
      <c r="D167" s="268"/>
      <c r="E167" s="268"/>
      <c r="F167" s="268"/>
      <c r="G167" s="268"/>
      <c r="H167" s="268"/>
      <c r="I167" s="679"/>
      <c r="J167" s="268"/>
    </row>
  </sheetData>
  <sheetProtection algorithmName="SHA-512" hashValue="N3RNQCwWvfx7h2cl/GYLyelO3wKLq7ZLv+zG6ctua2AfnJ9WMsM5jlY1iEL8g44l5P+rRSMjCfc03Ekz0EM9jg==" saltValue="CGs5sc4Ro2eVoygdwDUo7A==" spinCount="100000" sheet="1" objects="1" scenarios="1"/>
  <mergeCells count="69">
    <mergeCell ref="A69:A76"/>
    <mergeCell ref="B154:E154"/>
    <mergeCell ref="A142:F142"/>
    <mergeCell ref="A143:D143"/>
    <mergeCell ref="A145:E145"/>
    <mergeCell ref="A146:E147"/>
    <mergeCell ref="B150:F150"/>
    <mergeCell ref="B151:F151"/>
    <mergeCell ref="A141:F141"/>
    <mergeCell ref="A88:B88"/>
    <mergeCell ref="B92:C92"/>
    <mergeCell ref="A93:C93"/>
    <mergeCell ref="B94:C94"/>
    <mergeCell ref="B95:C95"/>
    <mergeCell ref="B99:C99"/>
    <mergeCell ref="A100:C100"/>
    <mergeCell ref="J101:J102"/>
    <mergeCell ref="A103:B103"/>
    <mergeCell ref="A136:F136"/>
    <mergeCell ref="A137:F137"/>
    <mergeCell ref="A138:F138"/>
    <mergeCell ref="I101:I102"/>
    <mergeCell ref="B101:C102"/>
    <mergeCell ref="A101:A102"/>
    <mergeCell ref="I81:I85"/>
    <mergeCell ref="J81:J85"/>
    <mergeCell ref="A86:A87"/>
    <mergeCell ref="I86:I87"/>
    <mergeCell ref="B86:C87"/>
    <mergeCell ref="B81:C85"/>
    <mergeCell ref="A81:A85"/>
    <mergeCell ref="I69:I76"/>
    <mergeCell ref="A77:A80"/>
    <mergeCell ref="I77:I80"/>
    <mergeCell ref="J42:J49"/>
    <mergeCell ref="A55:A59"/>
    <mergeCell ref="I55:I59"/>
    <mergeCell ref="B55:C59"/>
    <mergeCell ref="A60:A63"/>
    <mergeCell ref="I60:I63"/>
    <mergeCell ref="B42:C49"/>
    <mergeCell ref="B53:C53"/>
    <mergeCell ref="A54:C54"/>
    <mergeCell ref="B67:C67"/>
    <mergeCell ref="A68:C68"/>
    <mergeCell ref="B69:C76"/>
    <mergeCell ref="B77:C80"/>
    <mergeCell ref="I33:I41"/>
    <mergeCell ref="A42:A49"/>
    <mergeCell ref="I42:I49"/>
    <mergeCell ref="B60:C63"/>
    <mergeCell ref="A20:A25"/>
    <mergeCell ref="I20:I25"/>
    <mergeCell ref="A26:A31"/>
    <mergeCell ref="I26:I31"/>
    <mergeCell ref="B20:C25"/>
    <mergeCell ref="B26:C31"/>
    <mergeCell ref="B32:C32"/>
    <mergeCell ref="B33:C41"/>
    <mergeCell ref="A33:A41"/>
    <mergeCell ref="A1:B1"/>
    <mergeCell ref="A2:B2"/>
    <mergeCell ref="A4:J4"/>
    <mergeCell ref="A12:A19"/>
    <mergeCell ref="I12:I19"/>
    <mergeCell ref="B9:C9"/>
    <mergeCell ref="A10:C10"/>
    <mergeCell ref="B11:C11"/>
    <mergeCell ref="B12:C19"/>
  </mergeCells>
  <printOptions horizontalCentered="1"/>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16.pielikums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3"/>
  <sheetViews>
    <sheetView view="pageLayout" zoomScaleNormal="100" workbookViewId="0">
      <selection activeCell="L13" sqref="L13"/>
    </sheetView>
  </sheetViews>
  <sheetFormatPr defaultRowHeight="12" x14ac:dyDescent="0.2"/>
  <cols>
    <col min="1" max="1" width="6.140625" style="244" customWidth="1"/>
    <col min="2" max="2" width="26" style="640" customWidth="1"/>
    <col min="3" max="3" width="10" style="640" customWidth="1"/>
    <col min="4" max="4" width="11.85546875" style="466" hidden="1" customWidth="1"/>
    <col min="5" max="5" width="11.140625" style="466" hidden="1" customWidth="1"/>
    <col min="6" max="6" width="10.28515625" style="466" hidden="1" customWidth="1"/>
    <col min="7" max="7" width="10.5703125" style="244" customWidth="1"/>
    <col min="8" max="8" width="9.7109375" style="244" customWidth="1"/>
    <col min="9" max="9" width="21.140625" style="244" customWidth="1"/>
    <col min="10" max="10" width="28.7109375" style="244" hidden="1" customWidth="1"/>
    <col min="11" max="16384" width="9.140625" style="244"/>
  </cols>
  <sheetData>
    <row r="1" spans="1:11" x14ac:dyDescent="0.2">
      <c r="A1" s="245" t="s">
        <v>117</v>
      </c>
      <c r="B1" s="245"/>
      <c r="C1" s="1503" t="s">
        <v>118</v>
      </c>
      <c r="D1" s="245"/>
      <c r="G1" s="243"/>
      <c r="H1" s="243"/>
      <c r="I1" s="243"/>
      <c r="J1" s="243"/>
    </row>
    <row r="2" spans="1:11" x14ac:dyDescent="0.2">
      <c r="A2" s="245" t="s">
        <v>119</v>
      </c>
      <c r="B2" s="245"/>
      <c r="C2" s="1793">
        <v>90000056357</v>
      </c>
      <c r="D2" s="1793"/>
      <c r="E2" s="1793"/>
      <c r="F2" s="1793"/>
      <c r="G2" s="1793"/>
      <c r="H2" s="243"/>
      <c r="I2" s="243"/>
      <c r="J2" s="243"/>
    </row>
    <row r="3" spans="1:11" x14ac:dyDescent="0.2">
      <c r="A3" s="245"/>
      <c r="B3" s="638"/>
      <c r="C3" s="1509"/>
      <c r="G3" s="243"/>
      <c r="H3" s="243"/>
      <c r="I3" s="243"/>
      <c r="J3" s="243"/>
    </row>
    <row r="4" spans="1:11" ht="15.75" x14ac:dyDescent="0.25">
      <c r="A4" s="1794" t="s">
        <v>120</v>
      </c>
      <c r="B4" s="1794"/>
      <c r="C4" s="1794"/>
      <c r="D4" s="1794"/>
      <c r="E4" s="1794"/>
      <c r="F4" s="1794"/>
      <c r="G4" s="1794"/>
      <c r="H4" s="1794"/>
      <c r="I4" s="1794"/>
      <c r="J4" s="1794"/>
    </row>
    <row r="5" spans="1:11" ht="15.75" x14ac:dyDescent="0.25">
      <c r="A5" s="246"/>
      <c r="B5" s="639"/>
      <c r="C5" s="639"/>
      <c r="D5" s="443"/>
      <c r="E5" s="443"/>
      <c r="F5" s="443"/>
      <c r="G5" s="246"/>
      <c r="H5" s="246"/>
      <c r="I5" s="246"/>
      <c r="J5" s="246"/>
    </row>
    <row r="6" spans="1:11" ht="15.75" x14ac:dyDescent="0.25">
      <c r="A6" s="243" t="s">
        <v>121</v>
      </c>
      <c r="C6" s="1514" t="s">
        <v>1589</v>
      </c>
      <c r="D6" s="641"/>
      <c r="G6" s="243"/>
      <c r="H6" s="243"/>
      <c r="I6" s="243"/>
      <c r="J6" s="243"/>
    </row>
    <row r="7" spans="1:11" x14ac:dyDescent="0.2">
      <c r="A7" s="243" t="s">
        <v>123</v>
      </c>
      <c r="C7" s="1503" t="s">
        <v>1590</v>
      </c>
      <c r="D7" s="245"/>
      <c r="G7" s="243"/>
      <c r="H7" s="243"/>
      <c r="I7" s="243"/>
      <c r="J7" s="243"/>
    </row>
    <row r="8" spans="1:11" ht="12.75" x14ac:dyDescent="0.2">
      <c r="A8" s="243" t="s">
        <v>125</v>
      </c>
      <c r="C8" s="1515" t="s">
        <v>377</v>
      </c>
      <c r="D8" s="642"/>
      <c r="G8" s="243"/>
      <c r="H8" s="243"/>
      <c r="I8" s="243"/>
      <c r="J8" s="243"/>
      <c r="K8" s="250"/>
    </row>
    <row r="9" spans="1:11" ht="48" x14ac:dyDescent="0.2">
      <c r="A9" s="251" t="s">
        <v>1</v>
      </c>
      <c r="B9" s="1797" t="s">
        <v>127</v>
      </c>
      <c r="C9" s="1798"/>
      <c r="D9" s="251" t="s">
        <v>14</v>
      </c>
      <c r="E9" s="251" t="s">
        <v>12</v>
      </c>
      <c r="F9" s="251" t="s">
        <v>128</v>
      </c>
      <c r="G9" s="251" t="s">
        <v>129</v>
      </c>
      <c r="H9" s="251" t="s">
        <v>3357</v>
      </c>
      <c r="I9" s="251" t="s">
        <v>11</v>
      </c>
      <c r="J9" s="251" t="s">
        <v>131</v>
      </c>
    </row>
    <row r="10" spans="1:11" ht="12.75" customHeight="1" x14ac:dyDescent="0.2">
      <c r="A10" s="1982" t="s">
        <v>132</v>
      </c>
      <c r="B10" s="1983"/>
      <c r="C10" s="1984"/>
      <c r="D10" s="643">
        <f>SUM(D11:D22)</f>
        <v>42844</v>
      </c>
      <c r="E10" s="643">
        <f>SUM(E11:E22)</f>
        <v>42313</v>
      </c>
      <c r="F10" s="643">
        <f>SUM(F11:F22)</f>
        <v>68123</v>
      </c>
      <c r="G10" s="397"/>
      <c r="H10" s="397">
        <f>SUM(H11:H22)</f>
        <v>58978</v>
      </c>
      <c r="I10" s="397"/>
      <c r="J10" s="279"/>
    </row>
    <row r="11" spans="1:11" ht="64.5" customHeight="1" x14ac:dyDescent="0.2">
      <c r="A11" s="258">
        <v>1</v>
      </c>
      <c r="B11" s="1803" t="s">
        <v>1591</v>
      </c>
      <c r="C11" s="1804"/>
      <c r="D11" s="416">
        <v>3500</v>
      </c>
      <c r="E11" s="416">
        <v>3500</v>
      </c>
      <c r="F11" s="416">
        <v>3500</v>
      </c>
      <c r="G11" s="256">
        <v>2231</v>
      </c>
      <c r="H11" s="272">
        <v>3500</v>
      </c>
      <c r="I11" s="255" t="s">
        <v>1592</v>
      </c>
      <c r="J11" s="279" t="s">
        <v>1593</v>
      </c>
    </row>
    <row r="12" spans="1:11" ht="22.5" customHeight="1" x14ac:dyDescent="0.2">
      <c r="A12" s="1795">
        <v>2</v>
      </c>
      <c r="B12" s="1799" t="s">
        <v>1594</v>
      </c>
      <c r="C12" s="1800"/>
      <c r="D12" s="416">
        <v>9500</v>
      </c>
      <c r="E12" s="416">
        <v>9500</v>
      </c>
      <c r="F12" s="416">
        <v>9500</v>
      </c>
      <c r="G12" s="256">
        <v>2122</v>
      </c>
      <c r="H12" s="272">
        <f>9500-700</f>
        <v>8800</v>
      </c>
      <c r="I12" s="1815" t="s">
        <v>1595</v>
      </c>
      <c r="J12" s="1817" t="s">
        <v>1596</v>
      </c>
    </row>
    <row r="13" spans="1:11" ht="22.5" customHeight="1" x14ac:dyDescent="0.2">
      <c r="A13" s="1796"/>
      <c r="B13" s="1801"/>
      <c r="C13" s="1802"/>
      <c r="D13" s="416">
        <v>2200</v>
      </c>
      <c r="E13" s="416">
        <v>2200</v>
      </c>
      <c r="F13" s="416">
        <v>2200</v>
      </c>
      <c r="G13" s="256">
        <v>2121</v>
      </c>
      <c r="H13" s="272">
        <f>2200-700</f>
        <v>1500</v>
      </c>
      <c r="I13" s="1816"/>
      <c r="J13" s="1818"/>
    </row>
    <row r="14" spans="1:11" ht="70.5" customHeight="1" x14ac:dyDescent="0.2">
      <c r="A14" s="258">
        <v>3</v>
      </c>
      <c r="B14" s="1803" t="s">
        <v>1597</v>
      </c>
      <c r="C14" s="1804"/>
      <c r="D14" s="416">
        <v>17441</v>
      </c>
      <c r="E14" s="416">
        <v>17441</v>
      </c>
      <c r="F14" s="416">
        <v>42745</v>
      </c>
      <c r="G14" s="256">
        <v>2231</v>
      </c>
      <c r="H14" s="272">
        <v>10000</v>
      </c>
      <c r="I14" s="255" t="s">
        <v>1592</v>
      </c>
      <c r="J14" s="279" t="s">
        <v>1598</v>
      </c>
    </row>
    <row r="15" spans="1:11" ht="27.75" customHeight="1" x14ac:dyDescent="0.2">
      <c r="A15" s="258">
        <v>4</v>
      </c>
      <c r="B15" s="1803" t="s">
        <v>1599</v>
      </c>
      <c r="C15" s="1804"/>
      <c r="D15" s="416"/>
      <c r="E15" s="416"/>
      <c r="F15" s="416"/>
      <c r="G15" s="256">
        <v>2231</v>
      </c>
      <c r="H15" s="272">
        <f>27143</f>
        <v>27143</v>
      </c>
      <c r="I15" s="255" t="s">
        <v>1600</v>
      </c>
      <c r="J15" s="279"/>
    </row>
    <row r="16" spans="1:11" ht="30" customHeight="1" x14ac:dyDescent="0.2">
      <c r="A16" s="258">
        <v>5</v>
      </c>
      <c r="B16" s="1803" t="s">
        <v>1601</v>
      </c>
      <c r="C16" s="1804"/>
      <c r="D16" s="416">
        <v>4500</v>
      </c>
      <c r="E16" s="416">
        <v>4500</v>
      </c>
      <c r="F16" s="416">
        <v>4500</v>
      </c>
      <c r="G16" s="256">
        <v>2314</v>
      </c>
      <c r="H16" s="272">
        <v>2600</v>
      </c>
      <c r="I16" s="255" t="s">
        <v>1602</v>
      </c>
      <c r="J16" s="279" t="s">
        <v>1603</v>
      </c>
    </row>
    <row r="17" spans="1:10" ht="54.75" customHeight="1" x14ac:dyDescent="0.2">
      <c r="A17" s="258">
        <v>6</v>
      </c>
      <c r="B17" s="1803" t="s">
        <v>1604</v>
      </c>
      <c r="C17" s="1804"/>
      <c r="D17" s="416">
        <v>340</v>
      </c>
      <c r="E17" s="416">
        <v>340</v>
      </c>
      <c r="F17" s="416">
        <v>340</v>
      </c>
      <c r="G17" s="256">
        <v>2232</v>
      </c>
      <c r="H17" s="272">
        <v>340</v>
      </c>
      <c r="I17" s="255" t="s">
        <v>1605</v>
      </c>
      <c r="J17" s="279" t="s">
        <v>1606</v>
      </c>
    </row>
    <row r="18" spans="1:10" ht="21" customHeight="1" x14ac:dyDescent="0.2">
      <c r="A18" s="258">
        <v>7</v>
      </c>
      <c r="B18" s="1803" t="s">
        <v>1607</v>
      </c>
      <c r="C18" s="1804"/>
      <c r="D18" s="416">
        <v>3250</v>
      </c>
      <c r="E18" s="416">
        <v>3250</v>
      </c>
      <c r="F18" s="416">
        <v>3250</v>
      </c>
      <c r="G18" s="259">
        <v>2239</v>
      </c>
      <c r="H18" s="272">
        <v>3250</v>
      </c>
      <c r="I18" s="255" t="s">
        <v>1608</v>
      </c>
      <c r="J18" s="279" t="s">
        <v>1609</v>
      </c>
    </row>
    <row r="19" spans="1:10" ht="74.25" customHeight="1" x14ac:dyDescent="0.2">
      <c r="A19" s="258">
        <v>8</v>
      </c>
      <c r="B19" s="1803" t="s">
        <v>1610</v>
      </c>
      <c r="C19" s="1804"/>
      <c r="D19" s="416">
        <v>800</v>
      </c>
      <c r="E19" s="416">
        <v>800</v>
      </c>
      <c r="F19" s="416">
        <v>800</v>
      </c>
      <c r="G19" s="256">
        <v>2262</v>
      </c>
      <c r="H19" s="272">
        <f>130+470</f>
        <v>600</v>
      </c>
      <c r="I19" s="255" t="s">
        <v>1611</v>
      </c>
      <c r="J19" s="279" t="s">
        <v>1612</v>
      </c>
    </row>
    <row r="20" spans="1:10" ht="21" customHeight="1" x14ac:dyDescent="0.2">
      <c r="A20" s="1795">
        <v>9</v>
      </c>
      <c r="B20" s="1799" t="s">
        <v>1613</v>
      </c>
      <c r="C20" s="1800"/>
      <c r="D20" s="452">
        <v>1250</v>
      </c>
      <c r="E20" s="452">
        <v>750</v>
      </c>
      <c r="F20" s="452">
        <v>750</v>
      </c>
      <c r="G20" s="454">
        <v>1150</v>
      </c>
      <c r="H20" s="272">
        <f>300+450</f>
        <v>750</v>
      </c>
      <c r="I20" s="1815" t="s">
        <v>1614</v>
      </c>
      <c r="J20" s="273" t="s">
        <v>1615</v>
      </c>
    </row>
    <row r="21" spans="1:10" ht="21" customHeight="1" x14ac:dyDescent="0.2">
      <c r="A21" s="1796"/>
      <c r="B21" s="1801"/>
      <c r="C21" s="1802"/>
      <c r="D21" s="452">
        <v>63</v>
      </c>
      <c r="E21" s="452">
        <v>32</v>
      </c>
      <c r="F21" s="452">
        <v>38</v>
      </c>
      <c r="G21" s="454">
        <v>1210</v>
      </c>
      <c r="H21" s="272">
        <f>15+30</f>
        <v>45</v>
      </c>
      <c r="I21" s="1816"/>
      <c r="J21" s="273" t="s">
        <v>1615</v>
      </c>
    </row>
    <row r="22" spans="1:10" ht="36" x14ac:dyDescent="0.2">
      <c r="A22" s="258">
        <v>10</v>
      </c>
      <c r="B22" s="1803" t="s">
        <v>1616</v>
      </c>
      <c r="C22" s="1804"/>
      <c r="D22" s="416"/>
      <c r="E22" s="416"/>
      <c r="F22" s="416">
        <v>500</v>
      </c>
      <c r="G22" s="259">
        <v>2239</v>
      </c>
      <c r="H22" s="272">
        <v>450</v>
      </c>
      <c r="I22" s="255" t="s">
        <v>1614</v>
      </c>
      <c r="J22" s="273" t="s">
        <v>1617</v>
      </c>
    </row>
    <row r="23" spans="1:10" x14ac:dyDescent="0.2">
      <c r="A23" s="405"/>
      <c r="B23" s="1531"/>
      <c r="C23" s="1531"/>
      <c r="D23" s="1608"/>
      <c r="E23" s="1608"/>
      <c r="F23" s="1608"/>
      <c r="G23" s="317"/>
      <c r="H23" s="610"/>
      <c r="I23" s="608"/>
      <c r="J23" s="1531"/>
    </row>
    <row r="24" spans="1:10" x14ac:dyDescent="0.2">
      <c r="A24" s="244" t="s">
        <v>400</v>
      </c>
    </row>
    <row r="25" spans="1:10" x14ac:dyDescent="0.2">
      <c r="A25" s="244" t="s">
        <v>401</v>
      </c>
    </row>
    <row r="27" spans="1:10" ht="15" customHeight="1" x14ac:dyDescent="0.2">
      <c r="A27" s="244" t="s">
        <v>1618</v>
      </c>
      <c r="B27" s="244"/>
      <c r="C27" s="244"/>
      <c r="D27" s="244"/>
      <c r="E27" s="244"/>
      <c r="F27" s="640"/>
      <c r="G27" s="640"/>
      <c r="H27" s="640"/>
      <c r="I27" s="640"/>
      <c r="J27" s="640"/>
    </row>
    <row r="28" spans="1:10" x14ac:dyDescent="0.2">
      <c r="A28" s="244" t="s">
        <v>244</v>
      </c>
      <c r="B28" s="244"/>
      <c r="C28" s="244"/>
      <c r="D28" s="244"/>
      <c r="E28" s="244"/>
      <c r="F28" s="1793"/>
      <c r="G28" s="1793"/>
      <c r="H28" s="1793"/>
      <c r="I28" s="1793"/>
      <c r="J28" s="1793"/>
    </row>
    <row r="29" spans="1:10" x14ac:dyDescent="0.2">
      <c r="A29" s="244" t="s">
        <v>1619</v>
      </c>
      <c r="B29" s="244"/>
      <c r="C29" s="244"/>
      <c r="D29" s="244"/>
      <c r="E29" s="244"/>
      <c r="F29" s="244"/>
    </row>
    <row r="30" spans="1:10" x14ac:dyDescent="0.2">
      <c r="A30" s="244" t="s">
        <v>1620</v>
      </c>
      <c r="B30" s="244"/>
      <c r="C30" s="244"/>
      <c r="D30" s="244"/>
      <c r="E30" s="244"/>
      <c r="F30" s="1793"/>
      <c r="G30" s="1793"/>
      <c r="H30" s="1793"/>
      <c r="I30" s="1793"/>
      <c r="J30" s="1793"/>
    </row>
    <row r="31" spans="1:10" x14ac:dyDescent="0.2">
      <c r="A31" s="244" t="s">
        <v>1621</v>
      </c>
      <c r="B31" s="244"/>
      <c r="C31" s="244"/>
      <c r="D31" s="244"/>
      <c r="E31" s="244"/>
      <c r="F31" s="245"/>
      <c r="G31" s="245"/>
      <c r="H31" s="245"/>
      <c r="I31" s="245"/>
      <c r="J31" s="245"/>
    </row>
    <row r="32" spans="1:10" x14ac:dyDescent="0.2">
      <c r="A32" s="244" t="s">
        <v>1622</v>
      </c>
      <c r="B32" s="244"/>
      <c r="C32" s="244"/>
      <c r="D32" s="244"/>
      <c r="E32" s="244"/>
      <c r="F32" s="245"/>
      <c r="G32" s="245"/>
      <c r="H32" s="245"/>
      <c r="I32" s="245"/>
      <c r="J32" s="245"/>
    </row>
    <row r="33" spans="1:12" x14ac:dyDescent="0.2">
      <c r="A33" s="1793" t="s">
        <v>1623</v>
      </c>
      <c r="B33" s="1793"/>
      <c r="C33" s="1793"/>
      <c r="D33" s="1793"/>
      <c r="E33" s="1793"/>
      <c r="F33" s="1793"/>
      <c r="G33" s="1793"/>
      <c r="H33" s="1793"/>
      <c r="I33" s="1793"/>
      <c r="J33" s="1793"/>
    </row>
    <row r="34" spans="1:12" ht="13.5" customHeight="1" x14ac:dyDescent="0.2">
      <c r="A34" s="244" t="s">
        <v>1624</v>
      </c>
      <c r="B34" s="244"/>
      <c r="C34" s="244"/>
      <c r="D34" s="244"/>
      <c r="E34" s="244"/>
      <c r="F34" s="640"/>
      <c r="G34" s="640"/>
      <c r="H34" s="640"/>
      <c r="I34" s="640"/>
      <c r="J34" s="640"/>
    </row>
    <row r="35" spans="1:12" x14ac:dyDescent="0.2">
      <c r="A35" s="244" t="s">
        <v>1625</v>
      </c>
      <c r="B35" s="244"/>
      <c r="C35" s="244"/>
      <c r="D35" s="244"/>
      <c r="E35" s="244"/>
      <c r="F35" s="245"/>
      <c r="G35" s="245"/>
      <c r="H35" s="245"/>
      <c r="I35" s="245"/>
      <c r="J35" s="245"/>
    </row>
    <row r="36" spans="1:12" x14ac:dyDescent="0.2">
      <c r="A36" s="244" t="s">
        <v>1626</v>
      </c>
      <c r="B36" s="244"/>
      <c r="C36" s="244"/>
      <c r="D36" s="244"/>
      <c r="E36" s="244"/>
      <c r="F36" s="245"/>
      <c r="G36" s="245"/>
      <c r="H36" s="245"/>
      <c r="I36" s="245"/>
      <c r="J36" s="245"/>
    </row>
    <row r="37" spans="1:12" ht="13.5" customHeight="1" x14ac:dyDescent="0.2">
      <c r="A37" s="244" t="s">
        <v>1627</v>
      </c>
      <c r="B37" s="244"/>
      <c r="C37" s="244"/>
      <c r="D37" s="244"/>
      <c r="E37" s="244"/>
      <c r="F37" s="640"/>
      <c r="G37" s="640"/>
      <c r="H37" s="640"/>
      <c r="I37" s="640"/>
      <c r="J37" s="640"/>
    </row>
    <row r="38" spans="1:12" x14ac:dyDescent="0.2">
      <c r="A38" s="244" t="s">
        <v>1628</v>
      </c>
      <c r="B38" s="244"/>
      <c r="C38" s="244"/>
      <c r="D38" s="244"/>
      <c r="E38" s="244"/>
      <c r="F38" s="243"/>
      <c r="G38" s="243"/>
      <c r="H38" s="243"/>
      <c r="I38" s="243"/>
      <c r="J38" s="243"/>
    </row>
    <row r="39" spans="1:12" x14ac:dyDescent="0.2">
      <c r="A39" s="244" t="s">
        <v>1629</v>
      </c>
      <c r="B39" s="244"/>
      <c r="C39" s="244"/>
      <c r="D39" s="244"/>
      <c r="E39" s="244"/>
      <c r="F39" s="243"/>
      <c r="G39" s="243"/>
      <c r="H39" s="243"/>
      <c r="I39" s="243"/>
      <c r="J39" s="243"/>
    </row>
    <row r="40" spans="1:12" x14ac:dyDescent="0.2">
      <c r="A40" s="244" t="s">
        <v>1630</v>
      </c>
      <c r="B40" s="244"/>
      <c r="C40" s="244"/>
      <c r="D40" s="244"/>
      <c r="E40" s="244"/>
      <c r="F40" s="243"/>
      <c r="G40" s="243"/>
      <c r="H40" s="243"/>
      <c r="I40" s="243"/>
      <c r="J40" s="243"/>
    </row>
    <row r="41" spans="1:12" x14ac:dyDescent="0.2">
      <c r="A41" s="244" t="s">
        <v>1631</v>
      </c>
    </row>
    <row r="42" spans="1:12" x14ac:dyDescent="0.2">
      <c r="A42" s="244" t="s">
        <v>1632</v>
      </c>
    </row>
    <row r="43" spans="1:12" x14ac:dyDescent="0.2">
      <c r="A43" s="244" t="s">
        <v>1633</v>
      </c>
    </row>
    <row r="44" spans="1:12" s="274" customFormat="1" x14ac:dyDescent="0.25">
      <c r="A44" s="635"/>
      <c r="B44" s="635"/>
      <c r="C44" s="635"/>
      <c r="D44" s="635"/>
      <c r="E44" s="635"/>
      <c r="F44" s="635"/>
      <c r="G44" s="635"/>
      <c r="H44" s="635"/>
      <c r="I44" s="635"/>
      <c r="J44" s="635"/>
      <c r="K44" s="635"/>
      <c r="L44" s="635"/>
    </row>
    <row r="45" spans="1:12" s="274" customFormat="1" x14ac:dyDescent="0.25">
      <c r="A45" s="635"/>
      <c r="B45" s="635"/>
      <c r="C45" s="635"/>
      <c r="D45" s="635"/>
      <c r="E45" s="635"/>
      <c r="F45" s="635"/>
      <c r="G45" s="635"/>
      <c r="H45" s="635"/>
      <c r="I45" s="635"/>
      <c r="J45" s="635"/>
      <c r="K45" s="635"/>
      <c r="L45" s="635"/>
    </row>
    <row r="46" spans="1:12" x14ac:dyDescent="0.2">
      <c r="A46" s="268"/>
      <c r="B46" s="268"/>
      <c r="C46" s="268"/>
      <c r="D46" s="268"/>
      <c r="E46" s="644"/>
      <c r="F46" s="1986"/>
      <c r="G46" s="1986"/>
      <c r="H46" s="644"/>
      <c r="I46" s="268"/>
    </row>
    <row r="47" spans="1:12" x14ac:dyDescent="0.2">
      <c r="A47" s="268"/>
      <c r="B47" s="268"/>
      <c r="C47" s="268"/>
      <c r="D47" s="268"/>
      <c r="E47" s="644"/>
      <c r="F47" s="1986"/>
      <c r="G47" s="1986"/>
      <c r="H47" s="644"/>
      <c r="I47" s="268"/>
      <c r="J47" s="268"/>
      <c r="K47" s="268"/>
      <c r="L47" s="268"/>
    </row>
    <row r="48" spans="1:12" x14ac:dyDescent="0.2">
      <c r="A48" s="268"/>
      <c r="B48" s="268"/>
      <c r="C48" s="268"/>
      <c r="D48" s="268"/>
      <c r="E48" s="644"/>
      <c r="F48" s="552"/>
      <c r="G48" s="552"/>
      <c r="H48" s="644"/>
      <c r="I48" s="268"/>
      <c r="J48" s="268"/>
      <c r="K48" s="268"/>
      <c r="L48" s="268"/>
    </row>
    <row r="49" spans="1:12" x14ac:dyDescent="0.2">
      <c r="A49" s="268"/>
      <c r="B49" s="268"/>
      <c r="C49" s="268"/>
      <c r="D49" s="268"/>
      <c r="E49" s="644"/>
      <c r="F49" s="552"/>
      <c r="G49" s="552"/>
      <c r="H49" s="644"/>
      <c r="I49" s="268"/>
      <c r="J49" s="268"/>
      <c r="K49" s="268"/>
      <c r="L49" s="268"/>
    </row>
    <row r="50" spans="1:12" x14ac:dyDescent="0.2">
      <c r="A50" s="268"/>
      <c r="B50" s="268"/>
      <c r="C50" s="268"/>
      <c r="D50" s="268"/>
      <c r="E50" s="644"/>
      <c r="F50" s="552"/>
      <c r="G50" s="552"/>
      <c r="H50" s="644"/>
      <c r="I50" s="268"/>
      <c r="J50" s="268"/>
      <c r="K50" s="268"/>
      <c r="L50" s="268"/>
    </row>
    <row r="51" spans="1:12" ht="12" customHeight="1" x14ac:dyDescent="0.2">
      <c r="A51" s="1985"/>
      <c r="B51" s="1985"/>
      <c r="C51" s="1985"/>
      <c r="D51" s="1985"/>
      <c r="E51" s="644"/>
      <c r="F51" s="644"/>
      <c r="G51" s="644"/>
      <c r="H51" s="644"/>
      <c r="I51" s="268"/>
    </row>
    <row r="52" spans="1:12" x14ac:dyDescent="0.2">
      <c r="A52" s="1985"/>
      <c r="B52" s="1985"/>
      <c r="C52" s="1985"/>
      <c r="D52" s="1985"/>
      <c r="E52" s="367"/>
      <c r="F52" s="1986"/>
      <c r="G52" s="1986"/>
      <c r="H52" s="367"/>
    </row>
    <row r="53" spans="1:12" s="274" customFormat="1" x14ac:dyDescent="0.25">
      <c r="A53" s="635"/>
      <c r="B53" s="635"/>
      <c r="C53" s="635"/>
      <c r="D53" s="635"/>
      <c r="E53" s="635"/>
      <c r="F53" s="635"/>
      <c r="G53" s="635"/>
      <c r="H53" s="635"/>
      <c r="I53" s="635"/>
      <c r="J53" s="635"/>
      <c r="K53" s="635"/>
      <c r="L53" s="635"/>
    </row>
  </sheetData>
  <sheetProtection algorithmName="SHA-512" hashValue="tzZZGSFxxCJtmnAKregAArHhA++pNZaSwJoGQaxQmF6aMmKYLv7H3aLpkAhT4vMe3og52ZpE/xJOYbH0uwMDGQ==" saltValue="UOFJ9SIGFbZd9Wn3TDPYeQ==" spinCount="100000" sheet="1" objects="1" scenarios="1"/>
  <mergeCells count="27">
    <mergeCell ref="B22:C22"/>
    <mergeCell ref="C2:G2"/>
    <mergeCell ref="I20:I21"/>
    <mergeCell ref="A52:D52"/>
    <mergeCell ref="F52:G52"/>
    <mergeCell ref="F28:J28"/>
    <mergeCell ref="F30:J30"/>
    <mergeCell ref="A33:J33"/>
    <mergeCell ref="F46:G46"/>
    <mergeCell ref="F47:G47"/>
    <mergeCell ref="A51:D51"/>
    <mergeCell ref="A20:A21"/>
    <mergeCell ref="A4:J4"/>
    <mergeCell ref="A12:A13"/>
    <mergeCell ref="I12:I13"/>
    <mergeCell ref="J12:J13"/>
    <mergeCell ref="B9:C9"/>
    <mergeCell ref="A10:C10"/>
    <mergeCell ref="B11:C11"/>
    <mergeCell ref="B14:C14"/>
    <mergeCell ref="B12:C13"/>
    <mergeCell ref="B20:C21"/>
    <mergeCell ref="B15:C15"/>
    <mergeCell ref="B16:C16"/>
    <mergeCell ref="B17:C17"/>
    <mergeCell ref="B18:C18"/>
    <mergeCell ref="B19:C19"/>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17.pielikums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64"/>
  <sheetViews>
    <sheetView view="pageLayout" zoomScaleNormal="100" workbookViewId="0">
      <selection activeCell="Q1" sqref="Q1"/>
    </sheetView>
  </sheetViews>
  <sheetFormatPr defaultRowHeight="12" x14ac:dyDescent="0.25"/>
  <cols>
    <col min="1" max="1" width="4.85546875" style="274" customWidth="1"/>
    <col min="2" max="2" width="25.28515625" style="274" customWidth="1"/>
    <col min="3" max="3" width="10.42578125" style="274" customWidth="1"/>
    <col min="4" max="4" width="11.28515625" style="274" hidden="1" customWidth="1"/>
    <col min="5" max="5" width="10.28515625" style="274" hidden="1" customWidth="1"/>
    <col min="6" max="6" width="10.5703125" style="274" hidden="1" customWidth="1"/>
    <col min="7" max="7" width="10.28515625" style="334" hidden="1" customWidth="1"/>
    <col min="8" max="8" width="10.5703125" style="274" hidden="1" customWidth="1"/>
    <col min="9" max="9" width="9.7109375" style="274" hidden="1" customWidth="1"/>
    <col min="10" max="10" width="10.140625" style="274" customWidth="1"/>
    <col min="11" max="11" width="10.85546875" style="274" customWidth="1"/>
    <col min="12" max="12" width="10.7109375" style="274" customWidth="1"/>
    <col min="13" max="13" width="19.7109375" style="263" customWidth="1"/>
    <col min="14" max="14" width="34.28515625" style="274" hidden="1" customWidth="1"/>
    <col min="15" max="16384" width="9.140625" style="274"/>
  </cols>
  <sheetData>
    <row r="1" spans="1:14" x14ac:dyDescent="0.25">
      <c r="A1" s="1989" t="s">
        <v>1195</v>
      </c>
      <c r="B1" s="1989"/>
      <c r="C1" s="274" t="s">
        <v>118</v>
      </c>
      <c r="G1" s="274"/>
    </row>
    <row r="2" spans="1:14" x14ac:dyDescent="0.25">
      <c r="A2" s="1989" t="s">
        <v>1196</v>
      </c>
      <c r="B2" s="1989"/>
      <c r="C2" s="1537">
        <v>90000056357</v>
      </c>
      <c r="D2" s="1537"/>
      <c r="G2" s="274"/>
    </row>
    <row r="3" spans="1:14" x14ac:dyDescent="0.25">
      <c r="A3" s="266"/>
      <c r="B3" s="266"/>
      <c r="C3" s="1537"/>
      <c r="D3" s="266"/>
      <c r="E3" s="266"/>
      <c r="F3" s="266"/>
      <c r="G3" s="345"/>
      <c r="H3" s="266"/>
      <c r="I3" s="266"/>
      <c r="J3" s="266"/>
      <c r="K3" s="645"/>
    </row>
    <row r="4" spans="1:14" ht="15.75" x14ac:dyDescent="0.25">
      <c r="A4" s="1990" t="s">
        <v>1634</v>
      </c>
      <c r="B4" s="1990"/>
      <c r="C4" s="1990"/>
      <c r="D4" s="1990"/>
      <c r="E4" s="1990"/>
      <c r="F4" s="1990"/>
      <c r="G4" s="1990"/>
      <c r="H4" s="1990"/>
      <c r="I4" s="1990"/>
      <c r="J4" s="1990"/>
      <c r="K4" s="1990"/>
    </row>
    <row r="5" spans="1:14" ht="15.75" x14ac:dyDescent="0.25">
      <c r="A5" s="646"/>
      <c r="B5" s="646"/>
      <c r="C5" s="1539"/>
      <c r="D5" s="646"/>
      <c r="E5" s="646"/>
      <c r="F5" s="646"/>
      <c r="G5" s="647"/>
      <c r="H5" s="646"/>
      <c r="I5" s="646"/>
      <c r="J5" s="646"/>
      <c r="K5" s="646"/>
    </row>
    <row r="6" spans="1:14" ht="15.75" x14ac:dyDescent="0.25">
      <c r="A6" s="1989" t="s">
        <v>121</v>
      </c>
      <c r="B6" s="1989"/>
      <c r="C6" s="1609" t="s">
        <v>1635</v>
      </c>
      <c r="D6" s="1609"/>
      <c r="E6" s="1609"/>
      <c r="F6" s="1609"/>
      <c r="G6" s="1609"/>
      <c r="H6" s="1609"/>
      <c r="I6" s="1609"/>
      <c r="J6" s="1609"/>
      <c r="K6" s="1609"/>
    </row>
    <row r="7" spans="1:14" s="244" customFormat="1" ht="12.75" customHeight="1" x14ac:dyDescent="0.2">
      <c r="A7" s="367" t="s">
        <v>123</v>
      </c>
      <c r="B7" s="367"/>
      <c r="C7" s="678" t="s">
        <v>551</v>
      </c>
      <c r="D7" s="678"/>
      <c r="E7" s="678"/>
      <c r="F7" s="678"/>
      <c r="G7" s="678"/>
      <c r="H7" s="678"/>
      <c r="I7" s="678"/>
      <c r="J7" s="678"/>
      <c r="K7" s="678"/>
      <c r="L7" s="678"/>
      <c r="M7" s="1527"/>
      <c r="N7" s="552"/>
    </row>
    <row r="8" spans="1:14" s="244" customFormat="1" ht="12.75" customHeight="1" x14ac:dyDescent="0.2">
      <c r="A8" s="558" t="s">
        <v>125</v>
      </c>
      <c r="B8" s="558"/>
      <c r="C8" s="1540" t="s">
        <v>3369</v>
      </c>
      <c r="D8" s="648"/>
      <c r="E8" s="649"/>
      <c r="F8" s="649"/>
      <c r="G8" s="649"/>
      <c r="H8" s="649"/>
      <c r="I8" s="649"/>
      <c r="J8" s="649"/>
      <c r="K8" s="650"/>
      <c r="L8" s="649"/>
      <c r="M8" s="572"/>
      <c r="N8" s="572"/>
    </row>
    <row r="9" spans="1:14" s="244" customFormat="1" ht="27.75" customHeight="1" x14ac:dyDescent="0.2">
      <c r="A9" s="1987" t="s">
        <v>1</v>
      </c>
      <c r="B9" s="1870" t="s">
        <v>127</v>
      </c>
      <c r="C9" s="1994"/>
      <c r="D9" s="1870" t="s">
        <v>520</v>
      </c>
      <c r="E9" s="1994"/>
      <c r="F9" s="1870" t="s">
        <v>521</v>
      </c>
      <c r="G9" s="1994"/>
      <c r="H9" s="1870" t="s">
        <v>522</v>
      </c>
      <c r="I9" s="1994"/>
      <c r="J9" s="1987" t="s">
        <v>129</v>
      </c>
      <c r="K9" s="1797" t="s">
        <v>3357</v>
      </c>
      <c r="L9" s="1798"/>
      <c r="M9" s="1987" t="s">
        <v>11</v>
      </c>
      <c r="N9" s="1987" t="s">
        <v>131</v>
      </c>
    </row>
    <row r="10" spans="1:14" s="244" customFormat="1" ht="24" x14ac:dyDescent="0.2">
      <c r="A10" s="1988"/>
      <c r="B10" s="1871"/>
      <c r="C10" s="1995"/>
      <c r="D10" s="251" t="s">
        <v>524</v>
      </c>
      <c r="E10" s="251" t="s">
        <v>525</v>
      </c>
      <c r="F10" s="251" t="s">
        <v>524</v>
      </c>
      <c r="G10" s="251" t="s">
        <v>525</v>
      </c>
      <c r="H10" s="251" t="s">
        <v>524</v>
      </c>
      <c r="I10" s="251" t="s">
        <v>525</v>
      </c>
      <c r="J10" s="1988"/>
      <c r="K10" s="251" t="s">
        <v>524</v>
      </c>
      <c r="L10" s="251" t="s">
        <v>525</v>
      </c>
      <c r="M10" s="1988"/>
      <c r="N10" s="1988"/>
    </row>
    <row r="11" spans="1:14" s="244" customFormat="1" ht="12" customHeight="1" x14ac:dyDescent="0.2">
      <c r="A11" s="1807" t="s">
        <v>526</v>
      </c>
      <c r="B11" s="1808"/>
      <c r="C11" s="1809"/>
      <c r="D11" s="573">
        <f>SUM(D13:D31)</f>
        <v>205115</v>
      </c>
      <c r="E11" s="573">
        <f t="shared" ref="E11:I11" si="0">SUM(E13:E31)</f>
        <v>5265</v>
      </c>
      <c r="F11" s="573">
        <f t="shared" si="0"/>
        <v>166115</v>
      </c>
      <c r="G11" s="573">
        <f t="shared" si="0"/>
        <v>3700</v>
      </c>
      <c r="H11" s="573">
        <f t="shared" si="0"/>
        <v>170000</v>
      </c>
      <c r="I11" s="573">
        <f t="shared" si="0"/>
        <v>1500</v>
      </c>
      <c r="J11" s="651"/>
      <c r="K11" s="573">
        <f>SUM(K13:K31)</f>
        <v>134298</v>
      </c>
      <c r="L11" s="573">
        <f>SUM(L13:L31)</f>
        <v>4302</v>
      </c>
      <c r="M11" s="1611"/>
      <c r="N11" s="253"/>
    </row>
    <row r="12" spans="1:14" s="244" customFormat="1" ht="15" customHeight="1" x14ac:dyDescent="0.2">
      <c r="A12" s="652">
        <v>1</v>
      </c>
      <c r="B12" s="1996" t="s">
        <v>1636</v>
      </c>
      <c r="C12" s="1968"/>
      <c r="D12" s="573"/>
      <c r="E12" s="573"/>
      <c r="F12" s="573"/>
      <c r="G12" s="573"/>
      <c r="H12" s="573"/>
      <c r="I12" s="573"/>
      <c r="J12" s="651"/>
      <c r="K12" s="573"/>
      <c r="L12" s="573"/>
      <c r="M12" s="1611"/>
      <c r="N12" s="253"/>
    </row>
    <row r="13" spans="1:14" s="244" customFormat="1" ht="36" x14ac:dyDescent="0.2">
      <c r="A13" s="258">
        <v>1.1000000000000001</v>
      </c>
      <c r="B13" s="1803" t="s">
        <v>1637</v>
      </c>
      <c r="C13" s="1804"/>
      <c r="D13" s="272">
        <v>29000</v>
      </c>
      <c r="E13" s="272"/>
      <c r="F13" s="272">
        <v>29000</v>
      </c>
      <c r="G13" s="272"/>
      <c r="H13" s="272">
        <v>29000</v>
      </c>
      <c r="I13" s="272"/>
      <c r="J13" s="454">
        <v>2314</v>
      </c>
      <c r="K13" s="272">
        <v>29000</v>
      </c>
      <c r="L13" s="453"/>
      <c r="M13" s="1526" t="s">
        <v>1638</v>
      </c>
      <c r="N13" s="272" t="s">
        <v>1639</v>
      </c>
    </row>
    <row r="14" spans="1:14" s="244" customFormat="1" ht="48" x14ac:dyDescent="0.2">
      <c r="A14" s="258">
        <v>1.2</v>
      </c>
      <c r="B14" s="1803" t="s">
        <v>1640</v>
      </c>
      <c r="C14" s="1804"/>
      <c r="D14" s="272">
        <v>5500</v>
      </c>
      <c r="E14" s="272"/>
      <c r="F14" s="272">
        <v>5500</v>
      </c>
      <c r="G14" s="272"/>
      <c r="H14" s="272">
        <v>5500</v>
      </c>
      <c r="I14" s="272"/>
      <c r="J14" s="454">
        <v>2232</v>
      </c>
      <c r="K14" s="272">
        <f>1500+2000</f>
        <v>3500</v>
      </c>
      <c r="L14" s="453"/>
      <c r="M14" s="1526" t="s">
        <v>1641</v>
      </c>
      <c r="N14" s="272" t="s">
        <v>1642</v>
      </c>
    </row>
    <row r="15" spans="1:14" s="244" customFormat="1" ht="48" x14ac:dyDescent="0.2">
      <c r="A15" s="258">
        <v>1.3</v>
      </c>
      <c r="B15" s="1803" t="s">
        <v>1643</v>
      </c>
      <c r="C15" s="1804"/>
      <c r="D15" s="272">
        <v>11775</v>
      </c>
      <c r="E15" s="272"/>
      <c r="F15" s="272">
        <v>11775</v>
      </c>
      <c r="G15" s="272"/>
      <c r="H15" s="272">
        <v>3000</v>
      </c>
      <c r="I15" s="272"/>
      <c r="J15" s="454">
        <v>5140</v>
      </c>
      <c r="K15" s="272">
        <v>2500</v>
      </c>
      <c r="L15" s="453"/>
      <c r="M15" s="1526" t="s">
        <v>1644</v>
      </c>
      <c r="N15" s="272" t="s">
        <v>1645</v>
      </c>
    </row>
    <row r="16" spans="1:14" s="244" customFormat="1" ht="93.75" customHeight="1" x14ac:dyDescent="0.2">
      <c r="A16" s="258">
        <v>1.4</v>
      </c>
      <c r="B16" s="1803" t="s">
        <v>1646</v>
      </c>
      <c r="C16" s="1804"/>
      <c r="D16" s="272">
        <v>100000</v>
      </c>
      <c r="E16" s="272">
        <v>2200</v>
      </c>
      <c r="F16" s="272">
        <v>80000</v>
      </c>
      <c r="G16" s="416">
        <v>2200</v>
      </c>
      <c r="H16" s="272">
        <v>120000</v>
      </c>
      <c r="I16" s="272"/>
      <c r="J16" s="454">
        <v>2239</v>
      </c>
      <c r="K16" s="272">
        <f>90000-2802</f>
        <v>87198</v>
      </c>
      <c r="L16" s="453">
        <v>2802</v>
      </c>
      <c r="M16" s="1526" t="s">
        <v>1647</v>
      </c>
      <c r="N16" s="272" t="s">
        <v>1648</v>
      </c>
    </row>
    <row r="17" spans="1:14" s="244" customFormat="1" ht="66" hidden="1" customHeight="1" x14ac:dyDescent="0.2">
      <c r="A17" s="258">
        <v>1.5</v>
      </c>
      <c r="B17" s="1803" t="s">
        <v>1649</v>
      </c>
      <c r="C17" s="1804"/>
      <c r="D17" s="255">
        <v>20000</v>
      </c>
      <c r="E17" s="272"/>
      <c r="F17" s="272">
        <v>7000</v>
      </c>
      <c r="G17" s="272"/>
      <c r="H17" s="272"/>
      <c r="I17" s="272"/>
      <c r="J17" s="256">
        <v>2239</v>
      </c>
      <c r="K17" s="272"/>
      <c r="L17" s="453"/>
      <c r="M17" s="1526" t="s">
        <v>1650</v>
      </c>
      <c r="N17" s="272" t="s">
        <v>1651</v>
      </c>
    </row>
    <row r="18" spans="1:14" s="244" customFormat="1" ht="31.5" customHeight="1" x14ac:dyDescent="0.2">
      <c r="A18" s="258">
        <v>1.5</v>
      </c>
      <c r="B18" s="1803" t="s">
        <v>1652</v>
      </c>
      <c r="C18" s="1804"/>
      <c r="D18" s="272">
        <v>20000</v>
      </c>
      <c r="E18" s="272"/>
      <c r="F18" s="272">
        <v>14000</v>
      </c>
      <c r="G18" s="272"/>
      <c r="H18" s="272">
        <v>8000</v>
      </c>
      <c r="I18" s="272"/>
      <c r="J18" s="454">
        <v>5110</v>
      </c>
      <c r="K18" s="272">
        <v>7600</v>
      </c>
      <c r="L18" s="453"/>
      <c r="M18" s="1526" t="s">
        <v>1653</v>
      </c>
      <c r="N18" s="272" t="s">
        <v>1654</v>
      </c>
    </row>
    <row r="19" spans="1:14" s="244" customFormat="1" ht="24" hidden="1" x14ac:dyDescent="0.2">
      <c r="A19" s="258">
        <v>1.7</v>
      </c>
      <c r="B19" s="1803" t="s">
        <v>1655</v>
      </c>
      <c r="C19" s="1804"/>
      <c r="D19" s="272">
        <v>8500</v>
      </c>
      <c r="E19" s="272"/>
      <c r="F19" s="272">
        <v>8500</v>
      </c>
      <c r="G19" s="272"/>
      <c r="H19" s="272"/>
      <c r="I19" s="272"/>
      <c r="J19" s="256">
        <v>5239</v>
      </c>
      <c r="K19" s="272"/>
      <c r="L19" s="453"/>
      <c r="M19" s="1526" t="s">
        <v>1656</v>
      </c>
      <c r="N19" s="272" t="s">
        <v>1657</v>
      </c>
    </row>
    <row r="20" spans="1:14" s="244" customFormat="1" ht="42.75" customHeight="1" x14ac:dyDescent="0.2">
      <c r="A20" s="258">
        <v>1.6</v>
      </c>
      <c r="B20" s="1803" t="s">
        <v>1658</v>
      </c>
      <c r="C20" s="1804"/>
      <c r="D20" s="272">
        <v>4000</v>
      </c>
      <c r="E20" s="272"/>
      <c r="F20" s="272">
        <v>4000</v>
      </c>
      <c r="G20" s="272"/>
      <c r="H20" s="272">
        <v>4000</v>
      </c>
      <c r="I20" s="272"/>
      <c r="J20" s="454">
        <v>2231</v>
      </c>
      <c r="K20" s="272">
        <v>4000</v>
      </c>
      <c r="L20" s="453"/>
      <c r="M20" s="1526" t="s">
        <v>1659</v>
      </c>
      <c r="N20" s="272" t="s">
        <v>1660</v>
      </c>
    </row>
    <row r="21" spans="1:14" s="244" customFormat="1" ht="18" customHeight="1" x14ac:dyDescent="0.2">
      <c r="A21" s="258">
        <v>1.7</v>
      </c>
      <c r="B21" s="1803" t="s">
        <v>1661</v>
      </c>
      <c r="C21" s="1804"/>
      <c r="D21" s="272">
        <v>0</v>
      </c>
      <c r="E21" s="272"/>
      <c r="F21" s="272"/>
      <c r="G21" s="272"/>
      <c r="H21" s="272">
        <v>500</v>
      </c>
      <c r="I21" s="272"/>
      <c r="J21" s="454">
        <v>2210</v>
      </c>
      <c r="K21" s="272">
        <v>500</v>
      </c>
      <c r="L21" s="453"/>
      <c r="M21" s="1526" t="s">
        <v>1659</v>
      </c>
      <c r="N21" s="272" t="s">
        <v>1662</v>
      </c>
    </row>
    <row r="22" spans="1:14" s="244" customFormat="1" ht="24" hidden="1" customHeight="1" x14ac:dyDescent="0.2">
      <c r="A22" s="603">
        <v>2</v>
      </c>
      <c r="B22" s="1976" t="s">
        <v>1663</v>
      </c>
      <c r="C22" s="1977"/>
      <c r="D22" s="272"/>
      <c r="E22" s="272"/>
      <c r="F22" s="272"/>
      <c r="G22" s="272"/>
      <c r="H22" s="272"/>
      <c r="I22" s="272"/>
      <c r="J22" s="256"/>
      <c r="K22" s="272"/>
      <c r="L22" s="453"/>
      <c r="M22" s="1526"/>
      <c r="N22" s="272"/>
    </row>
    <row r="23" spans="1:14" s="244" customFormat="1" ht="24" hidden="1" customHeight="1" x14ac:dyDescent="0.2">
      <c r="A23" s="1795">
        <v>2.1</v>
      </c>
      <c r="B23" s="1799" t="s">
        <v>1664</v>
      </c>
      <c r="C23" s="1800"/>
      <c r="D23" s="272">
        <v>5700</v>
      </c>
      <c r="E23" s="272"/>
      <c r="F23" s="272">
        <v>5700</v>
      </c>
      <c r="G23" s="272"/>
      <c r="H23" s="272"/>
      <c r="I23" s="272"/>
      <c r="J23" s="256">
        <v>2312</v>
      </c>
      <c r="K23" s="272"/>
      <c r="L23" s="453"/>
      <c r="M23" s="1815" t="s">
        <v>1665</v>
      </c>
      <c r="N23" s="1991" t="s">
        <v>1666</v>
      </c>
    </row>
    <row r="24" spans="1:14" s="244" customFormat="1" ht="24" hidden="1" customHeight="1" x14ac:dyDescent="0.2">
      <c r="A24" s="1863"/>
      <c r="B24" s="1889"/>
      <c r="C24" s="1890"/>
      <c r="D24" s="272">
        <v>110</v>
      </c>
      <c r="E24" s="272"/>
      <c r="F24" s="272">
        <v>110</v>
      </c>
      <c r="G24" s="272"/>
      <c r="H24" s="272"/>
      <c r="I24" s="272"/>
      <c r="J24" s="256">
        <v>2243</v>
      </c>
      <c r="K24" s="272"/>
      <c r="L24" s="453"/>
      <c r="M24" s="1887"/>
      <c r="N24" s="1992"/>
    </row>
    <row r="25" spans="1:14" s="244" customFormat="1" ht="24" hidden="1" customHeight="1" x14ac:dyDescent="0.2">
      <c r="A25" s="1796"/>
      <c r="B25" s="1801"/>
      <c r="C25" s="1802"/>
      <c r="D25" s="272">
        <v>530</v>
      </c>
      <c r="E25" s="272"/>
      <c r="F25" s="272">
        <v>530</v>
      </c>
      <c r="G25" s="272"/>
      <c r="H25" s="272"/>
      <c r="I25" s="272"/>
      <c r="J25" s="259">
        <v>2239</v>
      </c>
      <c r="K25" s="272"/>
      <c r="L25" s="453"/>
      <c r="M25" s="1816"/>
      <c r="N25" s="1993"/>
    </row>
    <row r="26" spans="1:14" s="367" customFormat="1" ht="15" customHeight="1" x14ac:dyDescent="0.2">
      <c r="A26" s="653">
        <v>2</v>
      </c>
      <c r="B26" s="2009" t="s">
        <v>1667</v>
      </c>
      <c r="C26" s="2010"/>
      <c r="D26" s="453"/>
      <c r="E26" s="453">
        <v>1175</v>
      </c>
      <c r="F26" s="453"/>
      <c r="G26" s="453">
        <v>500</v>
      </c>
      <c r="H26" s="453"/>
      <c r="I26" s="453">
        <v>500</v>
      </c>
      <c r="J26" s="454">
        <v>2512</v>
      </c>
      <c r="K26" s="272"/>
      <c r="L26" s="453">
        <v>500</v>
      </c>
      <c r="M26" s="1526" t="s">
        <v>1668</v>
      </c>
      <c r="N26" s="272"/>
    </row>
    <row r="27" spans="1:14" s="367" customFormat="1" ht="24" customHeight="1" x14ac:dyDescent="0.2">
      <c r="A27" s="653">
        <v>3</v>
      </c>
      <c r="B27" s="1976" t="s">
        <v>1669</v>
      </c>
      <c r="C27" s="1977"/>
      <c r="D27" s="453"/>
      <c r="E27" s="453">
        <v>1890</v>
      </c>
      <c r="F27" s="453"/>
      <c r="G27" s="453">
        <v>1000</v>
      </c>
      <c r="H27" s="453"/>
      <c r="I27" s="453">
        <v>1000</v>
      </c>
      <c r="J27" s="454">
        <v>2390</v>
      </c>
      <c r="K27" s="272"/>
      <c r="L27" s="453">
        <v>1000</v>
      </c>
      <c r="M27" s="1526" t="s">
        <v>1668</v>
      </c>
      <c r="N27" s="272"/>
    </row>
    <row r="28" spans="1:14" s="367" customFormat="1" hidden="1" x14ac:dyDescent="0.2">
      <c r="A28" s="258"/>
      <c r="B28" s="279"/>
      <c r="C28" s="279"/>
      <c r="D28" s="272"/>
      <c r="E28" s="272"/>
      <c r="F28" s="272"/>
      <c r="G28" s="272"/>
      <c r="H28" s="272"/>
      <c r="I28" s="272"/>
      <c r="J28" s="256"/>
      <c r="K28" s="272"/>
      <c r="L28" s="272"/>
      <c r="M28" s="1526"/>
      <c r="N28" s="272"/>
    </row>
    <row r="29" spans="1:14" ht="15.75" x14ac:dyDescent="0.25">
      <c r="A29" s="266"/>
      <c r="B29" s="266"/>
      <c r="C29" s="1537"/>
      <c r="D29" s="654"/>
      <c r="E29" s="654"/>
      <c r="F29" s="654"/>
      <c r="G29" s="654"/>
      <c r="H29" s="654"/>
      <c r="I29" s="654"/>
      <c r="J29" s="654"/>
      <c r="K29" s="654"/>
    </row>
    <row r="30" spans="1:14" x14ac:dyDescent="0.25">
      <c r="A30" s="1989" t="s">
        <v>123</v>
      </c>
      <c r="B30" s="1989"/>
      <c r="C30" s="334" t="s">
        <v>551</v>
      </c>
      <c r="D30" s="334"/>
      <c r="E30" s="334"/>
      <c r="F30" s="334"/>
      <c r="H30" s="334"/>
      <c r="I30" s="334"/>
      <c r="J30" s="334"/>
      <c r="K30" s="334"/>
    </row>
    <row r="31" spans="1:14" x14ac:dyDescent="0.25">
      <c r="A31" s="1989" t="s">
        <v>125</v>
      </c>
      <c r="B31" s="1989"/>
      <c r="C31" s="284" t="s">
        <v>552</v>
      </c>
      <c r="D31" s="284"/>
      <c r="E31" s="284"/>
      <c r="F31" s="284"/>
      <c r="G31" s="284"/>
      <c r="H31" s="284"/>
      <c r="I31" s="284"/>
      <c r="J31" s="284"/>
      <c r="K31" s="284"/>
    </row>
    <row r="32" spans="1:14" s="244" customFormat="1" ht="27.75" customHeight="1" x14ac:dyDescent="0.2">
      <c r="A32" s="1987" t="s">
        <v>1</v>
      </c>
      <c r="B32" s="1870" t="s">
        <v>127</v>
      </c>
      <c r="C32" s="1994"/>
      <c r="D32" s="1864" t="s">
        <v>520</v>
      </c>
      <c r="E32" s="1864"/>
      <c r="F32" s="1864" t="s">
        <v>521</v>
      </c>
      <c r="G32" s="1864"/>
      <c r="H32" s="1864" t="s">
        <v>522</v>
      </c>
      <c r="I32" s="1864"/>
      <c r="J32" s="1864" t="s">
        <v>129</v>
      </c>
      <c r="K32" s="1864" t="s">
        <v>3357</v>
      </c>
      <c r="L32" s="1864"/>
      <c r="M32" s="1864" t="s">
        <v>11</v>
      </c>
      <c r="N32" s="1864" t="s">
        <v>131</v>
      </c>
    </row>
    <row r="33" spans="1:14" s="244" customFormat="1" ht="24" x14ac:dyDescent="0.2">
      <c r="A33" s="1988"/>
      <c r="B33" s="1871"/>
      <c r="C33" s="1995"/>
      <c r="D33" s="251" t="s">
        <v>524</v>
      </c>
      <c r="E33" s="251" t="s">
        <v>525</v>
      </c>
      <c r="F33" s="251" t="s">
        <v>524</v>
      </c>
      <c r="G33" s="251" t="s">
        <v>525</v>
      </c>
      <c r="H33" s="251" t="s">
        <v>524</v>
      </c>
      <c r="I33" s="251" t="s">
        <v>525</v>
      </c>
      <c r="J33" s="1864"/>
      <c r="K33" s="251" t="s">
        <v>524</v>
      </c>
      <c r="L33" s="251" t="s">
        <v>525</v>
      </c>
      <c r="M33" s="1864"/>
      <c r="N33" s="1864"/>
    </row>
    <row r="34" spans="1:14" ht="12.75" customHeight="1" x14ac:dyDescent="0.25">
      <c r="A34" s="1856" t="s">
        <v>132</v>
      </c>
      <c r="B34" s="1857"/>
      <c r="C34" s="1858"/>
      <c r="D34" s="297">
        <f>SUM(D35:D38)</f>
        <v>98100</v>
      </c>
      <c r="E34" s="297">
        <f>SUM(E35:E38)</f>
        <v>0</v>
      </c>
      <c r="F34" s="298">
        <f>F35+F36+F37+F38</f>
        <v>63681</v>
      </c>
      <c r="G34" s="298">
        <f>G35+G36+G37+G38</f>
        <v>0</v>
      </c>
      <c r="H34" s="397">
        <f>H35+H36+H37+H38</f>
        <v>98600</v>
      </c>
      <c r="I34" s="397">
        <f>I35+I36+I37+I38</f>
        <v>0</v>
      </c>
      <c r="J34" s="397"/>
      <c r="K34" s="404">
        <f>SUM(K35:K38)</f>
        <v>85500</v>
      </c>
      <c r="L34" s="404">
        <f>SUM(L35:L38)</f>
        <v>0</v>
      </c>
      <c r="M34" s="1612"/>
      <c r="N34" s="656"/>
    </row>
    <row r="35" spans="1:14" ht="57.75" customHeight="1" x14ac:dyDescent="0.25">
      <c r="A35" s="299">
        <v>1</v>
      </c>
      <c r="B35" s="1747" t="s">
        <v>1670</v>
      </c>
      <c r="C35" s="1997"/>
      <c r="D35" s="657">
        <v>60000</v>
      </c>
      <c r="E35" s="278"/>
      <c r="F35" s="278">
        <v>48000</v>
      </c>
      <c r="G35" s="278"/>
      <c r="H35" s="272">
        <v>60000</v>
      </c>
      <c r="I35" s="272"/>
      <c r="J35" s="256">
        <v>2239</v>
      </c>
      <c r="K35" s="272">
        <v>50000</v>
      </c>
      <c r="L35" s="655"/>
      <c r="M35" s="1526" t="s">
        <v>1671</v>
      </c>
      <c r="N35" s="279" t="s">
        <v>1672</v>
      </c>
    </row>
    <row r="36" spans="1:14" ht="44.25" customHeight="1" x14ac:dyDescent="0.25">
      <c r="A36" s="299">
        <v>2</v>
      </c>
      <c r="B36" s="1747" t="s">
        <v>1673</v>
      </c>
      <c r="C36" s="1997"/>
      <c r="D36" s="657">
        <v>6000</v>
      </c>
      <c r="E36" s="278"/>
      <c r="F36" s="278">
        <v>6000</v>
      </c>
      <c r="G36" s="278"/>
      <c r="H36" s="272">
        <v>6000</v>
      </c>
      <c r="I36" s="272"/>
      <c r="J36" s="256">
        <v>2314</v>
      </c>
      <c r="K36" s="272">
        <v>6000</v>
      </c>
      <c r="L36" s="655"/>
      <c r="M36" s="1526" t="s">
        <v>1674</v>
      </c>
      <c r="N36" s="279" t="s">
        <v>1675</v>
      </c>
    </row>
    <row r="37" spans="1:14" ht="48" x14ac:dyDescent="0.25">
      <c r="A37" s="299">
        <v>3</v>
      </c>
      <c r="B37" s="1747" t="s">
        <v>1676</v>
      </c>
      <c r="C37" s="1748"/>
      <c r="D37" s="306">
        <v>22100</v>
      </c>
      <c r="E37" s="278"/>
      <c r="F37" s="278">
        <v>2300</v>
      </c>
      <c r="G37" s="278"/>
      <c r="H37" s="272">
        <v>22100</v>
      </c>
      <c r="I37" s="272"/>
      <c r="J37" s="259">
        <v>2239</v>
      </c>
      <c r="K37" s="272">
        <v>22100</v>
      </c>
      <c r="L37" s="655"/>
      <c r="M37" s="1526" t="s">
        <v>1677</v>
      </c>
      <c r="N37" s="279" t="s">
        <v>1678</v>
      </c>
    </row>
    <row r="38" spans="1:14" ht="45" customHeight="1" x14ac:dyDescent="0.25">
      <c r="A38" s="299">
        <v>4</v>
      </c>
      <c r="B38" s="1747" t="s">
        <v>1679</v>
      </c>
      <c r="C38" s="1748"/>
      <c r="D38" s="306">
        <v>10000</v>
      </c>
      <c r="E38" s="278"/>
      <c r="F38" s="278">
        <v>7381</v>
      </c>
      <c r="G38" s="278"/>
      <c r="H38" s="272">
        <v>10500</v>
      </c>
      <c r="I38" s="272"/>
      <c r="J38" s="256">
        <v>5234</v>
      </c>
      <c r="K38" s="272">
        <v>7400</v>
      </c>
      <c r="L38" s="655"/>
      <c r="M38" s="1526" t="s">
        <v>1680</v>
      </c>
      <c r="N38" s="279" t="s">
        <v>1681</v>
      </c>
    </row>
    <row r="39" spans="1:14" x14ac:dyDescent="0.25">
      <c r="A39" s="330"/>
      <c r="B39" s="330"/>
      <c r="C39" s="330"/>
      <c r="D39" s="330"/>
      <c r="E39" s="330"/>
      <c r="F39" s="330"/>
      <c r="G39" s="330"/>
      <c r="H39" s="658"/>
      <c r="I39" s="658"/>
      <c r="J39" s="658"/>
      <c r="K39" s="658"/>
    </row>
    <row r="40" spans="1:14" x14ac:dyDescent="0.25">
      <c r="A40" s="1989" t="s">
        <v>123</v>
      </c>
      <c r="B40" s="1989"/>
      <c r="C40" s="274" t="s">
        <v>376</v>
      </c>
      <c r="G40" s="274"/>
    </row>
    <row r="41" spans="1:14" x14ac:dyDescent="0.25">
      <c r="A41" s="1989" t="s">
        <v>125</v>
      </c>
      <c r="B41" s="1989"/>
      <c r="C41" s="1610" t="s">
        <v>377</v>
      </c>
      <c r="D41" s="1610"/>
      <c r="E41" s="1610"/>
      <c r="F41" s="1610"/>
      <c r="G41" s="1610"/>
      <c r="H41" s="1610"/>
      <c r="I41" s="1610"/>
      <c r="J41" s="1610"/>
      <c r="K41" s="1610"/>
    </row>
    <row r="42" spans="1:14" s="244" customFormat="1" ht="27.75" customHeight="1" x14ac:dyDescent="0.2">
      <c r="A42" s="1864" t="s">
        <v>1</v>
      </c>
      <c r="B42" s="1870" t="s">
        <v>127</v>
      </c>
      <c r="C42" s="1994"/>
      <c r="D42" s="1864" t="s">
        <v>520</v>
      </c>
      <c r="E42" s="1864"/>
      <c r="F42" s="1864" t="s">
        <v>521</v>
      </c>
      <c r="G42" s="1864"/>
      <c r="H42" s="1864" t="s">
        <v>522</v>
      </c>
      <c r="I42" s="1864"/>
      <c r="J42" s="1864" t="s">
        <v>129</v>
      </c>
      <c r="K42" s="1864" t="s">
        <v>3357</v>
      </c>
      <c r="L42" s="1864"/>
      <c r="M42" s="1864" t="s">
        <v>11</v>
      </c>
      <c r="N42" s="1864" t="s">
        <v>131</v>
      </c>
    </row>
    <row r="43" spans="1:14" s="244" customFormat="1" ht="24" x14ac:dyDescent="0.2">
      <c r="A43" s="1864"/>
      <c r="B43" s="1871"/>
      <c r="C43" s="1995"/>
      <c r="D43" s="251" t="s">
        <v>524</v>
      </c>
      <c r="E43" s="251" t="s">
        <v>525</v>
      </c>
      <c r="F43" s="251" t="s">
        <v>524</v>
      </c>
      <c r="G43" s="251" t="s">
        <v>525</v>
      </c>
      <c r="H43" s="251" t="s">
        <v>524</v>
      </c>
      <c r="I43" s="251" t="s">
        <v>525</v>
      </c>
      <c r="J43" s="1864"/>
      <c r="K43" s="251" t="s">
        <v>524</v>
      </c>
      <c r="L43" s="251" t="s">
        <v>525</v>
      </c>
      <c r="M43" s="1864"/>
      <c r="N43" s="1864"/>
    </row>
    <row r="44" spans="1:14" ht="12.75" customHeight="1" x14ac:dyDescent="0.25">
      <c r="A44" s="1856" t="s">
        <v>132</v>
      </c>
      <c r="B44" s="1857"/>
      <c r="C44" s="1858"/>
      <c r="D44" s="298">
        <f>SUM(D45:D55)</f>
        <v>385550</v>
      </c>
      <c r="E44" s="659">
        <f>SUM(E45:E55)</f>
        <v>0</v>
      </c>
      <c r="F44" s="298">
        <f>SUM(F45:F55)</f>
        <v>353258</v>
      </c>
      <c r="G44" s="298">
        <f>SUM(G45:G55)</f>
        <v>0</v>
      </c>
      <c r="H44" s="397">
        <f>SUM(H45:H54)</f>
        <v>372950</v>
      </c>
      <c r="I44" s="397">
        <f>SUM(I45:I54)</f>
        <v>0</v>
      </c>
      <c r="J44" s="397"/>
      <c r="K44" s="397">
        <f>SUM(K45:K55)</f>
        <v>344200</v>
      </c>
      <c r="L44" s="397">
        <f>SUM(L45:L55)</f>
        <v>0</v>
      </c>
      <c r="M44" s="1612"/>
      <c r="N44" s="655"/>
    </row>
    <row r="45" spans="1:14" ht="54" customHeight="1" x14ac:dyDescent="0.25">
      <c r="A45" s="299">
        <v>1</v>
      </c>
      <c r="B45" s="1747" t="s">
        <v>1682</v>
      </c>
      <c r="C45" s="1748"/>
      <c r="D45" s="278">
        <v>177000</v>
      </c>
      <c r="E45" s="278"/>
      <c r="F45" s="278">
        <v>175000</v>
      </c>
      <c r="G45" s="278"/>
      <c r="H45" s="272">
        <v>183000</v>
      </c>
      <c r="I45" s="272"/>
      <c r="J45" s="256">
        <v>2239</v>
      </c>
      <c r="K45" s="416">
        <v>177000</v>
      </c>
      <c r="L45" s="655"/>
      <c r="M45" s="1526" t="s">
        <v>1683</v>
      </c>
      <c r="N45" s="660" t="s">
        <v>1684</v>
      </c>
    </row>
    <row r="46" spans="1:14" ht="84" x14ac:dyDescent="0.25">
      <c r="A46" s="299">
        <v>2</v>
      </c>
      <c r="B46" s="1747" t="s">
        <v>1685</v>
      </c>
      <c r="C46" s="1748"/>
      <c r="D46" s="278">
        <v>100000</v>
      </c>
      <c r="E46" s="278"/>
      <c r="F46" s="278">
        <v>100000</v>
      </c>
      <c r="G46" s="278"/>
      <c r="H46" s="272">
        <v>100000</v>
      </c>
      <c r="I46" s="272"/>
      <c r="J46" s="256">
        <v>2239</v>
      </c>
      <c r="K46" s="416">
        <v>100000</v>
      </c>
      <c r="L46" s="655"/>
      <c r="M46" s="1526" t="s">
        <v>1686</v>
      </c>
      <c r="N46" s="279" t="s">
        <v>1687</v>
      </c>
    </row>
    <row r="47" spans="1:14" ht="44.25" customHeight="1" x14ac:dyDescent="0.25">
      <c r="A47" s="1829">
        <v>3</v>
      </c>
      <c r="B47" s="1741" t="s">
        <v>1688</v>
      </c>
      <c r="C47" s="1742"/>
      <c r="D47" s="278">
        <v>29000</v>
      </c>
      <c r="E47" s="278"/>
      <c r="F47" s="278">
        <v>26300</v>
      </c>
      <c r="G47" s="278"/>
      <c r="H47" s="272">
        <v>30500</v>
      </c>
      <c r="I47" s="272"/>
      <c r="J47" s="256">
        <v>2314</v>
      </c>
      <c r="K47" s="416">
        <v>27000</v>
      </c>
      <c r="L47" s="655"/>
      <c r="M47" s="1815" t="s">
        <v>1689</v>
      </c>
      <c r="N47" s="279" t="s">
        <v>1690</v>
      </c>
    </row>
    <row r="48" spans="1:14" ht="23.25" hidden="1" customHeight="1" x14ac:dyDescent="0.25">
      <c r="A48" s="1829"/>
      <c r="B48" s="1745"/>
      <c r="C48" s="1746"/>
      <c r="D48" s="278">
        <v>5500</v>
      </c>
      <c r="E48" s="278"/>
      <c r="F48" s="278">
        <v>1452</v>
      </c>
      <c r="G48" s="278"/>
      <c r="H48" s="272">
        <v>0</v>
      </c>
      <c r="I48" s="272"/>
      <c r="J48" s="256">
        <v>5239</v>
      </c>
      <c r="K48" s="416"/>
      <c r="L48" s="655"/>
      <c r="M48" s="1816"/>
      <c r="N48" s="279" t="s">
        <v>1691</v>
      </c>
    </row>
    <row r="49" spans="1:14" ht="22.5" hidden="1" customHeight="1" x14ac:dyDescent="0.25">
      <c r="A49" s="299">
        <v>4</v>
      </c>
      <c r="B49" s="1747" t="s">
        <v>1692</v>
      </c>
      <c r="C49" s="1748"/>
      <c r="D49" s="278">
        <v>12100</v>
      </c>
      <c r="E49" s="278"/>
      <c r="F49" s="278">
        <v>0</v>
      </c>
      <c r="G49" s="278"/>
      <c r="H49" s="272">
        <v>12100</v>
      </c>
      <c r="I49" s="272"/>
      <c r="J49" s="256">
        <v>5110</v>
      </c>
      <c r="K49" s="416">
        <f>12100-12100</f>
        <v>0</v>
      </c>
      <c r="L49" s="655"/>
      <c r="M49" s="1526" t="s">
        <v>1693</v>
      </c>
      <c r="N49" s="279" t="s">
        <v>1694</v>
      </c>
    </row>
    <row r="50" spans="1:14" ht="24.75" customHeight="1" x14ac:dyDescent="0.25">
      <c r="A50" s="299">
        <v>5</v>
      </c>
      <c r="B50" s="1747" t="s">
        <v>1695</v>
      </c>
      <c r="C50" s="1748"/>
      <c r="D50" s="278">
        <v>4000</v>
      </c>
      <c r="E50" s="278"/>
      <c r="F50" s="278">
        <v>4000</v>
      </c>
      <c r="G50" s="278"/>
      <c r="H50" s="272">
        <v>4000</v>
      </c>
      <c r="I50" s="272"/>
      <c r="J50" s="256">
        <v>2231</v>
      </c>
      <c r="K50" s="416">
        <v>4000</v>
      </c>
      <c r="L50" s="655"/>
      <c r="M50" s="1526" t="s">
        <v>1696</v>
      </c>
      <c r="N50" s="279" t="s">
        <v>1697</v>
      </c>
    </row>
    <row r="51" spans="1:14" ht="70.5" customHeight="1" x14ac:dyDescent="0.25">
      <c r="A51" s="326">
        <v>6</v>
      </c>
      <c r="B51" s="1747" t="s">
        <v>1698</v>
      </c>
      <c r="C51" s="1748"/>
      <c r="D51" s="278">
        <v>37343</v>
      </c>
      <c r="E51" s="278"/>
      <c r="F51" s="278">
        <v>31800</v>
      </c>
      <c r="G51" s="278"/>
      <c r="H51" s="272">
        <v>39000</v>
      </c>
      <c r="I51" s="272"/>
      <c r="J51" s="259">
        <v>2239</v>
      </c>
      <c r="K51" s="416">
        <v>32000</v>
      </c>
      <c r="L51" s="655"/>
      <c r="M51" s="1526" t="s">
        <v>3370</v>
      </c>
      <c r="N51" s="279" t="s">
        <v>1699</v>
      </c>
    </row>
    <row r="52" spans="1:14" ht="26.25" customHeight="1" x14ac:dyDescent="0.25">
      <c r="A52" s="1829">
        <v>7</v>
      </c>
      <c r="B52" s="1741" t="s">
        <v>1700</v>
      </c>
      <c r="C52" s="1742"/>
      <c r="D52" s="278">
        <v>5000</v>
      </c>
      <c r="E52" s="278"/>
      <c r="F52" s="278">
        <v>4500</v>
      </c>
      <c r="G52" s="278"/>
      <c r="H52" s="272">
        <v>4000</v>
      </c>
      <c r="I52" s="272"/>
      <c r="J52" s="256">
        <v>1150</v>
      </c>
      <c r="K52" s="416">
        <v>4000</v>
      </c>
      <c r="L52" s="655"/>
      <c r="M52" s="1815" t="s">
        <v>1693</v>
      </c>
      <c r="N52" s="1879" t="s">
        <v>1701</v>
      </c>
    </row>
    <row r="53" spans="1:14" ht="26.25" customHeight="1" x14ac:dyDescent="0.25">
      <c r="A53" s="1829"/>
      <c r="B53" s="1745"/>
      <c r="C53" s="1746"/>
      <c r="D53" s="278">
        <v>350</v>
      </c>
      <c r="E53" s="278"/>
      <c r="F53" s="278">
        <v>350</v>
      </c>
      <c r="G53" s="301"/>
      <c r="H53" s="272">
        <v>350</v>
      </c>
      <c r="I53" s="272"/>
      <c r="J53" s="256">
        <v>1210</v>
      </c>
      <c r="K53" s="416">
        <v>200</v>
      </c>
      <c r="L53" s="655"/>
      <c r="M53" s="1816"/>
      <c r="N53" s="1879"/>
    </row>
    <row r="54" spans="1:14" ht="24" hidden="1" x14ac:dyDescent="0.25">
      <c r="A54" s="299">
        <v>8</v>
      </c>
      <c r="B54" s="1747" t="s">
        <v>1702</v>
      </c>
      <c r="C54" s="1748"/>
      <c r="D54" s="278">
        <v>9257</v>
      </c>
      <c r="E54" s="278"/>
      <c r="F54" s="278">
        <v>9256</v>
      </c>
      <c r="G54" s="278"/>
      <c r="H54" s="272">
        <v>0</v>
      </c>
      <c r="I54" s="272"/>
      <c r="J54" s="256">
        <v>2232</v>
      </c>
      <c r="K54" s="416"/>
      <c r="L54" s="655"/>
      <c r="M54" s="1526" t="s">
        <v>3371</v>
      </c>
      <c r="N54" s="279" t="s">
        <v>1657</v>
      </c>
    </row>
    <row r="55" spans="1:14" ht="36" hidden="1" x14ac:dyDescent="0.25">
      <c r="A55" s="299">
        <v>9</v>
      </c>
      <c r="B55" s="1747" t="s">
        <v>1703</v>
      </c>
      <c r="C55" s="1748"/>
      <c r="D55" s="278">
        <v>6000</v>
      </c>
      <c r="E55" s="278"/>
      <c r="F55" s="301">
        <v>600</v>
      </c>
      <c r="G55" s="278"/>
      <c r="H55" s="272">
        <v>0</v>
      </c>
      <c r="I55" s="272"/>
      <c r="J55" s="256">
        <v>5110</v>
      </c>
      <c r="K55" s="416"/>
      <c r="L55" s="655"/>
      <c r="M55" s="1526" t="s">
        <v>1680</v>
      </c>
      <c r="N55" s="279" t="s">
        <v>1657</v>
      </c>
    </row>
    <row r="56" spans="1:14" hidden="1" x14ac:dyDescent="0.25">
      <c r="A56" s="308"/>
      <c r="B56" s="318"/>
      <c r="C56" s="318"/>
      <c r="D56" s="318"/>
      <c r="E56" s="314"/>
      <c r="F56" s="314"/>
      <c r="G56" s="314"/>
      <c r="H56" s="627"/>
      <c r="I56" s="610"/>
      <c r="J56" s="661"/>
      <c r="K56" s="662"/>
    </row>
    <row r="57" spans="1:14" hidden="1" x14ac:dyDescent="0.25">
      <c r="A57" s="1998" t="s">
        <v>239</v>
      </c>
      <c r="B57" s="1999"/>
      <c r="C57" s="1534"/>
      <c r="D57" s="429">
        <f>D34+D44</f>
        <v>483650</v>
      </c>
      <c r="E57" s="429">
        <f>E34+E44</f>
        <v>0</v>
      </c>
      <c r="F57" s="429">
        <f>F34+F44</f>
        <v>416939</v>
      </c>
      <c r="G57" s="429">
        <f>G34+G44</f>
        <v>0</v>
      </c>
      <c r="H57" s="429">
        <f t="shared" ref="H57:L57" si="1">H34+H44</f>
        <v>471550</v>
      </c>
      <c r="I57" s="429">
        <f t="shared" si="1"/>
        <v>0</v>
      </c>
      <c r="J57" s="428"/>
      <c r="K57" s="431">
        <f t="shared" si="1"/>
        <v>429700</v>
      </c>
      <c r="L57" s="431">
        <f t="shared" si="1"/>
        <v>0</v>
      </c>
    </row>
    <row r="58" spans="1:14" x14ac:dyDescent="0.25">
      <c r="A58" s="308"/>
      <c r="B58" s="318"/>
      <c r="C58" s="318"/>
      <c r="D58" s="318"/>
      <c r="E58" s="314"/>
      <c r="F58" s="314"/>
      <c r="G58" s="314"/>
      <c r="H58" s="627"/>
      <c r="I58" s="610"/>
      <c r="J58" s="661"/>
      <c r="K58" s="662"/>
    </row>
    <row r="59" spans="1:14" x14ac:dyDescent="0.25">
      <c r="A59" s="334" t="s">
        <v>400</v>
      </c>
      <c r="B59" s="334"/>
      <c r="C59" s="334"/>
      <c r="D59" s="334"/>
      <c r="E59" s="334"/>
      <c r="F59" s="334"/>
    </row>
    <row r="60" spans="1:14" x14ac:dyDescent="0.25">
      <c r="A60" s="334" t="s">
        <v>401</v>
      </c>
      <c r="B60" s="334"/>
      <c r="C60" s="334"/>
      <c r="D60" s="334"/>
      <c r="E60" s="334"/>
      <c r="F60" s="334"/>
      <c r="I60" s="426"/>
    </row>
    <row r="61" spans="1:14" x14ac:dyDescent="0.25">
      <c r="A61" s="334"/>
      <c r="B61" s="334"/>
      <c r="C61" s="334"/>
      <c r="D61" s="334"/>
      <c r="E61" s="334"/>
      <c r="F61" s="334"/>
    </row>
    <row r="62" spans="1:14" x14ac:dyDescent="0.25">
      <c r="A62" s="663" t="s">
        <v>742</v>
      </c>
      <c r="B62" s="344"/>
      <c r="C62" s="1536"/>
      <c r="D62" s="344"/>
      <c r="E62" s="334"/>
      <c r="F62" s="334"/>
    </row>
    <row r="63" spans="1:14" x14ac:dyDescent="0.25">
      <c r="A63" s="2000" t="s">
        <v>1704</v>
      </c>
      <c r="B63" s="2000"/>
      <c r="C63" s="1535"/>
      <c r="D63" s="344"/>
      <c r="E63" s="334"/>
      <c r="F63" s="334"/>
    </row>
    <row r="64" spans="1:14" x14ac:dyDescent="0.2">
      <c r="A64" s="244" t="s">
        <v>1705</v>
      </c>
      <c r="B64" s="664"/>
      <c r="C64" s="1535"/>
      <c r="D64" s="344"/>
      <c r="E64" s="334"/>
      <c r="F64" s="334"/>
    </row>
    <row r="65" spans="1:10" ht="12.75" customHeight="1" x14ac:dyDescent="0.25">
      <c r="A65" s="344" t="s">
        <v>1706</v>
      </c>
      <c r="B65" s="664"/>
      <c r="C65" s="1535"/>
      <c r="D65" s="344"/>
      <c r="E65" s="334"/>
      <c r="F65" s="334"/>
    </row>
    <row r="66" spans="1:10" ht="12.75" customHeight="1" x14ac:dyDescent="0.25">
      <c r="A66" s="2000" t="s">
        <v>1707</v>
      </c>
      <c r="B66" s="2000"/>
      <c r="C66" s="2000"/>
      <c r="D66" s="2000"/>
      <c r="E66" s="2000"/>
      <c r="F66" s="2000"/>
      <c r="G66" s="2000"/>
    </row>
    <row r="67" spans="1:10" x14ac:dyDescent="0.25">
      <c r="A67" s="664" t="s">
        <v>244</v>
      </c>
      <c r="B67" s="664"/>
      <c r="C67" s="1535"/>
      <c r="D67" s="344"/>
      <c r="E67" s="334"/>
      <c r="F67" s="334"/>
    </row>
    <row r="68" spans="1:10" ht="12.75" customHeight="1" x14ac:dyDescent="0.25">
      <c r="A68" s="344" t="s">
        <v>1708</v>
      </c>
      <c r="B68" s="344"/>
      <c r="C68" s="1536"/>
      <c r="D68" s="344"/>
      <c r="E68" s="334"/>
      <c r="F68" s="334"/>
    </row>
    <row r="69" spans="1:10" ht="12.75" customHeight="1" x14ac:dyDescent="0.25">
      <c r="A69" s="2001" t="s">
        <v>1709</v>
      </c>
      <c r="B69" s="2001"/>
      <c r="C69" s="2001"/>
      <c r="D69" s="2001"/>
      <c r="E69" s="2001"/>
      <c r="F69" s="2001"/>
      <c r="G69" s="2001"/>
      <c r="H69" s="334"/>
      <c r="I69" s="334"/>
      <c r="J69" s="334"/>
    </row>
    <row r="70" spans="1:10" ht="12.75" customHeight="1" x14ac:dyDescent="0.25">
      <c r="A70" s="344" t="s">
        <v>1621</v>
      </c>
      <c r="B70" s="344"/>
      <c r="C70" s="1536"/>
      <c r="D70" s="344"/>
      <c r="E70" s="344"/>
      <c r="F70" s="344"/>
      <c r="G70" s="344"/>
      <c r="H70" s="334"/>
      <c r="I70" s="334"/>
      <c r="J70" s="334"/>
    </row>
    <row r="71" spans="1:10" ht="12.75" customHeight="1" x14ac:dyDescent="0.25">
      <c r="A71" s="344" t="s">
        <v>1710</v>
      </c>
      <c r="B71" s="344"/>
      <c r="C71" s="1536"/>
      <c r="D71" s="344"/>
      <c r="E71" s="344"/>
      <c r="F71" s="344"/>
      <c r="G71" s="344"/>
      <c r="H71" s="334"/>
      <c r="I71" s="334"/>
      <c r="J71" s="334"/>
    </row>
    <row r="72" spans="1:10" ht="12.75" customHeight="1" x14ac:dyDescent="0.2">
      <c r="A72" s="244" t="s">
        <v>1711</v>
      </c>
      <c r="B72" s="344"/>
      <c r="C72" s="1536"/>
      <c r="D72" s="344"/>
      <c r="E72" s="344"/>
      <c r="F72" s="344"/>
      <c r="G72" s="344"/>
      <c r="H72" s="334"/>
      <c r="I72" s="334"/>
      <c r="J72" s="334"/>
    </row>
    <row r="73" spans="1:10" ht="12.75" customHeight="1" x14ac:dyDescent="0.2">
      <c r="A73" s="244" t="s">
        <v>1712</v>
      </c>
      <c r="B73" s="344"/>
      <c r="C73" s="1536"/>
      <c r="D73" s="344"/>
      <c r="E73" s="344"/>
      <c r="F73" s="344"/>
      <c r="G73" s="344"/>
      <c r="H73" s="334"/>
      <c r="I73" s="334"/>
      <c r="J73" s="334"/>
    </row>
    <row r="74" spans="1:10" ht="12.75" customHeight="1" x14ac:dyDescent="0.2">
      <c r="A74" s="244" t="s">
        <v>452</v>
      </c>
      <c r="B74" s="663"/>
      <c r="C74" s="663"/>
      <c r="D74" s="344"/>
      <c r="E74" s="344"/>
      <c r="F74" s="344"/>
      <c r="G74" s="344"/>
      <c r="H74" s="334"/>
      <c r="I74" s="334"/>
      <c r="J74" s="334"/>
    </row>
    <row r="75" spans="1:10" x14ac:dyDescent="0.25">
      <c r="A75" s="344" t="s">
        <v>1713</v>
      </c>
      <c r="D75" s="344"/>
      <c r="E75" s="334"/>
      <c r="F75" s="334"/>
      <c r="H75" s="334"/>
      <c r="I75" s="334"/>
      <c r="J75" s="334"/>
    </row>
    <row r="76" spans="1:10" ht="12.75" customHeight="1" x14ac:dyDescent="0.25">
      <c r="A76" s="344" t="s">
        <v>1714</v>
      </c>
      <c r="B76" s="344"/>
      <c r="C76" s="1536"/>
      <c r="D76" s="344"/>
      <c r="E76" s="344"/>
      <c r="F76" s="344"/>
      <c r="G76" s="344"/>
      <c r="H76" s="665"/>
      <c r="I76" s="665"/>
      <c r="J76" s="665"/>
    </row>
    <row r="77" spans="1:10" ht="12.75" customHeight="1" x14ac:dyDescent="0.25">
      <c r="A77" s="2000" t="s">
        <v>1715</v>
      </c>
      <c r="B77" s="2000"/>
      <c r="C77" s="2000"/>
      <c r="D77" s="2000"/>
      <c r="E77" s="664"/>
      <c r="F77" s="664"/>
      <c r="G77" s="664"/>
      <c r="H77" s="664"/>
      <c r="I77" s="664"/>
      <c r="J77" s="334"/>
    </row>
    <row r="78" spans="1:10" ht="12.75" customHeight="1" x14ac:dyDescent="0.2">
      <c r="A78" s="244" t="s">
        <v>1716</v>
      </c>
      <c r="B78" s="664"/>
      <c r="C78" s="1535"/>
      <c r="D78" s="664"/>
      <c r="E78" s="664"/>
      <c r="F78" s="664"/>
      <c r="G78" s="664"/>
      <c r="H78" s="664"/>
      <c r="I78" s="664"/>
      <c r="J78" s="334"/>
    </row>
    <row r="79" spans="1:10" ht="12.75" customHeight="1" x14ac:dyDescent="0.25">
      <c r="A79" s="664" t="s">
        <v>1717</v>
      </c>
      <c r="D79" s="664"/>
      <c r="E79" s="664"/>
      <c r="F79" s="664"/>
      <c r="G79" s="664"/>
      <c r="H79" s="664"/>
      <c r="I79" s="664"/>
      <c r="J79" s="334"/>
    </row>
    <row r="80" spans="1:10" x14ac:dyDescent="0.2">
      <c r="A80" s="244" t="s">
        <v>1718</v>
      </c>
      <c r="B80" s="666"/>
      <c r="C80" s="666"/>
      <c r="D80" s="467"/>
    </row>
    <row r="81" spans="1:13" x14ac:dyDescent="0.2">
      <c r="A81" s="667"/>
      <c r="B81" s="666"/>
      <c r="C81" s="666"/>
      <c r="D81" s="467"/>
    </row>
    <row r="82" spans="1:13" x14ac:dyDescent="0.25">
      <c r="A82" s="2005" t="s">
        <v>1719</v>
      </c>
      <c r="B82" s="2005"/>
      <c r="C82" s="2005"/>
      <c r="D82" s="2005"/>
      <c r="E82" s="2005"/>
      <c r="F82" s="2005"/>
      <c r="G82" s="2005"/>
      <c r="H82" s="2005"/>
      <c r="I82" s="2005"/>
    </row>
    <row r="83" spans="1:13" s="244" customFormat="1" x14ac:dyDescent="0.2">
      <c r="A83" s="343" t="s">
        <v>1720</v>
      </c>
      <c r="B83" s="347"/>
      <c r="C83" s="347"/>
      <c r="D83" s="347"/>
      <c r="E83" s="668"/>
      <c r="F83" s="668"/>
      <c r="G83" s="668"/>
      <c r="H83" s="668"/>
      <c r="I83" s="668"/>
      <c r="J83" s="669"/>
      <c r="K83" s="669"/>
      <c r="M83" s="283"/>
    </row>
    <row r="84" spans="1:13" s="244" customFormat="1" x14ac:dyDescent="0.2">
      <c r="A84" s="343" t="s">
        <v>1721</v>
      </c>
      <c r="B84" s="347"/>
      <c r="C84" s="347"/>
      <c r="D84" s="347"/>
      <c r="E84" s="668"/>
      <c r="F84" s="668"/>
      <c r="G84" s="668"/>
      <c r="H84" s="668"/>
      <c r="I84" s="668"/>
      <c r="J84" s="669"/>
      <c r="K84" s="669"/>
      <c r="M84" s="283"/>
    </row>
    <row r="85" spans="1:13" s="244" customFormat="1" x14ac:dyDescent="0.2">
      <c r="A85" s="343" t="s">
        <v>274</v>
      </c>
      <c r="B85" s="347"/>
      <c r="C85" s="347"/>
      <c r="D85" s="347"/>
      <c r="E85" s="668"/>
      <c r="F85" s="668"/>
      <c r="G85" s="668"/>
      <c r="H85" s="668"/>
      <c r="I85" s="668"/>
      <c r="J85" s="669"/>
      <c r="K85" s="669"/>
      <c r="M85" s="283"/>
    </row>
    <row r="86" spans="1:13" s="244" customFormat="1" x14ac:dyDescent="0.2">
      <c r="A86" s="347" t="s">
        <v>1722</v>
      </c>
      <c r="D86" s="347"/>
      <c r="E86" s="668"/>
      <c r="F86" s="668"/>
      <c r="G86" s="668"/>
      <c r="H86" s="668"/>
      <c r="I86" s="668"/>
      <c r="J86" s="669"/>
      <c r="K86" s="669"/>
      <c r="M86" s="283"/>
    </row>
    <row r="87" spans="1:13" s="284" customFormat="1" x14ac:dyDescent="0.25">
      <c r="A87" s="334" t="s">
        <v>1723</v>
      </c>
      <c r="D87" s="334"/>
      <c r="E87" s="334"/>
      <c r="F87" s="334"/>
      <c r="G87" s="334"/>
      <c r="H87" s="334"/>
      <c r="I87" s="334"/>
      <c r="M87" s="1613"/>
    </row>
    <row r="88" spans="1:13" s="284" customFormat="1" x14ac:dyDescent="0.25">
      <c r="A88" s="334" t="s">
        <v>1724</v>
      </c>
      <c r="D88" s="334"/>
      <c r="E88" s="334"/>
      <c r="F88" s="334"/>
      <c r="G88" s="334"/>
      <c r="H88" s="334"/>
      <c r="I88" s="334"/>
      <c r="M88" s="1613"/>
    </row>
    <row r="89" spans="1:13" s="284" customFormat="1" x14ac:dyDescent="0.25">
      <c r="A89" s="334" t="s">
        <v>1720</v>
      </c>
      <c r="B89" s="334"/>
      <c r="C89" s="334"/>
      <c r="D89" s="334"/>
      <c r="E89" s="334"/>
      <c r="F89" s="334"/>
      <c r="G89" s="334"/>
      <c r="H89" s="334"/>
      <c r="I89" s="334"/>
      <c r="M89" s="1613"/>
    </row>
    <row r="90" spans="1:13" s="284" customFormat="1" x14ac:dyDescent="0.25">
      <c r="A90" s="334" t="s">
        <v>1725</v>
      </c>
      <c r="B90" s="334"/>
      <c r="C90" s="334"/>
      <c r="D90" s="334"/>
      <c r="E90" s="334"/>
      <c r="F90" s="334"/>
      <c r="G90" s="334"/>
      <c r="H90" s="334"/>
      <c r="I90" s="334"/>
      <c r="M90" s="1613"/>
    </row>
    <row r="91" spans="1:13" s="284" customFormat="1" x14ac:dyDescent="0.25">
      <c r="A91" s="334" t="s">
        <v>274</v>
      </c>
      <c r="B91" s="334"/>
      <c r="C91" s="334"/>
      <c r="D91" s="334"/>
      <c r="E91" s="334"/>
      <c r="F91" s="334"/>
      <c r="G91" s="334"/>
      <c r="H91" s="334"/>
      <c r="I91" s="334"/>
      <c r="M91" s="1613"/>
    </row>
    <row r="92" spans="1:13" s="284" customFormat="1" x14ac:dyDescent="0.25">
      <c r="A92" s="334" t="s">
        <v>1726</v>
      </c>
      <c r="B92" s="334"/>
      <c r="C92" s="334"/>
      <c r="D92" s="334"/>
      <c r="E92" s="334"/>
      <c r="F92" s="334"/>
      <c r="G92" s="334"/>
      <c r="H92" s="334"/>
      <c r="I92" s="334"/>
      <c r="M92" s="1613"/>
    </row>
    <row r="93" spans="1:13" x14ac:dyDescent="0.25">
      <c r="A93" s="334" t="s">
        <v>1720</v>
      </c>
      <c r="B93" s="334"/>
      <c r="C93" s="334"/>
      <c r="D93" s="334"/>
      <c r="E93" s="334"/>
      <c r="F93" s="334"/>
      <c r="H93" s="334"/>
      <c r="I93" s="334"/>
    </row>
    <row r="94" spans="1:13" x14ac:dyDescent="0.25">
      <c r="A94" s="334" t="s">
        <v>1727</v>
      </c>
      <c r="B94" s="334"/>
      <c r="C94" s="334"/>
      <c r="D94" s="334"/>
      <c r="E94" s="334"/>
      <c r="F94" s="334"/>
      <c r="H94" s="334"/>
      <c r="I94" s="334"/>
    </row>
    <row r="95" spans="1:13" x14ac:dyDescent="0.25">
      <c r="A95" s="334" t="s">
        <v>274</v>
      </c>
      <c r="B95" s="334"/>
      <c r="C95" s="334"/>
      <c r="D95" s="334"/>
      <c r="E95" s="334"/>
      <c r="F95" s="334"/>
      <c r="H95" s="334"/>
      <c r="I95" s="334"/>
    </row>
    <row r="96" spans="1:13" s="284" customFormat="1" x14ac:dyDescent="0.25">
      <c r="A96" s="334" t="s">
        <v>1728</v>
      </c>
      <c r="D96" s="334"/>
      <c r="E96" s="334"/>
      <c r="F96" s="334"/>
      <c r="G96" s="334"/>
      <c r="H96" s="334"/>
      <c r="I96" s="334"/>
      <c r="M96" s="1613"/>
    </row>
    <row r="97" spans="1:18" s="284" customFormat="1" x14ac:dyDescent="0.25">
      <c r="A97" s="334" t="s">
        <v>1729</v>
      </c>
      <c r="D97" s="334"/>
      <c r="E97" s="334"/>
      <c r="F97" s="334"/>
      <c r="G97" s="334"/>
      <c r="H97" s="334"/>
      <c r="I97" s="334"/>
      <c r="M97" s="1613"/>
    </row>
    <row r="98" spans="1:18" x14ac:dyDescent="0.25">
      <c r="A98" s="334" t="s">
        <v>1720</v>
      </c>
      <c r="B98" s="334"/>
      <c r="C98" s="334"/>
      <c r="D98" s="334"/>
      <c r="E98" s="334"/>
      <c r="F98" s="334"/>
      <c r="H98" s="334"/>
      <c r="I98" s="334"/>
    </row>
    <row r="99" spans="1:18" x14ac:dyDescent="0.25">
      <c r="A99" s="334" t="s">
        <v>1730</v>
      </c>
      <c r="B99" s="334"/>
      <c r="C99" s="334"/>
      <c r="D99" s="334"/>
      <c r="E99" s="334"/>
      <c r="F99" s="334"/>
      <c r="H99" s="334"/>
      <c r="I99" s="334"/>
    </row>
    <row r="100" spans="1:18" x14ac:dyDescent="0.25">
      <c r="A100" s="334" t="s">
        <v>274</v>
      </c>
      <c r="B100" s="334"/>
      <c r="C100" s="334"/>
      <c r="D100" s="334"/>
      <c r="E100" s="334"/>
      <c r="F100" s="334"/>
      <c r="H100" s="334"/>
      <c r="I100" s="334"/>
    </row>
    <row r="101" spans="1:18" s="284" customFormat="1" x14ac:dyDescent="0.25">
      <c r="A101" s="334" t="s">
        <v>1731</v>
      </c>
      <c r="D101" s="334"/>
      <c r="E101" s="334"/>
      <c r="F101" s="334"/>
      <c r="G101" s="334"/>
      <c r="H101" s="334"/>
      <c r="I101" s="334"/>
      <c r="M101" s="1613"/>
    </row>
    <row r="103" spans="1:18" ht="12.75" customHeight="1" x14ac:dyDescent="0.2">
      <c r="A103" s="249" t="s">
        <v>1732</v>
      </c>
      <c r="B103" s="243"/>
      <c r="C103" s="1547"/>
    </row>
    <row r="104" spans="1:18" ht="26.25" customHeight="1" x14ac:dyDescent="0.2">
      <c r="A104" s="1883" t="s">
        <v>1733</v>
      </c>
      <c r="B104" s="1883"/>
      <c r="C104" s="1883"/>
      <c r="D104" s="1883"/>
      <c r="E104" s="1883"/>
      <c r="F104" s="1883"/>
      <c r="G104" s="1883"/>
      <c r="H104" s="1883"/>
      <c r="I104" s="1883"/>
      <c r="J104" s="1883"/>
      <c r="K104" s="1883"/>
      <c r="L104" s="1883"/>
      <c r="M104" s="1883"/>
      <c r="N104" s="1883"/>
      <c r="O104" s="1883"/>
      <c r="P104" s="1883"/>
      <c r="Q104" s="1883"/>
      <c r="R104" s="1883"/>
    </row>
    <row r="105" spans="1:18" ht="12.75" customHeight="1" x14ac:dyDescent="0.2">
      <c r="A105" s="243" t="s">
        <v>1720</v>
      </c>
      <c r="B105" s="243"/>
      <c r="C105" s="1547"/>
      <c r="D105" s="243"/>
      <c r="E105" s="243"/>
      <c r="F105" s="243"/>
      <c r="G105" s="319"/>
      <c r="H105" s="243"/>
      <c r="I105" s="243"/>
      <c r="J105" s="243"/>
      <c r="K105" s="243"/>
    </row>
    <row r="106" spans="1:18" ht="12.75" customHeight="1" x14ac:dyDescent="0.2">
      <c r="A106" s="1793" t="s">
        <v>1734</v>
      </c>
      <c r="B106" s="1793"/>
      <c r="C106" s="1793"/>
      <c r="D106" s="1793"/>
      <c r="E106" s="1793"/>
      <c r="F106" s="1793"/>
      <c r="G106" s="1793"/>
      <c r="H106" s="1793"/>
      <c r="I106" s="1793"/>
      <c r="J106" s="1793"/>
      <c r="K106" s="1793"/>
    </row>
    <row r="107" spans="1:18" ht="12.75" customHeight="1" x14ac:dyDescent="0.2">
      <c r="A107" s="245" t="s">
        <v>274</v>
      </c>
      <c r="B107" s="245"/>
      <c r="C107" s="1503"/>
      <c r="D107" s="245"/>
      <c r="E107" s="245"/>
      <c r="F107" s="245"/>
      <c r="G107" s="364"/>
      <c r="H107" s="245"/>
      <c r="I107" s="245"/>
      <c r="J107" s="245"/>
      <c r="K107" s="245"/>
    </row>
    <row r="108" spans="1:18" ht="12.75" customHeight="1" x14ac:dyDescent="0.25">
      <c r="A108" s="634" t="s">
        <v>1735</v>
      </c>
    </row>
    <row r="109" spans="1:18" ht="12.75" customHeight="1" x14ac:dyDescent="0.25">
      <c r="A109" s="634" t="s">
        <v>1736</v>
      </c>
    </row>
    <row r="110" spans="1:18" ht="12.75" customHeight="1" x14ac:dyDescent="0.2">
      <c r="A110" s="243" t="s">
        <v>1720</v>
      </c>
      <c r="B110" s="634"/>
      <c r="C110" s="634"/>
    </row>
    <row r="111" spans="1:18" s="243" customFormat="1" ht="12.75" customHeight="1" x14ac:dyDescent="0.2">
      <c r="A111" s="243" t="s">
        <v>1578</v>
      </c>
      <c r="C111" s="1547"/>
      <c r="M111" s="283"/>
    </row>
    <row r="112" spans="1:18" s="245" customFormat="1" ht="12.75" customHeight="1" x14ac:dyDescent="0.2">
      <c r="A112" s="245" t="s">
        <v>274</v>
      </c>
      <c r="C112" s="1503"/>
      <c r="G112" s="364"/>
      <c r="M112" s="283"/>
    </row>
    <row r="113" spans="1:20" ht="12.75" customHeight="1" x14ac:dyDescent="0.25">
      <c r="A113" s="634" t="s">
        <v>1579</v>
      </c>
    </row>
    <row r="114" spans="1:20" ht="12.75" customHeight="1" x14ac:dyDescent="0.25">
      <c r="A114" s="634" t="s">
        <v>1737</v>
      </c>
    </row>
    <row r="115" spans="1:20" x14ac:dyDescent="0.25">
      <c r="A115" s="634" t="s">
        <v>1738</v>
      </c>
    </row>
    <row r="117" spans="1:20" x14ac:dyDescent="0.2">
      <c r="A117" s="244" t="s">
        <v>400</v>
      </c>
      <c r="B117" s="356"/>
      <c r="C117" s="356"/>
      <c r="D117" s="356"/>
      <c r="E117" s="356"/>
      <c r="F117" s="356"/>
      <c r="G117" s="356"/>
      <c r="H117" s="356"/>
      <c r="I117" s="356"/>
      <c r="J117" s="356"/>
      <c r="K117" s="356"/>
      <c r="L117" s="367"/>
      <c r="R117" s="334"/>
    </row>
    <row r="118" spans="1:20" x14ac:dyDescent="0.2">
      <c r="A118" s="244" t="s">
        <v>401</v>
      </c>
      <c r="B118" s="356"/>
      <c r="C118" s="356"/>
      <c r="D118" s="356"/>
      <c r="E118" s="356"/>
      <c r="F118" s="356"/>
      <c r="G118" s="356"/>
      <c r="H118" s="356"/>
      <c r="I118" s="356"/>
      <c r="J118" s="356"/>
      <c r="K118" s="356"/>
      <c r="L118" s="367"/>
      <c r="R118" s="334"/>
    </row>
    <row r="119" spans="1:20" x14ac:dyDescent="0.2">
      <c r="A119" s="244"/>
      <c r="B119" s="356"/>
      <c r="C119" s="356"/>
      <c r="D119" s="356"/>
      <c r="E119" s="356"/>
      <c r="F119" s="356"/>
      <c r="G119" s="356"/>
      <c r="H119" s="356"/>
      <c r="I119" s="356"/>
      <c r="J119" s="356"/>
      <c r="K119" s="356"/>
      <c r="L119" s="367"/>
      <c r="P119" s="670"/>
      <c r="Q119" s="670"/>
      <c r="R119" s="322"/>
      <c r="S119" s="670"/>
    </row>
    <row r="120" spans="1:20" x14ac:dyDescent="0.2">
      <c r="A120" s="2003" t="s">
        <v>1739</v>
      </c>
      <c r="B120" s="2003"/>
      <c r="C120" s="2003"/>
      <c r="D120" s="2003"/>
      <c r="E120" s="2003"/>
      <c r="F120" s="2003"/>
      <c r="G120" s="356"/>
      <c r="H120" s="356"/>
      <c r="I120" s="356"/>
      <c r="J120" s="356"/>
      <c r="K120" s="356"/>
      <c r="L120" s="367"/>
      <c r="M120" s="679"/>
      <c r="N120" s="268"/>
      <c r="O120" s="268"/>
      <c r="P120" s="644"/>
      <c r="Q120" s="1986"/>
      <c r="R120" s="1986"/>
      <c r="S120" s="644"/>
      <c r="T120" s="268"/>
    </row>
    <row r="121" spans="1:20" x14ac:dyDescent="0.2">
      <c r="A121" s="2004" t="s">
        <v>1740</v>
      </c>
      <c r="B121" s="2004"/>
      <c r="C121" s="2004"/>
      <c r="D121" s="2004"/>
      <c r="E121" s="2004"/>
      <c r="F121" s="2004"/>
      <c r="G121" s="2004"/>
      <c r="H121" s="356"/>
      <c r="I121" s="356"/>
      <c r="J121" s="356"/>
      <c r="K121" s="356"/>
      <c r="L121" s="367"/>
      <c r="M121" s="679"/>
      <c r="N121" s="268"/>
      <c r="O121" s="268"/>
      <c r="P121" s="644"/>
      <c r="Q121" s="1986"/>
      <c r="R121" s="1986"/>
      <c r="S121" s="644"/>
      <c r="T121" s="268"/>
    </row>
    <row r="122" spans="1:20" x14ac:dyDescent="0.2">
      <c r="A122" s="2002" t="s">
        <v>274</v>
      </c>
      <c r="B122" s="2002"/>
      <c r="C122" s="1531"/>
      <c r="D122" s="405"/>
      <c r="E122" s="405"/>
      <c r="F122" s="405"/>
      <c r="G122" s="669"/>
      <c r="H122" s="669"/>
      <c r="I122" s="669"/>
      <c r="J122" s="669"/>
      <c r="K122" s="669"/>
      <c r="L122" s="669"/>
      <c r="M122" s="679"/>
      <c r="N122" s="268"/>
      <c r="O122" s="268"/>
      <c r="P122" s="644"/>
      <c r="Q122" s="552"/>
      <c r="R122" s="671"/>
      <c r="S122" s="644"/>
      <c r="T122" s="268"/>
    </row>
    <row r="123" spans="1:20" x14ac:dyDescent="0.2">
      <c r="A123" s="669" t="s">
        <v>1741</v>
      </c>
      <c r="B123" s="669"/>
      <c r="C123" s="669"/>
      <c r="D123" s="669"/>
      <c r="E123" s="669"/>
      <c r="F123" s="669"/>
      <c r="G123" s="669"/>
      <c r="H123" s="669"/>
      <c r="I123" s="669"/>
      <c r="J123" s="669"/>
      <c r="K123" s="669"/>
      <c r="L123" s="669"/>
      <c r="M123" s="679"/>
      <c r="N123" s="268"/>
      <c r="O123" s="268"/>
      <c r="P123" s="644"/>
      <c r="Q123" s="552"/>
      <c r="R123" s="671"/>
      <c r="S123" s="644"/>
      <c r="T123" s="268"/>
    </row>
    <row r="124" spans="1:20" x14ac:dyDescent="0.2">
      <c r="A124" s="2002" t="s">
        <v>1742</v>
      </c>
      <c r="B124" s="2002"/>
      <c r="C124" s="2002"/>
      <c r="D124" s="2002"/>
      <c r="E124" s="2002"/>
      <c r="F124" s="2002"/>
      <c r="G124" s="2002"/>
      <c r="H124" s="669"/>
      <c r="I124" s="669"/>
      <c r="J124" s="669"/>
      <c r="K124" s="669"/>
      <c r="L124" s="669"/>
      <c r="M124" s="679"/>
      <c r="N124" s="268"/>
      <c r="O124" s="268"/>
      <c r="P124" s="644"/>
      <c r="Q124" s="552"/>
      <c r="R124" s="671"/>
      <c r="S124" s="644"/>
      <c r="T124" s="268"/>
    </row>
    <row r="125" spans="1:20" x14ac:dyDescent="0.2">
      <c r="A125" s="2006" t="s">
        <v>1743</v>
      </c>
      <c r="B125" s="2006"/>
      <c r="C125" s="2006"/>
      <c r="D125" s="2006"/>
      <c r="E125" s="2006"/>
      <c r="F125" s="2006"/>
      <c r="G125" s="2006"/>
      <c r="H125" s="2006"/>
      <c r="I125" s="2006"/>
      <c r="J125" s="2006"/>
      <c r="K125" s="2006"/>
      <c r="L125" s="2006"/>
      <c r="M125" s="679"/>
      <c r="N125" s="268"/>
      <c r="O125" s="268"/>
      <c r="P125" s="644"/>
      <c r="Q125" s="552"/>
      <c r="R125" s="671"/>
      <c r="S125" s="644"/>
      <c r="T125" s="268"/>
    </row>
    <row r="126" spans="1:20" ht="12" customHeight="1" x14ac:dyDescent="0.2">
      <c r="A126" s="2002" t="s">
        <v>1744</v>
      </c>
      <c r="B126" s="2002"/>
      <c r="C126" s="2002"/>
      <c r="D126" s="2002"/>
      <c r="E126" s="2002"/>
      <c r="F126" s="2002"/>
      <c r="G126" s="2002"/>
      <c r="H126" s="672"/>
      <c r="I126" s="672"/>
      <c r="J126" s="672"/>
      <c r="K126" s="672"/>
      <c r="L126" s="672"/>
      <c r="M126" s="1614"/>
      <c r="N126" s="673"/>
      <c r="O126" s="673"/>
      <c r="P126" s="644"/>
      <c r="Q126" s="644"/>
      <c r="R126" s="338"/>
      <c r="S126" s="644"/>
      <c r="T126" s="268"/>
    </row>
    <row r="127" spans="1:20" x14ac:dyDescent="0.2">
      <c r="A127" s="2006" t="s">
        <v>1745</v>
      </c>
      <c r="B127" s="2006"/>
      <c r="C127" s="2006"/>
      <c r="D127" s="2006"/>
      <c r="E127" s="2006"/>
      <c r="F127" s="2006"/>
      <c r="G127" s="670"/>
      <c r="H127" s="670"/>
      <c r="I127" s="670"/>
      <c r="J127" s="670"/>
      <c r="K127" s="670"/>
      <c r="L127" s="670"/>
      <c r="M127" s="1614"/>
      <c r="N127" s="673"/>
      <c r="O127" s="673"/>
      <c r="P127" s="367"/>
      <c r="Q127" s="1986"/>
      <c r="R127" s="1986"/>
      <c r="S127" s="367"/>
      <c r="T127" s="244"/>
    </row>
    <row r="128" spans="1:20" x14ac:dyDescent="0.25">
      <c r="A128" s="635" t="s">
        <v>1746</v>
      </c>
      <c r="B128" s="672"/>
      <c r="C128" s="1528"/>
      <c r="D128" s="672"/>
      <c r="E128" s="672"/>
      <c r="F128" s="672"/>
      <c r="G128" s="670"/>
      <c r="H128" s="670"/>
      <c r="I128" s="670"/>
      <c r="J128" s="670"/>
      <c r="K128" s="670"/>
      <c r="L128" s="670"/>
      <c r="R128" s="334"/>
    </row>
    <row r="129" spans="1:18" x14ac:dyDescent="0.25">
      <c r="A129" s="635" t="s">
        <v>274</v>
      </c>
      <c r="B129" s="672"/>
      <c r="C129" s="1528"/>
      <c r="D129" s="672"/>
      <c r="E129" s="672"/>
      <c r="F129" s="672"/>
      <c r="G129" s="670"/>
      <c r="H129" s="670"/>
      <c r="I129" s="670"/>
      <c r="J129" s="670"/>
      <c r="K129" s="670"/>
      <c r="L129" s="670"/>
      <c r="R129" s="334"/>
    </row>
    <row r="130" spans="1:18" x14ac:dyDescent="0.25">
      <c r="A130" s="669" t="s">
        <v>1747</v>
      </c>
      <c r="B130" s="672"/>
      <c r="C130" s="1528"/>
      <c r="D130" s="672"/>
      <c r="E130" s="672"/>
      <c r="F130" s="672"/>
      <c r="G130" s="670"/>
      <c r="H130" s="670"/>
      <c r="I130" s="670"/>
      <c r="J130" s="670"/>
      <c r="K130" s="670"/>
      <c r="L130" s="670"/>
      <c r="R130" s="334"/>
    </row>
    <row r="131" spans="1:18" x14ac:dyDescent="0.25">
      <c r="A131" s="669" t="s">
        <v>1748</v>
      </c>
      <c r="B131" s="672"/>
      <c r="C131" s="1528"/>
      <c r="D131" s="672"/>
      <c r="E131" s="672"/>
      <c r="F131" s="672"/>
      <c r="G131" s="670"/>
      <c r="H131" s="670"/>
      <c r="I131" s="670"/>
      <c r="J131" s="670"/>
      <c r="K131" s="670"/>
      <c r="L131" s="670"/>
      <c r="R131" s="334"/>
    </row>
    <row r="132" spans="1:18" x14ac:dyDescent="0.25">
      <c r="A132" s="669" t="s">
        <v>274</v>
      </c>
      <c r="B132" s="672"/>
      <c r="C132" s="1528"/>
      <c r="D132" s="672"/>
      <c r="E132" s="672"/>
      <c r="F132" s="672"/>
      <c r="G132" s="670"/>
      <c r="H132" s="670"/>
      <c r="I132" s="670"/>
      <c r="J132" s="670"/>
      <c r="K132" s="670"/>
      <c r="L132" s="670"/>
      <c r="R132" s="334"/>
    </row>
    <row r="133" spans="1:18" x14ac:dyDescent="0.25">
      <c r="A133" s="635" t="s">
        <v>1749</v>
      </c>
      <c r="B133" s="408"/>
      <c r="C133" s="1531"/>
      <c r="D133" s="408"/>
      <c r="E133" s="408"/>
      <c r="F133" s="408"/>
      <c r="G133" s="669"/>
      <c r="H133" s="669"/>
      <c r="I133" s="670"/>
      <c r="J133" s="670"/>
      <c r="K133" s="670"/>
      <c r="L133" s="670"/>
      <c r="R133" s="334"/>
    </row>
    <row r="134" spans="1:18" x14ac:dyDescent="0.25">
      <c r="A134" s="2002" t="s">
        <v>1750</v>
      </c>
      <c r="B134" s="2002"/>
      <c r="C134" s="2002"/>
      <c r="D134" s="2002"/>
      <c r="E134" s="2002"/>
      <c r="F134" s="2002"/>
      <c r="G134" s="669"/>
      <c r="H134" s="669"/>
      <c r="I134" s="670"/>
      <c r="J134" s="670"/>
      <c r="K134" s="670"/>
      <c r="L134" s="670"/>
      <c r="R134" s="334"/>
    </row>
    <row r="135" spans="1:18" x14ac:dyDescent="0.25">
      <c r="A135" s="2002" t="s">
        <v>1751</v>
      </c>
      <c r="B135" s="2002"/>
      <c r="C135" s="2002"/>
      <c r="D135" s="2002"/>
      <c r="E135" s="2002"/>
      <c r="F135" s="2002"/>
      <c r="G135" s="669"/>
      <c r="H135" s="669"/>
      <c r="I135" s="670"/>
      <c r="J135" s="670"/>
      <c r="K135" s="670"/>
      <c r="L135" s="670"/>
      <c r="R135" s="334"/>
    </row>
    <row r="136" spans="1:18" x14ac:dyDescent="0.25">
      <c r="A136" s="2002" t="s">
        <v>274</v>
      </c>
      <c r="B136" s="2002"/>
      <c r="C136" s="2002"/>
      <c r="D136" s="2002"/>
      <c r="E136" s="408"/>
      <c r="F136" s="408"/>
      <c r="G136" s="408"/>
      <c r="H136" s="408"/>
      <c r="I136" s="670"/>
      <c r="J136" s="670"/>
      <c r="K136" s="670"/>
      <c r="L136" s="670"/>
      <c r="R136" s="334"/>
    </row>
    <row r="137" spans="1:18" x14ac:dyDescent="0.25">
      <c r="A137" s="2002" t="s">
        <v>1752</v>
      </c>
      <c r="B137" s="2002"/>
      <c r="C137" s="2002"/>
      <c r="D137" s="2002"/>
      <c r="E137" s="2002"/>
      <c r="F137" s="2002"/>
      <c r="G137" s="669"/>
      <c r="H137" s="669"/>
      <c r="I137" s="670"/>
      <c r="J137" s="670"/>
      <c r="K137" s="670"/>
      <c r="L137" s="670"/>
      <c r="R137" s="334"/>
    </row>
    <row r="138" spans="1:18" x14ac:dyDescent="0.25">
      <c r="A138" s="2002" t="s">
        <v>1753</v>
      </c>
      <c r="B138" s="2002"/>
      <c r="C138" s="2002"/>
      <c r="D138" s="2002"/>
      <c r="E138" s="2002"/>
      <c r="F138" s="2002"/>
      <c r="G138" s="669"/>
      <c r="H138" s="669"/>
      <c r="I138" s="670"/>
      <c r="J138" s="670"/>
      <c r="K138" s="670"/>
      <c r="L138" s="670"/>
      <c r="R138" s="334"/>
    </row>
    <row r="139" spans="1:18" x14ac:dyDescent="0.25">
      <c r="A139" s="672"/>
      <c r="B139" s="672"/>
      <c r="C139" s="1528"/>
      <c r="D139" s="672"/>
      <c r="E139" s="672"/>
      <c r="F139" s="672"/>
      <c r="G139" s="670"/>
      <c r="H139" s="670"/>
      <c r="I139" s="670"/>
      <c r="J139" s="670"/>
      <c r="K139" s="670"/>
      <c r="L139" s="670"/>
      <c r="R139" s="334"/>
    </row>
    <row r="140" spans="1:18" x14ac:dyDescent="0.2">
      <c r="A140" s="2003" t="s">
        <v>1754</v>
      </c>
      <c r="B140" s="2003"/>
      <c r="C140" s="2003"/>
      <c r="D140" s="2003"/>
      <c r="E140" s="2003"/>
      <c r="F140" s="2003"/>
      <c r="G140" s="2003"/>
      <c r="H140" s="2003"/>
      <c r="I140" s="356"/>
      <c r="J140" s="356"/>
      <c r="K140" s="356"/>
      <c r="L140" s="670"/>
      <c r="R140" s="334"/>
    </row>
    <row r="141" spans="1:18" x14ac:dyDescent="0.2">
      <c r="A141" s="674" t="s">
        <v>1755</v>
      </c>
      <c r="B141" s="675"/>
      <c r="C141" s="1532"/>
      <c r="D141" s="675"/>
      <c r="E141" s="675"/>
      <c r="F141" s="675"/>
      <c r="G141" s="675"/>
      <c r="H141" s="675"/>
      <c r="I141" s="356"/>
      <c r="J141" s="356"/>
      <c r="K141" s="356"/>
      <c r="L141" s="670"/>
      <c r="R141" s="334"/>
    </row>
    <row r="142" spans="1:18" x14ac:dyDescent="0.2">
      <c r="A142" s="2004" t="s">
        <v>1756</v>
      </c>
      <c r="B142" s="2004"/>
      <c r="C142" s="2004"/>
      <c r="D142" s="2004"/>
      <c r="E142" s="2004"/>
      <c r="F142" s="2004"/>
      <c r="G142" s="2004"/>
      <c r="H142" s="356"/>
      <c r="I142" s="356"/>
      <c r="J142" s="356"/>
      <c r="K142" s="356"/>
      <c r="L142" s="670"/>
      <c r="R142" s="334"/>
    </row>
    <row r="143" spans="1:18" x14ac:dyDescent="0.2">
      <c r="A143" s="2007" t="s">
        <v>1757</v>
      </c>
      <c r="B143" s="2007"/>
      <c r="C143" s="2007"/>
      <c r="D143" s="2007"/>
      <c r="E143" s="2007"/>
      <c r="F143" s="2007"/>
      <c r="G143" s="2007"/>
      <c r="H143" s="388"/>
      <c r="I143" s="388"/>
      <c r="J143" s="388"/>
      <c r="K143" s="388"/>
      <c r="L143" s="670"/>
      <c r="R143" s="334"/>
    </row>
    <row r="144" spans="1:18" x14ac:dyDescent="0.2">
      <c r="A144" s="2007" t="s">
        <v>1758</v>
      </c>
      <c r="B144" s="2007"/>
      <c r="C144" s="2007"/>
      <c r="D144" s="2007"/>
      <c r="E144" s="2007"/>
      <c r="F144" s="2007"/>
      <c r="G144" s="2007"/>
      <c r="H144" s="2007"/>
      <c r="I144" s="2007"/>
      <c r="J144" s="2007"/>
      <c r="K144" s="2007"/>
      <c r="L144" s="670"/>
      <c r="R144" s="334"/>
    </row>
    <row r="145" spans="1:18" x14ac:dyDescent="0.25">
      <c r="A145" s="672"/>
      <c r="B145" s="672"/>
      <c r="C145" s="1528"/>
      <c r="D145" s="672"/>
      <c r="E145" s="672"/>
      <c r="F145" s="672"/>
      <c r="G145" s="670"/>
      <c r="H145" s="670"/>
      <c r="I145" s="670"/>
      <c r="J145" s="670"/>
      <c r="K145" s="670"/>
      <c r="L145" s="670"/>
      <c r="R145" s="334"/>
    </row>
    <row r="146" spans="1:18" x14ac:dyDescent="0.2">
      <c r="A146" s="2008" t="s">
        <v>1759</v>
      </c>
      <c r="B146" s="2008"/>
      <c r="C146" s="2008"/>
      <c r="D146" s="2008"/>
      <c r="E146" s="2008"/>
      <c r="F146" s="396"/>
      <c r="G146" s="396"/>
      <c r="H146" s="670"/>
      <c r="I146" s="670"/>
      <c r="J146" s="670"/>
      <c r="K146" s="670"/>
      <c r="L146" s="670"/>
      <c r="R146" s="334"/>
    </row>
    <row r="147" spans="1:18" x14ac:dyDescent="0.2">
      <c r="A147" s="274" t="s">
        <v>1760</v>
      </c>
      <c r="B147" s="676"/>
      <c r="C147" s="1529"/>
      <c r="D147" s="676"/>
      <c r="E147" s="676"/>
      <c r="F147" s="396"/>
      <c r="G147" s="396"/>
      <c r="H147" s="670"/>
      <c r="I147" s="670"/>
      <c r="J147" s="670"/>
      <c r="K147" s="670"/>
      <c r="L147" s="670"/>
      <c r="R147" s="334"/>
    </row>
    <row r="148" spans="1:18" x14ac:dyDescent="0.2">
      <c r="A148" s="274" t="s">
        <v>1720</v>
      </c>
      <c r="B148" s="676"/>
      <c r="C148" s="1529"/>
      <c r="D148" s="676"/>
      <c r="E148" s="676"/>
      <c r="F148" s="396"/>
      <c r="G148" s="396"/>
      <c r="H148" s="670"/>
      <c r="I148" s="670"/>
      <c r="J148" s="670"/>
      <c r="K148" s="670"/>
      <c r="L148" s="670"/>
      <c r="R148" s="334"/>
    </row>
    <row r="149" spans="1:18" x14ac:dyDescent="0.2">
      <c r="A149" s="244" t="s">
        <v>1761</v>
      </c>
      <c r="B149" s="676"/>
      <c r="C149" s="1529"/>
      <c r="D149" s="676"/>
      <c r="E149" s="676"/>
      <c r="F149" s="396"/>
      <c r="G149" s="396"/>
      <c r="H149" s="670"/>
      <c r="I149" s="670"/>
      <c r="J149" s="670"/>
      <c r="K149" s="670"/>
      <c r="L149" s="670"/>
      <c r="R149" s="334"/>
    </row>
    <row r="150" spans="1:18" x14ac:dyDescent="0.2">
      <c r="A150" s="2007" t="s">
        <v>1762</v>
      </c>
      <c r="B150" s="2007"/>
      <c r="C150" s="2007"/>
      <c r="D150" s="2007"/>
      <c r="E150" s="2007"/>
      <c r="F150" s="2007"/>
      <c r="G150" s="2007"/>
      <c r="H150" s="670"/>
      <c r="I150" s="670"/>
      <c r="J150" s="670"/>
      <c r="K150" s="670"/>
      <c r="L150" s="670"/>
      <c r="R150" s="334"/>
    </row>
    <row r="151" spans="1:18" x14ac:dyDescent="0.25">
      <c r="A151" s="2006" t="s">
        <v>1763</v>
      </c>
      <c r="B151" s="2006"/>
      <c r="C151" s="2006"/>
      <c r="D151" s="2006"/>
      <c r="E151" s="2006"/>
      <c r="F151" s="2006"/>
      <c r="G151" s="2006"/>
      <c r="H151" s="2006"/>
      <c r="I151" s="670"/>
      <c r="J151" s="670"/>
      <c r="K151" s="670"/>
      <c r="L151" s="670"/>
      <c r="R151" s="334"/>
    </row>
    <row r="152" spans="1:18" x14ac:dyDescent="0.25">
      <c r="A152" s="677" t="s">
        <v>1764</v>
      </c>
      <c r="B152" s="672"/>
      <c r="C152" s="1528"/>
      <c r="D152" s="672"/>
      <c r="E152" s="672"/>
      <c r="F152" s="672"/>
      <c r="G152" s="672"/>
      <c r="H152" s="672"/>
      <c r="I152" s="670"/>
      <c r="J152" s="670"/>
      <c r="K152" s="670"/>
      <c r="L152" s="670"/>
      <c r="R152" s="334"/>
    </row>
    <row r="153" spans="1:18" x14ac:dyDescent="0.25">
      <c r="A153" s="2006" t="s">
        <v>1720</v>
      </c>
      <c r="B153" s="2006"/>
      <c r="C153" s="1528"/>
      <c r="D153" s="672"/>
      <c r="E153" s="672"/>
      <c r="F153" s="672"/>
      <c r="G153" s="670"/>
      <c r="H153" s="670"/>
      <c r="I153" s="670"/>
      <c r="J153" s="670"/>
      <c r="K153" s="670"/>
      <c r="L153" s="670"/>
      <c r="R153" s="334"/>
    </row>
    <row r="154" spans="1:18" x14ac:dyDescent="0.2">
      <c r="A154" s="678" t="s">
        <v>1765</v>
      </c>
      <c r="B154" s="672"/>
      <c r="C154" s="1528"/>
      <c r="D154" s="672"/>
      <c r="E154" s="672"/>
      <c r="F154" s="672"/>
      <c r="G154" s="670"/>
      <c r="H154" s="670"/>
      <c r="I154" s="670"/>
      <c r="J154" s="670"/>
      <c r="K154" s="670"/>
      <c r="L154" s="670"/>
      <c r="R154" s="334"/>
    </row>
    <row r="155" spans="1:18" x14ac:dyDescent="0.2">
      <c r="A155" s="678" t="s">
        <v>1766</v>
      </c>
      <c r="B155" s="672"/>
      <c r="C155" s="1528"/>
      <c r="D155" s="672"/>
      <c r="E155" s="672"/>
      <c r="F155" s="672"/>
      <c r="G155" s="670"/>
      <c r="H155" s="670"/>
      <c r="I155" s="670"/>
      <c r="J155" s="670"/>
      <c r="K155" s="670"/>
      <c r="L155" s="670"/>
      <c r="R155" s="334"/>
    </row>
    <row r="156" spans="1:18" x14ac:dyDescent="0.2">
      <c r="A156" s="678" t="s">
        <v>1767</v>
      </c>
      <c r="B156" s="672"/>
      <c r="C156" s="1528"/>
      <c r="D156" s="672"/>
      <c r="E156" s="672"/>
      <c r="F156" s="672"/>
      <c r="G156" s="670"/>
      <c r="H156" s="670"/>
      <c r="I156" s="670"/>
      <c r="J156" s="670"/>
      <c r="K156" s="670"/>
      <c r="L156" s="670"/>
      <c r="R156" s="334"/>
    </row>
    <row r="157" spans="1:18" x14ac:dyDescent="0.2">
      <c r="A157" s="268" t="s">
        <v>1768</v>
      </c>
      <c r="B157" s="672"/>
      <c r="C157" s="1528"/>
      <c r="D157" s="672"/>
      <c r="E157" s="672"/>
      <c r="F157" s="672"/>
      <c r="G157" s="670"/>
      <c r="H157" s="670"/>
      <c r="I157" s="670"/>
      <c r="J157" s="670"/>
      <c r="K157" s="670"/>
      <c r="L157" s="670"/>
      <c r="R157" s="334"/>
    </row>
    <row r="158" spans="1:18" x14ac:dyDescent="0.2">
      <c r="A158" s="268" t="s">
        <v>1416</v>
      </c>
      <c r="B158" s="672"/>
      <c r="C158" s="1528"/>
      <c r="D158" s="672"/>
      <c r="E158" s="672"/>
      <c r="F158" s="672"/>
      <c r="G158" s="670"/>
      <c r="H158" s="670"/>
      <c r="I158" s="670"/>
      <c r="J158" s="670"/>
      <c r="K158" s="670"/>
      <c r="L158" s="670"/>
      <c r="R158" s="334"/>
    </row>
    <row r="159" spans="1:18" x14ac:dyDescent="0.2">
      <c r="A159" s="2007" t="s">
        <v>1769</v>
      </c>
      <c r="B159" s="2007"/>
      <c r="C159" s="2007"/>
      <c r="D159" s="2007"/>
      <c r="E159" s="2007"/>
      <c r="F159" s="2007"/>
      <c r="G159" s="2007"/>
      <c r="H159" s="2007"/>
      <c r="I159" s="2007"/>
      <c r="J159" s="670"/>
      <c r="K159" s="670"/>
      <c r="L159" s="670"/>
      <c r="R159" s="334"/>
    </row>
    <row r="160" spans="1:18" x14ac:dyDescent="0.2">
      <c r="A160" s="2007" t="s">
        <v>1770</v>
      </c>
      <c r="B160" s="2007"/>
      <c r="C160" s="2007"/>
      <c r="D160" s="2007"/>
      <c r="E160" s="2007"/>
      <c r="F160" s="679"/>
      <c r="G160" s="268"/>
      <c r="H160" s="268"/>
      <c r="I160" s="268"/>
      <c r="J160" s="670"/>
      <c r="K160" s="670"/>
      <c r="L160" s="670"/>
      <c r="R160" s="334"/>
    </row>
    <row r="161" spans="1:18" x14ac:dyDescent="0.2">
      <c r="A161" s="2006" t="s">
        <v>1720</v>
      </c>
      <c r="B161" s="2006"/>
      <c r="C161" s="1528"/>
      <c r="D161" s="614"/>
      <c r="E161" s="679"/>
      <c r="F161" s="679"/>
      <c r="G161" s="268"/>
      <c r="H161" s="268"/>
      <c r="I161" s="268"/>
      <c r="J161" s="670"/>
      <c r="K161" s="670"/>
      <c r="L161" s="670"/>
      <c r="R161" s="334"/>
    </row>
    <row r="162" spans="1:18" x14ac:dyDescent="0.2">
      <c r="A162" s="678" t="s">
        <v>1716</v>
      </c>
      <c r="B162" s="678"/>
      <c r="C162" s="678"/>
      <c r="D162" s="678"/>
      <c r="E162" s="678"/>
      <c r="F162" s="678"/>
      <c r="G162" s="678"/>
      <c r="H162" s="268"/>
      <c r="I162" s="268"/>
      <c r="J162" s="670"/>
      <c r="K162" s="670"/>
      <c r="L162" s="670"/>
      <c r="R162" s="334"/>
    </row>
    <row r="163" spans="1:18" x14ac:dyDescent="0.2">
      <c r="A163" s="2007" t="s">
        <v>1771</v>
      </c>
      <c r="B163" s="2007"/>
      <c r="C163" s="2007"/>
      <c r="D163" s="2007"/>
      <c r="E163" s="2007"/>
      <c r="F163" s="2007"/>
      <c r="G163" s="2007"/>
      <c r="H163" s="2007"/>
      <c r="I163" s="2007"/>
      <c r="J163" s="388"/>
      <c r="K163" s="388"/>
      <c r="L163" s="644"/>
      <c r="R163" s="334"/>
    </row>
    <row r="164" spans="1:18" x14ac:dyDescent="0.2">
      <c r="A164" s="268" t="s">
        <v>1772</v>
      </c>
      <c r="B164" s="268"/>
      <c r="C164" s="268"/>
      <c r="D164" s="268"/>
      <c r="E164" s="268"/>
      <c r="F164" s="268"/>
      <c r="G164" s="268"/>
      <c r="H164" s="268"/>
      <c r="I164" s="268"/>
      <c r="J164" s="268"/>
      <c r="K164" s="268"/>
      <c r="L164" s="268"/>
      <c r="R164" s="334"/>
    </row>
  </sheetData>
  <sheetProtection algorithmName="SHA-512" hashValue="S7RanRiSX3X7W4NtdZrqTka5VUjDZy3LPEldqg8hwSRzVctNEYyqafVXMHKrQSOPcPRaSxYi/IRZGyoE9/ylPA==" saltValue="hmclfKmZsFzYTXmKDb+l2g==" spinCount="100000" sheet="1" objects="1" scenarios="1"/>
  <mergeCells count="108">
    <mergeCell ref="A77:D77"/>
    <mergeCell ref="B26:C26"/>
    <mergeCell ref="B27:C27"/>
    <mergeCell ref="B32:C33"/>
    <mergeCell ref="A34:C34"/>
    <mergeCell ref="B35:C35"/>
    <mergeCell ref="B19:C19"/>
    <mergeCell ref="B20:C20"/>
    <mergeCell ref="B21:C21"/>
    <mergeCell ref="B22:C22"/>
    <mergeCell ref="B23:C25"/>
    <mergeCell ref="A30:B30"/>
    <mergeCell ref="A31:B31"/>
    <mergeCell ref="A47:A48"/>
    <mergeCell ref="A52:A53"/>
    <mergeCell ref="A41:B41"/>
    <mergeCell ref="A159:I159"/>
    <mergeCell ref="A160:E160"/>
    <mergeCell ref="A161:B161"/>
    <mergeCell ref="A163:I163"/>
    <mergeCell ref="A143:G143"/>
    <mergeCell ref="A144:K144"/>
    <mergeCell ref="A146:E146"/>
    <mergeCell ref="A150:G150"/>
    <mergeCell ref="A151:H151"/>
    <mergeCell ref="A153:B153"/>
    <mergeCell ref="A142:G142"/>
    <mergeCell ref="A124:G124"/>
    <mergeCell ref="A125:L125"/>
    <mergeCell ref="A126:G126"/>
    <mergeCell ref="A127:F127"/>
    <mergeCell ref="A135:F135"/>
    <mergeCell ref="A136:D136"/>
    <mergeCell ref="A137:F137"/>
    <mergeCell ref="A138:F138"/>
    <mergeCell ref="A140:H140"/>
    <mergeCell ref="Q127:R127"/>
    <mergeCell ref="A134:F134"/>
    <mergeCell ref="A106:K106"/>
    <mergeCell ref="A120:F120"/>
    <mergeCell ref="Q120:R120"/>
    <mergeCell ref="A121:G121"/>
    <mergeCell ref="Q121:R121"/>
    <mergeCell ref="A122:B122"/>
    <mergeCell ref="A82:I82"/>
    <mergeCell ref="A104:R104"/>
    <mergeCell ref="N52:N53"/>
    <mergeCell ref="A57:B57"/>
    <mergeCell ref="A63:B63"/>
    <mergeCell ref="A66:G66"/>
    <mergeCell ref="A69:G69"/>
    <mergeCell ref="B42:C43"/>
    <mergeCell ref="A44:C44"/>
    <mergeCell ref="B45:C45"/>
    <mergeCell ref="B55:C55"/>
    <mergeCell ref="B50:C50"/>
    <mergeCell ref="B51:C51"/>
    <mergeCell ref="B52:C53"/>
    <mergeCell ref="M52:M53"/>
    <mergeCell ref="B54:C54"/>
    <mergeCell ref="B46:C46"/>
    <mergeCell ref="B47:C48"/>
    <mergeCell ref="M47:M48"/>
    <mergeCell ref="B49:C49"/>
    <mergeCell ref="A42:A43"/>
    <mergeCell ref="D42:E42"/>
    <mergeCell ref="F42:G42"/>
    <mergeCell ref="H42:I42"/>
    <mergeCell ref="J42:J43"/>
    <mergeCell ref="K42:L42"/>
    <mergeCell ref="F9:G9"/>
    <mergeCell ref="H9:I9"/>
    <mergeCell ref="M32:M33"/>
    <mergeCell ref="N32:N33"/>
    <mergeCell ref="A40:B40"/>
    <mergeCell ref="B36:C36"/>
    <mergeCell ref="B37:C37"/>
    <mergeCell ref="B38:C38"/>
    <mergeCell ref="A32:A33"/>
    <mergeCell ref="D32:E32"/>
    <mergeCell ref="F32:G32"/>
    <mergeCell ref="H32:I32"/>
    <mergeCell ref="J32:J33"/>
    <mergeCell ref="K32:L32"/>
    <mergeCell ref="J9:J10"/>
    <mergeCell ref="K9:L9"/>
    <mergeCell ref="M42:M43"/>
    <mergeCell ref="N42:N43"/>
    <mergeCell ref="A6:B6"/>
    <mergeCell ref="A1:B1"/>
    <mergeCell ref="A2:B2"/>
    <mergeCell ref="A4:K4"/>
    <mergeCell ref="M9:M10"/>
    <mergeCell ref="N9:N10"/>
    <mergeCell ref="A23:A25"/>
    <mergeCell ref="M23:M25"/>
    <mergeCell ref="N23:N25"/>
    <mergeCell ref="B9:C10"/>
    <mergeCell ref="A11:C11"/>
    <mergeCell ref="B13:C13"/>
    <mergeCell ref="B14:C14"/>
    <mergeCell ref="B15:C15"/>
    <mergeCell ref="B12:C12"/>
    <mergeCell ref="B16:C16"/>
    <mergeCell ref="B17:C17"/>
    <mergeCell ref="B18:C18"/>
    <mergeCell ref="A9:A10"/>
    <mergeCell ref="D9:E9"/>
  </mergeCells>
  <printOptions horizontalCentered="1"/>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18.pielikums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0"/>
  <sheetViews>
    <sheetView view="pageLayout" zoomScaleNormal="100" workbookViewId="0">
      <selection activeCell="K2" sqref="K2"/>
    </sheetView>
  </sheetViews>
  <sheetFormatPr defaultRowHeight="12" x14ac:dyDescent="0.2"/>
  <cols>
    <col min="1" max="1" width="4.85546875" style="244" customWidth="1"/>
    <col min="2" max="2" width="28.28515625" style="244" customWidth="1"/>
    <col min="3" max="3" width="8.28515625" style="244" customWidth="1"/>
    <col min="4" max="6" width="10.7109375" style="244" hidden="1" customWidth="1"/>
    <col min="7" max="7" width="11.140625" style="244" customWidth="1"/>
    <col min="8" max="8" width="10.7109375" style="244" bestFit="1" customWidth="1"/>
    <col min="9" max="9" width="19.7109375" style="244" customWidth="1"/>
    <col min="10" max="10" width="39.85546875" style="244" hidden="1" customWidth="1"/>
    <col min="11" max="11" width="46.28515625" style="244" customWidth="1"/>
    <col min="12" max="16384" width="9.140625" style="244"/>
  </cols>
  <sheetData>
    <row r="1" spans="1:12" ht="12.75" customHeight="1" x14ac:dyDescent="0.2">
      <c r="A1" s="367" t="s">
        <v>117</v>
      </c>
      <c r="B1" s="551"/>
      <c r="C1" s="678" t="s">
        <v>118</v>
      </c>
      <c r="D1" s="678"/>
      <c r="E1" s="678"/>
      <c r="F1" s="678"/>
      <c r="G1" s="678"/>
      <c r="H1" s="678"/>
      <c r="I1" s="552"/>
      <c r="J1" s="552"/>
    </row>
    <row r="2" spans="1:12" ht="12.75" customHeight="1" x14ac:dyDescent="0.2">
      <c r="A2" s="367" t="s">
        <v>515</v>
      </c>
      <c r="B2" s="551"/>
      <c r="C2" s="2011">
        <v>90000056357</v>
      </c>
      <c r="D2" s="2011"/>
      <c r="E2" s="2011"/>
      <c r="F2" s="2011"/>
      <c r="G2" s="2011"/>
      <c r="H2" s="1538"/>
      <c r="I2" s="386"/>
      <c r="J2" s="386"/>
    </row>
    <row r="3" spans="1:12" ht="12.75" customHeight="1" x14ac:dyDescent="0.2">
      <c r="A3" s="367"/>
      <c r="B3" s="551"/>
      <c r="C3" s="551"/>
      <c r="D3" s="396"/>
      <c r="E3" s="396"/>
      <c r="F3" s="396"/>
      <c r="G3" s="396"/>
      <c r="H3" s="396"/>
      <c r="I3" s="386"/>
      <c r="J3" s="386"/>
    </row>
    <row r="4" spans="1:12" ht="15.75" x14ac:dyDescent="0.25">
      <c r="A4" s="1945" t="s">
        <v>1773</v>
      </c>
      <c r="B4" s="1945"/>
      <c r="C4" s="1945"/>
      <c r="D4" s="1945"/>
      <c r="E4" s="1945"/>
      <c r="F4" s="1945"/>
      <c r="G4" s="1945"/>
      <c r="H4" s="1945"/>
      <c r="I4" s="1945"/>
      <c r="J4" s="1945"/>
      <c r="K4" s="444"/>
      <c r="L4" s="444"/>
    </row>
    <row r="5" spans="1:12" ht="15.75" x14ac:dyDescent="0.25">
      <c r="A5" s="553"/>
      <c r="B5" s="553"/>
      <c r="C5" s="1521"/>
      <c r="D5" s="553"/>
      <c r="E5" s="553"/>
      <c r="F5" s="553"/>
      <c r="G5" s="553"/>
      <c r="H5" s="553"/>
      <c r="I5" s="553"/>
      <c r="J5" s="553"/>
      <c r="K5" s="444"/>
      <c r="L5" s="444"/>
    </row>
    <row r="6" spans="1:12" ht="18" customHeight="1" x14ac:dyDescent="0.25">
      <c r="A6" s="1946" t="s">
        <v>121</v>
      </c>
      <c r="B6" s="1946"/>
      <c r="C6" s="680" t="s">
        <v>1774</v>
      </c>
      <c r="D6" s="680"/>
      <c r="E6" s="680"/>
      <c r="F6" s="680"/>
      <c r="G6" s="680"/>
      <c r="H6" s="680"/>
      <c r="I6" s="552"/>
      <c r="J6" s="552"/>
    </row>
    <row r="7" spans="1:12" ht="16.5" customHeight="1" x14ac:dyDescent="0.2">
      <c r="A7" s="367" t="s">
        <v>123</v>
      </c>
      <c r="B7" s="367"/>
      <c r="C7" s="678" t="s">
        <v>1775</v>
      </c>
      <c r="D7" s="678"/>
      <c r="E7" s="678"/>
      <c r="F7" s="678"/>
      <c r="G7" s="678"/>
      <c r="H7" s="678"/>
      <c r="I7" s="552"/>
      <c r="J7" s="552"/>
    </row>
    <row r="8" spans="1:12" ht="14.25" customHeight="1" x14ac:dyDescent="0.2">
      <c r="A8" s="558" t="s">
        <v>125</v>
      </c>
      <c r="B8" s="558"/>
      <c r="C8" s="649" t="s">
        <v>1776</v>
      </c>
      <c r="D8" s="649"/>
      <c r="E8" s="649"/>
      <c r="F8" s="649"/>
      <c r="G8" s="649"/>
      <c r="H8" s="649"/>
      <c r="I8" s="572"/>
      <c r="J8" s="572"/>
      <c r="K8" s="250"/>
    </row>
    <row r="9" spans="1:12" ht="55.5" customHeight="1" x14ac:dyDescent="0.2">
      <c r="A9" s="251" t="s">
        <v>1</v>
      </c>
      <c r="B9" s="1797" t="s">
        <v>127</v>
      </c>
      <c r="C9" s="1798"/>
      <c r="D9" s="251" t="s">
        <v>1777</v>
      </c>
      <c r="E9" s="251" t="s">
        <v>12</v>
      </c>
      <c r="F9" s="251" t="s">
        <v>128</v>
      </c>
      <c r="G9" s="251" t="s">
        <v>129</v>
      </c>
      <c r="H9" s="251" t="s">
        <v>3357</v>
      </c>
      <c r="I9" s="251" t="s">
        <v>11</v>
      </c>
      <c r="J9" s="251" t="s">
        <v>131</v>
      </c>
    </row>
    <row r="10" spans="1:12" ht="12" customHeight="1" x14ac:dyDescent="0.2">
      <c r="A10" s="1982" t="s">
        <v>526</v>
      </c>
      <c r="B10" s="1983"/>
      <c r="C10" s="1984"/>
      <c r="D10" s="397">
        <f>SUM(D11:D21)</f>
        <v>172068</v>
      </c>
      <c r="E10" s="397">
        <f t="shared" ref="E10:H10" si="0">SUM(E11:E21)</f>
        <v>162568</v>
      </c>
      <c r="F10" s="397">
        <f t="shared" si="0"/>
        <v>178200</v>
      </c>
      <c r="G10" s="397"/>
      <c r="H10" s="397">
        <f t="shared" si="0"/>
        <v>179200</v>
      </c>
      <c r="I10" s="397"/>
      <c r="J10" s="397"/>
    </row>
    <row r="11" spans="1:12" ht="31.5" customHeight="1" x14ac:dyDescent="0.2">
      <c r="A11" s="258">
        <v>1</v>
      </c>
      <c r="B11" s="1803" t="s">
        <v>1778</v>
      </c>
      <c r="C11" s="1804"/>
      <c r="D11" s="272">
        <v>50900</v>
      </c>
      <c r="E11" s="272">
        <v>50900</v>
      </c>
      <c r="F11" s="416">
        <v>45000</v>
      </c>
      <c r="G11" s="256">
        <v>2239</v>
      </c>
      <c r="H11" s="272">
        <v>45000</v>
      </c>
      <c r="I11" s="272" t="s">
        <v>1779</v>
      </c>
      <c r="J11" s="273" t="s">
        <v>1780</v>
      </c>
    </row>
    <row r="12" spans="1:12" ht="34.5" customHeight="1" x14ac:dyDescent="0.2">
      <c r="A12" s="258">
        <v>2</v>
      </c>
      <c r="B12" s="1803" t="s">
        <v>1781</v>
      </c>
      <c r="C12" s="1804"/>
      <c r="D12" s="272">
        <v>55150</v>
      </c>
      <c r="E12" s="272">
        <v>55150</v>
      </c>
      <c r="F12" s="416">
        <v>71700</v>
      </c>
      <c r="G12" s="256">
        <v>2210</v>
      </c>
      <c r="H12" s="272">
        <v>71700</v>
      </c>
      <c r="I12" s="272" t="s">
        <v>1779</v>
      </c>
      <c r="J12" s="273" t="s">
        <v>1782</v>
      </c>
    </row>
    <row r="13" spans="1:12" ht="31.5" customHeight="1" x14ac:dyDescent="0.2">
      <c r="A13" s="258">
        <v>3</v>
      </c>
      <c r="B13" s="1747" t="s">
        <v>1783</v>
      </c>
      <c r="C13" s="1748"/>
      <c r="D13" s="279">
        <v>0</v>
      </c>
      <c r="E13" s="279">
        <v>0</v>
      </c>
      <c r="F13" s="301">
        <v>7000</v>
      </c>
      <c r="G13" s="259">
        <v>2314</v>
      </c>
      <c r="H13" s="272">
        <v>7000</v>
      </c>
      <c r="I13" s="278" t="s">
        <v>1779</v>
      </c>
      <c r="J13" s="300" t="s">
        <v>1784</v>
      </c>
      <c r="K13" s="681"/>
    </row>
    <row r="14" spans="1:12" ht="33.75" customHeight="1" x14ac:dyDescent="0.2">
      <c r="A14" s="258">
        <v>4</v>
      </c>
      <c r="B14" s="1747" t="s">
        <v>1785</v>
      </c>
      <c r="C14" s="1748"/>
      <c r="D14" s="272">
        <v>18200</v>
      </c>
      <c r="E14" s="272">
        <v>18200</v>
      </c>
      <c r="F14" s="301">
        <v>18200</v>
      </c>
      <c r="G14" s="256">
        <v>2210</v>
      </c>
      <c r="H14" s="272">
        <v>18200</v>
      </c>
      <c r="I14" s="278" t="s">
        <v>1779</v>
      </c>
      <c r="J14" s="300" t="s">
        <v>1786</v>
      </c>
    </row>
    <row r="15" spans="1:12" ht="34.5" customHeight="1" x14ac:dyDescent="0.2">
      <c r="A15" s="1795">
        <v>5</v>
      </c>
      <c r="B15" s="1741" t="s">
        <v>1787</v>
      </c>
      <c r="C15" s="1742"/>
      <c r="D15" s="279">
        <v>645</v>
      </c>
      <c r="E15" s="279">
        <v>645</v>
      </c>
      <c r="F15" s="301">
        <v>3000</v>
      </c>
      <c r="G15" s="256">
        <v>2231</v>
      </c>
      <c r="H15" s="272">
        <v>5500</v>
      </c>
      <c r="I15" s="1828" t="s">
        <v>1788</v>
      </c>
      <c r="J15" s="304" t="s">
        <v>1789</v>
      </c>
      <c r="K15" s="681"/>
    </row>
    <row r="16" spans="1:12" ht="34.5" customHeight="1" x14ac:dyDescent="0.2">
      <c r="A16" s="1796"/>
      <c r="B16" s="1745"/>
      <c r="C16" s="1746"/>
      <c r="D16" s="279">
        <v>21963</v>
      </c>
      <c r="E16" s="279">
        <v>21963</v>
      </c>
      <c r="F16" s="301">
        <v>18500</v>
      </c>
      <c r="G16" s="256">
        <v>2314</v>
      </c>
      <c r="H16" s="272">
        <v>18500</v>
      </c>
      <c r="I16" s="1828"/>
      <c r="J16" s="304" t="s">
        <v>1790</v>
      </c>
    </row>
    <row r="17" spans="1:11" ht="36.75" customHeight="1" x14ac:dyDescent="0.2">
      <c r="A17" s="258">
        <v>6</v>
      </c>
      <c r="B17" s="1803" t="s">
        <v>1791</v>
      </c>
      <c r="C17" s="1804"/>
      <c r="D17" s="279">
        <v>8000</v>
      </c>
      <c r="E17" s="279">
        <v>8000</v>
      </c>
      <c r="F17" s="416">
        <v>8000</v>
      </c>
      <c r="G17" s="256">
        <v>2239</v>
      </c>
      <c r="H17" s="272">
        <v>7000</v>
      </c>
      <c r="I17" s="272" t="s">
        <v>1792</v>
      </c>
      <c r="J17" s="579" t="s">
        <v>1793</v>
      </c>
    </row>
    <row r="18" spans="1:11" ht="42.75" hidden="1" customHeight="1" x14ac:dyDescent="0.2">
      <c r="A18" s="258">
        <v>7</v>
      </c>
      <c r="B18" s="1747" t="s">
        <v>1794</v>
      </c>
      <c r="C18" s="1748"/>
      <c r="D18" s="279">
        <v>9500</v>
      </c>
      <c r="E18" s="279">
        <v>0</v>
      </c>
      <c r="F18" s="301">
        <v>0</v>
      </c>
      <c r="G18" s="256">
        <v>5140</v>
      </c>
      <c r="H18" s="272"/>
      <c r="I18" s="278" t="s">
        <v>1795</v>
      </c>
      <c r="J18" s="304" t="s">
        <v>1796</v>
      </c>
    </row>
    <row r="19" spans="1:11" ht="42.75" customHeight="1" x14ac:dyDescent="0.2">
      <c r="A19" s="1795">
        <v>8</v>
      </c>
      <c r="B19" s="1799" t="s">
        <v>1797</v>
      </c>
      <c r="C19" s="1800"/>
      <c r="D19" s="279">
        <v>6100</v>
      </c>
      <c r="E19" s="279">
        <v>6100</v>
      </c>
      <c r="F19" s="416">
        <v>5000</v>
      </c>
      <c r="G19" s="256">
        <v>1150</v>
      </c>
      <c r="H19" s="272">
        <v>5000</v>
      </c>
      <c r="I19" s="1815" t="s">
        <v>1798</v>
      </c>
      <c r="J19" s="2012" t="s">
        <v>1799</v>
      </c>
    </row>
    <row r="20" spans="1:11" ht="42.75" customHeight="1" x14ac:dyDescent="0.2">
      <c r="A20" s="1796"/>
      <c r="B20" s="1801"/>
      <c r="C20" s="1802"/>
      <c r="D20" s="279">
        <v>510</v>
      </c>
      <c r="E20" s="279">
        <v>510</v>
      </c>
      <c r="F20" s="416">
        <v>800</v>
      </c>
      <c r="G20" s="256">
        <v>1210</v>
      </c>
      <c r="H20" s="272">
        <v>800</v>
      </c>
      <c r="I20" s="1816"/>
      <c r="J20" s="2012"/>
    </row>
    <row r="21" spans="1:11" ht="34.5" customHeight="1" x14ac:dyDescent="0.2">
      <c r="A21" s="258">
        <v>9</v>
      </c>
      <c r="B21" s="1803" t="s">
        <v>1800</v>
      </c>
      <c r="C21" s="1804"/>
      <c r="D21" s="279">
        <v>1100</v>
      </c>
      <c r="E21" s="279">
        <v>1100</v>
      </c>
      <c r="F21" s="452">
        <v>1000</v>
      </c>
      <c r="G21" s="256">
        <v>2239</v>
      </c>
      <c r="H21" s="272">
        <v>500</v>
      </c>
      <c r="I21" s="272" t="s">
        <v>1779</v>
      </c>
      <c r="J21" s="579" t="s">
        <v>1801</v>
      </c>
    </row>
    <row r="22" spans="1:11" x14ac:dyDescent="0.2">
      <c r="A22" s="405"/>
      <c r="B22" s="1531"/>
      <c r="C22" s="1531"/>
      <c r="D22" s="662"/>
      <c r="E22" s="662"/>
      <c r="F22" s="1616"/>
      <c r="G22" s="612"/>
      <c r="H22" s="610"/>
      <c r="I22" s="610"/>
      <c r="J22" s="661"/>
    </row>
    <row r="23" spans="1:11" s="367" customFormat="1" ht="12" customHeight="1" x14ac:dyDescent="0.2">
      <c r="A23" s="244" t="s">
        <v>400</v>
      </c>
      <c r="B23" s="356"/>
      <c r="C23" s="356"/>
      <c r="D23" s="356"/>
      <c r="E23" s="356"/>
      <c r="F23" s="356"/>
      <c r="G23" s="356"/>
      <c r="H23" s="356"/>
    </row>
    <row r="24" spans="1:11" s="367" customFormat="1" x14ac:dyDescent="0.2">
      <c r="A24" s="244" t="s">
        <v>401</v>
      </c>
      <c r="B24" s="356"/>
      <c r="C24" s="356"/>
      <c r="D24" s="356"/>
      <c r="E24" s="356"/>
      <c r="F24" s="356"/>
      <c r="G24" s="356"/>
      <c r="H24" s="356"/>
    </row>
    <row r="25" spans="1:11" s="367" customFormat="1" ht="24.75" customHeight="1" x14ac:dyDescent="0.2">
      <c r="A25" s="244"/>
      <c r="B25" s="2013" t="s">
        <v>1802</v>
      </c>
      <c r="C25" s="2013"/>
      <c r="D25" s="2013"/>
      <c r="E25" s="2013"/>
      <c r="F25" s="2013"/>
      <c r="G25" s="2013"/>
      <c r="H25" s="2013"/>
      <c r="I25" s="2013"/>
      <c r="J25" s="2013"/>
      <c r="K25" s="2013"/>
    </row>
    <row r="26" spans="1:11" s="367" customFormat="1" ht="12" customHeight="1" x14ac:dyDescent="0.2">
      <c r="A26" s="244"/>
      <c r="B26" s="266" t="s">
        <v>1803</v>
      </c>
      <c r="C26" s="1537"/>
      <c r="E26" s="466"/>
      <c r="F26" s="244"/>
      <c r="G26" s="244"/>
      <c r="H26" s="356"/>
    </row>
    <row r="27" spans="1:11" s="367" customFormat="1" ht="12" customHeight="1" x14ac:dyDescent="0.2">
      <c r="A27" s="244"/>
      <c r="B27" s="266" t="s">
        <v>1804</v>
      </c>
      <c r="C27" s="1537"/>
      <c r="E27" s="466"/>
      <c r="F27" s="244"/>
      <c r="G27" s="244"/>
      <c r="H27" s="356"/>
    </row>
    <row r="28" spans="1:11" s="367" customFormat="1" ht="12" customHeight="1" x14ac:dyDescent="0.2">
      <c r="A28" s="244"/>
      <c r="B28" s="266" t="s">
        <v>1805</v>
      </c>
      <c r="C28" s="1537"/>
      <c r="E28" s="466"/>
      <c r="F28" s="244"/>
      <c r="G28" s="244"/>
      <c r="H28" s="356"/>
    </row>
    <row r="29" spans="1:11" s="367" customFormat="1" ht="12" customHeight="1" x14ac:dyDescent="0.2">
      <c r="A29" s="244"/>
      <c r="B29" s="266" t="s">
        <v>1806</v>
      </c>
      <c r="C29" s="1537"/>
      <c r="E29" s="466"/>
      <c r="F29" s="244"/>
      <c r="G29" s="244"/>
      <c r="H29" s="356"/>
    </row>
    <row r="30" spans="1:11" s="367" customFormat="1" ht="12" customHeight="1" x14ac:dyDescent="0.2">
      <c r="A30" s="244"/>
      <c r="B30" s="244" t="s">
        <v>1807</v>
      </c>
      <c r="C30" s="244"/>
      <c r="E30" s="466"/>
      <c r="F30" s="244"/>
      <c r="G30" s="244"/>
      <c r="H30" s="356"/>
    </row>
    <row r="31" spans="1:11" s="367" customFormat="1" ht="12" customHeight="1" x14ac:dyDescent="0.2">
      <c r="A31" s="244"/>
      <c r="B31" s="266" t="s">
        <v>1808</v>
      </c>
      <c r="C31" s="1537"/>
      <c r="E31" s="466"/>
      <c r="F31" s="244"/>
      <c r="G31" s="244"/>
      <c r="H31" s="356"/>
    </row>
    <row r="32" spans="1:11" s="367" customFormat="1" ht="12" customHeight="1" x14ac:dyDescent="0.2">
      <c r="A32" s="244"/>
      <c r="B32" s="266" t="s">
        <v>1809</v>
      </c>
      <c r="C32" s="1537"/>
      <c r="E32" s="466"/>
      <c r="F32" s="244"/>
      <c r="G32" s="244"/>
      <c r="H32" s="356"/>
    </row>
    <row r="33" spans="1:12" s="367" customFormat="1" ht="12" customHeight="1" x14ac:dyDescent="0.2">
      <c r="A33" s="244"/>
      <c r="B33" s="356"/>
      <c r="C33" s="356"/>
      <c r="D33" s="356"/>
      <c r="E33" s="356"/>
      <c r="F33" s="356"/>
      <c r="G33" s="356"/>
      <c r="H33" s="356"/>
    </row>
    <row r="34" spans="1:12" s="367" customFormat="1" ht="12" customHeight="1" x14ac:dyDescent="0.2">
      <c r="A34" s="244"/>
      <c r="B34" s="356"/>
      <c r="C34" s="356"/>
      <c r="D34" s="356"/>
      <c r="E34" s="356"/>
      <c r="F34" s="356"/>
      <c r="G34" s="356"/>
      <c r="H34" s="356"/>
    </row>
    <row r="35" spans="1:12" s="274" customFormat="1" x14ac:dyDescent="0.25">
      <c r="B35" s="266"/>
      <c r="C35" s="1537"/>
      <c r="D35" s="266"/>
    </row>
    <row r="36" spans="1:12" s="274" customFormat="1" x14ac:dyDescent="0.25">
      <c r="B36" s="266"/>
      <c r="C36" s="1537"/>
      <c r="D36" s="266"/>
    </row>
    <row r="37" spans="1:12" s="274" customFormat="1" x14ac:dyDescent="0.25">
      <c r="B37" s="266"/>
      <c r="C37" s="1537"/>
      <c r="D37" s="266"/>
      <c r="E37" s="670"/>
      <c r="F37" s="670"/>
      <c r="G37" s="670"/>
      <c r="H37" s="670"/>
      <c r="I37" s="670"/>
    </row>
    <row r="38" spans="1:12" x14ac:dyDescent="0.2">
      <c r="A38" s="268"/>
      <c r="B38" s="268"/>
      <c r="C38" s="268"/>
      <c r="D38" s="268"/>
      <c r="E38" s="644"/>
      <c r="F38" s="1986"/>
      <c r="G38" s="1986"/>
      <c r="H38" s="644"/>
      <c r="I38" s="644"/>
    </row>
    <row r="39" spans="1:12" x14ac:dyDescent="0.2">
      <c r="A39" s="268"/>
      <c r="B39" s="268"/>
      <c r="C39" s="268"/>
      <c r="D39" s="268"/>
      <c r="E39" s="644"/>
      <c r="F39" s="1986"/>
      <c r="G39" s="1986"/>
      <c r="H39" s="644"/>
      <c r="I39" s="644"/>
      <c r="J39" s="268"/>
      <c r="K39" s="268"/>
      <c r="L39" s="268"/>
    </row>
    <row r="40" spans="1:12" x14ac:dyDescent="0.2">
      <c r="A40" s="268"/>
      <c r="B40" s="268"/>
      <c r="C40" s="268"/>
      <c r="D40" s="268"/>
      <c r="E40" s="644"/>
      <c r="F40" s="552"/>
      <c r="G40" s="552"/>
      <c r="H40" s="644"/>
      <c r="I40" s="644"/>
      <c r="J40" s="268"/>
      <c r="K40" s="268"/>
      <c r="L40" s="268"/>
    </row>
    <row r="41" spans="1:12" x14ac:dyDescent="0.2">
      <c r="A41" s="268"/>
      <c r="B41" s="268"/>
      <c r="C41" s="268"/>
      <c r="D41" s="268"/>
      <c r="E41" s="644"/>
      <c r="F41" s="552"/>
      <c r="G41" s="552"/>
      <c r="H41" s="644"/>
      <c r="I41" s="644"/>
      <c r="J41" s="268"/>
      <c r="K41" s="268"/>
      <c r="L41" s="268"/>
    </row>
    <row r="42" spans="1:12" x14ac:dyDescent="0.2">
      <c r="A42" s="268"/>
      <c r="B42" s="268"/>
      <c r="C42" s="268"/>
      <c r="D42" s="268"/>
      <c r="E42" s="644"/>
      <c r="F42" s="552"/>
      <c r="G42" s="552"/>
      <c r="H42" s="644"/>
      <c r="I42" s="644"/>
      <c r="J42" s="268"/>
      <c r="K42" s="268"/>
      <c r="L42" s="268"/>
    </row>
    <row r="43" spans="1:12" ht="12" customHeight="1" x14ac:dyDescent="0.2">
      <c r="A43" s="1985"/>
      <c r="B43" s="1985"/>
      <c r="C43" s="1985"/>
      <c r="D43" s="1985"/>
      <c r="E43" s="644"/>
      <c r="F43" s="644"/>
      <c r="G43" s="644"/>
      <c r="H43" s="644"/>
      <c r="I43" s="644"/>
    </row>
    <row r="44" spans="1:12" ht="12" customHeight="1" x14ac:dyDescent="0.2">
      <c r="A44" s="1985"/>
      <c r="B44" s="1985"/>
      <c r="C44" s="1985"/>
      <c r="D44" s="1985"/>
      <c r="E44" s="367"/>
      <c r="F44" s="1986"/>
      <c r="G44" s="1986"/>
      <c r="H44" s="367"/>
      <c r="I44" s="367"/>
    </row>
    <row r="45" spans="1:12" s="274" customFormat="1" x14ac:dyDescent="0.25">
      <c r="B45" s="266"/>
      <c r="C45" s="1537"/>
      <c r="D45" s="266"/>
      <c r="E45" s="670"/>
      <c r="F45" s="670"/>
      <c r="G45" s="670"/>
      <c r="H45" s="670"/>
      <c r="I45" s="670"/>
    </row>
    <row r="46" spans="1:12" s="274" customFormat="1" x14ac:dyDescent="0.25">
      <c r="B46" s="266"/>
      <c r="C46" s="1537"/>
      <c r="D46" s="266"/>
    </row>
    <row r="47" spans="1:12" s="367" customFormat="1" x14ac:dyDescent="0.2">
      <c r="A47" s="356"/>
      <c r="B47" s="356"/>
      <c r="C47" s="356"/>
      <c r="D47" s="356"/>
      <c r="E47" s="356"/>
      <c r="F47" s="356"/>
      <c r="G47" s="356"/>
      <c r="H47" s="356"/>
    </row>
    <row r="48" spans="1:12" s="367" customFormat="1" x14ac:dyDescent="0.2">
      <c r="A48" s="356"/>
      <c r="B48" s="356"/>
      <c r="C48" s="356"/>
      <c r="D48" s="356"/>
      <c r="E48" s="356"/>
      <c r="F48" s="356"/>
      <c r="G48" s="356"/>
      <c r="H48" s="356"/>
    </row>
    <row r="49" spans="1:10" s="367" customFormat="1" x14ac:dyDescent="0.2">
      <c r="A49" s="388"/>
      <c r="B49" s="388"/>
      <c r="C49" s="388"/>
      <c r="D49" s="388"/>
      <c r="E49" s="388"/>
      <c r="F49" s="388"/>
      <c r="G49" s="388"/>
      <c r="H49" s="388"/>
      <c r="I49" s="644"/>
      <c r="J49" s="644"/>
    </row>
    <row r="50" spans="1:10" x14ac:dyDescent="0.2">
      <c r="A50" s="268"/>
      <c r="B50" s="268"/>
      <c r="C50" s="268"/>
      <c r="D50" s="268"/>
      <c r="E50" s="268"/>
      <c r="F50" s="268"/>
      <c r="G50" s="268"/>
      <c r="H50" s="268"/>
      <c r="I50" s="268"/>
      <c r="J50" s="268"/>
    </row>
  </sheetData>
  <sheetProtection algorithmName="SHA-512" hashValue="5ayNRC7q2du5n7SX3AeY/+itveSDe9rdHILv/p6L5mBVb4oni8g7z8VqfPhf9c/f8JUmpwQYc1Bm0yUvjT833g==" saltValue="YWnD8ummTgtgnJ4ir+187w==" spinCount="100000" sheet="1" objects="1" scenarios="1"/>
  <mergeCells count="25">
    <mergeCell ref="B25:K25"/>
    <mergeCell ref="B19:C20"/>
    <mergeCell ref="B21:C21"/>
    <mergeCell ref="A19:A20"/>
    <mergeCell ref="I19:I20"/>
    <mergeCell ref="F38:G38"/>
    <mergeCell ref="F39:G39"/>
    <mergeCell ref="A43:D43"/>
    <mergeCell ref="A44:D44"/>
    <mergeCell ref="F44:G44"/>
    <mergeCell ref="B17:C17"/>
    <mergeCell ref="B18:C18"/>
    <mergeCell ref="A4:J4"/>
    <mergeCell ref="A6:B6"/>
    <mergeCell ref="J19:J20"/>
    <mergeCell ref="C2:G2"/>
    <mergeCell ref="A15:A16"/>
    <mergeCell ref="I15:I16"/>
    <mergeCell ref="B9:C9"/>
    <mergeCell ref="A10:C10"/>
    <mergeCell ref="B11:C11"/>
    <mergeCell ref="B12:C12"/>
    <mergeCell ref="B13:C13"/>
    <mergeCell ref="B14:C14"/>
    <mergeCell ref="B15:C16"/>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19.pielikums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13"/>
  <sheetViews>
    <sheetView view="pageLayout" zoomScale="80" zoomScaleNormal="70" zoomScaleSheetLayoutView="70" zoomScalePageLayoutView="80" workbookViewId="0">
      <selection activeCell="G18" sqref="G18"/>
    </sheetView>
  </sheetViews>
  <sheetFormatPr defaultRowHeight="12.75" x14ac:dyDescent="0.2"/>
  <cols>
    <col min="1" max="1" width="14.42578125" style="571" customWidth="1"/>
    <col min="2" max="2" width="16.42578125" style="571" customWidth="1"/>
    <col min="3" max="3" width="48.28515625" style="571" customWidth="1"/>
    <col min="4" max="18" width="13.7109375" style="571" customWidth="1"/>
    <col min="19" max="20" width="9.140625" style="571"/>
    <col min="21" max="21" width="9.85546875" style="571" customWidth="1"/>
    <col min="22" max="16384" width="9.140625" style="571"/>
  </cols>
  <sheetData>
    <row r="1" spans="1:18" x14ac:dyDescent="0.2">
      <c r="R1" s="682"/>
    </row>
    <row r="2" spans="1:18" x14ac:dyDescent="0.2">
      <c r="R2" s="682"/>
    </row>
    <row r="3" spans="1:18" ht="19.5" customHeight="1" x14ac:dyDescent="0.3">
      <c r="A3" s="2014" t="s">
        <v>2116</v>
      </c>
      <c r="B3" s="2014"/>
      <c r="C3" s="2014"/>
      <c r="D3" s="2014"/>
      <c r="E3" s="2014"/>
      <c r="F3" s="2014"/>
      <c r="G3" s="2014"/>
      <c r="H3" s="2014"/>
      <c r="I3" s="2014"/>
      <c r="J3" s="2014"/>
      <c r="K3" s="2014"/>
      <c r="L3" s="2014"/>
      <c r="M3" s="2014"/>
      <c r="N3" s="2014"/>
      <c r="O3" s="2014"/>
      <c r="P3" s="2014"/>
      <c r="Q3" s="2014"/>
      <c r="R3" s="2014"/>
    </row>
    <row r="4" spans="1:18" ht="13.5" thickBot="1" x14ac:dyDescent="0.25">
      <c r="A4" s="743"/>
      <c r="B4" s="743"/>
      <c r="C4" s="743"/>
      <c r="D4" s="744"/>
      <c r="E4" s="744"/>
      <c r="F4" s="744"/>
      <c r="G4" s="745"/>
      <c r="H4" s="746"/>
      <c r="I4" s="746"/>
      <c r="J4" s="746"/>
      <c r="K4" s="746"/>
      <c r="L4" s="746"/>
      <c r="M4" s="746"/>
      <c r="N4" s="746"/>
      <c r="O4" s="746"/>
      <c r="P4" s="746"/>
      <c r="Q4" s="746"/>
      <c r="R4" s="747"/>
    </row>
    <row r="5" spans="1:18" ht="63" customHeight="1" x14ac:dyDescent="0.2">
      <c r="A5" s="748" t="s">
        <v>2117</v>
      </c>
      <c r="B5" s="749" t="s">
        <v>2118</v>
      </c>
      <c r="C5" s="750" t="s">
        <v>2119</v>
      </c>
      <c r="D5" s="751">
        <v>2020</v>
      </c>
      <c r="E5" s="752">
        <v>2021</v>
      </c>
      <c r="F5" s="753">
        <v>2022</v>
      </c>
      <c r="G5" s="749">
        <v>2023</v>
      </c>
      <c r="H5" s="753">
        <v>2024</v>
      </c>
      <c r="I5" s="753">
        <v>2025</v>
      </c>
      <c r="J5" s="749">
        <v>2026</v>
      </c>
      <c r="K5" s="749">
        <v>2027</v>
      </c>
      <c r="L5" s="749">
        <v>2028</v>
      </c>
      <c r="M5" s="749">
        <v>2029</v>
      </c>
      <c r="N5" s="749">
        <v>2030</v>
      </c>
      <c r="O5" s="752">
        <v>2031</v>
      </c>
      <c r="P5" s="749">
        <v>2032</v>
      </c>
      <c r="Q5" s="749">
        <v>2033</v>
      </c>
      <c r="R5" s="754" t="s">
        <v>2120</v>
      </c>
    </row>
    <row r="6" spans="1:18" ht="15.75" x14ac:dyDescent="0.25">
      <c r="A6" s="755"/>
      <c r="B6" s="756"/>
      <c r="C6" s="757" t="s">
        <v>2121</v>
      </c>
      <c r="D6" s="758">
        <f t="shared" ref="D6:R6" si="0">SUM(D15:D92)</f>
        <v>6904299.5302817002</v>
      </c>
      <c r="E6" s="758">
        <f t="shared" si="0"/>
        <v>9958722.913674999</v>
      </c>
      <c r="F6" s="758">
        <f t="shared" si="0"/>
        <v>12516889.56120025</v>
      </c>
      <c r="G6" s="758">
        <f t="shared" si="0"/>
        <v>13266340.184177499</v>
      </c>
      <c r="H6" s="758">
        <f t="shared" si="0"/>
        <v>13303536.204</v>
      </c>
      <c r="I6" s="758">
        <f t="shared" si="0"/>
        <v>10912508.804</v>
      </c>
      <c r="J6" s="758">
        <f t="shared" si="0"/>
        <v>10149103.604</v>
      </c>
      <c r="K6" s="758">
        <f t="shared" si="0"/>
        <v>9491514.6319999993</v>
      </c>
      <c r="L6" s="758">
        <f t="shared" si="0"/>
        <v>9089188.7459999993</v>
      </c>
      <c r="M6" s="758">
        <f t="shared" si="0"/>
        <v>8631682.9460000005</v>
      </c>
      <c r="N6" s="758">
        <f t="shared" si="0"/>
        <v>8339296.4460000005</v>
      </c>
      <c r="O6" s="758">
        <f t="shared" si="0"/>
        <v>8020555.6459999997</v>
      </c>
      <c r="P6" s="758">
        <f t="shared" si="0"/>
        <v>6812927.0649999995</v>
      </c>
      <c r="Q6" s="758">
        <f t="shared" si="0"/>
        <v>5813174.4419999998</v>
      </c>
      <c r="R6" s="759">
        <f t="shared" si="0"/>
        <v>18964779.611000001</v>
      </c>
    </row>
    <row r="7" spans="1:18" ht="31.5" x14ac:dyDescent="0.25">
      <c r="A7" s="760"/>
      <c r="B7" s="761"/>
      <c r="C7" s="762" t="s">
        <v>2122</v>
      </c>
      <c r="D7" s="763">
        <f>D6/D13</f>
        <v>9.243807951996541E-2</v>
      </c>
      <c r="E7" s="763">
        <f t="shared" ref="E7:Q7" si="1">E6/E13</f>
        <v>0.13333216737977061</v>
      </c>
      <c r="F7" s="763">
        <f>F6/F13</f>
        <v>0.16758213161613017</v>
      </c>
      <c r="G7" s="763">
        <f t="shared" si="1"/>
        <v>0.17761613665591905</v>
      </c>
      <c r="H7" s="763">
        <f t="shared" si="1"/>
        <v>0.17811413484141178</v>
      </c>
      <c r="I7" s="764">
        <f t="shared" si="1"/>
        <v>0.14610191115872947</v>
      </c>
      <c r="J7" s="763">
        <f t="shared" si="1"/>
        <v>0.13588107553680276</v>
      </c>
      <c r="K7" s="763">
        <f t="shared" si="1"/>
        <v>0.12707695841839201</v>
      </c>
      <c r="L7" s="763">
        <f t="shared" si="1"/>
        <v>0.12169042614529245</v>
      </c>
      <c r="M7" s="763">
        <f t="shared" si="1"/>
        <v>0.11556511867047034</v>
      </c>
      <c r="N7" s="763">
        <f t="shared" si="1"/>
        <v>0.11165050772130405</v>
      </c>
      <c r="O7" s="764">
        <f t="shared" si="1"/>
        <v>0.10738305274090645</v>
      </c>
      <c r="P7" s="763">
        <f t="shared" si="1"/>
        <v>9.121474105172539E-2</v>
      </c>
      <c r="Q7" s="763">
        <f t="shared" si="1"/>
        <v>7.7829572569413405E-2</v>
      </c>
      <c r="R7" s="765"/>
    </row>
    <row r="8" spans="1:18" ht="19.5" hidden="1" customHeight="1" x14ac:dyDescent="0.25">
      <c r="A8" s="760"/>
      <c r="B8" s="761"/>
      <c r="C8" s="761" t="s">
        <v>2123</v>
      </c>
      <c r="D8" s="766"/>
      <c r="E8" s="767"/>
      <c r="F8" s="767"/>
      <c r="G8" s="766"/>
      <c r="H8" s="767"/>
      <c r="I8" s="767"/>
      <c r="J8" s="768"/>
      <c r="K8" s="768"/>
      <c r="L8" s="768"/>
      <c r="M8" s="768"/>
      <c r="N8" s="768"/>
      <c r="O8" s="769"/>
      <c r="P8" s="768"/>
      <c r="Q8" s="768"/>
      <c r="R8" s="770"/>
    </row>
    <row r="9" spans="1:18" ht="19.5" customHeight="1" x14ac:dyDescent="0.25">
      <c r="A9" s="760"/>
      <c r="B9" s="761"/>
      <c r="C9" s="2015" t="s">
        <v>2124</v>
      </c>
      <c r="D9" s="766">
        <f>SUM(D38:D92)</f>
        <v>6767912.0052816998</v>
      </c>
      <c r="E9" s="766">
        <f t="shared" ref="E9:R9" si="2">SUM(E38:E92)</f>
        <v>7263824</v>
      </c>
      <c r="F9" s="766">
        <f t="shared" si="2"/>
        <v>8569202</v>
      </c>
      <c r="G9" s="766">
        <f t="shared" si="2"/>
        <v>7368407</v>
      </c>
      <c r="H9" s="766">
        <f t="shared" si="2"/>
        <v>7206954</v>
      </c>
      <c r="I9" s="766">
        <f t="shared" si="2"/>
        <v>4697595</v>
      </c>
      <c r="J9" s="766">
        <f t="shared" si="2"/>
        <v>3812921</v>
      </c>
      <c r="K9" s="766">
        <f t="shared" si="2"/>
        <v>3345418.29</v>
      </c>
      <c r="L9" s="766">
        <f t="shared" si="2"/>
        <v>3124517</v>
      </c>
      <c r="M9" s="766">
        <f t="shared" si="2"/>
        <v>2680380</v>
      </c>
      <c r="N9" s="766">
        <f t="shared" si="2"/>
        <v>2521751</v>
      </c>
      <c r="O9" s="766">
        <f t="shared" si="2"/>
        <v>2334585</v>
      </c>
      <c r="P9" s="766">
        <f t="shared" si="2"/>
        <v>1944274</v>
      </c>
      <c r="Q9" s="766">
        <f t="shared" si="2"/>
        <v>1971997</v>
      </c>
      <c r="R9" s="771">
        <f t="shared" si="2"/>
        <v>5697962</v>
      </c>
    </row>
    <row r="10" spans="1:18" ht="19.5" customHeight="1" x14ac:dyDescent="0.25">
      <c r="A10" s="760"/>
      <c r="B10" s="761"/>
      <c r="C10" s="2015"/>
      <c r="D10" s="772">
        <f t="shared" ref="D10:Q10" si="3">D9/D13</f>
        <v>9.0612057803180629E-2</v>
      </c>
      <c r="E10" s="772">
        <f t="shared" si="3"/>
        <v>9.7251565866470657E-2</v>
      </c>
      <c r="F10" s="772">
        <f t="shared" si="3"/>
        <v>0.11472859374429943</v>
      </c>
      <c r="G10" s="772">
        <f t="shared" si="3"/>
        <v>9.8651773320975772E-2</v>
      </c>
      <c r="H10" s="773">
        <f t="shared" si="3"/>
        <v>9.6490162981320057E-2</v>
      </c>
      <c r="I10" s="773">
        <f t="shared" si="3"/>
        <v>6.289365898134415E-2</v>
      </c>
      <c r="J10" s="772">
        <f t="shared" si="3"/>
        <v>5.1049218397244918E-2</v>
      </c>
      <c r="K10" s="772">
        <f t="shared" si="3"/>
        <v>4.4790067487983004E-2</v>
      </c>
      <c r="L10" s="772">
        <f t="shared" si="3"/>
        <v>4.1832534877828439E-2</v>
      </c>
      <c r="M10" s="772">
        <f t="shared" si="3"/>
        <v>3.5886215320906814E-2</v>
      </c>
      <c r="N10" s="772">
        <f t="shared" si="3"/>
        <v>3.3762414050139189E-2</v>
      </c>
      <c r="O10" s="773">
        <f t="shared" si="3"/>
        <v>3.1256545711786848E-2</v>
      </c>
      <c r="P10" s="772">
        <f t="shared" si="3"/>
        <v>2.6030874505421162E-2</v>
      </c>
      <c r="Q10" s="772">
        <f t="shared" si="3"/>
        <v>2.6402043349891536E-2</v>
      </c>
      <c r="R10" s="774"/>
    </row>
    <row r="11" spans="1:18" ht="19.5" customHeight="1" x14ac:dyDescent="0.25">
      <c r="A11" s="760"/>
      <c r="B11" s="761"/>
      <c r="C11" s="2016" t="s">
        <v>2125</v>
      </c>
      <c r="D11" s="766">
        <f t="shared" ref="D11:R11" si="4">SUM(D15:D36)</f>
        <v>136387.52499999999</v>
      </c>
      <c r="E11" s="766">
        <f t="shared" si="4"/>
        <v>2694898.913675</v>
      </c>
      <c r="F11" s="766">
        <f t="shared" si="4"/>
        <v>3947687.5612002509</v>
      </c>
      <c r="G11" s="766">
        <f t="shared" si="4"/>
        <v>5897933.1841774993</v>
      </c>
      <c r="H11" s="766">
        <f t="shared" si="4"/>
        <v>6096582.2039999999</v>
      </c>
      <c r="I11" s="766">
        <f t="shared" si="4"/>
        <v>6214913.8039999995</v>
      </c>
      <c r="J11" s="766">
        <f t="shared" si="4"/>
        <v>6336182.6040000003</v>
      </c>
      <c r="K11" s="766">
        <f t="shared" si="4"/>
        <v>6146096.3420000002</v>
      </c>
      <c r="L11" s="766">
        <f t="shared" si="4"/>
        <v>5964671.7459999993</v>
      </c>
      <c r="M11" s="766">
        <f t="shared" si="4"/>
        <v>5951302.9460000005</v>
      </c>
      <c r="N11" s="766">
        <f t="shared" si="4"/>
        <v>5817545.4460000005</v>
      </c>
      <c r="O11" s="766">
        <f t="shared" si="4"/>
        <v>5685970.6459999997</v>
      </c>
      <c r="P11" s="766">
        <f t="shared" si="4"/>
        <v>4868653.0649999995</v>
      </c>
      <c r="Q11" s="766">
        <f t="shared" si="4"/>
        <v>3841177.4419999998</v>
      </c>
      <c r="R11" s="771">
        <f t="shared" si="4"/>
        <v>13266817.611</v>
      </c>
    </row>
    <row r="12" spans="1:18" ht="19.5" customHeight="1" x14ac:dyDescent="0.25">
      <c r="A12" s="760"/>
      <c r="B12" s="761"/>
      <c r="C12" s="2016"/>
      <c r="D12" s="772">
        <f>D11/D13</f>
        <v>1.8260217167847697E-3</v>
      </c>
      <c r="E12" s="772">
        <f t="shared" ref="E12:N12" si="5">E11/E13</f>
        <v>3.6080601513299948E-2</v>
      </c>
      <c r="F12" s="772">
        <f t="shared" si="5"/>
        <v>5.2853537871830752E-2</v>
      </c>
      <c r="G12" s="772">
        <f t="shared" si="5"/>
        <v>7.8964363334943291E-2</v>
      </c>
      <c r="H12" s="773">
        <f t="shared" si="5"/>
        <v>8.162397186009171E-2</v>
      </c>
      <c r="I12" s="773">
        <f t="shared" si="5"/>
        <v>8.3208252177385311E-2</v>
      </c>
      <c r="J12" s="772">
        <f t="shared" si="5"/>
        <v>8.4831857139557848E-2</v>
      </c>
      <c r="K12" s="772">
        <f t="shared" si="5"/>
        <v>8.2286890930409029E-2</v>
      </c>
      <c r="L12" s="772">
        <f t="shared" si="5"/>
        <v>7.985789126746401E-2</v>
      </c>
      <c r="M12" s="772">
        <f t="shared" si="5"/>
        <v>7.9678903349563526E-2</v>
      </c>
      <c r="N12" s="772">
        <f t="shared" si="5"/>
        <v>7.7888093671164865E-2</v>
      </c>
      <c r="O12" s="773">
        <f>O11/O13</f>
        <v>7.6126507029119606E-2</v>
      </c>
      <c r="P12" s="773">
        <f>P11/P13</f>
        <v>6.5183866546304217E-2</v>
      </c>
      <c r="Q12" s="772">
        <f>Q11/Q13</f>
        <v>5.1427529219521873E-2</v>
      </c>
      <c r="R12" s="775"/>
    </row>
    <row r="13" spans="1:18" ht="33.75" customHeight="1" thickBot="1" x14ac:dyDescent="0.3">
      <c r="A13" s="776"/>
      <c r="B13" s="777"/>
      <c r="C13" s="778" t="s">
        <v>2126</v>
      </c>
      <c r="D13" s="779">
        <f>95464065-11380968-9392022</f>
        <v>74691075</v>
      </c>
      <c r="E13" s="779">
        <f t="shared" ref="E13:R13" si="6">95464065-11380968-9392022</f>
        <v>74691075</v>
      </c>
      <c r="F13" s="779">
        <f t="shared" si="6"/>
        <v>74691075</v>
      </c>
      <c r="G13" s="779">
        <f t="shared" si="6"/>
        <v>74691075</v>
      </c>
      <c r="H13" s="779">
        <f t="shared" si="6"/>
        <v>74691075</v>
      </c>
      <c r="I13" s="779">
        <f t="shared" si="6"/>
        <v>74691075</v>
      </c>
      <c r="J13" s="779">
        <f t="shared" si="6"/>
        <v>74691075</v>
      </c>
      <c r="K13" s="779">
        <f t="shared" si="6"/>
        <v>74691075</v>
      </c>
      <c r="L13" s="779">
        <f t="shared" si="6"/>
        <v>74691075</v>
      </c>
      <c r="M13" s="779">
        <f t="shared" si="6"/>
        <v>74691075</v>
      </c>
      <c r="N13" s="779">
        <f t="shared" si="6"/>
        <v>74691075</v>
      </c>
      <c r="O13" s="779">
        <f t="shared" si="6"/>
        <v>74691075</v>
      </c>
      <c r="P13" s="779">
        <f t="shared" si="6"/>
        <v>74691075</v>
      </c>
      <c r="Q13" s="779">
        <f t="shared" si="6"/>
        <v>74691075</v>
      </c>
      <c r="R13" s="780">
        <f t="shared" si="6"/>
        <v>74691075</v>
      </c>
    </row>
    <row r="14" spans="1:18" ht="16.5" thickBot="1" x14ac:dyDescent="0.25">
      <c r="A14" s="781">
        <f>SUM(A15:A36)</f>
        <v>67024552</v>
      </c>
      <c r="B14" s="782"/>
      <c r="C14" s="782" t="s">
        <v>2127</v>
      </c>
      <c r="D14" s="783">
        <f t="shared" ref="D14:R14" si="7">SUM(D15:D36)</f>
        <v>136387.52499999999</v>
      </c>
      <c r="E14" s="783">
        <f t="shared" si="7"/>
        <v>2694898.913675</v>
      </c>
      <c r="F14" s="783">
        <f t="shared" si="7"/>
        <v>3947687.5612002509</v>
      </c>
      <c r="G14" s="783">
        <f t="shared" si="7"/>
        <v>5897933.1841774993</v>
      </c>
      <c r="H14" s="783">
        <f t="shared" si="7"/>
        <v>6096582.2039999999</v>
      </c>
      <c r="I14" s="783">
        <f t="shared" si="7"/>
        <v>6214913.8039999995</v>
      </c>
      <c r="J14" s="783">
        <f t="shared" si="7"/>
        <v>6336182.6040000003</v>
      </c>
      <c r="K14" s="783">
        <f t="shared" si="7"/>
        <v>6146096.3420000002</v>
      </c>
      <c r="L14" s="783">
        <f t="shared" si="7"/>
        <v>5964671.7459999993</v>
      </c>
      <c r="M14" s="783">
        <f t="shared" si="7"/>
        <v>5951302.9460000005</v>
      </c>
      <c r="N14" s="783">
        <f t="shared" si="7"/>
        <v>5817545.4460000005</v>
      </c>
      <c r="O14" s="783">
        <f t="shared" si="7"/>
        <v>5685970.6459999997</v>
      </c>
      <c r="P14" s="783">
        <f t="shared" si="7"/>
        <v>4868653.0649999995</v>
      </c>
      <c r="Q14" s="783">
        <f t="shared" si="7"/>
        <v>3841177.4419999998</v>
      </c>
      <c r="R14" s="784">
        <f t="shared" si="7"/>
        <v>13266817.611</v>
      </c>
    </row>
    <row r="15" spans="1:18" ht="47.25" x14ac:dyDescent="0.25">
      <c r="A15" s="785">
        <f>1462506+4830432-379022+3054958</f>
        <v>8968874</v>
      </c>
      <c r="B15" s="786" t="s">
        <v>2128</v>
      </c>
      <c r="C15" s="787" t="s">
        <v>2129</v>
      </c>
      <c r="D15" s="788">
        <v>0</v>
      </c>
      <c r="E15" s="788">
        <v>0</v>
      </c>
      <c r="F15" s="788">
        <f>295700-295700</f>
        <v>0</v>
      </c>
      <c r="G15" s="788">
        <f t="shared" ref="G15:P15" si="8">295700+218600</f>
        <v>514300</v>
      </c>
      <c r="H15" s="788">
        <f t="shared" si="8"/>
        <v>514300</v>
      </c>
      <c r="I15" s="788">
        <f t="shared" si="8"/>
        <v>514300</v>
      </c>
      <c r="J15" s="788">
        <f t="shared" si="8"/>
        <v>514300</v>
      </c>
      <c r="K15" s="788">
        <f t="shared" si="8"/>
        <v>514300</v>
      </c>
      <c r="L15" s="788">
        <f t="shared" si="8"/>
        <v>514300</v>
      </c>
      <c r="M15" s="788">
        <f t="shared" si="8"/>
        <v>514300</v>
      </c>
      <c r="N15" s="789">
        <f t="shared" si="8"/>
        <v>514300</v>
      </c>
      <c r="O15" s="788">
        <f t="shared" si="8"/>
        <v>514300</v>
      </c>
      <c r="P15" s="789">
        <f t="shared" si="8"/>
        <v>514300</v>
      </c>
      <c r="Q15" s="789">
        <v>514300</v>
      </c>
      <c r="R15" s="790">
        <f>(295700+295700+295700+295700+295700+295700+295700+295700+295616)+1164658-514300</f>
        <v>3311574</v>
      </c>
    </row>
    <row r="16" spans="1:18" ht="16.5" thickBot="1" x14ac:dyDescent="0.3">
      <c r="A16" s="791"/>
      <c r="B16" s="792"/>
      <c r="C16" s="793" t="s">
        <v>2130</v>
      </c>
      <c r="D16" s="794">
        <f>((A15/3)*2/2)*0.027</f>
        <v>80719.865999999995</v>
      </c>
      <c r="E16" s="794">
        <f>(D16+(A15/2))*0.027</f>
        <v>123259.23538200001</v>
      </c>
      <c r="F16" s="795">
        <f>(A15-E15)*0.027</f>
        <v>242159.598</v>
      </c>
      <c r="G16" s="795">
        <f>(A15-E15-F15)*0.027</f>
        <v>242159.598</v>
      </c>
      <c r="H16" s="795">
        <f>(A15-E15-F15-G15)*0.027</f>
        <v>228273.49799999999</v>
      </c>
      <c r="I16" s="795">
        <f>(A15-E15-F15-G15-H15)*0.027</f>
        <v>214387.39799999999</v>
      </c>
      <c r="J16" s="796">
        <f>(A15-E15-F15-G15-H15-I15)*0.027</f>
        <v>200501.29800000001</v>
      </c>
      <c r="K16" s="795">
        <v>94069</v>
      </c>
      <c r="L16" s="796">
        <f>(A15-E15-F15-G15-H15-I15-J15-K15)*0.027</f>
        <v>172729.098</v>
      </c>
      <c r="M16" s="795">
        <f>(A15-E15-F15-G15-H15-I15-J15-K15-L15)*0.027</f>
        <v>158842.99799999999</v>
      </c>
      <c r="N16" s="796">
        <f>(A15-E15-F15-G15-H15-I15-J15-K15-L15-M15)*0.027</f>
        <v>144956.89799999999</v>
      </c>
      <c r="O16" s="795">
        <f>(A15-D15-E15-F15-G15-H15-I15-J15-K15-L15-M15-N15)*0.027</f>
        <v>131070.798</v>
      </c>
      <c r="P16" s="797">
        <f>(A15-D15-E15-F15-G15-H15-I15-J15-K15-L15-M15-N15-O15)*0.027</f>
        <v>117184.698</v>
      </c>
      <c r="Q16" s="797">
        <f>(A15-D15-E15-F15-G15-H15-I15-J15-K15-L15-M15-N15-O15-P15)*0.027</f>
        <v>103298.598</v>
      </c>
      <c r="R16" s="798">
        <f>568142-103299</f>
        <v>464843</v>
      </c>
    </row>
    <row r="17" spans="1:18" ht="47.25" x14ac:dyDescent="0.25">
      <c r="A17" s="799">
        <f>1423690+1297848+843282+4807578-5164048</f>
        <v>3208350</v>
      </c>
      <c r="B17" s="800" t="s">
        <v>2128</v>
      </c>
      <c r="C17" s="801" t="s">
        <v>2131</v>
      </c>
      <c r="D17" s="802">
        <v>0</v>
      </c>
      <c r="E17" s="802">
        <v>0</v>
      </c>
      <c r="F17" s="802">
        <v>0</v>
      </c>
      <c r="G17" s="802">
        <f>418600-218600</f>
        <v>200000</v>
      </c>
      <c r="H17" s="802">
        <f>418600-218600</f>
        <v>200000</v>
      </c>
      <c r="I17" s="802">
        <f>418600-118600</f>
        <v>300000</v>
      </c>
      <c r="J17" s="802">
        <f>418600-118600</f>
        <v>300000</v>
      </c>
      <c r="K17" s="802">
        <f>418600-118100</f>
        <v>300500</v>
      </c>
      <c r="L17" s="802">
        <f>418600-118100</f>
        <v>300500</v>
      </c>
      <c r="M17" s="802">
        <v>418600</v>
      </c>
      <c r="N17" s="803">
        <v>418600</v>
      </c>
      <c r="O17" s="802">
        <v>418600</v>
      </c>
      <c r="P17" s="803">
        <f>418600-67050</f>
        <v>351550</v>
      </c>
      <c r="Q17" s="803"/>
      <c r="R17" s="804"/>
    </row>
    <row r="18" spans="1:18" ht="16.5" thickBot="1" x14ac:dyDescent="0.3">
      <c r="A18" s="805"/>
      <c r="B18" s="806"/>
      <c r="C18" s="807" t="s">
        <v>2130</v>
      </c>
      <c r="D18" s="808">
        <f>(A17/3/2)*0.027</f>
        <v>14437.575000000001</v>
      </c>
      <c r="E18" s="808">
        <f>(D18+(A17/3)*2/2)*0.027</f>
        <v>29264.964524999999</v>
      </c>
      <c r="F18" s="808">
        <f>(E18+(A17/2))*0.027</f>
        <v>44102.879042175002</v>
      </c>
      <c r="G18" s="808">
        <f>(A17-F17)*0.027</f>
        <v>86625.45</v>
      </c>
      <c r="H18" s="808">
        <f>(A17-F17-G17)*0.027</f>
        <v>81225.45</v>
      </c>
      <c r="I18" s="808">
        <f>(A17-F17-G17-H17)*0.027</f>
        <v>75825.45</v>
      </c>
      <c r="J18" s="808">
        <f>(A17-F17-G17-H17-I17)*0.027</f>
        <v>67725.45</v>
      </c>
      <c r="K18" s="808">
        <f>(A17-F17-G17-H17-I17-J17)*0.027</f>
        <v>59625.45</v>
      </c>
      <c r="L18" s="809">
        <f>(A17-F17-G17-H17-I17-J17-K17)*0.027</f>
        <v>51511.95</v>
      </c>
      <c r="M18" s="809">
        <f>(A17-F17-G17-H17-I17-J17-K17-L17)*0.027</f>
        <v>43398.45</v>
      </c>
      <c r="N18" s="809">
        <f>(A17-F17-G17-H17-I17-J17-K17-L17-M17)*0.027</f>
        <v>32096.25</v>
      </c>
      <c r="O18" s="808">
        <f>(A17-F17-G17-H17-I17-J17-K17-L17-M17-N17)*0.027</f>
        <v>20794.05</v>
      </c>
      <c r="P18" s="809">
        <f>SUM(A17-D17-E17-F17-G17-H17-I17-J17-K17-L17-M17-N17-O17)*0.027</f>
        <v>9491.85</v>
      </c>
      <c r="Q18" s="809"/>
      <c r="R18" s="810"/>
    </row>
    <row r="19" spans="1:18" ht="47.25" x14ac:dyDescent="0.25">
      <c r="A19" s="799">
        <f>1387873+480280+492399-493102-31711+74604+31711-322175</f>
        <v>1619879</v>
      </c>
      <c r="B19" s="800" t="s">
        <v>2132</v>
      </c>
      <c r="C19" s="801" t="s">
        <v>2133</v>
      </c>
      <c r="D19" s="802">
        <v>0</v>
      </c>
      <c r="E19" s="802">
        <v>0</v>
      </c>
      <c r="F19" s="802">
        <f>236100-123300-7900+7400+3200-32200</f>
        <v>83300</v>
      </c>
      <c r="G19" s="802">
        <f>236100-123300-7900+7400+3200-32200</f>
        <v>83300</v>
      </c>
      <c r="H19" s="802">
        <f>236100-123300-7900+7400+3200-32200</f>
        <v>83300</v>
      </c>
      <c r="I19" s="802">
        <f>236100-123200-8000+7400+3200-32200</f>
        <v>83300</v>
      </c>
      <c r="J19" s="802">
        <f>236100+7400+3200-32200</f>
        <v>214500</v>
      </c>
      <c r="K19" s="802">
        <f>236100+7400+3200-32200</f>
        <v>214500</v>
      </c>
      <c r="L19" s="802">
        <f>236100+7400+3200-32200</f>
        <v>214500</v>
      </c>
      <c r="M19" s="802">
        <f>236100+7400+3200-32200</f>
        <v>214500</v>
      </c>
      <c r="N19" s="803">
        <f>236100+7400+3200-32300</f>
        <v>214400</v>
      </c>
      <c r="O19" s="802">
        <f>235639+7004+3911-32275</f>
        <v>214279</v>
      </c>
      <c r="P19" s="803"/>
      <c r="Q19" s="803"/>
      <c r="R19" s="804"/>
    </row>
    <row r="20" spans="1:18" ht="16.5" thickBot="1" x14ac:dyDescent="0.3">
      <c r="A20" s="805"/>
      <c r="B20" s="806"/>
      <c r="C20" s="807" t="s">
        <v>2134</v>
      </c>
      <c r="D20" s="808">
        <f>((A19/3)*2/2)*0.027-2939</f>
        <v>11639.910999999998</v>
      </c>
      <c r="E20" s="808">
        <f>(D20+(A19/2))*0.027-4429</f>
        <v>17753.644097</v>
      </c>
      <c r="F20" s="808">
        <f>(A19-E19)*0.027-8699</f>
        <v>35037.733</v>
      </c>
      <c r="G20" s="808">
        <f>(A19-E19-F19)*0.027-7829</f>
        <v>33658.633000000002</v>
      </c>
      <c r="H20" s="808">
        <f>(A19-E19-F19-G19)*0.027-6960</f>
        <v>32278.533000000003</v>
      </c>
      <c r="I20" s="808">
        <f>(A19-E19-F19-G19-H19)*0.027-6091</f>
        <v>30898.432999999997</v>
      </c>
      <c r="J20" s="809">
        <f>(A19-E19-F19-G19-H19-I19)*0.027-5221</f>
        <v>29519.332999999999</v>
      </c>
      <c r="K20" s="809">
        <f>(A19-E19-F19-G19-H19-I19-J19)*0.027-4352</f>
        <v>24596.832999999999</v>
      </c>
      <c r="L20" s="809">
        <f>(A19-E19-F19-G19-H19-I19-J19-K19)*0.027-3482</f>
        <v>19675.332999999999</v>
      </c>
      <c r="M20" s="809">
        <f>(A19-E19-F19-G19-H19-I19-J19-K19-L19)*0.027-2613</f>
        <v>14752.832999999999</v>
      </c>
      <c r="N20" s="809">
        <f>(A19-E19-F19-G19-H19-I19-J19-K19-L19-M19)*0.027-1744</f>
        <v>9830.3330000000005</v>
      </c>
      <c r="O20" s="808">
        <f>(A19-D19-E19-F19-G19-H19-I19-J19-K19-L19-M19-N19)*0.027-871</f>
        <v>4914.5330000000004</v>
      </c>
      <c r="P20" s="809"/>
      <c r="Q20" s="809"/>
      <c r="R20" s="811"/>
    </row>
    <row r="21" spans="1:18" ht="47.25" x14ac:dyDescent="0.25">
      <c r="A21" s="785">
        <f>2223273-610288</f>
        <v>1612985</v>
      </c>
      <c r="B21" s="786" t="s">
        <v>3354</v>
      </c>
      <c r="C21" s="787" t="s">
        <v>2136</v>
      </c>
      <c r="D21" s="788"/>
      <c r="E21" s="789">
        <v>0</v>
      </c>
      <c r="F21" s="789">
        <v>0</v>
      </c>
      <c r="G21" s="789">
        <v>0</v>
      </c>
      <c r="H21" s="789">
        <f>222300-60300</f>
        <v>162000</v>
      </c>
      <c r="I21" s="789">
        <f>222300-60300</f>
        <v>162000</v>
      </c>
      <c r="J21" s="789">
        <f t="shared" ref="J21:P21" si="9">222300-60300</f>
        <v>162000</v>
      </c>
      <c r="K21" s="789">
        <f t="shared" si="9"/>
        <v>162000</v>
      </c>
      <c r="L21" s="789">
        <f t="shared" si="9"/>
        <v>162000</v>
      </c>
      <c r="M21" s="789">
        <f t="shared" si="9"/>
        <v>162000</v>
      </c>
      <c r="N21" s="789">
        <f t="shared" si="9"/>
        <v>162000</v>
      </c>
      <c r="O21" s="789">
        <f t="shared" si="9"/>
        <v>162000</v>
      </c>
      <c r="P21" s="789">
        <f t="shared" si="9"/>
        <v>162000</v>
      </c>
      <c r="Q21" s="789">
        <f>222573-67588</f>
        <v>154985</v>
      </c>
      <c r="R21" s="790"/>
    </row>
    <row r="22" spans="1:18" ht="16.5" thickBot="1" x14ac:dyDescent="0.3">
      <c r="A22" s="805"/>
      <c r="B22" s="806"/>
      <c r="C22" s="807" t="s">
        <v>2130</v>
      </c>
      <c r="D22" s="808"/>
      <c r="E22" s="809"/>
      <c r="F22" s="809">
        <f>(A21/3/2)*0.027</f>
        <v>7258.432499999999</v>
      </c>
      <c r="G22" s="809">
        <f>(F22+A21/2)*0.027</f>
        <v>21971.2751775</v>
      </c>
      <c r="H22" s="809">
        <f>A21*0.027</f>
        <v>43550.595000000001</v>
      </c>
      <c r="I22" s="809">
        <f>(A21-H21)*0.027</f>
        <v>39176.595000000001</v>
      </c>
      <c r="J22" s="809">
        <f>(A21-H21-I21)*0.027</f>
        <v>34802.595000000001</v>
      </c>
      <c r="K22" s="809">
        <f>(A21-H21-I21-J21)*0.027</f>
        <v>30428.595000000001</v>
      </c>
      <c r="L22" s="809">
        <f>(A21-H21-I21-J21-K21)*0.027</f>
        <v>26054.595000000001</v>
      </c>
      <c r="M22" s="809">
        <f>(A21-H21-I21-J21-K21-L21)*0.027</f>
        <v>21680.595000000001</v>
      </c>
      <c r="N22" s="809">
        <f>(A21-H21-I21-J21-K21-L21-M21)*0.027</f>
        <v>17306.595000000001</v>
      </c>
      <c r="O22" s="809">
        <f>(A21-H21-I21-J21-K21-L21-M21-N21)*0.027</f>
        <v>12932.594999999999</v>
      </c>
      <c r="P22" s="809">
        <f>(A21-H21-I21-J21-K21-L21-M21-N21-O21)*0.027</f>
        <v>8558.5949999999993</v>
      </c>
      <c r="Q22" s="809">
        <f>(A21-H21-I21-J21-K21-L21-M21-N21-O21-P21)*0.027</f>
        <v>4184.5950000000003</v>
      </c>
      <c r="R22" s="811"/>
    </row>
    <row r="23" spans="1:18" ht="47.25" x14ac:dyDescent="0.25">
      <c r="A23" s="799">
        <f>280919+13590+222945</f>
        <v>517454</v>
      </c>
      <c r="B23" s="800" t="s">
        <v>2135</v>
      </c>
      <c r="C23" s="801" t="s">
        <v>2137</v>
      </c>
      <c r="D23" s="789"/>
      <c r="E23" s="789">
        <v>0</v>
      </c>
      <c r="F23" s="1442">
        <v>0</v>
      </c>
      <c r="G23" s="802">
        <v>103500</v>
      </c>
      <c r="H23" s="802">
        <v>103500</v>
      </c>
      <c r="I23" s="802">
        <v>103500</v>
      </c>
      <c r="J23" s="802">
        <v>103500</v>
      </c>
      <c r="K23" s="802">
        <v>103454</v>
      </c>
      <c r="L23" s="803"/>
      <c r="M23" s="803"/>
      <c r="N23" s="803"/>
      <c r="O23" s="802"/>
      <c r="P23" s="803"/>
      <c r="Q23" s="803"/>
      <c r="R23" s="804"/>
    </row>
    <row r="24" spans="1:18" ht="16.5" thickBot="1" x14ac:dyDescent="0.3">
      <c r="A24" s="805"/>
      <c r="B24" s="806"/>
      <c r="C24" s="807" t="s">
        <v>2130</v>
      </c>
      <c r="D24" s="1443"/>
      <c r="E24" s="809">
        <f>(A23/3/2)*0.027</f>
        <v>2328.5429999999997</v>
      </c>
      <c r="F24" s="809">
        <f>(E24+A23/2)*0.027</f>
        <v>7048.4996609999998</v>
      </c>
      <c r="G24" s="808">
        <f>(A23-D23-E23)*0.027</f>
        <v>13971.258</v>
      </c>
      <c r="H24" s="808">
        <f>(A23-D23-E23-G23)*0.027</f>
        <v>11176.758</v>
      </c>
      <c r="I24" s="808">
        <f>(A23-D23-E23-G23-H23)*0.027</f>
        <v>8382.2579999999998</v>
      </c>
      <c r="J24" s="808">
        <f>(A23-D23-E23-G23-H23-I23)*0.027</f>
        <v>5587.7579999999998</v>
      </c>
      <c r="K24" s="808">
        <f>(A23-D23-E23-G23-H23-I23-J23)*0.027</f>
        <v>2793.2579999999998</v>
      </c>
      <c r="L24" s="809"/>
      <c r="M24" s="809"/>
      <c r="N24" s="809"/>
      <c r="O24" s="808"/>
      <c r="P24" s="809"/>
      <c r="Q24" s="809"/>
      <c r="R24" s="811"/>
    </row>
    <row r="25" spans="1:18" ht="47.25" x14ac:dyDescent="0.25">
      <c r="A25" s="799">
        <v>1477181</v>
      </c>
      <c r="B25" s="800" t="s">
        <v>2128</v>
      </c>
      <c r="C25" s="801" t="s">
        <v>2138</v>
      </c>
      <c r="D25" s="803">
        <v>0</v>
      </c>
      <c r="E25" s="803">
        <v>0</v>
      </c>
      <c r="F25" s="803">
        <f t="shared" ref="F25:N25" si="10">149500-50200</f>
        <v>99300</v>
      </c>
      <c r="G25" s="803">
        <f t="shared" si="10"/>
        <v>99300</v>
      </c>
      <c r="H25" s="803">
        <f t="shared" si="10"/>
        <v>99300</v>
      </c>
      <c r="I25" s="803">
        <f t="shared" si="10"/>
        <v>99300</v>
      </c>
      <c r="J25" s="803">
        <f t="shared" si="10"/>
        <v>99300</v>
      </c>
      <c r="K25" s="803">
        <f t="shared" si="10"/>
        <v>99300</v>
      </c>
      <c r="L25" s="803">
        <f t="shared" si="10"/>
        <v>99300</v>
      </c>
      <c r="M25" s="803">
        <f t="shared" si="10"/>
        <v>99300</v>
      </c>
      <c r="N25" s="803">
        <f t="shared" si="10"/>
        <v>99300</v>
      </c>
      <c r="O25" s="802">
        <v>99300</v>
      </c>
      <c r="P25" s="803">
        <v>161394</v>
      </c>
      <c r="Q25" s="803">
        <v>161394</v>
      </c>
      <c r="R25" s="804">
        <v>161393</v>
      </c>
    </row>
    <row r="26" spans="1:18" ht="16.5" thickBot="1" x14ac:dyDescent="0.3">
      <c r="A26" s="805"/>
      <c r="B26" s="806"/>
      <c r="C26" s="807" t="s">
        <v>2130</v>
      </c>
      <c r="D26" s="809">
        <f>((A25/3)*2/2)*0.027</f>
        <v>13294.629000000001</v>
      </c>
      <c r="E26" s="809">
        <f>(D26+(A25/2))*0.027</f>
        <v>20300.898482999997</v>
      </c>
      <c r="F26" s="809">
        <f>A25*0.027</f>
        <v>39883.887000000002</v>
      </c>
      <c r="G26" s="809">
        <f>(A25-F25)*0.027</f>
        <v>37202.786999999997</v>
      </c>
      <c r="H26" s="809">
        <f>(A25-F25-G25)*0.027</f>
        <v>34521.686999999998</v>
      </c>
      <c r="I26" s="809">
        <f>(A25-F25-G25-H25)*0.027</f>
        <v>31840.587</v>
      </c>
      <c r="J26" s="809">
        <f>(A25-F25-G25-H25-I25)*0.027</f>
        <v>29159.487000000001</v>
      </c>
      <c r="K26" s="809">
        <f>(A25-F25-G25-H25-I25-J25)*0.027</f>
        <v>26478.386999999999</v>
      </c>
      <c r="L26" s="809">
        <f>(A25-F25-G25-H25-I25-J25-K25)*0.027</f>
        <v>23797.287</v>
      </c>
      <c r="M26" s="809">
        <f>(A25-F25-G25-H25-I25-J25-K25-L25)*0.027</f>
        <v>21116.186999999998</v>
      </c>
      <c r="N26" s="809">
        <f>(A25-F25-G25-H25-I25-J25-K25-L25-M25)*0.027</f>
        <v>18435.087</v>
      </c>
      <c r="O26" s="808">
        <f>(A25-F25-G25-H25-I25-J25-K25-L25-M25-N25)*0.027</f>
        <v>15753.986999999999</v>
      </c>
      <c r="P26" s="808">
        <f>(A25-F25-G25-H25-I25-J25-K25-L25-M25-N25-O25)*0.027</f>
        <v>13072.887000000001</v>
      </c>
      <c r="Q26" s="808">
        <f>(A25-F25-G25-H25-I25-J25-K25-L25-M25-N25-O25-P25)*0.027</f>
        <v>8715.2489999999998</v>
      </c>
      <c r="R26" s="1444">
        <f>(A25-F25-G25-H25-I25-J25-K25-L25-M25-N25-O25-P25-Q25)*0.027</f>
        <v>4357.6109999999999</v>
      </c>
    </row>
    <row r="27" spans="1:18" ht="63" x14ac:dyDescent="0.25">
      <c r="A27" s="799">
        <f>2152272+71001</f>
        <v>2223273</v>
      </c>
      <c r="B27" s="800" t="s">
        <v>2135</v>
      </c>
      <c r="C27" s="801" t="s">
        <v>2139</v>
      </c>
      <c r="D27" s="789"/>
      <c r="E27" s="789">
        <v>0</v>
      </c>
      <c r="F27" s="1442">
        <v>0</v>
      </c>
      <c r="G27" s="802">
        <v>86400</v>
      </c>
      <c r="H27" s="802">
        <v>159600</v>
      </c>
      <c r="I27" s="802">
        <v>149600</v>
      </c>
      <c r="J27" s="802">
        <v>261200</v>
      </c>
      <c r="K27" s="802">
        <v>261200</v>
      </c>
      <c r="L27" s="802">
        <v>261200</v>
      </c>
      <c r="M27" s="803">
        <v>261200</v>
      </c>
      <c r="N27" s="803">
        <v>261200</v>
      </c>
      <c r="O27" s="803">
        <v>261200</v>
      </c>
      <c r="P27" s="802">
        <v>260473</v>
      </c>
      <c r="Q27" s="803"/>
      <c r="R27" s="804"/>
    </row>
    <row r="28" spans="1:18" ht="16.5" thickBot="1" x14ac:dyDescent="0.3">
      <c r="A28" s="805"/>
      <c r="B28" s="806"/>
      <c r="C28" s="807" t="s">
        <v>2130</v>
      </c>
      <c r="D28" s="1443"/>
      <c r="E28" s="809">
        <f>(A27/3/2)*0.027</f>
        <v>10004.728499999999</v>
      </c>
      <c r="F28" s="809">
        <f>(E28+A27/2)*0.027</f>
        <v>30284.313169499997</v>
      </c>
      <c r="G28" s="808">
        <f>(A27-D27-E27)*0.027</f>
        <v>60028.370999999999</v>
      </c>
      <c r="H28" s="808">
        <f>(A27-D27-E27-G27)*0.027</f>
        <v>57695.570999999996</v>
      </c>
      <c r="I28" s="808">
        <f>(A27-D27-E27-G27-H27)*0.027</f>
        <v>53386.370999999999</v>
      </c>
      <c r="J28" s="808">
        <f>(A27-D27-E27-G27-H27-I27)*0.027</f>
        <v>49347.171000000002</v>
      </c>
      <c r="K28" s="808">
        <f>(A27-D27-E27-G27-H27-I27-J27)*0.027</f>
        <v>42294.771000000001</v>
      </c>
      <c r="L28" s="808">
        <f>(A27-D27-E27-G27-H27-I27-J27-K27)*0.027</f>
        <v>35242.370999999999</v>
      </c>
      <c r="M28" s="809">
        <f>(A27-D27-E27-G27-H27-I27-J27-K27-L27)*0.027</f>
        <v>28189.971000000001</v>
      </c>
      <c r="N28" s="809">
        <f>(A27-D27-E27-G27-H27-I27-J27-K27-L27-M27)*0.027</f>
        <v>21137.571</v>
      </c>
      <c r="O28" s="809">
        <f>(A27-D27-E27-G27-H27-I27-J27-K27-L27-M27-N27)*0.027</f>
        <v>14085.171</v>
      </c>
      <c r="P28" s="808">
        <f>(A27-D27-E27-G27-H27-I27-J27-K27-L27-M27-N27-O27)*0.027</f>
        <v>7032.7709999999997</v>
      </c>
      <c r="Q28" s="809"/>
      <c r="R28" s="811"/>
    </row>
    <row r="29" spans="1:18" ht="31.5" x14ac:dyDescent="0.25">
      <c r="A29" s="785">
        <f>4924140-1215479+66663</f>
        <v>3775324</v>
      </c>
      <c r="B29" s="786">
        <v>2020</v>
      </c>
      <c r="C29" s="786" t="s">
        <v>2140</v>
      </c>
      <c r="D29" s="818"/>
      <c r="E29" s="818"/>
      <c r="F29" s="819">
        <f>492500-124900+8000</f>
        <v>375600</v>
      </c>
      <c r="G29" s="819">
        <f>692500-173400</f>
        <v>519100</v>
      </c>
      <c r="H29" s="820">
        <f>292500-68300</f>
        <v>224200</v>
      </c>
      <c r="I29" s="820">
        <f>492500-126900+8000</f>
        <v>373600</v>
      </c>
      <c r="J29" s="820">
        <f>492500-120900+8000</f>
        <v>379600</v>
      </c>
      <c r="K29" s="820">
        <f>492500-120900+8000</f>
        <v>379600</v>
      </c>
      <c r="L29" s="820">
        <f>492500-120900+8000</f>
        <v>379600</v>
      </c>
      <c r="M29" s="820">
        <f>492500-120900+8000</f>
        <v>379600</v>
      </c>
      <c r="N29" s="820">
        <f>492500-120900+9000</f>
        <v>380600</v>
      </c>
      <c r="O29" s="820">
        <f>491640-117479+9663</f>
        <v>383824</v>
      </c>
      <c r="P29" s="819"/>
      <c r="Q29" s="819"/>
      <c r="R29" s="821"/>
    </row>
    <row r="30" spans="1:18" ht="16.5" thickBot="1" x14ac:dyDescent="0.3">
      <c r="A30" s="812"/>
      <c r="B30" s="1445"/>
      <c r="C30" s="822" t="s">
        <v>2130</v>
      </c>
      <c r="D30" s="1443"/>
      <c r="E30" s="1446">
        <f>F30/12*8</f>
        <v>67955.831999999995</v>
      </c>
      <c r="F30" s="823">
        <f>A29*0.027</f>
        <v>101933.74799999999</v>
      </c>
      <c r="G30" s="795">
        <f>(A29-F29)*0.027</f>
        <v>91792.547999999995</v>
      </c>
      <c r="H30" s="795">
        <f>(A29-F29-G29)*0.027</f>
        <v>77776.847999999998</v>
      </c>
      <c r="I30" s="824">
        <f>(A29-F29-G29-H29)*0.027</f>
        <v>71723.448000000004</v>
      </c>
      <c r="J30" s="824">
        <f>(A29-F29-G29-H29-I29)*0.027</f>
        <v>61636.248</v>
      </c>
      <c r="K30" s="824">
        <f>(A29-F29-G29-H29-I29-J29)*0.027</f>
        <v>51387.048000000003</v>
      </c>
      <c r="L30" s="824">
        <f>(A29-F29-G29-H29-I29-J29-K29)*0.027</f>
        <v>41137.847999999998</v>
      </c>
      <c r="M30" s="824">
        <f>(A29-F29-G29-H29-I29-J29-K29-L29)*0.027</f>
        <v>30888.648000000001</v>
      </c>
      <c r="N30" s="824">
        <f>(A29-F29-G29-H29-I29-J29-K29-L29-M29)*0.027</f>
        <v>20639.448</v>
      </c>
      <c r="O30" s="824">
        <f>(A29-F29-G29-H29-I29-J29-K29-L29-M29-N29)*0.027</f>
        <v>10363.248</v>
      </c>
      <c r="P30" s="823"/>
      <c r="Q30" s="823"/>
      <c r="R30" s="825"/>
    </row>
    <row r="31" spans="1:18" ht="15.75" x14ac:dyDescent="0.25">
      <c r="A31" s="785">
        <v>7000000</v>
      </c>
      <c r="B31" s="786" t="s">
        <v>3354</v>
      </c>
      <c r="C31" s="787" t="s">
        <v>610</v>
      </c>
      <c r="D31" s="789"/>
      <c r="E31" s="789"/>
      <c r="F31" s="789"/>
      <c r="G31" s="789"/>
      <c r="H31" s="789">
        <v>350000</v>
      </c>
      <c r="I31" s="789">
        <v>350000</v>
      </c>
      <c r="J31" s="789">
        <v>350000</v>
      </c>
      <c r="K31" s="789">
        <v>350000</v>
      </c>
      <c r="L31" s="789">
        <v>350000</v>
      </c>
      <c r="M31" s="789">
        <v>350000</v>
      </c>
      <c r="N31" s="789">
        <v>350000</v>
      </c>
      <c r="O31" s="788">
        <v>350000</v>
      </c>
      <c r="P31" s="789">
        <v>350000</v>
      </c>
      <c r="Q31" s="789">
        <v>350000</v>
      </c>
      <c r="R31" s="790">
        <f>3850000-350000-350000-350000+350000+350000</f>
        <v>3500000</v>
      </c>
    </row>
    <row r="32" spans="1:18" ht="16.5" thickBot="1" x14ac:dyDescent="0.3">
      <c r="A32" s="812"/>
      <c r="B32" s="813"/>
      <c r="C32" s="814" t="s">
        <v>2134</v>
      </c>
      <c r="D32" s="816"/>
      <c r="E32" s="816"/>
      <c r="F32" s="816">
        <f>(A31/3/2)*0.027</f>
        <v>31500</v>
      </c>
      <c r="G32" s="816">
        <f>(A31-F31)*0.027</f>
        <v>189000</v>
      </c>
      <c r="H32" s="816">
        <f>(A31-F31-G31)*0.027</f>
        <v>189000</v>
      </c>
      <c r="I32" s="816">
        <f>(A31-F31-G31-H31)*0.027</f>
        <v>179550</v>
      </c>
      <c r="J32" s="816">
        <f>(A31-F31-G31-H31-I31)*0.027</f>
        <v>170100</v>
      </c>
      <c r="K32" s="816">
        <f>(A31-F31-G31-H31-I31-J31)*0.027</f>
        <v>160650</v>
      </c>
      <c r="L32" s="816">
        <f>(A31-F31-G31-H31-I31-J31-K31)*0.027</f>
        <v>151200</v>
      </c>
      <c r="M32" s="816">
        <f>(A31-F31-G31-H31-I31-J31-K31-L31)*0.027</f>
        <v>141750</v>
      </c>
      <c r="N32" s="816">
        <f>(A31-F31-G31-H31-I31-J31-K31-L31-M31)*0.027</f>
        <v>132300</v>
      </c>
      <c r="O32" s="815">
        <f>(A31-F31-G31-H31-I31-J31-K31-L31-M31-N31)*0.027</f>
        <v>122850</v>
      </c>
      <c r="P32" s="816">
        <f>SUM(A31-F31-G31-H31-I31-J31-K31-L31-M31-N31-O31)*0.027</f>
        <v>113400</v>
      </c>
      <c r="Q32" s="816">
        <f>SUM(A31-F31-G31-H31-I31-J31-K31-L31-M31-N31-O31-P31)*0.027</f>
        <v>103950</v>
      </c>
      <c r="R32" s="817">
        <f>519750-94500-85050+189000+179550</f>
        <v>708750</v>
      </c>
    </row>
    <row r="33" spans="1:18" s="827" customFormat="1" ht="67.5" customHeight="1" x14ac:dyDescent="0.25">
      <c r="A33" s="785">
        <f>2469793+1151439</f>
        <v>3621232</v>
      </c>
      <c r="B33" s="786" t="s">
        <v>2128</v>
      </c>
      <c r="C33" s="787" t="s">
        <v>2141</v>
      </c>
      <c r="D33" s="826">
        <v>0</v>
      </c>
      <c r="E33" s="819">
        <v>0</v>
      </c>
      <c r="F33" s="820">
        <v>0</v>
      </c>
      <c r="G33" s="820">
        <f>247000+123000</f>
        <v>370000</v>
      </c>
      <c r="H33" s="820">
        <f t="shared" ref="H33:O33" si="11">247000+123000</f>
        <v>370000</v>
      </c>
      <c r="I33" s="820">
        <f t="shared" si="11"/>
        <v>370000</v>
      </c>
      <c r="J33" s="820">
        <f t="shared" si="11"/>
        <v>370000</v>
      </c>
      <c r="K33" s="820">
        <f t="shared" si="11"/>
        <v>370000</v>
      </c>
      <c r="L33" s="820">
        <f t="shared" si="11"/>
        <v>370000</v>
      </c>
      <c r="M33" s="820">
        <f t="shared" si="11"/>
        <v>370000</v>
      </c>
      <c r="N33" s="820">
        <f t="shared" si="11"/>
        <v>370000</v>
      </c>
      <c r="O33" s="820">
        <f t="shared" si="11"/>
        <v>370000</v>
      </c>
      <c r="P33" s="819">
        <f>246793+44439</f>
        <v>291232</v>
      </c>
      <c r="Q33" s="819"/>
      <c r="R33" s="821"/>
    </row>
    <row r="34" spans="1:18" s="827" customFormat="1" ht="16.5" thickBot="1" x14ac:dyDescent="0.3">
      <c r="A34" s="791"/>
      <c r="B34" s="828"/>
      <c r="C34" s="793" t="s">
        <v>2130</v>
      </c>
      <c r="D34" s="815">
        <f>(A33/3/2)*0.027</f>
        <v>16295.543999999998</v>
      </c>
      <c r="E34" s="815">
        <f>(D34+(A33/3)*2/2)*0.027</f>
        <v>33031.067687999996</v>
      </c>
      <c r="F34" s="815">
        <f>(E34+(A33/2))*0.027</f>
        <v>49778.470827575999</v>
      </c>
      <c r="G34" s="795">
        <f>(A33-E33-F33)*0.027</f>
        <v>97773.263999999996</v>
      </c>
      <c r="H34" s="795">
        <f>(A33-E33-F33-G33)*0.027</f>
        <v>87783.263999999996</v>
      </c>
      <c r="I34" s="795">
        <f>(A33-E33-F33-G33-H33)*0.027</f>
        <v>77793.263999999996</v>
      </c>
      <c r="J34" s="796">
        <f>(A33-E33-F33-G33-H33-I33)*0.027</f>
        <v>67803.263999999996</v>
      </c>
      <c r="K34" s="795">
        <v>94069</v>
      </c>
      <c r="L34" s="796">
        <f>(A33-E33-F33-G33-H33-I33-J33-K33)*0.027</f>
        <v>47823.264000000003</v>
      </c>
      <c r="M34" s="795">
        <f>(A33-E33-F33-G33-H33-I33-J33-K33-L33)*0.027</f>
        <v>37833.264000000003</v>
      </c>
      <c r="N34" s="796">
        <f>(A33-E33-F33-G33-H33-I33-J33-K33-L33-M33)*0.027</f>
        <v>27843.263999999999</v>
      </c>
      <c r="O34" s="795">
        <f>(A33-D33-E33-F33-G33-H33-I33-J33-K33-L33-M33-N33)*0.027</f>
        <v>17853.263999999999</v>
      </c>
      <c r="P34" s="796">
        <f>(A33-G33-H33-I33-J33-K33-L33-M33-N33-O33)*0.027</f>
        <v>7863.2640000000001</v>
      </c>
      <c r="Q34" s="796"/>
      <c r="R34" s="829"/>
    </row>
    <row r="35" spans="1:18" s="827" customFormat="1" ht="31.5" x14ac:dyDescent="0.25">
      <c r="A35" s="830">
        <f>21000000+12000000</f>
        <v>33000000</v>
      </c>
      <c r="B35" s="831" t="s">
        <v>3355</v>
      </c>
      <c r="C35" s="749" t="s">
        <v>2142</v>
      </c>
      <c r="D35" s="1447"/>
      <c r="E35" s="832">
        <v>1500000</v>
      </c>
      <c r="F35" s="832">
        <f>1500000+450000</f>
        <v>1950000</v>
      </c>
      <c r="G35" s="832">
        <f t="shared" ref="G35:Q35" si="12">1500000+750000</f>
        <v>2250000</v>
      </c>
      <c r="H35" s="832">
        <f t="shared" si="12"/>
        <v>2250000</v>
      </c>
      <c r="I35" s="832">
        <f t="shared" si="12"/>
        <v>2250000</v>
      </c>
      <c r="J35" s="832">
        <f t="shared" si="12"/>
        <v>2250000</v>
      </c>
      <c r="K35" s="832">
        <f t="shared" si="12"/>
        <v>2250000</v>
      </c>
      <c r="L35" s="832">
        <f t="shared" si="12"/>
        <v>2250000</v>
      </c>
      <c r="M35" s="832">
        <f t="shared" si="12"/>
        <v>2250000</v>
      </c>
      <c r="N35" s="832">
        <f t="shared" si="12"/>
        <v>2250000</v>
      </c>
      <c r="O35" s="832">
        <f t="shared" si="12"/>
        <v>2250000</v>
      </c>
      <c r="P35" s="832">
        <f t="shared" si="12"/>
        <v>2250000</v>
      </c>
      <c r="Q35" s="832">
        <f t="shared" si="12"/>
        <v>2250000</v>
      </c>
      <c r="R35" s="833">
        <f>1500000+3300000</f>
        <v>4800000</v>
      </c>
    </row>
    <row r="36" spans="1:18" s="827" customFormat="1" ht="18" customHeight="1" thickBot="1" x14ac:dyDescent="0.3">
      <c r="A36" s="834"/>
      <c r="B36" s="835"/>
      <c r="C36" s="835"/>
      <c r="D36" s="1448"/>
      <c r="E36" s="836">
        <f>(A35)*0.027</f>
        <v>891000</v>
      </c>
      <c r="F36" s="837">
        <f>(A35-E35)*0.027</f>
        <v>850500</v>
      </c>
      <c r="G36" s="836">
        <f>(A35-E35-F35)*0.027</f>
        <v>797850</v>
      </c>
      <c r="H36" s="836">
        <f>(A35-E35-F35-G35)*0.027</f>
        <v>737100</v>
      </c>
      <c r="I36" s="836">
        <f>(A35-E35-F35-G35-H35)*0.027</f>
        <v>676350</v>
      </c>
      <c r="J36" s="836">
        <f>(A35-E35-F35-G35-H35-I35)*0.027</f>
        <v>615600</v>
      </c>
      <c r="K36" s="836">
        <f>(A35-E35-F35-G35-H35-I35-J35)*0.027</f>
        <v>554850</v>
      </c>
      <c r="L36" s="837">
        <f>(A35-E35-F35-G35-H35-I35-J35-K35)*0.027</f>
        <v>494100</v>
      </c>
      <c r="M36" s="837">
        <f>(A35-E35-F35-G35-H35-I35-J35-K35-L35)*0.027</f>
        <v>433350</v>
      </c>
      <c r="N36" s="837">
        <f>(A35-E35-F35-G35-H35-I35-J35-K35-L35-M35)*0.027</f>
        <v>372600</v>
      </c>
      <c r="O36" s="837">
        <f>(A35-E35-F35-G35-H35-I35-J35-K35-L35-M35-N35)*0.027</f>
        <v>311850</v>
      </c>
      <c r="P36" s="837">
        <f>(A35-E35-F35-G35-H35-I35-J35-K35-L35-M35-N35-O35)*0.027</f>
        <v>251100</v>
      </c>
      <c r="Q36" s="837">
        <f>(A35-E35-F35-G35-H35-I35-J35-K35-L35-M35-N35-O35-P35)*0.027</f>
        <v>190350</v>
      </c>
      <c r="R36" s="838">
        <f>40500+275400</f>
        <v>315900</v>
      </c>
    </row>
    <row r="37" spans="1:18" ht="22.5" customHeight="1" thickBot="1" x14ac:dyDescent="0.3">
      <c r="A37" s="839"/>
      <c r="B37" s="840"/>
      <c r="C37" s="841" t="s">
        <v>2143</v>
      </c>
      <c r="D37" s="842"/>
      <c r="E37" s="843"/>
      <c r="F37" s="842"/>
      <c r="G37" s="843"/>
      <c r="H37" s="842"/>
      <c r="I37" s="844"/>
      <c r="J37" s="845"/>
      <c r="K37" s="845"/>
      <c r="L37" s="845"/>
      <c r="M37" s="845"/>
      <c r="N37" s="845"/>
      <c r="O37" s="844"/>
      <c r="P37" s="845"/>
      <c r="Q37" s="845"/>
      <c r="R37" s="846"/>
    </row>
    <row r="38" spans="1:18" s="827" customFormat="1" ht="50.25" customHeight="1" x14ac:dyDescent="0.25">
      <c r="A38" s="847">
        <v>2148174</v>
      </c>
      <c r="B38" s="848" t="s">
        <v>2144</v>
      </c>
      <c r="C38" s="848" t="s">
        <v>2145</v>
      </c>
      <c r="D38" s="788">
        <v>241889</v>
      </c>
      <c r="E38" s="849">
        <v>241888</v>
      </c>
      <c r="F38" s="850">
        <v>170377</v>
      </c>
      <c r="G38" s="849"/>
      <c r="H38" s="850"/>
      <c r="I38" s="850"/>
      <c r="J38" s="789"/>
      <c r="K38" s="789"/>
      <c r="L38" s="789"/>
      <c r="M38" s="789"/>
      <c r="N38" s="789"/>
      <c r="O38" s="788"/>
      <c r="P38" s="789"/>
      <c r="Q38" s="789"/>
      <c r="R38" s="790"/>
    </row>
    <row r="39" spans="1:18" s="827" customFormat="1" ht="16.5" thickBot="1" x14ac:dyDescent="0.3">
      <c r="A39" s="851"/>
      <c r="B39" s="852"/>
      <c r="C39" s="853" t="s">
        <v>2146</v>
      </c>
      <c r="D39" s="854">
        <v>11991</v>
      </c>
      <c r="E39" s="855">
        <v>7557</v>
      </c>
      <c r="F39" s="855">
        <v>3123</v>
      </c>
      <c r="G39" s="856"/>
      <c r="H39" s="855"/>
      <c r="I39" s="855"/>
      <c r="J39" s="816"/>
      <c r="K39" s="816"/>
      <c r="L39" s="816"/>
      <c r="M39" s="816"/>
      <c r="N39" s="816"/>
      <c r="O39" s="815"/>
      <c r="P39" s="816"/>
      <c r="Q39" s="816"/>
      <c r="R39" s="817"/>
    </row>
    <row r="40" spans="1:18" s="827" customFormat="1" ht="47.25" x14ac:dyDescent="0.25">
      <c r="A40" s="847">
        <v>1244225</v>
      </c>
      <c r="B40" s="848" t="s">
        <v>2147</v>
      </c>
      <c r="C40" s="848" t="s">
        <v>2148</v>
      </c>
      <c r="D40" s="850">
        <v>100668</v>
      </c>
      <c r="E40" s="850">
        <v>82989</v>
      </c>
      <c r="F40" s="850">
        <v>16668</v>
      </c>
      <c r="G40" s="849"/>
      <c r="H40" s="850"/>
      <c r="I40" s="850"/>
      <c r="J40" s="789"/>
      <c r="K40" s="789"/>
      <c r="L40" s="789"/>
      <c r="M40" s="789"/>
      <c r="N40" s="789"/>
      <c r="O40" s="788"/>
      <c r="P40" s="789"/>
      <c r="Q40" s="789"/>
      <c r="R40" s="790"/>
    </row>
    <row r="41" spans="1:18" s="827" customFormat="1" ht="16.5" thickBot="1" x14ac:dyDescent="0.3">
      <c r="A41" s="851"/>
      <c r="B41" s="852"/>
      <c r="C41" s="853" t="s">
        <v>2149</v>
      </c>
      <c r="D41" s="855">
        <v>5409</v>
      </c>
      <c r="E41" s="855">
        <v>2691</v>
      </c>
      <c r="F41" s="855">
        <v>450</v>
      </c>
      <c r="G41" s="856"/>
      <c r="H41" s="855"/>
      <c r="I41" s="855"/>
      <c r="J41" s="816"/>
      <c r="K41" s="816"/>
      <c r="L41" s="816"/>
      <c r="M41" s="816"/>
      <c r="N41" s="816"/>
      <c r="O41" s="815"/>
      <c r="P41" s="816"/>
      <c r="Q41" s="816"/>
      <c r="R41" s="817"/>
    </row>
    <row r="42" spans="1:18" s="827" customFormat="1" ht="51" customHeight="1" x14ac:dyDescent="0.25">
      <c r="A42" s="785">
        <v>12083954</v>
      </c>
      <c r="B42" s="786" t="s">
        <v>2150</v>
      </c>
      <c r="C42" s="786" t="s">
        <v>2151</v>
      </c>
      <c r="D42" s="850">
        <v>669388</v>
      </c>
      <c r="E42" s="850">
        <v>669388</v>
      </c>
      <c r="F42" s="850">
        <v>669388</v>
      </c>
      <c r="G42" s="850">
        <v>669388</v>
      </c>
      <c r="H42" s="850">
        <v>669388</v>
      </c>
      <c r="I42" s="850">
        <v>669388</v>
      </c>
      <c r="J42" s="850">
        <v>669388</v>
      </c>
      <c r="K42" s="850">
        <v>669388</v>
      </c>
      <c r="L42" s="850">
        <v>669388</v>
      </c>
      <c r="M42" s="850">
        <v>669388</v>
      </c>
      <c r="N42" s="849">
        <v>669388</v>
      </c>
      <c r="O42" s="850">
        <v>669388</v>
      </c>
      <c r="P42" s="849">
        <v>669388</v>
      </c>
      <c r="Q42" s="789">
        <f>2056851-669388-669388</f>
        <v>718075</v>
      </c>
      <c r="R42" s="790"/>
    </row>
    <row r="43" spans="1:18" s="827" customFormat="1" ht="16.5" thickBot="1" x14ac:dyDescent="0.3">
      <c r="A43" s="812"/>
      <c r="B43" s="813">
        <v>2016</v>
      </c>
      <c r="C43" s="822" t="s">
        <v>2152</v>
      </c>
      <c r="D43" s="815">
        <v>254343</v>
      </c>
      <c r="E43" s="815">
        <v>236269</v>
      </c>
      <c r="F43" s="815">
        <v>218196</v>
      </c>
      <c r="G43" s="815">
        <v>200122</v>
      </c>
      <c r="H43" s="815">
        <v>182049</v>
      </c>
      <c r="I43" s="815">
        <v>163976</v>
      </c>
      <c r="J43" s="815">
        <v>145902</v>
      </c>
      <c r="K43" s="815">
        <v>127829</v>
      </c>
      <c r="L43" s="815">
        <v>109755</v>
      </c>
      <c r="M43" s="815">
        <v>91682</v>
      </c>
      <c r="N43" s="816">
        <v>73608</v>
      </c>
      <c r="O43" s="815">
        <v>55535</v>
      </c>
      <c r="P43" s="816">
        <v>37461</v>
      </c>
      <c r="Q43" s="816">
        <f>137587-55535-37461</f>
        <v>44591</v>
      </c>
      <c r="R43" s="817"/>
    </row>
    <row r="44" spans="1:18" s="827" customFormat="1" ht="15.75" x14ac:dyDescent="0.25">
      <c r="A44" s="847">
        <v>2985430</v>
      </c>
      <c r="B44" s="848" t="s">
        <v>2153</v>
      </c>
      <c r="C44" s="848" t="s">
        <v>2154</v>
      </c>
      <c r="D44" s="850">
        <v>284577</v>
      </c>
      <c r="E44" s="850">
        <v>376289</v>
      </c>
      <c r="F44" s="788">
        <v>562083</v>
      </c>
      <c r="G44" s="789">
        <v>27516</v>
      </c>
      <c r="H44" s="788">
        <v>27509</v>
      </c>
      <c r="I44" s="788"/>
      <c r="J44" s="789"/>
      <c r="K44" s="789"/>
      <c r="L44" s="789"/>
      <c r="M44" s="789"/>
      <c r="N44" s="789"/>
      <c r="O44" s="788"/>
      <c r="P44" s="789"/>
      <c r="Q44" s="789"/>
      <c r="R44" s="790"/>
    </row>
    <row r="45" spans="1:18" s="827" customFormat="1" ht="18" customHeight="1" thickBot="1" x14ac:dyDescent="0.3">
      <c r="A45" s="851"/>
      <c r="B45" s="857"/>
      <c r="C45" s="853" t="s">
        <v>2155</v>
      </c>
      <c r="D45" s="855">
        <v>34505</v>
      </c>
      <c r="E45" s="855">
        <v>26822</v>
      </c>
      <c r="F45" s="815">
        <v>16662</v>
      </c>
      <c r="G45" s="816">
        <v>1486</v>
      </c>
      <c r="H45" s="815">
        <v>743</v>
      </c>
      <c r="I45" s="815"/>
      <c r="J45" s="816"/>
      <c r="K45" s="816"/>
      <c r="L45" s="816"/>
      <c r="M45" s="816"/>
      <c r="N45" s="816"/>
      <c r="O45" s="815"/>
      <c r="P45" s="816"/>
      <c r="Q45" s="816"/>
      <c r="R45" s="817"/>
    </row>
    <row r="46" spans="1:18" s="827" customFormat="1" ht="63" x14ac:dyDescent="0.25">
      <c r="A46" s="785">
        <v>2178272</v>
      </c>
      <c r="B46" s="786" t="s">
        <v>2156</v>
      </c>
      <c r="C46" s="786" t="s">
        <v>2157</v>
      </c>
      <c r="D46" s="788">
        <v>242540</v>
      </c>
      <c r="E46" s="788">
        <v>262540</v>
      </c>
      <c r="F46" s="788">
        <v>207540</v>
      </c>
      <c r="G46" s="789">
        <v>209457</v>
      </c>
      <c r="H46" s="788">
        <v>189171</v>
      </c>
      <c r="I46" s="788">
        <v>33517</v>
      </c>
      <c r="J46" s="789"/>
      <c r="K46" s="789"/>
      <c r="L46" s="789"/>
      <c r="M46" s="789"/>
      <c r="N46" s="789"/>
      <c r="O46" s="788"/>
      <c r="P46" s="789"/>
      <c r="Q46" s="789"/>
      <c r="R46" s="790"/>
    </row>
    <row r="47" spans="1:18" s="827" customFormat="1" ht="16.5" thickBot="1" x14ac:dyDescent="0.3">
      <c r="A47" s="812"/>
      <c r="B47" s="813"/>
      <c r="C47" s="822" t="s">
        <v>2130</v>
      </c>
      <c r="D47" s="815">
        <v>30909</v>
      </c>
      <c r="E47" s="815">
        <v>24360</v>
      </c>
      <c r="F47" s="815">
        <v>17271</v>
      </c>
      <c r="G47" s="816">
        <v>11668</v>
      </c>
      <c r="H47" s="816">
        <v>6013</v>
      </c>
      <c r="I47" s="816">
        <v>905</v>
      </c>
      <c r="J47" s="816"/>
      <c r="K47" s="816"/>
      <c r="L47" s="816"/>
      <c r="M47" s="816"/>
      <c r="N47" s="816"/>
      <c r="O47" s="815"/>
      <c r="P47" s="816"/>
      <c r="Q47" s="816"/>
      <c r="R47" s="817"/>
    </row>
    <row r="48" spans="1:18" s="827" customFormat="1" ht="47.25" x14ac:dyDescent="0.25">
      <c r="A48" s="785">
        <v>4986010</v>
      </c>
      <c r="B48" s="786" t="s">
        <v>2158</v>
      </c>
      <c r="C48" s="786" t="s">
        <v>2159</v>
      </c>
      <c r="D48" s="788">
        <v>500500</v>
      </c>
      <c r="E48" s="788">
        <v>550500</v>
      </c>
      <c r="F48" s="788">
        <v>600500</v>
      </c>
      <c r="G48" s="789">
        <v>600500</v>
      </c>
      <c r="H48" s="788">
        <v>532510</v>
      </c>
      <c r="I48" s="788"/>
      <c r="J48" s="789"/>
      <c r="K48" s="789"/>
      <c r="L48" s="789"/>
      <c r="M48" s="789"/>
      <c r="N48" s="789"/>
      <c r="O48" s="788"/>
      <c r="P48" s="789"/>
      <c r="Q48" s="789"/>
      <c r="R48" s="790"/>
    </row>
    <row r="49" spans="1:18" s="827" customFormat="1" ht="16.5" thickBot="1" x14ac:dyDescent="0.3">
      <c r="A49" s="812"/>
      <c r="B49" s="813">
        <v>2016</v>
      </c>
      <c r="C49" s="822" t="s">
        <v>2130</v>
      </c>
      <c r="D49" s="815">
        <v>75182</v>
      </c>
      <c r="E49" s="815">
        <v>61668</v>
      </c>
      <c r="F49" s="815">
        <v>46805</v>
      </c>
      <c r="G49" s="815">
        <v>30591</v>
      </c>
      <c r="H49" s="815">
        <v>14378</v>
      </c>
      <c r="I49" s="815"/>
      <c r="J49" s="816"/>
      <c r="K49" s="816"/>
      <c r="L49" s="816"/>
      <c r="M49" s="816"/>
      <c r="N49" s="816"/>
      <c r="O49" s="815"/>
      <c r="P49" s="816"/>
      <c r="Q49" s="816"/>
      <c r="R49" s="817"/>
    </row>
    <row r="50" spans="1:18" s="827" customFormat="1" ht="31.5" x14ac:dyDescent="0.25">
      <c r="A50" s="785">
        <v>5369974</v>
      </c>
      <c r="B50" s="848" t="s">
        <v>2158</v>
      </c>
      <c r="C50" s="848" t="s">
        <v>2160</v>
      </c>
      <c r="D50" s="850">
        <v>650000</v>
      </c>
      <c r="E50" s="850">
        <v>650000</v>
      </c>
      <c r="F50" s="850">
        <v>650000</v>
      </c>
      <c r="G50" s="850">
        <v>700000</v>
      </c>
      <c r="H50" s="849">
        <v>769974</v>
      </c>
      <c r="I50" s="850"/>
      <c r="J50" s="789"/>
      <c r="K50" s="789"/>
      <c r="L50" s="789"/>
      <c r="M50" s="789"/>
      <c r="N50" s="789"/>
      <c r="O50" s="788"/>
      <c r="P50" s="789"/>
      <c r="Q50" s="789"/>
      <c r="R50" s="790"/>
    </row>
    <row r="51" spans="1:18" s="827" customFormat="1" ht="16.5" customHeight="1" thickBot="1" x14ac:dyDescent="0.3">
      <c r="A51" s="812"/>
      <c r="B51" s="857"/>
      <c r="C51" s="858" t="s">
        <v>2161</v>
      </c>
      <c r="D51" s="855">
        <v>92339</v>
      </c>
      <c r="E51" s="855">
        <v>74789</v>
      </c>
      <c r="F51" s="855">
        <v>57239</v>
      </c>
      <c r="G51" s="856">
        <v>39689</v>
      </c>
      <c r="H51" s="855">
        <v>20789</v>
      </c>
      <c r="I51" s="855"/>
      <c r="J51" s="816"/>
      <c r="K51" s="816"/>
      <c r="L51" s="816"/>
      <c r="M51" s="816"/>
      <c r="N51" s="816"/>
      <c r="O51" s="815"/>
      <c r="P51" s="816"/>
      <c r="Q51" s="816"/>
      <c r="R51" s="817"/>
    </row>
    <row r="52" spans="1:18" s="859" customFormat="1" ht="31.5" x14ac:dyDescent="0.25">
      <c r="A52" s="785">
        <f>3549134-88557+189120</f>
        <v>3649697</v>
      </c>
      <c r="B52" s="786" t="s">
        <v>2158</v>
      </c>
      <c r="C52" s="786" t="s">
        <v>2162</v>
      </c>
      <c r="D52" s="788">
        <f>300000-163982</f>
        <v>136018</v>
      </c>
      <c r="E52" s="788">
        <f>300000</f>
        <v>300000</v>
      </c>
      <c r="F52" s="788">
        <f>300000</f>
        <v>300000</v>
      </c>
      <c r="G52" s="789">
        <v>520000</v>
      </c>
      <c r="H52" s="788">
        <v>540577</v>
      </c>
      <c r="I52" s="850"/>
      <c r="J52" s="849"/>
      <c r="K52" s="849"/>
      <c r="L52" s="849"/>
      <c r="M52" s="849"/>
      <c r="N52" s="849"/>
      <c r="O52" s="850"/>
      <c r="P52" s="849"/>
      <c r="Q52" s="849"/>
      <c r="R52" s="790"/>
    </row>
    <row r="53" spans="1:18" s="859" customFormat="1" ht="16.5" thickBot="1" x14ac:dyDescent="0.3">
      <c r="A53" s="812"/>
      <c r="B53" s="813"/>
      <c r="C53" s="822" t="s">
        <v>2130</v>
      </c>
      <c r="D53" s="815">
        <v>40408</v>
      </c>
      <c r="E53" s="815">
        <v>32308</v>
      </c>
      <c r="F53" s="815">
        <v>24208</v>
      </c>
      <c r="G53" s="816">
        <v>16108</v>
      </c>
      <c r="H53" s="815">
        <v>7468</v>
      </c>
      <c r="I53" s="815"/>
      <c r="J53" s="856"/>
      <c r="K53" s="856"/>
      <c r="L53" s="856"/>
      <c r="M53" s="856"/>
      <c r="N53" s="856"/>
      <c r="O53" s="855"/>
      <c r="P53" s="856"/>
      <c r="Q53" s="856"/>
      <c r="R53" s="817"/>
    </row>
    <row r="54" spans="1:18" s="859" customFormat="1" ht="31.5" x14ac:dyDescent="0.25">
      <c r="A54" s="799">
        <v>2404762</v>
      </c>
      <c r="B54" s="800">
        <v>2015</v>
      </c>
      <c r="C54" s="786" t="s">
        <v>2163</v>
      </c>
      <c r="D54" s="802">
        <v>243000</v>
      </c>
      <c r="E54" s="802">
        <v>243000</v>
      </c>
      <c r="F54" s="802">
        <v>243000</v>
      </c>
      <c r="G54" s="802">
        <v>243000</v>
      </c>
      <c r="H54" s="802">
        <v>243000</v>
      </c>
      <c r="I54" s="802">
        <v>241762</v>
      </c>
      <c r="J54" s="860"/>
      <c r="K54" s="860"/>
      <c r="L54" s="860"/>
      <c r="M54" s="860"/>
      <c r="N54" s="860"/>
      <c r="O54" s="861"/>
      <c r="P54" s="860"/>
      <c r="Q54" s="860"/>
      <c r="R54" s="798"/>
    </row>
    <row r="55" spans="1:18" s="859" customFormat="1" ht="16.5" thickBot="1" x14ac:dyDescent="0.3">
      <c r="A55" s="805"/>
      <c r="B55" s="806"/>
      <c r="C55" s="822" t="s">
        <v>2161</v>
      </c>
      <c r="D55" s="808">
        <v>39333</v>
      </c>
      <c r="E55" s="808">
        <v>32772</v>
      </c>
      <c r="F55" s="808">
        <v>26211</v>
      </c>
      <c r="G55" s="809">
        <v>19650</v>
      </c>
      <c r="H55" s="808">
        <v>13089</v>
      </c>
      <c r="I55" s="808">
        <v>6528</v>
      </c>
      <c r="J55" s="862"/>
      <c r="K55" s="862"/>
      <c r="L55" s="862"/>
      <c r="M55" s="862"/>
      <c r="N55" s="862"/>
      <c r="O55" s="863"/>
      <c r="P55" s="862"/>
      <c r="Q55" s="862"/>
      <c r="R55" s="811"/>
    </row>
    <row r="56" spans="1:18" s="859" customFormat="1" ht="47.25" x14ac:dyDescent="0.25">
      <c r="A56" s="785">
        <v>5274194</v>
      </c>
      <c r="B56" s="786" t="s">
        <v>2164</v>
      </c>
      <c r="C56" s="864" t="s">
        <v>2165</v>
      </c>
      <c r="D56" s="789">
        <v>546041</v>
      </c>
      <c r="E56" s="789">
        <v>546041</v>
      </c>
      <c r="F56" s="789">
        <v>546041</v>
      </c>
      <c r="G56" s="789">
        <v>546041</v>
      </c>
      <c r="H56" s="789">
        <v>546041</v>
      </c>
      <c r="I56" s="789">
        <v>546041</v>
      </c>
      <c r="J56" s="789">
        <v>321875</v>
      </c>
      <c r="K56" s="788"/>
      <c r="L56" s="789"/>
      <c r="M56" s="788"/>
      <c r="N56" s="789"/>
      <c r="O56" s="788"/>
      <c r="P56" s="789"/>
      <c r="Q56" s="789"/>
      <c r="R56" s="790"/>
    </row>
    <row r="57" spans="1:18" s="859" customFormat="1" ht="16.5" thickBot="1" x14ac:dyDescent="0.3">
      <c r="A57" s="812"/>
      <c r="B57" s="813"/>
      <c r="C57" s="865" t="s">
        <v>2130</v>
      </c>
      <c r="D57" s="816">
        <v>103202</v>
      </c>
      <c r="E57" s="816">
        <v>88459</v>
      </c>
      <c r="F57" s="816">
        <v>73716</v>
      </c>
      <c r="G57" s="816">
        <v>58972</v>
      </c>
      <c r="H57" s="816">
        <v>44229</v>
      </c>
      <c r="I57" s="816">
        <v>29486</v>
      </c>
      <c r="J57" s="816">
        <v>14743</v>
      </c>
      <c r="K57" s="815"/>
      <c r="L57" s="816"/>
      <c r="M57" s="815"/>
      <c r="N57" s="816"/>
      <c r="O57" s="815"/>
      <c r="P57" s="816"/>
      <c r="Q57" s="816"/>
      <c r="R57" s="817"/>
    </row>
    <row r="58" spans="1:18" s="859" customFormat="1" ht="31.5" x14ac:dyDescent="0.25">
      <c r="A58" s="785">
        <v>1156633</v>
      </c>
      <c r="B58" s="786">
        <v>2016</v>
      </c>
      <c r="C58" s="786" t="s">
        <v>2166</v>
      </c>
      <c r="D58" s="788">
        <v>121216</v>
      </c>
      <c r="E58" s="788">
        <v>121216</v>
      </c>
      <c r="F58" s="788">
        <v>121216</v>
      </c>
      <c r="G58" s="788">
        <v>121216</v>
      </c>
      <c r="H58" s="788">
        <v>121216</v>
      </c>
      <c r="I58" s="788">
        <v>93452</v>
      </c>
      <c r="J58" s="788">
        <v>93453</v>
      </c>
      <c r="K58" s="788"/>
      <c r="L58" s="789"/>
      <c r="M58" s="788"/>
      <c r="N58" s="789"/>
      <c r="O58" s="788"/>
      <c r="P58" s="789"/>
      <c r="Q58" s="789"/>
      <c r="R58" s="790"/>
    </row>
    <row r="59" spans="1:18" s="859" customFormat="1" ht="16.5" thickBot="1" x14ac:dyDescent="0.3">
      <c r="A59" s="812"/>
      <c r="B59" s="813"/>
      <c r="C59" s="822" t="s">
        <v>2130</v>
      </c>
      <c r="D59" s="815">
        <v>21411</v>
      </c>
      <c r="E59" s="815">
        <v>18138</v>
      </c>
      <c r="F59" s="815">
        <v>14865</v>
      </c>
      <c r="G59" s="815">
        <v>11592</v>
      </c>
      <c r="H59" s="815">
        <v>8319</v>
      </c>
      <c r="I59" s="815">
        <v>5046</v>
      </c>
      <c r="J59" s="815">
        <v>2523</v>
      </c>
      <c r="K59" s="815"/>
      <c r="L59" s="816"/>
      <c r="M59" s="815"/>
      <c r="N59" s="816"/>
      <c r="O59" s="815"/>
      <c r="P59" s="816"/>
      <c r="Q59" s="816"/>
      <c r="R59" s="817"/>
    </row>
    <row r="60" spans="1:18" s="827" customFormat="1" ht="39" customHeight="1" x14ac:dyDescent="0.25">
      <c r="A60" s="785">
        <v>722842.29</v>
      </c>
      <c r="B60" s="786">
        <v>2017</v>
      </c>
      <c r="C60" s="786" t="s">
        <v>2167</v>
      </c>
      <c r="D60" s="788">
        <v>70000</v>
      </c>
      <c r="E60" s="788">
        <v>70000</v>
      </c>
      <c r="F60" s="788">
        <v>74000</v>
      </c>
      <c r="G60" s="788">
        <v>75000</v>
      </c>
      <c r="H60" s="788">
        <v>75000</v>
      </c>
      <c r="I60" s="788">
        <v>75000</v>
      </c>
      <c r="J60" s="788">
        <v>75000</v>
      </c>
      <c r="K60" s="788">
        <v>63842.29</v>
      </c>
      <c r="L60" s="788"/>
      <c r="M60" s="788"/>
      <c r="N60" s="789"/>
      <c r="O60" s="788"/>
      <c r="P60" s="789"/>
      <c r="Q60" s="789"/>
      <c r="R60" s="790"/>
    </row>
    <row r="61" spans="1:18" s="827" customFormat="1" ht="17.25" customHeight="1" thickBot="1" x14ac:dyDescent="0.3">
      <c r="A61" s="812"/>
      <c r="B61" s="813"/>
      <c r="C61" s="822" t="s">
        <v>2130</v>
      </c>
      <c r="D61" s="815">
        <v>15602</v>
      </c>
      <c r="E61" s="815">
        <v>13712</v>
      </c>
      <c r="F61" s="815">
        <v>11822</v>
      </c>
      <c r="G61" s="815">
        <v>9824</v>
      </c>
      <c r="H61" s="815">
        <v>7799</v>
      </c>
      <c r="I61" s="815">
        <v>5774</v>
      </c>
      <c r="J61" s="815">
        <v>3749</v>
      </c>
      <c r="K61" s="815">
        <v>1724</v>
      </c>
      <c r="L61" s="816"/>
      <c r="M61" s="816"/>
      <c r="N61" s="816"/>
      <c r="O61" s="815"/>
      <c r="P61" s="816"/>
      <c r="Q61" s="816"/>
      <c r="R61" s="817"/>
    </row>
    <row r="62" spans="1:18" s="827" customFormat="1" ht="36" customHeight="1" x14ac:dyDescent="0.25">
      <c r="A62" s="785">
        <v>1950509</v>
      </c>
      <c r="B62" s="786">
        <v>2018</v>
      </c>
      <c r="C62" s="787" t="s">
        <v>2168</v>
      </c>
      <c r="D62" s="789">
        <v>200000</v>
      </c>
      <c r="E62" s="789">
        <v>110000</v>
      </c>
      <c r="F62" s="789">
        <v>200000</v>
      </c>
      <c r="G62" s="789">
        <v>200000</v>
      </c>
      <c r="H62" s="789">
        <v>200000</v>
      </c>
      <c r="I62" s="789">
        <v>200000</v>
      </c>
      <c r="J62" s="789">
        <v>200000</v>
      </c>
      <c r="K62" s="789">
        <v>250000</v>
      </c>
      <c r="L62" s="789">
        <v>190509</v>
      </c>
      <c r="M62" s="789"/>
      <c r="N62" s="789"/>
      <c r="O62" s="788"/>
      <c r="P62" s="789"/>
      <c r="Q62" s="789"/>
      <c r="R62" s="790"/>
    </row>
    <row r="63" spans="1:18" s="827" customFormat="1" ht="17.25" customHeight="1" thickBot="1" x14ac:dyDescent="0.3">
      <c r="A63" s="805"/>
      <c r="B63" s="806"/>
      <c r="C63" s="814" t="s">
        <v>2130</v>
      </c>
      <c r="D63" s="809">
        <v>48979</v>
      </c>
      <c r="E63" s="809">
        <v>43579</v>
      </c>
      <c r="F63" s="809">
        <v>40610</v>
      </c>
      <c r="G63" s="809">
        <v>35209</v>
      </c>
      <c r="H63" s="809">
        <v>29809</v>
      </c>
      <c r="I63" s="809">
        <v>24409</v>
      </c>
      <c r="J63" s="809">
        <v>19009</v>
      </c>
      <c r="K63" s="809">
        <v>13610</v>
      </c>
      <c r="L63" s="809">
        <v>6860</v>
      </c>
      <c r="M63" s="809"/>
      <c r="N63" s="809"/>
      <c r="O63" s="808"/>
      <c r="P63" s="809"/>
      <c r="Q63" s="809"/>
      <c r="R63" s="811"/>
    </row>
    <row r="64" spans="1:18" s="827" customFormat="1" ht="81.75" customHeight="1" x14ac:dyDescent="0.25">
      <c r="A64" s="785">
        <f>831574+674172</f>
        <v>1505746</v>
      </c>
      <c r="B64" s="786">
        <v>2018</v>
      </c>
      <c r="C64" s="787" t="s">
        <v>2169</v>
      </c>
      <c r="D64" s="788">
        <v>839590</v>
      </c>
      <c r="E64" s="788">
        <f>301150-207307</f>
        <v>93843</v>
      </c>
      <c r="F64" s="788">
        <v>435981</v>
      </c>
      <c r="G64" s="788"/>
      <c r="H64" s="788"/>
      <c r="I64" s="788"/>
      <c r="J64" s="788"/>
      <c r="K64" s="788"/>
      <c r="L64" s="789"/>
      <c r="M64" s="788"/>
      <c r="N64" s="789"/>
      <c r="O64" s="788"/>
      <c r="P64" s="789"/>
      <c r="Q64" s="789"/>
      <c r="R64" s="790"/>
    </row>
    <row r="65" spans="1:18" s="827" customFormat="1" ht="17.25" customHeight="1" thickBot="1" x14ac:dyDescent="0.3">
      <c r="A65" s="805"/>
      <c r="B65" s="806"/>
      <c r="C65" s="866" t="s">
        <v>2130</v>
      </c>
      <c r="D65" s="808">
        <v>28033</v>
      </c>
      <c r="E65" s="808">
        <v>19903</v>
      </c>
      <c r="F65" s="808">
        <v>11771</v>
      </c>
      <c r="G65" s="808"/>
      <c r="H65" s="808"/>
      <c r="I65" s="808"/>
      <c r="J65" s="808"/>
      <c r="K65" s="808"/>
      <c r="L65" s="809"/>
      <c r="M65" s="808"/>
      <c r="N65" s="809"/>
      <c r="O65" s="808"/>
      <c r="P65" s="809"/>
      <c r="Q65" s="809"/>
      <c r="R65" s="811"/>
    </row>
    <row r="66" spans="1:18" s="827" customFormat="1" ht="32.25" customHeight="1" x14ac:dyDescent="0.25">
      <c r="A66" s="847">
        <v>1014552</v>
      </c>
      <c r="B66" s="786" t="s">
        <v>2170</v>
      </c>
      <c r="C66" s="787" t="s">
        <v>2171</v>
      </c>
      <c r="D66" s="788">
        <v>101456</v>
      </c>
      <c r="E66" s="788">
        <v>101456</v>
      </c>
      <c r="F66" s="788">
        <v>101455</v>
      </c>
      <c r="G66" s="850">
        <v>101455</v>
      </c>
      <c r="H66" s="850">
        <v>101455</v>
      </c>
      <c r="I66" s="850">
        <v>101455</v>
      </c>
      <c r="J66" s="850">
        <v>135274</v>
      </c>
      <c r="K66" s="850">
        <v>135273</v>
      </c>
      <c r="L66" s="849">
        <v>135273</v>
      </c>
      <c r="M66" s="788"/>
      <c r="N66" s="789"/>
      <c r="O66" s="788"/>
      <c r="P66" s="789"/>
      <c r="Q66" s="789"/>
      <c r="R66" s="790"/>
    </row>
    <row r="67" spans="1:18" s="827" customFormat="1" ht="17.25" customHeight="1" thickBot="1" x14ac:dyDescent="0.3">
      <c r="A67" s="791"/>
      <c r="B67" s="792"/>
      <c r="C67" s="793" t="s">
        <v>2130</v>
      </c>
      <c r="D67" s="867">
        <v>27393</v>
      </c>
      <c r="E67" s="867">
        <v>24654</v>
      </c>
      <c r="F67" s="867">
        <v>21914</v>
      </c>
      <c r="G67" s="861">
        <v>19175</v>
      </c>
      <c r="H67" s="861">
        <v>16436</v>
      </c>
      <c r="I67" s="861">
        <v>13696</v>
      </c>
      <c r="J67" s="861">
        <v>10957</v>
      </c>
      <c r="K67" s="861">
        <v>7305</v>
      </c>
      <c r="L67" s="860">
        <v>3652</v>
      </c>
      <c r="M67" s="867"/>
      <c r="N67" s="797"/>
      <c r="O67" s="867"/>
      <c r="P67" s="797"/>
      <c r="Q67" s="797"/>
      <c r="R67" s="798"/>
    </row>
    <row r="68" spans="1:18" ht="47.25" x14ac:dyDescent="0.25">
      <c r="A68" s="868">
        <v>450058</v>
      </c>
      <c r="B68" s="869">
        <v>2019</v>
      </c>
      <c r="C68" s="801" t="s">
        <v>2172</v>
      </c>
      <c r="D68" s="870">
        <v>90012</v>
      </c>
      <c r="E68" s="870">
        <v>90012</v>
      </c>
      <c r="F68" s="870">
        <v>90012</v>
      </c>
      <c r="G68" s="870">
        <v>90011</v>
      </c>
      <c r="H68" s="870">
        <v>90011</v>
      </c>
      <c r="I68" s="870"/>
      <c r="J68" s="870"/>
      <c r="K68" s="870"/>
      <c r="L68" s="870"/>
      <c r="M68" s="870"/>
      <c r="N68" s="870"/>
      <c r="O68" s="870"/>
      <c r="P68" s="870"/>
      <c r="Q68" s="870"/>
      <c r="R68" s="871"/>
    </row>
    <row r="69" spans="1:18" s="827" customFormat="1" ht="17.25" customHeight="1" thickBot="1" x14ac:dyDescent="0.3">
      <c r="A69" s="872"/>
      <c r="B69" s="806"/>
      <c r="C69" s="807" t="s">
        <v>2130</v>
      </c>
      <c r="D69" s="809">
        <v>12152</v>
      </c>
      <c r="E69" s="809">
        <v>9721</v>
      </c>
      <c r="F69" s="809">
        <v>7291</v>
      </c>
      <c r="G69" s="809">
        <v>4861</v>
      </c>
      <c r="H69" s="809">
        <v>2430</v>
      </c>
      <c r="I69" s="809"/>
      <c r="J69" s="809"/>
      <c r="K69" s="809"/>
      <c r="L69" s="809"/>
      <c r="M69" s="809"/>
      <c r="N69" s="809"/>
      <c r="O69" s="809"/>
      <c r="P69" s="809"/>
      <c r="Q69" s="809"/>
      <c r="R69" s="811"/>
    </row>
    <row r="70" spans="1:18" s="827" customFormat="1" ht="49.5" customHeight="1" x14ac:dyDescent="0.25">
      <c r="A70" s="785">
        <f>534114+342953-261116+261116</f>
        <v>877067</v>
      </c>
      <c r="B70" s="786" t="s">
        <v>2173</v>
      </c>
      <c r="C70" s="828" t="s">
        <v>2174</v>
      </c>
      <c r="D70" s="789">
        <v>66438</v>
      </c>
      <c r="E70" s="788"/>
      <c r="F70" s="789">
        <f>87700-66438</f>
        <v>21262</v>
      </c>
      <c r="G70" s="788">
        <v>87700</v>
      </c>
      <c r="H70" s="789">
        <v>87700</v>
      </c>
      <c r="I70" s="788">
        <v>87700</v>
      </c>
      <c r="J70" s="789">
        <v>87700</v>
      </c>
      <c r="K70" s="788">
        <v>87700</v>
      </c>
      <c r="L70" s="789">
        <v>87700</v>
      </c>
      <c r="M70" s="788">
        <v>87700</v>
      </c>
      <c r="N70" s="789">
        <v>87700</v>
      </c>
      <c r="O70" s="788">
        <v>87767</v>
      </c>
      <c r="P70" s="789"/>
      <c r="Q70" s="789"/>
      <c r="R70" s="790"/>
    </row>
    <row r="71" spans="1:18" s="827" customFormat="1" ht="17.25" customHeight="1" thickBot="1" x14ac:dyDescent="0.3">
      <c r="A71" s="873"/>
      <c r="B71" s="813"/>
      <c r="C71" s="807" t="s">
        <v>2130</v>
      </c>
      <c r="D71" s="816">
        <v>8000</v>
      </c>
      <c r="E71" s="815">
        <v>12056</v>
      </c>
      <c r="F71" s="816">
        <v>23681</v>
      </c>
      <c r="G71" s="815">
        <v>21313</v>
      </c>
      <c r="H71" s="816">
        <v>18945</v>
      </c>
      <c r="I71" s="815">
        <v>16577</v>
      </c>
      <c r="J71" s="816">
        <v>14209</v>
      </c>
      <c r="K71" s="815">
        <v>11841</v>
      </c>
      <c r="L71" s="816">
        <v>9473</v>
      </c>
      <c r="M71" s="815">
        <v>7106</v>
      </c>
      <c r="N71" s="816">
        <v>4738</v>
      </c>
      <c r="O71" s="815">
        <v>2639</v>
      </c>
      <c r="P71" s="816"/>
      <c r="Q71" s="816"/>
      <c r="R71" s="817"/>
    </row>
    <row r="72" spans="1:18" s="827" customFormat="1" ht="54" customHeight="1" x14ac:dyDescent="0.25">
      <c r="A72" s="785">
        <v>322175</v>
      </c>
      <c r="B72" s="786" t="s">
        <v>2173</v>
      </c>
      <c r="C72" s="801" t="s">
        <v>2175</v>
      </c>
      <c r="D72" s="789"/>
      <c r="E72" s="788"/>
      <c r="F72" s="789">
        <v>32200</v>
      </c>
      <c r="G72" s="788">
        <v>32200</v>
      </c>
      <c r="H72" s="789">
        <v>32200</v>
      </c>
      <c r="I72" s="788">
        <v>32200</v>
      </c>
      <c r="J72" s="789">
        <v>32200</v>
      </c>
      <c r="K72" s="788">
        <v>32200</v>
      </c>
      <c r="L72" s="789">
        <v>32200</v>
      </c>
      <c r="M72" s="788">
        <v>32200</v>
      </c>
      <c r="N72" s="789">
        <v>32300</v>
      </c>
      <c r="O72" s="788">
        <v>32275</v>
      </c>
      <c r="P72" s="789"/>
      <c r="Q72" s="789"/>
      <c r="R72" s="790"/>
    </row>
    <row r="73" spans="1:18" s="827" customFormat="1" ht="17.25" customHeight="1" thickBot="1" x14ac:dyDescent="0.3">
      <c r="A73" s="874"/>
      <c r="B73" s="792"/>
      <c r="C73" s="875" t="s">
        <v>2134</v>
      </c>
      <c r="D73" s="797">
        <v>2939</v>
      </c>
      <c r="E73" s="867">
        <v>4429</v>
      </c>
      <c r="F73" s="797">
        <v>8699</v>
      </c>
      <c r="G73" s="867">
        <v>7829</v>
      </c>
      <c r="H73" s="797">
        <v>6960</v>
      </c>
      <c r="I73" s="867">
        <v>6091</v>
      </c>
      <c r="J73" s="797">
        <v>5221</v>
      </c>
      <c r="K73" s="867">
        <v>4352</v>
      </c>
      <c r="L73" s="797">
        <v>3482</v>
      </c>
      <c r="M73" s="867">
        <v>2613</v>
      </c>
      <c r="N73" s="797">
        <v>1744</v>
      </c>
      <c r="O73" s="867">
        <v>871</v>
      </c>
      <c r="P73" s="797"/>
      <c r="Q73" s="797"/>
      <c r="R73" s="798"/>
    </row>
    <row r="74" spans="1:18" s="827" customFormat="1" ht="47.25" x14ac:dyDescent="0.25">
      <c r="A74" s="785">
        <v>1289745</v>
      </c>
      <c r="B74" s="786" t="s">
        <v>2176</v>
      </c>
      <c r="C74" s="787" t="s">
        <v>2177</v>
      </c>
      <c r="D74" s="789"/>
      <c r="E74" s="789">
        <v>129000</v>
      </c>
      <c r="F74" s="789">
        <v>129000</v>
      </c>
      <c r="G74" s="789">
        <v>129000</v>
      </c>
      <c r="H74" s="789">
        <v>129000</v>
      </c>
      <c r="I74" s="789">
        <v>129000</v>
      </c>
      <c r="J74" s="789">
        <v>129000</v>
      </c>
      <c r="K74" s="789">
        <v>129000</v>
      </c>
      <c r="L74" s="789">
        <v>129000</v>
      </c>
      <c r="M74" s="789">
        <v>129000</v>
      </c>
      <c r="N74" s="789">
        <v>128745</v>
      </c>
      <c r="O74" s="789"/>
      <c r="P74" s="789"/>
      <c r="Q74" s="789"/>
      <c r="R74" s="790"/>
    </row>
    <row r="75" spans="1:18" s="827" customFormat="1" ht="16.5" thickBot="1" x14ac:dyDescent="0.3">
      <c r="A75" s="805"/>
      <c r="B75" s="806"/>
      <c r="C75" s="807" t="s">
        <v>2134</v>
      </c>
      <c r="D75" s="809">
        <v>17412</v>
      </c>
      <c r="E75" s="809">
        <v>34823</v>
      </c>
      <c r="F75" s="809">
        <v>31340</v>
      </c>
      <c r="G75" s="809">
        <v>27857</v>
      </c>
      <c r="H75" s="809">
        <v>24374</v>
      </c>
      <c r="I75" s="809">
        <v>20891</v>
      </c>
      <c r="J75" s="809">
        <v>17408</v>
      </c>
      <c r="K75" s="809">
        <v>13925</v>
      </c>
      <c r="L75" s="809">
        <v>10442</v>
      </c>
      <c r="M75" s="809">
        <v>6959</v>
      </c>
      <c r="N75" s="809">
        <v>3476</v>
      </c>
      <c r="O75" s="809"/>
      <c r="P75" s="809"/>
      <c r="Q75" s="809"/>
      <c r="R75" s="811"/>
    </row>
    <row r="76" spans="1:18" s="827" customFormat="1" ht="47.25" x14ac:dyDescent="0.25">
      <c r="A76" s="799">
        <f>1135705+129698-159468-309289</f>
        <v>796646</v>
      </c>
      <c r="B76" s="800" t="s">
        <v>2176</v>
      </c>
      <c r="C76" s="801" t="s">
        <v>2178</v>
      </c>
      <c r="D76" s="802">
        <v>0</v>
      </c>
      <c r="E76" s="802">
        <v>159300</v>
      </c>
      <c r="F76" s="802">
        <v>159300</v>
      </c>
      <c r="G76" s="802">
        <v>159300</v>
      </c>
      <c r="H76" s="802">
        <v>159300</v>
      </c>
      <c r="I76" s="802">
        <v>159446</v>
      </c>
      <c r="J76" s="802"/>
      <c r="K76" s="803"/>
      <c r="L76" s="803"/>
      <c r="M76" s="803"/>
      <c r="N76" s="803"/>
      <c r="O76" s="802"/>
      <c r="P76" s="803"/>
      <c r="Q76" s="803"/>
      <c r="R76" s="804"/>
    </row>
    <row r="77" spans="1:18" s="827" customFormat="1" ht="16.5" thickBot="1" x14ac:dyDescent="0.3">
      <c r="A77" s="805"/>
      <c r="B77" s="806"/>
      <c r="C77" s="807" t="s">
        <v>2130</v>
      </c>
      <c r="D77" s="809">
        <v>10755</v>
      </c>
      <c r="E77" s="809">
        <v>21509</v>
      </c>
      <c r="F77" s="809">
        <v>17208</v>
      </c>
      <c r="G77" s="809">
        <v>12907</v>
      </c>
      <c r="H77" s="809">
        <v>8606</v>
      </c>
      <c r="I77" s="809">
        <v>4305</v>
      </c>
      <c r="J77" s="809"/>
      <c r="K77" s="809"/>
      <c r="L77" s="809"/>
      <c r="M77" s="809"/>
      <c r="N77" s="809"/>
      <c r="O77" s="808"/>
      <c r="P77" s="809"/>
      <c r="Q77" s="809"/>
      <c r="R77" s="811"/>
    </row>
    <row r="78" spans="1:18" s="827" customFormat="1" ht="47.25" x14ac:dyDescent="0.25">
      <c r="A78" s="785">
        <f>816390-46604</f>
        <v>769786</v>
      </c>
      <c r="B78" s="786" t="s">
        <v>2176</v>
      </c>
      <c r="C78" s="801" t="s">
        <v>196</v>
      </c>
      <c r="D78" s="789"/>
      <c r="E78" s="789">
        <v>154000</v>
      </c>
      <c r="F78" s="789">
        <v>154000</v>
      </c>
      <c r="G78" s="789">
        <v>154000</v>
      </c>
      <c r="H78" s="789">
        <v>154000</v>
      </c>
      <c r="I78" s="789">
        <v>153786</v>
      </c>
      <c r="J78" s="789"/>
      <c r="K78" s="789"/>
      <c r="L78" s="789"/>
      <c r="M78" s="789"/>
      <c r="N78" s="789"/>
      <c r="O78" s="789"/>
      <c r="P78" s="789"/>
      <c r="Q78" s="789"/>
      <c r="R78" s="790"/>
    </row>
    <row r="79" spans="1:18" s="827" customFormat="1" ht="16.5" thickBot="1" x14ac:dyDescent="0.3">
      <c r="A79" s="805"/>
      <c r="B79" s="806"/>
      <c r="C79" s="807" t="s">
        <v>2130</v>
      </c>
      <c r="D79" s="809">
        <v>10392</v>
      </c>
      <c r="E79" s="809">
        <v>20784</v>
      </c>
      <c r="F79" s="809">
        <v>16626</v>
      </c>
      <c r="G79" s="809">
        <v>12468</v>
      </c>
      <c r="H79" s="809">
        <v>8310</v>
      </c>
      <c r="I79" s="809">
        <v>4152</v>
      </c>
      <c r="J79" s="809"/>
      <c r="K79" s="809"/>
      <c r="L79" s="809"/>
      <c r="M79" s="809"/>
      <c r="N79" s="809"/>
      <c r="O79" s="809"/>
      <c r="P79" s="809"/>
      <c r="Q79" s="809"/>
      <c r="R79" s="811"/>
    </row>
    <row r="80" spans="1:18" s="827" customFormat="1" ht="31.5" x14ac:dyDescent="0.25">
      <c r="A80" s="785">
        <v>3717631</v>
      </c>
      <c r="B80" s="786" t="s">
        <v>2173</v>
      </c>
      <c r="C80" s="787" t="s">
        <v>2179</v>
      </c>
      <c r="D80" s="789"/>
      <c r="E80" s="788"/>
      <c r="F80" s="789">
        <v>700000</v>
      </c>
      <c r="G80" s="788">
        <v>514000</v>
      </c>
      <c r="H80" s="789">
        <v>514000</v>
      </c>
      <c r="I80" s="788">
        <v>312000</v>
      </c>
      <c r="J80" s="789">
        <v>312000</v>
      </c>
      <c r="K80" s="788">
        <v>312000</v>
      </c>
      <c r="L80" s="789">
        <v>312000</v>
      </c>
      <c r="M80" s="788">
        <v>312000</v>
      </c>
      <c r="N80" s="789">
        <v>214839</v>
      </c>
      <c r="O80" s="788">
        <v>214792</v>
      </c>
      <c r="P80" s="789"/>
      <c r="Q80" s="789"/>
      <c r="R80" s="790"/>
    </row>
    <row r="81" spans="1:18" s="827" customFormat="1" ht="16.5" thickBot="1" x14ac:dyDescent="0.3">
      <c r="A81" s="791"/>
      <c r="B81" s="792"/>
      <c r="C81" s="807" t="s">
        <v>2130</v>
      </c>
      <c r="D81" s="797">
        <v>33910</v>
      </c>
      <c r="E81" s="867">
        <v>51104</v>
      </c>
      <c r="F81" s="797">
        <v>100376</v>
      </c>
      <c r="G81" s="867">
        <v>81476</v>
      </c>
      <c r="H81" s="797">
        <v>67598</v>
      </c>
      <c r="I81" s="867">
        <v>53720</v>
      </c>
      <c r="J81" s="797">
        <v>45296</v>
      </c>
      <c r="K81" s="867">
        <v>36872</v>
      </c>
      <c r="L81" s="797">
        <v>28448</v>
      </c>
      <c r="M81" s="867">
        <v>20024</v>
      </c>
      <c r="N81" s="797">
        <v>11600</v>
      </c>
      <c r="O81" s="867">
        <v>5799</v>
      </c>
      <c r="P81" s="797"/>
      <c r="Q81" s="797"/>
      <c r="R81" s="798"/>
    </row>
    <row r="82" spans="1:18" s="859" customFormat="1" ht="31.5" x14ac:dyDescent="0.25">
      <c r="A82" s="799">
        <v>6300200</v>
      </c>
      <c r="B82" s="876">
        <v>2015</v>
      </c>
      <c r="C82" s="876" t="s">
        <v>2180</v>
      </c>
      <c r="D82" s="803">
        <v>320500</v>
      </c>
      <c r="E82" s="877">
        <v>320500</v>
      </c>
      <c r="F82" s="878">
        <v>320500</v>
      </c>
      <c r="G82" s="877">
        <v>320500</v>
      </c>
      <c r="H82" s="878">
        <v>320500</v>
      </c>
      <c r="I82" s="877">
        <v>320500</v>
      </c>
      <c r="J82" s="878">
        <v>320500</v>
      </c>
      <c r="K82" s="877">
        <v>320500</v>
      </c>
      <c r="L82" s="878">
        <v>320500</v>
      </c>
      <c r="M82" s="877">
        <v>320500</v>
      </c>
      <c r="N82" s="878">
        <v>320500</v>
      </c>
      <c r="O82" s="877">
        <v>320500</v>
      </c>
      <c r="P82" s="878">
        <v>320500</v>
      </c>
      <c r="Q82" s="878">
        <v>320500</v>
      </c>
      <c r="R82" s="804">
        <f>1492700-320500-320500-320500</f>
        <v>531200</v>
      </c>
    </row>
    <row r="83" spans="1:18" s="859" customFormat="1" ht="16.5" thickBot="1" x14ac:dyDescent="0.3">
      <c r="A83" s="879"/>
      <c r="B83" s="880"/>
      <c r="C83" s="858" t="s">
        <v>2161</v>
      </c>
      <c r="D83" s="863">
        <v>135491</v>
      </c>
      <c r="E83" s="863">
        <v>126838</v>
      </c>
      <c r="F83" s="863">
        <v>118184</v>
      </c>
      <c r="G83" s="862">
        <v>109531</v>
      </c>
      <c r="H83" s="863">
        <v>100877</v>
      </c>
      <c r="I83" s="863">
        <v>92224</v>
      </c>
      <c r="J83" s="881">
        <v>83570</v>
      </c>
      <c r="K83" s="881">
        <v>74917</v>
      </c>
      <c r="L83" s="881">
        <v>66263</v>
      </c>
      <c r="M83" s="881">
        <v>57610</v>
      </c>
      <c r="N83" s="809">
        <v>48956</v>
      </c>
      <c r="O83" s="808">
        <v>40303</v>
      </c>
      <c r="P83" s="809">
        <v>31650</v>
      </c>
      <c r="Q83" s="809">
        <v>22997</v>
      </c>
      <c r="R83" s="811">
        <f>114949-40303-31650-22997</f>
        <v>19999</v>
      </c>
    </row>
    <row r="84" spans="1:18" s="827" customFormat="1" ht="20.25" customHeight="1" thickBot="1" x14ac:dyDescent="0.3">
      <c r="A84" s="882"/>
      <c r="B84" s="883"/>
      <c r="C84" s="884" t="s">
        <v>2181</v>
      </c>
      <c r="D84" s="844"/>
      <c r="E84" s="845"/>
      <c r="F84" s="844"/>
      <c r="G84" s="845"/>
      <c r="H84" s="844"/>
      <c r="I84" s="844"/>
      <c r="J84" s="845"/>
      <c r="K84" s="845"/>
      <c r="L84" s="845"/>
      <c r="M84" s="845"/>
      <c r="N84" s="845"/>
      <c r="O84" s="844"/>
      <c r="P84" s="845"/>
      <c r="Q84" s="845"/>
      <c r="R84" s="846"/>
    </row>
    <row r="85" spans="1:18" s="827" customFormat="1" ht="16.5" thickBot="1" x14ac:dyDescent="0.3">
      <c r="A85" s="885">
        <v>1280192</v>
      </c>
      <c r="B85" s="886" t="s">
        <v>2182</v>
      </c>
      <c r="C85" s="886" t="s">
        <v>2183</v>
      </c>
      <c r="D85" s="887">
        <v>78672.005281700156</v>
      </c>
      <c r="E85" s="887">
        <v>77508</v>
      </c>
      <c r="F85" s="887">
        <v>76343</v>
      </c>
      <c r="G85" s="888">
        <v>75178</v>
      </c>
      <c r="H85" s="887">
        <v>74013</v>
      </c>
      <c r="I85" s="887">
        <v>72848</v>
      </c>
      <c r="J85" s="889">
        <v>71683</v>
      </c>
      <c r="K85" s="889">
        <v>70518</v>
      </c>
      <c r="L85" s="889">
        <v>46534</v>
      </c>
      <c r="M85" s="889"/>
      <c r="N85" s="889"/>
      <c r="O85" s="890"/>
      <c r="P85" s="889"/>
      <c r="Q85" s="889"/>
      <c r="R85" s="891"/>
    </row>
    <row r="86" spans="1:18" s="827" customFormat="1" ht="31.5" x14ac:dyDescent="0.25">
      <c r="A86" s="847">
        <v>1708</v>
      </c>
      <c r="B86" s="848">
        <v>2015</v>
      </c>
      <c r="C86" s="848" t="s">
        <v>2184</v>
      </c>
      <c r="D86" s="849">
        <v>171</v>
      </c>
      <c r="E86" s="849">
        <v>171</v>
      </c>
      <c r="F86" s="849">
        <v>171</v>
      </c>
      <c r="G86" s="849">
        <v>171</v>
      </c>
      <c r="H86" s="849">
        <v>171</v>
      </c>
      <c r="I86" s="849">
        <v>171</v>
      </c>
      <c r="J86" s="849">
        <v>171</v>
      </c>
      <c r="K86" s="789">
        <v>71</v>
      </c>
      <c r="L86" s="789"/>
      <c r="M86" s="789"/>
      <c r="N86" s="789"/>
      <c r="O86" s="788"/>
      <c r="P86" s="789"/>
      <c r="Q86" s="789"/>
      <c r="R86" s="790"/>
    </row>
    <row r="87" spans="1:18" s="827" customFormat="1" ht="16.5" thickBot="1" x14ac:dyDescent="0.3">
      <c r="A87" s="879"/>
      <c r="B87" s="880"/>
      <c r="C87" s="858" t="s">
        <v>2185</v>
      </c>
      <c r="D87" s="862">
        <v>30</v>
      </c>
      <c r="E87" s="862">
        <v>26</v>
      </c>
      <c r="F87" s="862">
        <v>22</v>
      </c>
      <c r="G87" s="862">
        <v>17</v>
      </c>
      <c r="H87" s="862">
        <v>13</v>
      </c>
      <c r="I87" s="862">
        <v>9</v>
      </c>
      <c r="J87" s="809">
        <v>4</v>
      </c>
      <c r="K87" s="809">
        <v>1</v>
      </c>
      <c r="L87" s="809"/>
      <c r="M87" s="809"/>
      <c r="N87" s="809"/>
      <c r="O87" s="808"/>
      <c r="P87" s="809"/>
      <c r="Q87" s="809"/>
      <c r="R87" s="811"/>
    </row>
    <row r="88" spans="1:18" s="827" customFormat="1" ht="31.5" x14ac:dyDescent="0.25">
      <c r="A88" s="830">
        <v>1707</v>
      </c>
      <c r="B88" s="892">
        <v>2015</v>
      </c>
      <c r="C88" s="787" t="s">
        <v>2186</v>
      </c>
      <c r="D88" s="826">
        <v>171</v>
      </c>
      <c r="E88" s="826">
        <v>171</v>
      </c>
      <c r="F88" s="826">
        <v>171</v>
      </c>
      <c r="G88" s="826">
        <v>171</v>
      </c>
      <c r="H88" s="826">
        <v>171</v>
      </c>
      <c r="I88" s="826">
        <v>171</v>
      </c>
      <c r="J88" s="826">
        <v>171</v>
      </c>
      <c r="K88" s="826">
        <v>71</v>
      </c>
      <c r="L88" s="893"/>
      <c r="M88" s="893"/>
      <c r="N88" s="893"/>
      <c r="O88" s="894"/>
      <c r="P88" s="893"/>
      <c r="Q88" s="893"/>
      <c r="R88" s="895"/>
    </row>
    <row r="89" spans="1:18" ht="17.25" customHeight="1" thickBot="1" x14ac:dyDescent="0.3">
      <c r="A89" s="896"/>
      <c r="B89" s="897"/>
      <c r="C89" s="858" t="s">
        <v>2187</v>
      </c>
      <c r="D89" s="862">
        <v>30</v>
      </c>
      <c r="E89" s="862">
        <v>26</v>
      </c>
      <c r="F89" s="862">
        <v>22</v>
      </c>
      <c r="G89" s="862">
        <v>17</v>
      </c>
      <c r="H89" s="862">
        <v>13</v>
      </c>
      <c r="I89" s="862">
        <v>9</v>
      </c>
      <c r="J89" s="809">
        <v>4</v>
      </c>
      <c r="K89" s="809">
        <v>1</v>
      </c>
      <c r="L89" s="809"/>
      <c r="M89" s="809"/>
      <c r="N89" s="809"/>
      <c r="O89" s="808"/>
      <c r="P89" s="809"/>
      <c r="Q89" s="809"/>
      <c r="R89" s="811"/>
    </row>
    <row r="90" spans="1:18" ht="47.25" x14ac:dyDescent="0.25">
      <c r="A90" s="847">
        <v>13860510</v>
      </c>
      <c r="B90" s="898" t="s">
        <v>2188</v>
      </c>
      <c r="C90" s="848" t="s">
        <v>2189</v>
      </c>
      <c r="D90" s="850"/>
      <c r="E90" s="850">
        <v>539992</v>
      </c>
      <c r="F90" s="850">
        <v>720028</v>
      </c>
      <c r="G90" s="850">
        <v>720028</v>
      </c>
      <c r="H90" s="850">
        <v>720028</v>
      </c>
      <c r="I90" s="850">
        <v>720028</v>
      </c>
      <c r="J90" s="850">
        <v>720028</v>
      </c>
      <c r="K90" s="850">
        <v>720028</v>
      </c>
      <c r="L90" s="850">
        <v>720028</v>
      </c>
      <c r="M90" s="850">
        <v>720028</v>
      </c>
      <c r="N90" s="850">
        <v>720028</v>
      </c>
      <c r="O90" s="850">
        <v>720028</v>
      </c>
      <c r="P90" s="849">
        <v>720028</v>
      </c>
      <c r="Q90" s="849">
        <v>720028</v>
      </c>
      <c r="R90" s="821">
        <f>A90-SUM(D90:Q90)</f>
        <v>4680182</v>
      </c>
    </row>
    <row r="91" spans="1:18" ht="17.25" customHeight="1" thickBot="1" x14ac:dyDescent="0.3">
      <c r="A91" s="851"/>
      <c r="B91" s="899"/>
      <c r="C91" s="822" t="s">
        <v>2130</v>
      </c>
      <c r="D91" s="855">
        <v>190530</v>
      </c>
      <c r="E91" s="855">
        <v>374234</v>
      </c>
      <c r="F91" s="855">
        <v>359654</v>
      </c>
      <c r="G91" s="856">
        <v>340213</v>
      </c>
      <c r="H91" s="855">
        <v>320772</v>
      </c>
      <c r="I91" s="855">
        <v>301332</v>
      </c>
      <c r="J91" s="816">
        <v>281883</v>
      </c>
      <c r="K91" s="816">
        <v>262450</v>
      </c>
      <c r="L91" s="816">
        <v>243010</v>
      </c>
      <c r="M91" s="816">
        <v>223570</v>
      </c>
      <c r="N91" s="816">
        <v>204129</v>
      </c>
      <c r="O91" s="815">
        <v>184688</v>
      </c>
      <c r="P91" s="816">
        <v>165247</v>
      </c>
      <c r="Q91" s="816">
        <v>145806</v>
      </c>
      <c r="R91" s="817">
        <f>126365+106924+87484+68044+48603+29161</f>
        <v>466581</v>
      </c>
    </row>
    <row r="92" spans="1:18" ht="18" customHeight="1" thickBot="1" x14ac:dyDescent="0.3">
      <c r="A92" s="812">
        <v>25174</v>
      </c>
      <c r="B92" s="857" t="s">
        <v>2132</v>
      </c>
      <c r="C92" s="857" t="s">
        <v>2190</v>
      </c>
      <c r="D92" s="890">
        <v>14385</v>
      </c>
      <c r="E92" s="815">
        <v>10789</v>
      </c>
      <c r="F92" s="855"/>
      <c r="G92" s="856"/>
      <c r="H92" s="855"/>
      <c r="I92" s="855"/>
      <c r="J92" s="889"/>
      <c r="K92" s="889"/>
      <c r="L92" s="889"/>
      <c r="M92" s="889"/>
      <c r="N92" s="889"/>
      <c r="O92" s="890"/>
      <c r="P92" s="889"/>
      <c r="Q92" s="889"/>
      <c r="R92" s="891"/>
    </row>
    <row r="93" spans="1:18" ht="16.5" thickBot="1" x14ac:dyDescent="0.3">
      <c r="A93" s="900"/>
      <c r="B93" s="901"/>
      <c r="C93" s="902" t="s">
        <v>2191</v>
      </c>
      <c r="D93" s="816">
        <f t="shared" ref="D93:R93" si="13">SUM(D15:D92)</f>
        <v>6904299.5302817002</v>
      </c>
      <c r="E93" s="816">
        <f t="shared" si="13"/>
        <v>9958722.913674999</v>
      </c>
      <c r="F93" s="816">
        <f t="shared" si="13"/>
        <v>12516889.56120025</v>
      </c>
      <c r="G93" s="816">
        <f t="shared" si="13"/>
        <v>13266340.184177499</v>
      </c>
      <c r="H93" s="816">
        <f t="shared" si="13"/>
        <v>13303536.204</v>
      </c>
      <c r="I93" s="816">
        <f t="shared" si="13"/>
        <v>10912508.804</v>
      </c>
      <c r="J93" s="816">
        <f t="shared" si="13"/>
        <v>10149103.604</v>
      </c>
      <c r="K93" s="816">
        <f t="shared" si="13"/>
        <v>9491514.6319999993</v>
      </c>
      <c r="L93" s="816">
        <f t="shared" si="13"/>
        <v>9089188.7459999993</v>
      </c>
      <c r="M93" s="816">
        <f t="shared" si="13"/>
        <v>8631682.9460000005</v>
      </c>
      <c r="N93" s="816">
        <f t="shared" si="13"/>
        <v>8339296.4460000005</v>
      </c>
      <c r="O93" s="816">
        <f t="shared" si="13"/>
        <v>8020555.6459999997</v>
      </c>
      <c r="P93" s="816">
        <f t="shared" si="13"/>
        <v>6812927.0649999995</v>
      </c>
      <c r="Q93" s="816">
        <f t="shared" si="13"/>
        <v>5813174.4419999998</v>
      </c>
      <c r="R93" s="891">
        <f t="shared" si="13"/>
        <v>18964779.611000001</v>
      </c>
    </row>
    <row r="94" spans="1:18" ht="15.75" x14ac:dyDescent="0.25">
      <c r="A94" s="903"/>
      <c r="B94" s="903"/>
      <c r="C94" s="903"/>
      <c r="D94" s="904"/>
      <c r="E94" s="904"/>
      <c r="F94" s="904"/>
      <c r="G94" s="905"/>
      <c r="H94" s="906"/>
      <c r="I94" s="906"/>
      <c r="J94" s="906"/>
      <c r="K94" s="906"/>
      <c r="L94" s="906"/>
      <c r="M94" s="906"/>
      <c r="N94" s="906"/>
      <c r="O94" s="907"/>
      <c r="P94" s="907"/>
      <c r="Q94" s="907"/>
      <c r="R94" s="908"/>
    </row>
    <row r="95" spans="1:18" ht="15.75" hidden="1" x14ac:dyDescent="0.25">
      <c r="A95" s="909"/>
      <c r="B95" s="909"/>
      <c r="C95" s="910" t="s">
        <v>2192</v>
      </c>
      <c r="D95" s="905">
        <f t="shared" ref="D95:R96" si="14">SUM(D38,D40,D42,D44,D46,D48,D50,D52,D54,D56,D58,D60,D62,D64,D66,D68,D70,D72,D74,D76,D78,D80,D82)</f>
        <v>5423833</v>
      </c>
      <c r="E95" s="905">
        <f t="shared" si="14"/>
        <v>5271962</v>
      </c>
      <c r="F95" s="905">
        <f t="shared" si="14"/>
        <v>6504523</v>
      </c>
      <c r="G95" s="905">
        <f t="shared" si="14"/>
        <v>5500284</v>
      </c>
      <c r="H95" s="905">
        <f t="shared" si="14"/>
        <v>5502552</v>
      </c>
      <c r="I95" s="905">
        <f t="shared" si="14"/>
        <v>3155247</v>
      </c>
      <c r="J95" s="905">
        <f t="shared" si="14"/>
        <v>2376390</v>
      </c>
      <c r="K95" s="905">
        <f t="shared" si="14"/>
        <v>1999903.29</v>
      </c>
      <c r="L95" s="905">
        <f t="shared" si="14"/>
        <v>1876570</v>
      </c>
      <c r="M95" s="905">
        <f t="shared" si="14"/>
        <v>1550788</v>
      </c>
      <c r="N95" s="905">
        <f t="shared" si="14"/>
        <v>1453472</v>
      </c>
      <c r="O95" s="905">
        <f t="shared" si="14"/>
        <v>1324722</v>
      </c>
      <c r="P95" s="905">
        <f t="shared" si="14"/>
        <v>989888</v>
      </c>
      <c r="Q95" s="905">
        <f t="shared" si="14"/>
        <v>1038575</v>
      </c>
      <c r="R95" s="905">
        <f t="shared" si="14"/>
        <v>531200</v>
      </c>
    </row>
    <row r="96" spans="1:18" ht="15.75" hidden="1" x14ac:dyDescent="0.25">
      <c r="A96" s="909"/>
      <c r="B96" s="909"/>
      <c r="C96" s="910" t="s">
        <v>2193</v>
      </c>
      <c r="D96" s="905">
        <f t="shared" si="14"/>
        <v>1060090</v>
      </c>
      <c r="E96" s="905">
        <f t="shared" si="14"/>
        <v>988945</v>
      </c>
      <c r="F96" s="905">
        <f t="shared" si="14"/>
        <v>908268</v>
      </c>
      <c r="G96" s="905">
        <f t="shared" si="14"/>
        <v>732328</v>
      </c>
      <c r="H96" s="905">
        <f t="shared" si="14"/>
        <v>589221</v>
      </c>
      <c r="I96" s="905">
        <f t="shared" si="14"/>
        <v>447780</v>
      </c>
      <c r="J96" s="905">
        <f t="shared" si="14"/>
        <v>362587</v>
      </c>
      <c r="K96" s="905">
        <f t="shared" si="14"/>
        <v>292375</v>
      </c>
      <c r="L96" s="905">
        <f t="shared" si="14"/>
        <v>238375</v>
      </c>
      <c r="M96" s="905">
        <f t="shared" si="14"/>
        <v>185994</v>
      </c>
      <c r="N96" s="905">
        <f t="shared" si="14"/>
        <v>144122</v>
      </c>
      <c r="O96" s="905">
        <f t="shared" si="14"/>
        <v>105147</v>
      </c>
      <c r="P96" s="905">
        <f t="shared" si="14"/>
        <v>69111</v>
      </c>
      <c r="Q96" s="905">
        <f t="shared" si="14"/>
        <v>67588</v>
      </c>
      <c r="R96" s="905">
        <f t="shared" si="14"/>
        <v>19999</v>
      </c>
    </row>
    <row r="97" spans="1:18" ht="15.75" x14ac:dyDescent="0.25">
      <c r="A97" s="909"/>
      <c r="B97" s="909"/>
      <c r="C97" s="910"/>
      <c r="D97" s="910"/>
      <c r="E97" s="910"/>
      <c r="F97" s="910"/>
      <c r="G97" s="905"/>
      <c r="H97" s="910"/>
      <c r="I97" s="910"/>
      <c r="J97" s="910"/>
      <c r="K97" s="910"/>
      <c r="L97" s="910"/>
      <c r="M97" s="910"/>
      <c r="N97" s="910"/>
      <c r="O97" s="910"/>
      <c r="P97" s="910"/>
      <c r="Q97" s="910"/>
      <c r="R97" s="903"/>
    </row>
    <row r="98" spans="1:18" ht="15.75" x14ac:dyDescent="0.25">
      <c r="A98" s="909"/>
      <c r="B98" s="909"/>
      <c r="C98" s="910"/>
      <c r="D98" s="910"/>
      <c r="E98" s="910"/>
      <c r="F98" s="910"/>
      <c r="G98" s="905"/>
      <c r="H98" s="910"/>
      <c r="I98" s="910"/>
      <c r="J98" s="910"/>
      <c r="K98" s="910"/>
      <c r="L98" s="910"/>
      <c r="M98" s="910"/>
      <c r="N98" s="910"/>
      <c r="O98" s="910"/>
      <c r="P98" s="910"/>
      <c r="Q98" s="910"/>
      <c r="R98" s="903"/>
    </row>
    <row r="99" spans="1:18" ht="15.75" x14ac:dyDescent="0.25">
      <c r="A99" s="909"/>
      <c r="B99" s="909"/>
      <c r="C99" s="903"/>
      <c r="D99" s="910"/>
      <c r="E99" s="910"/>
      <c r="F99" s="910"/>
      <c r="G99" s="905"/>
      <c r="H99" s="910"/>
      <c r="I99" s="910"/>
      <c r="J99" s="910"/>
      <c r="K99" s="910"/>
      <c r="L99" s="910"/>
      <c r="M99" s="910"/>
      <c r="N99" s="910"/>
      <c r="O99" s="910"/>
      <c r="P99" s="910"/>
      <c r="Q99" s="910"/>
      <c r="R99" s="903"/>
    </row>
    <row r="100" spans="1:18" x14ac:dyDescent="0.2">
      <c r="A100" s="909"/>
      <c r="B100" s="909"/>
      <c r="C100" s="909"/>
      <c r="D100" s="911"/>
      <c r="E100" s="911"/>
      <c r="F100" s="911"/>
      <c r="G100" s="912"/>
      <c r="H100" s="911"/>
      <c r="I100" s="911"/>
      <c r="J100" s="911"/>
      <c r="K100" s="911"/>
      <c r="L100" s="911"/>
      <c r="M100" s="911"/>
      <c r="N100" s="911"/>
      <c r="O100" s="911"/>
      <c r="P100" s="911"/>
      <c r="Q100" s="911"/>
      <c r="R100" s="913"/>
    </row>
    <row r="102" spans="1:18" x14ac:dyDescent="0.2">
      <c r="D102" s="914"/>
      <c r="E102" s="914"/>
      <c r="F102" s="914"/>
      <c r="G102" s="914"/>
      <c r="H102" s="914"/>
      <c r="I102" s="914"/>
      <c r="J102" s="914"/>
      <c r="K102" s="914"/>
      <c r="L102" s="914"/>
      <c r="M102" s="914"/>
      <c r="N102" s="914"/>
      <c r="O102" s="914"/>
      <c r="P102" s="914"/>
      <c r="Q102" s="914"/>
      <c r="R102" s="914"/>
    </row>
    <row r="103" spans="1:18" x14ac:dyDescent="0.2">
      <c r="D103" s="915"/>
      <c r="E103" s="915"/>
      <c r="F103" s="915"/>
      <c r="G103" s="915"/>
      <c r="H103" s="914"/>
      <c r="I103" s="915"/>
      <c r="J103" s="915"/>
      <c r="K103" s="915"/>
      <c r="L103" s="915"/>
      <c r="M103" s="915"/>
      <c r="N103" s="915"/>
      <c r="O103" s="915"/>
      <c r="P103" s="915"/>
      <c r="Q103" s="915"/>
      <c r="R103" s="915"/>
    </row>
    <row r="104" spans="1:18" x14ac:dyDescent="0.2">
      <c r="D104" s="914"/>
      <c r="E104" s="914"/>
      <c r="F104" s="914"/>
      <c r="G104" s="914"/>
      <c r="H104" s="914"/>
      <c r="I104" s="914"/>
      <c r="J104" s="914"/>
      <c r="K104" s="914"/>
      <c r="L104" s="914"/>
      <c r="M104" s="914"/>
      <c r="N104" s="914"/>
      <c r="O104" s="914"/>
      <c r="P104" s="914"/>
      <c r="Q104" s="914"/>
      <c r="R104" s="914"/>
    </row>
    <row r="105" spans="1:18" x14ac:dyDescent="0.2">
      <c r="D105" s="915"/>
      <c r="E105" s="915"/>
      <c r="F105" s="915"/>
      <c r="G105" s="915"/>
      <c r="H105" s="915"/>
      <c r="I105" s="916"/>
      <c r="J105" s="915"/>
      <c r="K105" s="915"/>
      <c r="L105" s="915"/>
      <c r="M105" s="915"/>
      <c r="N105" s="915"/>
      <c r="O105" s="915"/>
      <c r="P105" s="915"/>
      <c r="Q105" s="915"/>
      <c r="R105" s="915"/>
    </row>
    <row r="106" spans="1:18" x14ac:dyDescent="0.2">
      <c r="D106" s="914"/>
      <c r="E106" s="914"/>
      <c r="F106" s="914"/>
      <c r="G106" s="914"/>
      <c r="H106" s="914"/>
      <c r="I106" s="914"/>
      <c r="J106" s="914"/>
      <c r="K106" s="914"/>
      <c r="L106" s="914"/>
      <c r="M106" s="914"/>
      <c r="N106" s="914"/>
      <c r="O106" s="914"/>
      <c r="P106" s="914"/>
      <c r="Q106" s="914"/>
      <c r="R106" s="914"/>
    </row>
    <row r="107" spans="1:18" x14ac:dyDescent="0.2">
      <c r="I107" s="917"/>
    </row>
    <row r="108" spans="1:18" x14ac:dyDescent="0.2">
      <c r="I108" s="917"/>
    </row>
    <row r="109" spans="1:18" x14ac:dyDescent="0.2">
      <c r="I109" s="917"/>
    </row>
    <row r="110" spans="1:18" x14ac:dyDescent="0.2">
      <c r="I110" s="917"/>
    </row>
    <row r="111" spans="1:18" x14ac:dyDescent="0.2">
      <c r="I111" s="917"/>
    </row>
    <row r="112" spans="1:18" x14ac:dyDescent="0.2">
      <c r="I112" s="917"/>
    </row>
    <row r="113" spans="9:9" x14ac:dyDescent="0.2">
      <c r="I113" s="917"/>
    </row>
  </sheetData>
  <sheetProtection algorithmName="SHA-512" hashValue="WK+wue1Cl1ogvXNu3w2e2qMtSTgkv1El8+RvwAP1F8aA3Ichh2sp/5SOpPoS1q+QkmSmVXe8VrJZgLfbJ/iWtQ==" saltValue="06KKnBIYPHeyp+tc62Q3CQ==" spinCount="100000" sheet="1" objects="1" scenarios="1"/>
  <mergeCells count="3">
    <mergeCell ref="A3:R3"/>
    <mergeCell ref="C9:C10"/>
    <mergeCell ref="C11:C12"/>
  </mergeCells>
  <printOptions horizontalCentered="1"/>
  <pageMargins left="0.19685039370078741" right="0.19685039370078741" top="0.59055118110236227" bottom="0.39370078740157483" header="0.23622047244094491" footer="0.23622047244094491"/>
  <pageSetup paperSize="9" scale="50" orientation="landscape" r:id="rId1"/>
  <headerFooter>
    <oddHeader xml:space="preserve">&amp;R&amp;"Times New Roman,Regular"&amp;10
20.pielikums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1"/>
  <sheetViews>
    <sheetView view="pageLayout" zoomScaleNormal="100" workbookViewId="0">
      <selection activeCell="L1" sqref="L1"/>
    </sheetView>
  </sheetViews>
  <sheetFormatPr defaultRowHeight="12" x14ac:dyDescent="0.25"/>
  <cols>
    <col min="1" max="1" width="6.140625" style="274" customWidth="1"/>
    <col min="2" max="2" width="17.28515625" style="274" customWidth="1"/>
    <col min="3" max="3" width="15.28515625" style="274" customWidth="1"/>
    <col min="4" max="4" width="11.85546875" style="274" hidden="1" customWidth="1"/>
    <col min="5" max="5" width="11.140625" style="274" hidden="1" customWidth="1"/>
    <col min="6" max="6" width="10.28515625" style="274" hidden="1" customWidth="1"/>
    <col min="7" max="7" width="10.5703125" style="274" customWidth="1"/>
    <col min="8" max="8" width="9.7109375" style="274" customWidth="1"/>
    <col min="9" max="9" width="19.28515625" style="274" customWidth="1"/>
    <col min="10" max="10" width="28.7109375" style="274" hidden="1" customWidth="1"/>
    <col min="11" max="256" width="9.140625" style="274"/>
    <col min="257" max="257" width="6.140625" style="274" customWidth="1"/>
    <col min="258" max="258" width="17.28515625" style="274" customWidth="1"/>
    <col min="259" max="259" width="15.28515625" style="274" customWidth="1"/>
    <col min="260" max="260" width="11.85546875" style="274" customWidth="1"/>
    <col min="261" max="261" width="11.140625" style="274" customWidth="1"/>
    <col min="262" max="262" width="10.28515625" style="274" customWidth="1"/>
    <col min="263" max="263" width="10.5703125" style="274" customWidth="1"/>
    <col min="264" max="264" width="9.7109375" style="274" customWidth="1"/>
    <col min="265" max="265" width="21" style="274" customWidth="1"/>
    <col min="266" max="266" width="28.7109375" style="274" customWidth="1"/>
    <col min="267" max="512" width="9.140625" style="274"/>
    <col min="513" max="513" width="6.140625" style="274" customWidth="1"/>
    <col min="514" max="514" width="17.28515625" style="274" customWidth="1"/>
    <col min="515" max="515" width="15.28515625" style="274" customWidth="1"/>
    <col min="516" max="516" width="11.85546875" style="274" customWidth="1"/>
    <col min="517" max="517" width="11.140625" style="274" customWidth="1"/>
    <col min="518" max="518" width="10.28515625" style="274" customWidth="1"/>
    <col min="519" max="519" width="10.5703125" style="274" customWidth="1"/>
    <col min="520" max="520" width="9.7109375" style="274" customWidth="1"/>
    <col min="521" max="521" width="21" style="274" customWidth="1"/>
    <col min="522" max="522" width="28.7109375" style="274" customWidth="1"/>
    <col min="523" max="768" width="9.140625" style="274"/>
    <col min="769" max="769" width="6.140625" style="274" customWidth="1"/>
    <col min="770" max="770" width="17.28515625" style="274" customWidth="1"/>
    <col min="771" max="771" width="15.28515625" style="274" customWidth="1"/>
    <col min="772" max="772" width="11.85546875" style="274" customWidth="1"/>
    <col min="773" max="773" width="11.140625" style="274" customWidth="1"/>
    <col min="774" max="774" width="10.28515625" style="274" customWidth="1"/>
    <col min="775" max="775" width="10.5703125" style="274" customWidth="1"/>
    <col min="776" max="776" width="9.7109375" style="274" customWidth="1"/>
    <col min="777" max="777" width="21" style="274" customWidth="1"/>
    <col min="778" max="778" width="28.7109375" style="274" customWidth="1"/>
    <col min="779" max="1024" width="9.140625" style="274"/>
    <col min="1025" max="1025" width="6.140625" style="274" customWidth="1"/>
    <col min="1026" max="1026" width="17.28515625" style="274" customWidth="1"/>
    <col min="1027" max="1027" width="15.28515625" style="274" customWidth="1"/>
    <col min="1028" max="1028" width="11.85546875" style="274" customWidth="1"/>
    <col min="1029" max="1029" width="11.140625" style="274" customWidth="1"/>
    <col min="1030" max="1030" width="10.28515625" style="274" customWidth="1"/>
    <col min="1031" max="1031" width="10.5703125" style="274" customWidth="1"/>
    <col min="1032" max="1032" width="9.7109375" style="274" customWidth="1"/>
    <col min="1033" max="1033" width="21" style="274" customWidth="1"/>
    <col min="1034" max="1034" width="28.7109375" style="274" customWidth="1"/>
    <col min="1035" max="1280" width="9.140625" style="274"/>
    <col min="1281" max="1281" width="6.140625" style="274" customWidth="1"/>
    <col min="1282" max="1282" width="17.28515625" style="274" customWidth="1"/>
    <col min="1283" max="1283" width="15.28515625" style="274" customWidth="1"/>
    <col min="1284" max="1284" width="11.85546875" style="274" customWidth="1"/>
    <col min="1285" max="1285" width="11.140625" style="274" customWidth="1"/>
    <col min="1286" max="1286" width="10.28515625" style="274" customWidth="1"/>
    <col min="1287" max="1287" width="10.5703125" style="274" customWidth="1"/>
    <col min="1288" max="1288" width="9.7109375" style="274" customWidth="1"/>
    <col min="1289" max="1289" width="21" style="274" customWidth="1"/>
    <col min="1290" max="1290" width="28.7109375" style="274" customWidth="1"/>
    <col min="1291" max="1536" width="9.140625" style="274"/>
    <col min="1537" max="1537" width="6.140625" style="274" customWidth="1"/>
    <col min="1538" max="1538" width="17.28515625" style="274" customWidth="1"/>
    <col min="1539" max="1539" width="15.28515625" style="274" customWidth="1"/>
    <col min="1540" max="1540" width="11.85546875" style="274" customWidth="1"/>
    <col min="1541" max="1541" width="11.140625" style="274" customWidth="1"/>
    <col min="1542" max="1542" width="10.28515625" style="274" customWidth="1"/>
    <col min="1543" max="1543" width="10.5703125" style="274" customWidth="1"/>
    <col min="1544" max="1544" width="9.7109375" style="274" customWidth="1"/>
    <col min="1545" max="1545" width="21" style="274" customWidth="1"/>
    <col min="1546" max="1546" width="28.7109375" style="274" customWidth="1"/>
    <col min="1547" max="1792" width="9.140625" style="274"/>
    <col min="1793" max="1793" width="6.140625" style="274" customWidth="1"/>
    <col min="1794" max="1794" width="17.28515625" style="274" customWidth="1"/>
    <col min="1795" max="1795" width="15.28515625" style="274" customWidth="1"/>
    <col min="1796" max="1796" width="11.85546875" style="274" customWidth="1"/>
    <col min="1797" max="1797" width="11.140625" style="274" customWidth="1"/>
    <col min="1798" max="1798" width="10.28515625" style="274" customWidth="1"/>
    <col min="1799" max="1799" width="10.5703125" style="274" customWidth="1"/>
    <col min="1800" max="1800" width="9.7109375" style="274" customWidth="1"/>
    <col min="1801" max="1801" width="21" style="274" customWidth="1"/>
    <col min="1802" max="1802" width="28.7109375" style="274" customWidth="1"/>
    <col min="1803" max="2048" width="9.140625" style="274"/>
    <col min="2049" max="2049" width="6.140625" style="274" customWidth="1"/>
    <col min="2050" max="2050" width="17.28515625" style="274" customWidth="1"/>
    <col min="2051" max="2051" width="15.28515625" style="274" customWidth="1"/>
    <col min="2052" max="2052" width="11.85546875" style="274" customWidth="1"/>
    <col min="2053" max="2053" width="11.140625" style="274" customWidth="1"/>
    <col min="2054" max="2054" width="10.28515625" style="274" customWidth="1"/>
    <col min="2055" max="2055" width="10.5703125" style="274" customWidth="1"/>
    <col min="2056" max="2056" width="9.7109375" style="274" customWidth="1"/>
    <col min="2057" max="2057" width="21" style="274" customWidth="1"/>
    <col min="2058" max="2058" width="28.7109375" style="274" customWidth="1"/>
    <col min="2059" max="2304" width="9.140625" style="274"/>
    <col min="2305" max="2305" width="6.140625" style="274" customWidth="1"/>
    <col min="2306" max="2306" width="17.28515625" style="274" customWidth="1"/>
    <col min="2307" max="2307" width="15.28515625" style="274" customWidth="1"/>
    <col min="2308" max="2308" width="11.85546875" style="274" customWidth="1"/>
    <col min="2309" max="2309" width="11.140625" style="274" customWidth="1"/>
    <col min="2310" max="2310" width="10.28515625" style="274" customWidth="1"/>
    <col min="2311" max="2311" width="10.5703125" style="274" customWidth="1"/>
    <col min="2312" max="2312" width="9.7109375" style="274" customWidth="1"/>
    <col min="2313" max="2313" width="21" style="274" customWidth="1"/>
    <col min="2314" max="2314" width="28.7109375" style="274" customWidth="1"/>
    <col min="2315" max="2560" width="9.140625" style="274"/>
    <col min="2561" max="2561" width="6.140625" style="274" customWidth="1"/>
    <col min="2562" max="2562" width="17.28515625" style="274" customWidth="1"/>
    <col min="2563" max="2563" width="15.28515625" style="274" customWidth="1"/>
    <col min="2564" max="2564" width="11.85546875" style="274" customWidth="1"/>
    <col min="2565" max="2565" width="11.140625" style="274" customWidth="1"/>
    <col min="2566" max="2566" width="10.28515625" style="274" customWidth="1"/>
    <col min="2567" max="2567" width="10.5703125" style="274" customWidth="1"/>
    <col min="2568" max="2568" width="9.7109375" style="274" customWidth="1"/>
    <col min="2569" max="2569" width="21" style="274" customWidth="1"/>
    <col min="2570" max="2570" width="28.7109375" style="274" customWidth="1"/>
    <col min="2571" max="2816" width="9.140625" style="274"/>
    <col min="2817" max="2817" width="6.140625" style="274" customWidth="1"/>
    <col min="2818" max="2818" width="17.28515625" style="274" customWidth="1"/>
    <col min="2819" max="2819" width="15.28515625" style="274" customWidth="1"/>
    <col min="2820" max="2820" width="11.85546875" style="274" customWidth="1"/>
    <col min="2821" max="2821" width="11.140625" style="274" customWidth="1"/>
    <col min="2822" max="2822" width="10.28515625" style="274" customWidth="1"/>
    <col min="2823" max="2823" width="10.5703125" style="274" customWidth="1"/>
    <col min="2824" max="2824" width="9.7109375" style="274" customWidth="1"/>
    <col min="2825" max="2825" width="21" style="274" customWidth="1"/>
    <col min="2826" max="2826" width="28.7109375" style="274" customWidth="1"/>
    <col min="2827" max="3072" width="9.140625" style="274"/>
    <col min="3073" max="3073" width="6.140625" style="274" customWidth="1"/>
    <col min="3074" max="3074" width="17.28515625" style="274" customWidth="1"/>
    <col min="3075" max="3075" width="15.28515625" style="274" customWidth="1"/>
    <col min="3076" max="3076" width="11.85546875" style="274" customWidth="1"/>
    <col min="3077" max="3077" width="11.140625" style="274" customWidth="1"/>
    <col min="3078" max="3078" width="10.28515625" style="274" customWidth="1"/>
    <col min="3079" max="3079" width="10.5703125" style="274" customWidth="1"/>
    <col min="3080" max="3080" width="9.7109375" style="274" customWidth="1"/>
    <col min="3081" max="3081" width="21" style="274" customWidth="1"/>
    <col min="3082" max="3082" width="28.7109375" style="274" customWidth="1"/>
    <col min="3083" max="3328" width="9.140625" style="274"/>
    <col min="3329" max="3329" width="6.140625" style="274" customWidth="1"/>
    <col min="3330" max="3330" width="17.28515625" style="274" customWidth="1"/>
    <col min="3331" max="3331" width="15.28515625" style="274" customWidth="1"/>
    <col min="3332" max="3332" width="11.85546875" style="274" customWidth="1"/>
    <col min="3333" max="3333" width="11.140625" style="274" customWidth="1"/>
    <col min="3334" max="3334" width="10.28515625" style="274" customWidth="1"/>
    <col min="3335" max="3335" width="10.5703125" style="274" customWidth="1"/>
    <col min="3336" max="3336" width="9.7109375" style="274" customWidth="1"/>
    <col min="3337" max="3337" width="21" style="274" customWidth="1"/>
    <col min="3338" max="3338" width="28.7109375" style="274" customWidth="1"/>
    <col min="3339" max="3584" width="9.140625" style="274"/>
    <col min="3585" max="3585" width="6.140625" style="274" customWidth="1"/>
    <col min="3586" max="3586" width="17.28515625" style="274" customWidth="1"/>
    <col min="3587" max="3587" width="15.28515625" style="274" customWidth="1"/>
    <col min="3588" max="3588" width="11.85546875" style="274" customWidth="1"/>
    <col min="3589" max="3589" width="11.140625" style="274" customWidth="1"/>
    <col min="3590" max="3590" width="10.28515625" style="274" customWidth="1"/>
    <col min="3591" max="3591" width="10.5703125" style="274" customWidth="1"/>
    <col min="3592" max="3592" width="9.7109375" style="274" customWidth="1"/>
    <col min="3593" max="3593" width="21" style="274" customWidth="1"/>
    <col min="3594" max="3594" width="28.7109375" style="274" customWidth="1"/>
    <col min="3595" max="3840" width="9.140625" style="274"/>
    <col min="3841" max="3841" width="6.140625" style="274" customWidth="1"/>
    <col min="3842" max="3842" width="17.28515625" style="274" customWidth="1"/>
    <col min="3843" max="3843" width="15.28515625" style="274" customWidth="1"/>
    <col min="3844" max="3844" width="11.85546875" style="274" customWidth="1"/>
    <col min="3845" max="3845" width="11.140625" style="274" customWidth="1"/>
    <col min="3846" max="3846" width="10.28515625" style="274" customWidth="1"/>
    <col min="3847" max="3847" width="10.5703125" style="274" customWidth="1"/>
    <col min="3848" max="3848" width="9.7109375" style="274" customWidth="1"/>
    <col min="3849" max="3849" width="21" style="274" customWidth="1"/>
    <col min="3850" max="3850" width="28.7109375" style="274" customWidth="1"/>
    <col min="3851" max="4096" width="9.140625" style="274"/>
    <col min="4097" max="4097" width="6.140625" style="274" customWidth="1"/>
    <col min="4098" max="4098" width="17.28515625" style="274" customWidth="1"/>
    <col min="4099" max="4099" width="15.28515625" style="274" customWidth="1"/>
    <col min="4100" max="4100" width="11.85546875" style="274" customWidth="1"/>
    <col min="4101" max="4101" width="11.140625" style="274" customWidth="1"/>
    <col min="4102" max="4102" width="10.28515625" style="274" customWidth="1"/>
    <col min="4103" max="4103" width="10.5703125" style="274" customWidth="1"/>
    <col min="4104" max="4104" width="9.7109375" style="274" customWidth="1"/>
    <col min="4105" max="4105" width="21" style="274" customWidth="1"/>
    <col min="4106" max="4106" width="28.7109375" style="274" customWidth="1"/>
    <col min="4107" max="4352" width="9.140625" style="274"/>
    <col min="4353" max="4353" width="6.140625" style="274" customWidth="1"/>
    <col min="4354" max="4354" width="17.28515625" style="274" customWidth="1"/>
    <col min="4355" max="4355" width="15.28515625" style="274" customWidth="1"/>
    <col min="4356" max="4356" width="11.85546875" style="274" customWidth="1"/>
    <col min="4357" max="4357" width="11.140625" style="274" customWidth="1"/>
    <col min="4358" max="4358" width="10.28515625" style="274" customWidth="1"/>
    <col min="4359" max="4359" width="10.5703125" style="274" customWidth="1"/>
    <col min="4360" max="4360" width="9.7109375" style="274" customWidth="1"/>
    <col min="4361" max="4361" width="21" style="274" customWidth="1"/>
    <col min="4362" max="4362" width="28.7109375" style="274" customWidth="1"/>
    <col min="4363" max="4608" width="9.140625" style="274"/>
    <col min="4609" max="4609" width="6.140625" style="274" customWidth="1"/>
    <col min="4610" max="4610" width="17.28515625" style="274" customWidth="1"/>
    <col min="4611" max="4611" width="15.28515625" style="274" customWidth="1"/>
    <col min="4612" max="4612" width="11.85546875" style="274" customWidth="1"/>
    <col min="4613" max="4613" width="11.140625" style="274" customWidth="1"/>
    <col min="4614" max="4614" width="10.28515625" style="274" customWidth="1"/>
    <col min="4615" max="4615" width="10.5703125" style="274" customWidth="1"/>
    <col min="4616" max="4616" width="9.7109375" style="274" customWidth="1"/>
    <col min="4617" max="4617" width="21" style="274" customWidth="1"/>
    <col min="4618" max="4618" width="28.7109375" style="274" customWidth="1"/>
    <col min="4619" max="4864" width="9.140625" style="274"/>
    <col min="4865" max="4865" width="6.140625" style="274" customWidth="1"/>
    <col min="4866" max="4866" width="17.28515625" style="274" customWidth="1"/>
    <col min="4867" max="4867" width="15.28515625" style="274" customWidth="1"/>
    <col min="4868" max="4868" width="11.85546875" style="274" customWidth="1"/>
    <col min="4869" max="4869" width="11.140625" style="274" customWidth="1"/>
    <col min="4870" max="4870" width="10.28515625" style="274" customWidth="1"/>
    <col min="4871" max="4871" width="10.5703125" style="274" customWidth="1"/>
    <col min="4872" max="4872" width="9.7109375" style="274" customWidth="1"/>
    <col min="4873" max="4873" width="21" style="274" customWidth="1"/>
    <col min="4874" max="4874" width="28.7109375" style="274" customWidth="1"/>
    <col min="4875" max="5120" width="9.140625" style="274"/>
    <col min="5121" max="5121" width="6.140625" style="274" customWidth="1"/>
    <col min="5122" max="5122" width="17.28515625" style="274" customWidth="1"/>
    <col min="5123" max="5123" width="15.28515625" style="274" customWidth="1"/>
    <col min="5124" max="5124" width="11.85546875" style="274" customWidth="1"/>
    <col min="5125" max="5125" width="11.140625" style="274" customWidth="1"/>
    <col min="5126" max="5126" width="10.28515625" style="274" customWidth="1"/>
    <col min="5127" max="5127" width="10.5703125" style="274" customWidth="1"/>
    <col min="5128" max="5128" width="9.7109375" style="274" customWidth="1"/>
    <col min="5129" max="5129" width="21" style="274" customWidth="1"/>
    <col min="5130" max="5130" width="28.7109375" style="274" customWidth="1"/>
    <col min="5131" max="5376" width="9.140625" style="274"/>
    <col min="5377" max="5377" width="6.140625" style="274" customWidth="1"/>
    <col min="5378" max="5378" width="17.28515625" style="274" customWidth="1"/>
    <col min="5379" max="5379" width="15.28515625" style="274" customWidth="1"/>
    <col min="5380" max="5380" width="11.85546875" style="274" customWidth="1"/>
    <col min="5381" max="5381" width="11.140625" style="274" customWidth="1"/>
    <col min="5382" max="5382" width="10.28515625" style="274" customWidth="1"/>
    <col min="5383" max="5383" width="10.5703125" style="274" customWidth="1"/>
    <col min="5384" max="5384" width="9.7109375" style="274" customWidth="1"/>
    <col min="5385" max="5385" width="21" style="274" customWidth="1"/>
    <col min="5386" max="5386" width="28.7109375" style="274" customWidth="1"/>
    <col min="5387" max="5632" width="9.140625" style="274"/>
    <col min="5633" max="5633" width="6.140625" style="274" customWidth="1"/>
    <col min="5634" max="5634" width="17.28515625" style="274" customWidth="1"/>
    <col min="5635" max="5635" width="15.28515625" style="274" customWidth="1"/>
    <col min="5636" max="5636" width="11.85546875" style="274" customWidth="1"/>
    <col min="5637" max="5637" width="11.140625" style="274" customWidth="1"/>
    <col min="5638" max="5638" width="10.28515625" style="274" customWidth="1"/>
    <col min="5639" max="5639" width="10.5703125" style="274" customWidth="1"/>
    <col min="5640" max="5640" width="9.7109375" style="274" customWidth="1"/>
    <col min="5641" max="5641" width="21" style="274" customWidth="1"/>
    <col min="5642" max="5642" width="28.7109375" style="274" customWidth="1"/>
    <col min="5643" max="5888" width="9.140625" style="274"/>
    <col min="5889" max="5889" width="6.140625" style="274" customWidth="1"/>
    <col min="5890" max="5890" width="17.28515625" style="274" customWidth="1"/>
    <col min="5891" max="5891" width="15.28515625" style="274" customWidth="1"/>
    <col min="5892" max="5892" width="11.85546875" style="274" customWidth="1"/>
    <col min="5893" max="5893" width="11.140625" style="274" customWidth="1"/>
    <col min="5894" max="5894" width="10.28515625" style="274" customWidth="1"/>
    <col min="5895" max="5895" width="10.5703125" style="274" customWidth="1"/>
    <col min="5896" max="5896" width="9.7109375" style="274" customWidth="1"/>
    <col min="5897" max="5897" width="21" style="274" customWidth="1"/>
    <col min="5898" max="5898" width="28.7109375" style="274" customWidth="1"/>
    <col min="5899" max="6144" width="9.140625" style="274"/>
    <col min="6145" max="6145" width="6.140625" style="274" customWidth="1"/>
    <col min="6146" max="6146" width="17.28515625" style="274" customWidth="1"/>
    <col min="6147" max="6147" width="15.28515625" style="274" customWidth="1"/>
    <col min="6148" max="6148" width="11.85546875" style="274" customWidth="1"/>
    <col min="6149" max="6149" width="11.140625" style="274" customWidth="1"/>
    <col min="6150" max="6150" width="10.28515625" style="274" customWidth="1"/>
    <col min="6151" max="6151" width="10.5703125" style="274" customWidth="1"/>
    <col min="6152" max="6152" width="9.7109375" style="274" customWidth="1"/>
    <col min="6153" max="6153" width="21" style="274" customWidth="1"/>
    <col min="6154" max="6154" width="28.7109375" style="274" customWidth="1"/>
    <col min="6155" max="6400" width="9.140625" style="274"/>
    <col min="6401" max="6401" width="6.140625" style="274" customWidth="1"/>
    <col min="6402" max="6402" width="17.28515625" style="274" customWidth="1"/>
    <col min="6403" max="6403" width="15.28515625" style="274" customWidth="1"/>
    <col min="6404" max="6404" width="11.85546875" style="274" customWidth="1"/>
    <col min="6405" max="6405" width="11.140625" style="274" customWidth="1"/>
    <col min="6406" max="6406" width="10.28515625" style="274" customWidth="1"/>
    <col min="6407" max="6407" width="10.5703125" style="274" customWidth="1"/>
    <col min="6408" max="6408" width="9.7109375" style="274" customWidth="1"/>
    <col min="6409" max="6409" width="21" style="274" customWidth="1"/>
    <col min="6410" max="6410" width="28.7109375" style="274" customWidth="1"/>
    <col min="6411" max="6656" width="9.140625" style="274"/>
    <col min="6657" max="6657" width="6.140625" style="274" customWidth="1"/>
    <col min="6658" max="6658" width="17.28515625" style="274" customWidth="1"/>
    <col min="6659" max="6659" width="15.28515625" style="274" customWidth="1"/>
    <col min="6660" max="6660" width="11.85546875" style="274" customWidth="1"/>
    <col min="6661" max="6661" width="11.140625" style="274" customWidth="1"/>
    <col min="6662" max="6662" width="10.28515625" style="274" customWidth="1"/>
    <col min="6663" max="6663" width="10.5703125" style="274" customWidth="1"/>
    <col min="6664" max="6664" width="9.7109375" style="274" customWidth="1"/>
    <col min="6665" max="6665" width="21" style="274" customWidth="1"/>
    <col min="6666" max="6666" width="28.7109375" style="274" customWidth="1"/>
    <col min="6667" max="6912" width="9.140625" style="274"/>
    <col min="6913" max="6913" width="6.140625" style="274" customWidth="1"/>
    <col min="6914" max="6914" width="17.28515625" style="274" customWidth="1"/>
    <col min="6915" max="6915" width="15.28515625" style="274" customWidth="1"/>
    <col min="6916" max="6916" width="11.85546875" style="274" customWidth="1"/>
    <col min="6917" max="6917" width="11.140625" style="274" customWidth="1"/>
    <col min="6918" max="6918" width="10.28515625" style="274" customWidth="1"/>
    <col min="6919" max="6919" width="10.5703125" style="274" customWidth="1"/>
    <col min="6920" max="6920" width="9.7109375" style="274" customWidth="1"/>
    <col min="6921" max="6921" width="21" style="274" customWidth="1"/>
    <col min="6922" max="6922" width="28.7109375" style="274" customWidth="1"/>
    <col min="6923" max="7168" width="9.140625" style="274"/>
    <col min="7169" max="7169" width="6.140625" style="274" customWidth="1"/>
    <col min="7170" max="7170" width="17.28515625" style="274" customWidth="1"/>
    <col min="7171" max="7171" width="15.28515625" style="274" customWidth="1"/>
    <col min="7172" max="7172" width="11.85546875" style="274" customWidth="1"/>
    <col min="7173" max="7173" width="11.140625" style="274" customWidth="1"/>
    <col min="7174" max="7174" width="10.28515625" style="274" customWidth="1"/>
    <col min="7175" max="7175" width="10.5703125" style="274" customWidth="1"/>
    <col min="7176" max="7176" width="9.7109375" style="274" customWidth="1"/>
    <col min="7177" max="7177" width="21" style="274" customWidth="1"/>
    <col min="7178" max="7178" width="28.7109375" style="274" customWidth="1"/>
    <col min="7179" max="7424" width="9.140625" style="274"/>
    <col min="7425" max="7425" width="6.140625" style="274" customWidth="1"/>
    <col min="7426" max="7426" width="17.28515625" style="274" customWidth="1"/>
    <col min="7427" max="7427" width="15.28515625" style="274" customWidth="1"/>
    <col min="7428" max="7428" width="11.85546875" style="274" customWidth="1"/>
    <col min="7429" max="7429" width="11.140625" style="274" customWidth="1"/>
    <col min="7430" max="7430" width="10.28515625" style="274" customWidth="1"/>
    <col min="7431" max="7431" width="10.5703125" style="274" customWidth="1"/>
    <col min="7432" max="7432" width="9.7109375" style="274" customWidth="1"/>
    <col min="7433" max="7433" width="21" style="274" customWidth="1"/>
    <col min="7434" max="7434" width="28.7109375" style="274" customWidth="1"/>
    <col min="7435" max="7680" width="9.140625" style="274"/>
    <col min="7681" max="7681" width="6.140625" style="274" customWidth="1"/>
    <col min="7682" max="7682" width="17.28515625" style="274" customWidth="1"/>
    <col min="7683" max="7683" width="15.28515625" style="274" customWidth="1"/>
    <col min="7684" max="7684" width="11.85546875" style="274" customWidth="1"/>
    <col min="7685" max="7685" width="11.140625" style="274" customWidth="1"/>
    <col min="7686" max="7686" width="10.28515625" style="274" customWidth="1"/>
    <col min="7687" max="7687" width="10.5703125" style="274" customWidth="1"/>
    <col min="7688" max="7688" width="9.7109375" style="274" customWidth="1"/>
    <col min="7689" max="7689" width="21" style="274" customWidth="1"/>
    <col min="7690" max="7690" width="28.7109375" style="274" customWidth="1"/>
    <col min="7691" max="7936" width="9.140625" style="274"/>
    <col min="7937" max="7937" width="6.140625" style="274" customWidth="1"/>
    <col min="7938" max="7938" width="17.28515625" style="274" customWidth="1"/>
    <col min="7939" max="7939" width="15.28515625" style="274" customWidth="1"/>
    <col min="7940" max="7940" width="11.85546875" style="274" customWidth="1"/>
    <col min="7941" max="7941" width="11.140625" style="274" customWidth="1"/>
    <col min="7942" max="7942" width="10.28515625" style="274" customWidth="1"/>
    <col min="7943" max="7943" width="10.5703125" style="274" customWidth="1"/>
    <col min="7944" max="7944" width="9.7109375" style="274" customWidth="1"/>
    <col min="7945" max="7945" width="21" style="274" customWidth="1"/>
    <col min="7946" max="7946" width="28.7109375" style="274" customWidth="1"/>
    <col min="7947" max="8192" width="9.140625" style="274"/>
    <col min="8193" max="8193" width="6.140625" style="274" customWidth="1"/>
    <col min="8194" max="8194" width="17.28515625" style="274" customWidth="1"/>
    <col min="8195" max="8195" width="15.28515625" style="274" customWidth="1"/>
    <col min="8196" max="8196" width="11.85546875" style="274" customWidth="1"/>
    <col min="8197" max="8197" width="11.140625" style="274" customWidth="1"/>
    <col min="8198" max="8198" width="10.28515625" style="274" customWidth="1"/>
    <col min="8199" max="8199" width="10.5703125" style="274" customWidth="1"/>
    <col min="8200" max="8200" width="9.7109375" style="274" customWidth="1"/>
    <col min="8201" max="8201" width="21" style="274" customWidth="1"/>
    <col min="8202" max="8202" width="28.7109375" style="274" customWidth="1"/>
    <col min="8203" max="8448" width="9.140625" style="274"/>
    <col min="8449" max="8449" width="6.140625" style="274" customWidth="1"/>
    <col min="8450" max="8450" width="17.28515625" style="274" customWidth="1"/>
    <col min="8451" max="8451" width="15.28515625" style="274" customWidth="1"/>
    <col min="8452" max="8452" width="11.85546875" style="274" customWidth="1"/>
    <col min="8453" max="8453" width="11.140625" style="274" customWidth="1"/>
    <col min="8454" max="8454" width="10.28515625" style="274" customWidth="1"/>
    <col min="8455" max="8455" width="10.5703125" style="274" customWidth="1"/>
    <col min="8456" max="8456" width="9.7109375" style="274" customWidth="1"/>
    <col min="8457" max="8457" width="21" style="274" customWidth="1"/>
    <col min="8458" max="8458" width="28.7109375" style="274" customWidth="1"/>
    <col min="8459" max="8704" width="9.140625" style="274"/>
    <col min="8705" max="8705" width="6.140625" style="274" customWidth="1"/>
    <col min="8706" max="8706" width="17.28515625" style="274" customWidth="1"/>
    <col min="8707" max="8707" width="15.28515625" style="274" customWidth="1"/>
    <col min="8708" max="8708" width="11.85546875" style="274" customWidth="1"/>
    <col min="8709" max="8709" width="11.140625" style="274" customWidth="1"/>
    <col min="8710" max="8710" width="10.28515625" style="274" customWidth="1"/>
    <col min="8711" max="8711" width="10.5703125" style="274" customWidth="1"/>
    <col min="8712" max="8712" width="9.7109375" style="274" customWidth="1"/>
    <col min="8713" max="8713" width="21" style="274" customWidth="1"/>
    <col min="8714" max="8714" width="28.7109375" style="274" customWidth="1"/>
    <col min="8715" max="8960" width="9.140625" style="274"/>
    <col min="8961" max="8961" width="6.140625" style="274" customWidth="1"/>
    <col min="8962" max="8962" width="17.28515625" style="274" customWidth="1"/>
    <col min="8963" max="8963" width="15.28515625" style="274" customWidth="1"/>
    <col min="8964" max="8964" width="11.85546875" style="274" customWidth="1"/>
    <col min="8965" max="8965" width="11.140625" style="274" customWidth="1"/>
    <col min="8966" max="8966" width="10.28515625" style="274" customWidth="1"/>
    <col min="8967" max="8967" width="10.5703125" style="274" customWidth="1"/>
    <col min="8968" max="8968" width="9.7109375" style="274" customWidth="1"/>
    <col min="8969" max="8969" width="21" style="274" customWidth="1"/>
    <col min="8970" max="8970" width="28.7109375" style="274" customWidth="1"/>
    <col min="8971" max="9216" width="9.140625" style="274"/>
    <col min="9217" max="9217" width="6.140625" style="274" customWidth="1"/>
    <col min="9218" max="9218" width="17.28515625" style="274" customWidth="1"/>
    <col min="9219" max="9219" width="15.28515625" style="274" customWidth="1"/>
    <col min="9220" max="9220" width="11.85546875" style="274" customWidth="1"/>
    <col min="9221" max="9221" width="11.140625" style="274" customWidth="1"/>
    <col min="9222" max="9222" width="10.28515625" style="274" customWidth="1"/>
    <col min="9223" max="9223" width="10.5703125" style="274" customWidth="1"/>
    <col min="9224" max="9224" width="9.7109375" style="274" customWidth="1"/>
    <col min="9225" max="9225" width="21" style="274" customWidth="1"/>
    <col min="9226" max="9226" width="28.7109375" style="274" customWidth="1"/>
    <col min="9227" max="9472" width="9.140625" style="274"/>
    <col min="9473" max="9473" width="6.140625" style="274" customWidth="1"/>
    <col min="9474" max="9474" width="17.28515625" style="274" customWidth="1"/>
    <col min="9475" max="9475" width="15.28515625" style="274" customWidth="1"/>
    <col min="9476" max="9476" width="11.85546875" style="274" customWidth="1"/>
    <col min="9477" max="9477" width="11.140625" style="274" customWidth="1"/>
    <col min="9478" max="9478" width="10.28515625" style="274" customWidth="1"/>
    <col min="9479" max="9479" width="10.5703125" style="274" customWidth="1"/>
    <col min="9480" max="9480" width="9.7109375" style="274" customWidth="1"/>
    <col min="9481" max="9481" width="21" style="274" customWidth="1"/>
    <col min="9482" max="9482" width="28.7109375" style="274" customWidth="1"/>
    <col min="9483" max="9728" width="9.140625" style="274"/>
    <col min="9729" max="9729" width="6.140625" style="274" customWidth="1"/>
    <col min="9730" max="9730" width="17.28515625" style="274" customWidth="1"/>
    <col min="9731" max="9731" width="15.28515625" style="274" customWidth="1"/>
    <col min="9732" max="9732" width="11.85546875" style="274" customWidth="1"/>
    <col min="9733" max="9733" width="11.140625" style="274" customWidth="1"/>
    <col min="9734" max="9734" width="10.28515625" style="274" customWidth="1"/>
    <col min="9735" max="9735" width="10.5703125" style="274" customWidth="1"/>
    <col min="9736" max="9736" width="9.7109375" style="274" customWidth="1"/>
    <col min="9737" max="9737" width="21" style="274" customWidth="1"/>
    <col min="9738" max="9738" width="28.7109375" style="274" customWidth="1"/>
    <col min="9739" max="9984" width="9.140625" style="274"/>
    <col min="9985" max="9985" width="6.140625" style="274" customWidth="1"/>
    <col min="9986" max="9986" width="17.28515625" style="274" customWidth="1"/>
    <col min="9987" max="9987" width="15.28515625" style="274" customWidth="1"/>
    <col min="9988" max="9988" width="11.85546875" style="274" customWidth="1"/>
    <col min="9989" max="9989" width="11.140625" style="274" customWidth="1"/>
    <col min="9990" max="9990" width="10.28515625" style="274" customWidth="1"/>
    <col min="9991" max="9991" width="10.5703125" style="274" customWidth="1"/>
    <col min="9992" max="9992" width="9.7109375" style="274" customWidth="1"/>
    <col min="9993" max="9993" width="21" style="274" customWidth="1"/>
    <col min="9994" max="9994" width="28.7109375" style="274" customWidth="1"/>
    <col min="9995" max="10240" width="9.140625" style="274"/>
    <col min="10241" max="10241" width="6.140625" style="274" customWidth="1"/>
    <col min="10242" max="10242" width="17.28515625" style="274" customWidth="1"/>
    <col min="10243" max="10243" width="15.28515625" style="274" customWidth="1"/>
    <col min="10244" max="10244" width="11.85546875" style="274" customWidth="1"/>
    <col min="10245" max="10245" width="11.140625" style="274" customWidth="1"/>
    <col min="10246" max="10246" width="10.28515625" style="274" customWidth="1"/>
    <col min="10247" max="10247" width="10.5703125" style="274" customWidth="1"/>
    <col min="10248" max="10248" width="9.7109375" style="274" customWidth="1"/>
    <col min="10249" max="10249" width="21" style="274" customWidth="1"/>
    <col min="10250" max="10250" width="28.7109375" style="274" customWidth="1"/>
    <col min="10251" max="10496" width="9.140625" style="274"/>
    <col min="10497" max="10497" width="6.140625" style="274" customWidth="1"/>
    <col min="10498" max="10498" width="17.28515625" style="274" customWidth="1"/>
    <col min="10499" max="10499" width="15.28515625" style="274" customWidth="1"/>
    <col min="10500" max="10500" width="11.85546875" style="274" customWidth="1"/>
    <col min="10501" max="10501" width="11.140625" style="274" customWidth="1"/>
    <col min="10502" max="10502" width="10.28515625" style="274" customWidth="1"/>
    <col min="10503" max="10503" width="10.5703125" style="274" customWidth="1"/>
    <col min="10504" max="10504" width="9.7109375" style="274" customWidth="1"/>
    <col min="10505" max="10505" width="21" style="274" customWidth="1"/>
    <col min="10506" max="10506" width="28.7109375" style="274" customWidth="1"/>
    <col min="10507" max="10752" width="9.140625" style="274"/>
    <col min="10753" max="10753" width="6.140625" style="274" customWidth="1"/>
    <col min="10754" max="10754" width="17.28515625" style="274" customWidth="1"/>
    <col min="10755" max="10755" width="15.28515625" style="274" customWidth="1"/>
    <col min="10756" max="10756" width="11.85546875" style="274" customWidth="1"/>
    <col min="10757" max="10757" width="11.140625" style="274" customWidth="1"/>
    <col min="10758" max="10758" width="10.28515625" style="274" customWidth="1"/>
    <col min="10759" max="10759" width="10.5703125" style="274" customWidth="1"/>
    <col min="10760" max="10760" width="9.7109375" style="274" customWidth="1"/>
    <col min="10761" max="10761" width="21" style="274" customWidth="1"/>
    <col min="10762" max="10762" width="28.7109375" style="274" customWidth="1"/>
    <col min="10763" max="11008" width="9.140625" style="274"/>
    <col min="11009" max="11009" width="6.140625" style="274" customWidth="1"/>
    <col min="11010" max="11010" width="17.28515625" style="274" customWidth="1"/>
    <col min="11011" max="11011" width="15.28515625" style="274" customWidth="1"/>
    <col min="11012" max="11012" width="11.85546875" style="274" customWidth="1"/>
    <col min="11013" max="11013" width="11.140625" style="274" customWidth="1"/>
    <col min="11014" max="11014" width="10.28515625" style="274" customWidth="1"/>
    <col min="11015" max="11015" width="10.5703125" style="274" customWidth="1"/>
    <col min="11016" max="11016" width="9.7109375" style="274" customWidth="1"/>
    <col min="11017" max="11017" width="21" style="274" customWidth="1"/>
    <col min="11018" max="11018" width="28.7109375" style="274" customWidth="1"/>
    <col min="11019" max="11264" width="9.140625" style="274"/>
    <col min="11265" max="11265" width="6.140625" style="274" customWidth="1"/>
    <col min="11266" max="11266" width="17.28515625" style="274" customWidth="1"/>
    <col min="11267" max="11267" width="15.28515625" style="274" customWidth="1"/>
    <col min="11268" max="11268" width="11.85546875" style="274" customWidth="1"/>
    <col min="11269" max="11269" width="11.140625" style="274" customWidth="1"/>
    <col min="11270" max="11270" width="10.28515625" style="274" customWidth="1"/>
    <col min="11271" max="11271" width="10.5703125" style="274" customWidth="1"/>
    <col min="11272" max="11272" width="9.7109375" style="274" customWidth="1"/>
    <col min="11273" max="11273" width="21" style="274" customWidth="1"/>
    <col min="11274" max="11274" width="28.7109375" style="274" customWidth="1"/>
    <col min="11275" max="11520" width="9.140625" style="274"/>
    <col min="11521" max="11521" width="6.140625" style="274" customWidth="1"/>
    <col min="11522" max="11522" width="17.28515625" style="274" customWidth="1"/>
    <col min="11523" max="11523" width="15.28515625" style="274" customWidth="1"/>
    <col min="11524" max="11524" width="11.85546875" style="274" customWidth="1"/>
    <col min="11525" max="11525" width="11.140625" style="274" customWidth="1"/>
    <col min="11526" max="11526" width="10.28515625" style="274" customWidth="1"/>
    <col min="11527" max="11527" width="10.5703125" style="274" customWidth="1"/>
    <col min="11528" max="11528" width="9.7109375" style="274" customWidth="1"/>
    <col min="11529" max="11529" width="21" style="274" customWidth="1"/>
    <col min="11530" max="11530" width="28.7109375" style="274" customWidth="1"/>
    <col min="11531" max="11776" width="9.140625" style="274"/>
    <col min="11777" max="11777" width="6.140625" style="274" customWidth="1"/>
    <col min="11778" max="11778" width="17.28515625" style="274" customWidth="1"/>
    <col min="11779" max="11779" width="15.28515625" style="274" customWidth="1"/>
    <col min="11780" max="11780" width="11.85546875" style="274" customWidth="1"/>
    <col min="11781" max="11781" width="11.140625" style="274" customWidth="1"/>
    <col min="11782" max="11782" width="10.28515625" style="274" customWidth="1"/>
    <col min="11783" max="11783" width="10.5703125" style="274" customWidth="1"/>
    <col min="11784" max="11784" width="9.7109375" style="274" customWidth="1"/>
    <col min="11785" max="11785" width="21" style="274" customWidth="1"/>
    <col min="11786" max="11786" width="28.7109375" style="274" customWidth="1"/>
    <col min="11787" max="12032" width="9.140625" style="274"/>
    <col min="12033" max="12033" width="6.140625" style="274" customWidth="1"/>
    <col min="12034" max="12034" width="17.28515625" style="274" customWidth="1"/>
    <col min="12035" max="12035" width="15.28515625" style="274" customWidth="1"/>
    <col min="12036" max="12036" width="11.85546875" style="274" customWidth="1"/>
    <col min="12037" max="12037" width="11.140625" style="274" customWidth="1"/>
    <col min="12038" max="12038" width="10.28515625" style="274" customWidth="1"/>
    <col min="12039" max="12039" width="10.5703125" style="274" customWidth="1"/>
    <col min="12040" max="12040" width="9.7109375" style="274" customWidth="1"/>
    <col min="12041" max="12041" width="21" style="274" customWidth="1"/>
    <col min="12042" max="12042" width="28.7109375" style="274" customWidth="1"/>
    <col min="12043" max="12288" width="9.140625" style="274"/>
    <col min="12289" max="12289" width="6.140625" style="274" customWidth="1"/>
    <col min="12290" max="12290" width="17.28515625" style="274" customWidth="1"/>
    <col min="12291" max="12291" width="15.28515625" style="274" customWidth="1"/>
    <col min="12292" max="12292" width="11.85546875" style="274" customWidth="1"/>
    <col min="12293" max="12293" width="11.140625" style="274" customWidth="1"/>
    <col min="12294" max="12294" width="10.28515625" style="274" customWidth="1"/>
    <col min="12295" max="12295" width="10.5703125" style="274" customWidth="1"/>
    <col min="12296" max="12296" width="9.7109375" style="274" customWidth="1"/>
    <col min="12297" max="12297" width="21" style="274" customWidth="1"/>
    <col min="12298" max="12298" width="28.7109375" style="274" customWidth="1"/>
    <col min="12299" max="12544" width="9.140625" style="274"/>
    <col min="12545" max="12545" width="6.140625" style="274" customWidth="1"/>
    <col min="12546" max="12546" width="17.28515625" style="274" customWidth="1"/>
    <col min="12547" max="12547" width="15.28515625" style="274" customWidth="1"/>
    <col min="12548" max="12548" width="11.85546875" style="274" customWidth="1"/>
    <col min="12549" max="12549" width="11.140625" style="274" customWidth="1"/>
    <col min="12550" max="12550" width="10.28515625" style="274" customWidth="1"/>
    <col min="12551" max="12551" width="10.5703125" style="274" customWidth="1"/>
    <col min="12552" max="12552" width="9.7109375" style="274" customWidth="1"/>
    <col min="12553" max="12553" width="21" style="274" customWidth="1"/>
    <col min="12554" max="12554" width="28.7109375" style="274" customWidth="1"/>
    <col min="12555" max="12800" width="9.140625" style="274"/>
    <col min="12801" max="12801" width="6.140625" style="274" customWidth="1"/>
    <col min="12802" max="12802" width="17.28515625" style="274" customWidth="1"/>
    <col min="12803" max="12803" width="15.28515625" style="274" customWidth="1"/>
    <col min="12804" max="12804" width="11.85546875" style="274" customWidth="1"/>
    <col min="12805" max="12805" width="11.140625" style="274" customWidth="1"/>
    <col min="12806" max="12806" width="10.28515625" style="274" customWidth="1"/>
    <col min="12807" max="12807" width="10.5703125" style="274" customWidth="1"/>
    <col min="12808" max="12808" width="9.7109375" style="274" customWidth="1"/>
    <col min="12809" max="12809" width="21" style="274" customWidth="1"/>
    <col min="12810" max="12810" width="28.7109375" style="274" customWidth="1"/>
    <col min="12811" max="13056" width="9.140625" style="274"/>
    <col min="13057" max="13057" width="6.140625" style="274" customWidth="1"/>
    <col min="13058" max="13058" width="17.28515625" style="274" customWidth="1"/>
    <col min="13059" max="13059" width="15.28515625" style="274" customWidth="1"/>
    <col min="13060" max="13060" width="11.85546875" style="274" customWidth="1"/>
    <col min="13061" max="13061" width="11.140625" style="274" customWidth="1"/>
    <col min="13062" max="13062" width="10.28515625" style="274" customWidth="1"/>
    <col min="13063" max="13063" width="10.5703125" style="274" customWidth="1"/>
    <col min="13064" max="13064" width="9.7109375" style="274" customWidth="1"/>
    <col min="13065" max="13065" width="21" style="274" customWidth="1"/>
    <col min="13066" max="13066" width="28.7109375" style="274" customWidth="1"/>
    <col min="13067" max="13312" width="9.140625" style="274"/>
    <col min="13313" max="13313" width="6.140625" style="274" customWidth="1"/>
    <col min="13314" max="13314" width="17.28515625" style="274" customWidth="1"/>
    <col min="13315" max="13315" width="15.28515625" style="274" customWidth="1"/>
    <col min="13316" max="13316" width="11.85546875" style="274" customWidth="1"/>
    <col min="13317" max="13317" width="11.140625" style="274" customWidth="1"/>
    <col min="13318" max="13318" width="10.28515625" style="274" customWidth="1"/>
    <col min="13319" max="13319" width="10.5703125" style="274" customWidth="1"/>
    <col min="13320" max="13320" width="9.7109375" style="274" customWidth="1"/>
    <col min="13321" max="13321" width="21" style="274" customWidth="1"/>
    <col min="13322" max="13322" width="28.7109375" style="274" customWidth="1"/>
    <col min="13323" max="13568" width="9.140625" style="274"/>
    <col min="13569" max="13569" width="6.140625" style="274" customWidth="1"/>
    <col min="13570" max="13570" width="17.28515625" style="274" customWidth="1"/>
    <col min="13571" max="13571" width="15.28515625" style="274" customWidth="1"/>
    <col min="13572" max="13572" width="11.85546875" style="274" customWidth="1"/>
    <col min="13573" max="13573" width="11.140625" style="274" customWidth="1"/>
    <col min="13574" max="13574" width="10.28515625" style="274" customWidth="1"/>
    <col min="13575" max="13575" width="10.5703125" style="274" customWidth="1"/>
    <col min="13576" max="13576" width="9.7109375" style="274" customWidth="1"/>
    <col min="13577" max="13577" width="21" style="274" customWidth="1"/>
    <col min="13578" max="13578" width="28.7109375" style="274" customWidth="1"/>
    <col min="13579" max="13824" width="9.140625" style="274"/>
    <col min="13825" max="13825" width="6.140625" style="274" customWidth="1"/>
    <col min="13826" max="13826" width="17.28515625" style="274" customWidth="1"/>
    <col min="13827" max="13827" width="15.28515625" style="274" customWidth="1"/>
    <col min="13828" max="13828" width="11.85546875" style="274" customWidth="1"/>
    <col min="13829" max="13829" width="11.140625" style="274" customWidth="1"/>
    <col min="13830" max="13830" width="10.28515625" style="274" customWidth="1"/>
    <col min="13831" max="13831" width="10.5703125" style="274" customWidth="1"/>
    <col min="13832" max="13832" width="9.7109375" style="274" customWidth="1"/>
    <col min="13833" max="13833" width="21" style="274" customWidth="1"/>
    <col min="13834" max="13834" width="28.7109375" style="274" customWidth="1"/>
    <col min="13835" max="14080" width="9.140625" style="274"/>
    <col min="14081" max="14081" width="6.140625" style="274" customWidth="1"/>
    <col min="14082" max="14082" width="17.28515625" style="274" customWidth="1"/>
    <col min="14083" max="14083" width="15.28515625" style="274" customWidth="1"/>
    <col min="14084" max="14084" width="11.85546875" style="274" customWidth="1"/>
    <col min="14085" max="14085" width="11.140625" style="274" customWidth="1"/>
    <col min="14086" max="14086" width="10.28515625" style="274" customWidth="1"/>
    <col min="14087" max="14087" width="10.5703125" style="274" customWidth="1"/>
    <col min="14088" max="14088" width="9.7109375" style="274" customWidth="1"/>
    <col min="14089" max="14089" width="21" style="274" customWidth="1"/>
    <col min="14090" max="14090" width="28.7109375" style="274" customWidth="1"/>
    <col min="14091" max="14336" width="9.140625" style="274"/>
    <col min="14337" max="14337" width="6.140625" style="274" customWidth="1"/>
    <col min="14338" max="14338" width="17.28515625" style="274" customWidth="1"/>
    <col min="14339" max="14339" width="15.28515625" style="274" customWidth="1"/>
    <col min="14340" max="14340" width="11.85546875" style="274" customWidth="1"/>
    <col min="14341" max="14341" width="11.140625" style="274" customWidth="1"/>
    <col min="14342" max="14342" width="10.28515625" style="274" customWidth="1"/>
    <col min="14343" max="14343" width="10.5703125" style="274" customWidth="1"/>
    <col min="14344" max="14344" width="9.7109375" style="274" customWidth="1"/>
    <col min="14345" max="14345" width="21" style="274" customWidth="1"/>
    <col min="14346" max="14346" width="28.7109375" style="274" customWidth="1"/>
    <col min="14347" max="14592" width="9.140625" style="274"/>
    <col min="14593" max="14593" width="6.140625" style="274" customWidth="1"/>
    <col min="14594" max="14594" width="17.28515625" style="274" customWidth="1"/>
    <col min="14595" max="14595" width="15.28515625" style="274" customWidth="1"/>
    <col min="14596" max="14596" width="11.85546875" style="274" customWidth="1"/>
    <col min="14597" max="14597" width="11.140625" style="274" customWidth="1"/>
    <col min="14598" max="14598" width="10.28515625" style="274" customWidth="1"/>
    <col min="14599" max="14599" width="10.5703125" style="274" customWidth="1"/>
    <col min="14600" max="14600" width="9.7109375" style="274" customWidth="1"/>
    <col min="14601" max="14601" width="21" style="274" customWidth="1"/>
    <col min="14602" max="14602" width="28.7109375" style="274" customWidth="1"/>
    <col min="14603" max="14848" width="9.140625" style="274"/>
    <col min="14849" max="14849" width="6.140625" style="274" customWidth="1"/>
    <col min="14850" max="14850" width="17.28515625" style="274" customWidth="1"/>
    <col min="14851" max="14851" width="15.28515625" style="274" customWidth="1"/>
    <col min="14852" max="14852" width="11.85546875" style="274" customWidth="1"/>
    <col min="14853" max="14853" width="11.140625" style="274" customWidth="1"/>
    <col min="14854" max="14854" width="10.28515625" style="274" customWidth="1"/>
    <col min="14855" max="14855" width="10.5703125" style="274" customWidth="1"/>
    <col min="14856" max="14856" width="9.7109375" style="274" customWidth="1"/>
    <col min="14857" max="14857" width="21" style="274" customWidth="1"/>
    <col min="14858" max="14858" width="28.7109375" style="274" customWidth="1"/>
    <col min="14859" max="15104" width="9.140625" style="274"/>
    <col min="15105" max="15105" width="6.140625" style="274" customWidth="1"/>
    <col min="15106" max="15106" width="17.28515625" style="274" customWidth="1"/>
    <col min="15107" max="15107" width="15.28515625" style="274" customWidth="1"/>
    <col min="15108" max="15108" width="11.85546875" style="274" customWidth="1"/>
    <col min="15109" max="15109" width="11.140625" style="274" customWidth="1"/>
    <col min="15110" max="15110" width="10.28515625" style="274" customWidth="1"/>
    <col min="15111" max="15111" width="10.5703125" style="274" customWidth="1"/>
    <col min="15112" max="15112" width="9.7109375" style="274" customWidth="1"/>
    <col min="15113" max="15113" width="21" style="274" customWidth="1"/>
    <col min="15114" max="15114" width="28.7109375" style="274" customWidth="1"/>
    <col min="15115" max="15360" width="9.140625" style="274"/>
    <col min="15361" max="15361" width="6.140625" style="274" customWidth="1"/>
    <col min="15362" max="15362" width="17.28515625" style="274" customWidth="1"/>
    <col min="15363" max="15363" width="15.28515625" style="274" customWidth="1"/>
    <col min="15364" max="15364" width="11.85546875" style="274" customWidth="1"/>
    <col min="15365" max="15365" width="11.140625" style="274" customWidth="1"/>
    <col min="15366" max="15366" width="10.28515625" style="274" customWidth="1"/>
    <col min="15367" max="15367" width="10.5703125" style="274" customWidth="1"/>
    <col min="15368" max="15368" width="9.7109375" style="274" customWidth="1"/>
    <col min="15369" max="15369" width="21" style="274" customWidth="1"/>
    <col min="15370" max="15370" width="28.7109375" style="274" customWidth="1"/>
    <col min="15371" max="15616" width="9.140625" style="274"/>
    <col min="15617" max="15617" width="6.140625" style="274" customWidth="1"/>
    <col min="15618" max="15618" width="17.28515625" style="274" customWidth="1"/>
    <col min="15619" max="15619" width="15.28515625" style="274" customWidth="1"/>
    <col min="15620" max="15620" width="11.85546875" style="274" customWidth="1"/>
    <col min="15621" max="15621" width="11.140625" style="274" customWidth="1"/>
    <col min="15622" max="15622" width="10.28515625" style="274" customWidth="1"/>
    <col min="15623" max="15623" width="10.5703125" style="274" customWidth="1"/>
    <col min="15624" max="15624" width="9.7109375" style="274" customWidth="1"/>
    <col min="15625" max="15625" width="21" style="274" customWidth="1"/>
    <col min="15626" max="15626" width="28.7109375" style="274" customWidth="1"/>
    <col min="15627" max="15872" width="9.140625" style="274"/>
    <col min="15873" max="15873" width="6.140625" style="274" customWidth="1"/>
    <col min="15874" max="15874" width="17.28515625" style="274" customWidth="1"/>
    <col min="15875" max="15875" width="15.28515625" style="274" customWidth="1"/>
    <col min="15876" max="15876" width="11.85546875" style="274" customWidth="1"/>
    <col min="15877" max="15877" width="11.140625" style="274" customWidth="1"/>
    <col min="15878" max="15878" width="10.28515625" style="274" customWidth="1"/>
    <col min="15879" max="15879" width="10.5703125" style="274" customWidth="1"/>
    <col min="15880" max="15880" width="9.7109375" style="274" customWidth="1"/>
    <col min="15881" max="15881" width="21" style="274" customWidth="1"/>
    <col min="15882" max="15882" width="28.7109375" style="274" customWidth="1"/>
    <col min="15883" max="16128" width="9.140625" style="274"/>
    <col min="16129" max="16129" width="6.140625" style="274" customWidth="1"/>
    <col min="16130" max="16130" width="17.28515625" style="274" customWidth="1"/>
    <col min="16131" max="16131" width="15.28515625" style="274" customWidth="1"/>
    <col min="16132" max="16132" width="11.85546875" style="274" customWidth="1"/>
    <col min="16133" max="16133" width="11.140625" style="274" customWidth="1"/>
    <col min="16134" max="16134" width="10.28515625" style="274" customWidth="1"/>
    <col min="16135" max="16135" width="10.5703125" style="274" customWidth="1"/>
    <col min="16136" max="16136" width="9.7109375" style="274" customWidth="1"/>
    <col min="16137" max="16137" width="21" style="274" customWidth="1"/>
    <col min="16138" max="16138" width="28.7109375" style="274" customWidth="1"/>
    <col min="16139" max="16384" width="9.140625" style="274"/>
  </cols>
  <sheetData>
    <row r="1" spans="1:10" x14ac:dyDescent="0.25">
      <c r="A1" s="1989" t="s">
        <v>1195</v>
      </c>
      <c r="B1" s="1989"/>
      <c r="C1" s="1989" t="s">
        <v>118</v>
      </c>
      <c r="D1" s="1989"/>
      <c r="E1" s="1989"/>
      <c r="F1" s="1989"/>
      <c r="G1" s="1989"/>
      <c r="H1" s="1989"/>
      <c r="I1" s="1989"/>
      <c r="J1" s="1989"/>
    </row>
    <row r="2" spans="1:10" x14ac:dyDescent="0.25">
      <c r="A2" s="1989" t="s">
        <v>1196</v>
      </c>
      <c r="B2" s="1989"/>
      <c r="C2" s="1989">
        <v>90000056357</v>
      </c>
      <c r="D2" s="1989"/>
      <c r="E2" s="1989"/>
      <c r="F2" s="1989"/>
      <c r="G2" s="1989"/>
      <c r="H2" s="1989"/>
      <c r="I2" s="1989"/>
      <c r="J2" s="1989"/>
    </row>
    <row r="3" spans="1:10" ht="15.75" x14ac:dyDescent="0.25">
      <c r="A3" s="1990" t="s">
        <v>120</v>
      </c>
      <c r="B3" s="1990"/>
      <c r="C3" s="1990"/>
      <c r="D3" s="1990"/>
      <c r="E3" s="1990"/>
      <c r="F3" s="1990"/>
      <c r="G3" s="1990"/>
      <c r="H3" s="1990"/>
      <c r="I3" s="1990"/>
      <c r="J3" s="1990"/>
    </row>
    <row r="4" spans="1:10" ht="15.75" x14ac:dyDescent="0.25">
      <c r="A4" s="1107"/>
      <c r="B4" s="1107"/>
      <c r="C4" s="1107"/>
      <c r="D4" s="1107"/>
      <c r="E4" s="1107"/>
      <c r="F4" s="1107"/>
      <c r="G4" s="1107"/>
      <c r="H4" s="1107"/>
      <c r="I4" s="1107"/>
      <c r="J4" s="1107"/>
    </row>
    <row r="5" spans="1:10" ht="15.75" x14ac:dyDescent="0.25">
      <c r="A5" s="1989" t="s">
        <v>1822</v>
      </c>
      <c r="B5" s="1989"/>
      <c r="C5" s="2018" t="s">
        <v>1823</v>
      </c>
      <c r="D5" s="2018"/>
      <c r="E5" s="2018"/>
      <c r="F5" s="2018"/>
      <c r="G5" s="2018"/>
      <c r="H5" s="2018"/>
      <c r="I5" s="2018"/>
      <c r="J5" s="2018"/>
    </row>
    <row r="6" spans="1:10" x14ac:dyDescent="0.25">
      <c r="A6" s="1989" t="s">
        <v>123</v>
      </c>
      <c r="B6" s="1989"/>
      <c r="C6" s="1989" t="s">
        <v>1824</v>
      </c>
      <c r="D6" s="1989"/>
      <c r="E6" s="1989"/>
      <c r="F6" s="1989"/>
      <c r="G6" s="1989"/>
      <c r="H6" s="1989"/>
      <c r="I6" s="1989"/>
      <c r="J6" s="1989"/>
    </row>
    <row r="7" spans="1:10" x14ac:dyDescent="0.25">
      <c r="A7" s="1989" t="s">
        <v>125</v>
      </c>
      <c r="B7" s="1989"/>
      <c r="C7" s="2019" t="s">
        <v>1813</v>
      </c>
      <c r="D7" s="2019"/>
      <c r="E7" s="2019"/>
      <c r="F7" s="2019"/>
      <c r="G7" s="2019"/>
      <c r="H7" s="2019"/>
      <c r="I7" s="2019"/>
      <c r="J7" s="2019"/>
    </row>
    <row r="8" spans="1:10" ht="48" x14ac:dyDescent="0.25">
      <c r="A8" s="1108" t="s">
        <v>1</v>
      </c>
      <c r="B8" s="1797" t="s">
        <v>127</v>
      </c>
      <c r="C8" s="1798"/>
      <c r="D8" s="1108" t="s">
        <v>14</v>
      </c>
      <c r="E8" s="1108" t="s">
        <v>12</v>
      </c>
      <c r="F8" s="1108" t="s">
        <v>128</v>
      </c>
      <c r="G8" s="1108" t="s">
        <v>129</v>
      </c>
      <c r="H8" s="1108" t="s">
        <v>3357</v>
      </c>
      <c r="I8" s="1108" t="s">
        <v>11</v>
      </c>
      <c r="J8" s="683" t="s">
        <v>131</v>
      </c>
    </row>
    <row r="9" spans="1:10" ht="12.75" customHeight="1" x14ac:dyDescent="0.25">
      <c r="A9" s="1982" t="s">
        <v>132</v>
      </c>
      <c r="B9" s="1983"/>
      <c r="C9" s="1984"/>
      <c r="D9" s="397">
        <f>SUM(D10:D14)</f>
        <v>375898</v>
      </c>
      <c r="E9" s="397">
        <f>SUM(E10:E14)</f>
        <v>165500</v>
      </c>
      <c r="F9" s="397">
        <f>SUM(F10:F14)</f>
        <v>2782130</v>
      </c>
      <c r="G9" s="397"/>
      <c r="H9" s="397">
        <f>SUM(H10:H14)</f>
        <v>2117130</v>
      </c>
      <c r="I9" s="397"/>
      <c r="J9" s="279"/>
    </row>
    <row r="10" spans="1:10" ht="16.5" customHeight="1" x14ac:dyDescent="0.25">
      <c r="A10" s="1105">
        <v>1</v>
      </c>
      <c r="B10" s="1803" t="s">
        <v>1825</v>
      </c>
      <c r="C10" s="1804"/>
      <c r="D10" s="272">
        <v>105000</v>
      </c>
      <c r="E10" s="272">
        <v>105000</v>
      </c>
      <c r="F10" s="272">
        <v>115000</v>
      </c>
      <c r="G10" s="404">
        <v>2276</v>
      </c>
      <c r="H10" s="272">
        <v>105000</v>
      </c>
      <c r="I10" s="1815" t="s">
        <v>1826</v>
      </c>
      <c r="J10" s="279"/>
    </row>
    <row r="11" spans="1:10" ht="24" x14ac:dyDescent="0.25">
      <c r="A11" s="1105">
        <v>2</v>
      </c>
      <c r="B11" s="1803" t="s">
        <v>1827</v>
      </c>
      <c r="C11" s="1804"/>
      <c r="D11" s="272">
        <v>263768</v>
      </c>
      <c r="E11" s="416">
        <v>54000</v>
      </c>
      <c r="F11" s="685">
        <v>2650000</v>
      </c>
      <c r="G11" s="371">
        <v>6510</v>
      </c>
      <c r="H11" s="272">
        <f>2650000-4500-629718-15782</f>
        <v>2000000</v>
      </c>
      <c r="I11" s="1887"/>
      <c r="J11" s="279" t="s">
        <v>1828</v>
      </c>
    </row>
    <row r="12" spans="1:10" ht="18" customHeight="1" x14ac:dyDescent="0.25">
      <c r="A12" s="1795">
        <v>3</v>
      </c>
      <c r="B12" s="1799" t="s">
        <v>1829</v>
      </c>
      <c r="C12" s="1800"/>
      <c r="D12" s="272">
        <v>5000</v>
      </c>
      <c r="E12" s="272">
        <v>5000</v>
      </c>
      <c r="F12" s="272">
        <v>14000</v>
      </c>
      <c r="G12" s="404">
        <v>2519</v>
      </c>
      <c r="H12" s="272">
        <f>6000+4500</f>
        <v>10500</v>
      </c>
      <c r="I12" s="1887"/>
      <c r="J12" s="279"/>
    </row>
    <row r="13" spans="1:10" ht="18" customHeight="1" x14ac:dyDescent="0.25">
      <c r="A13" s="1796"/>
      <c r="B13" s="1801"/>
      <c r="C13" s="1802"/>
      <c r="D13" s="272">
        <v>2000</v>
      </c>
      <c r="E13" s="272">
        <v>1500</v>
      </c>
      <c r="F13" s="272">
        <v>3000</v>
      </c>
      <c r="G13" s="404">
        <v>2272</v>
      </c>
      <c r="H13" s="272">
        <v>1500</v>
      </c>
      <c r="I13" s="1887"/>
      <c r="J13" s="279"/>
    </row>
    <row r="14" spans="1:10" ht="18" customHeight="1" x14ac:dyDescent="0.25">
      <c r="A14" s="1105">
        <v>4</v>
      </c>
      <c r="B14" s="1803" t="s">
        <v>1830</v>
      </c>
      <c r="C14" s="1804"/>
      <c r="D14" s="272">
        <v>130</v>
      </c>
      <c r="E14" s="416">
        <v>0</v>
      </c>
      <c r="F14" s="685">
        <v>130</v>
      </c>
      <c r="G14" s="404">
        <v>2232</v>
      </c>
      <c r="H14" s="272">
        <v>130</v>
      </c>
      <c r="I14" s="1816"/>
      <c r="J14" s="279"/>
    </row>
    <row r="15" spans="1:10" x14ac:dyDescent="0.25">
      <c r="A15" s="658"/>
      <c r="B15" s="658"/>
      <c r="C15" s="658"/>
      <c r="D15" s="658"/>
      <c r="E15" s="658"/>
      <c r="F15" s="658"/>
      <c r="G15" s="658"/>
      <c r="H15" s="658"/>
      <c r="I15" s="658"/>
      <c r="J15" s="658"/>
    </row>
    <row r="16" spans="1:10" hidden="1" x14ac:dyDescent="0.25">
      <c r="A16" s="1881" t="s">
        <v>239</v>
      </c>
      <c r="B16" s="1882"/>
      <c r="C16" s="2017"/>
      <c r="D16" s="428">
        <f>D9</f>
        <v>375898</v>
      </c>
      <c r="E16" s="428">
        <f>E9</f>
        <v>165500</v>
      </c>
      <c r="F16" s="428">
        <f>F9</f>
        <v>2782130</v>
      </c>
      <c r="G16" s="428"/>
      <c r="H16" s="428">
        <f>SUM(H9)</f>
        <v>2117130</v>
      </c>
      <c r="I16" s="428"/>
      <c r="J16" s="431"/>
    </row>
    <row r="17" spans="1:11" hidden="1" x14ac:dyDescent="0.25">
      <c r="A17" s="658"/>
      <c r="B17" s="658"/>
      <c r="C17" s="658"/>
      <c r="D17" s="658"/>
      <c r="E17" s="658"/>
      <c r="F17" s="658"/>
      <c r="G17" s="658"/>
      <c r="H17" s="658"/>
      <c r="I17" s="658"/>
      <c r="J17" s="658"/>
    </row>
    <row r="18" spans="1:11" x14ac:dyDescent="0.25">
      <c r="A18" s="274" t="s">
        <v>400</v>
      </c>
    </row>
    <row r="19" spans="1:11" x14ac:dyDescent="0.25">
      <c r="A19" s="274" t="s">
        <v>401</v>
      </c>
    </row>
    <row r="21" spans="1:11" x14ac:dyDescent="0.25">
      <c r="A21" s="274" t="s">
        <v>110</v>
      </c>
    </row>
    <row r="22" spans="1:11" x14ac:dyDescent="0.25">
      <c r="A22" s="274" t="s">
        <v>1820</v>
      </c>
    </row>
    <row r="23" spans="1:11" x14ac:dyDescent="0.25">
      <c r="A23" s="274" t="s">
        <v>1831</v>
      </c>
      <c r="J23" s="635"/>
      <c r="K23" s="635"/>
    </row>
    <row r="24" spans="1:11" ht="11.25" customHeight="1" x14ac:dyDescent="0.25">
      <c r="J24" s="635"/>
      <c r="K24" s="635"/>
    </row>
    <row r="25" spans="1:11" ht="11.25" customHeight="1" x14ac:dyDescent="0.25">
      <c r="J25" s="635"/>
      <c r="K25" s="635"/>
    </row>
    <row r="26" spans="1:11" ht="11.25" customHeight="1" x14ac:dyDescent="0.25">
      <c r="J26" s="635"/>
      <c r="K26" s="635"/>
    </row>
    <row r="27" spans="1:11" ht="11.25" customHeight="1" x14ac:dyDescent="0.25">
      <c r="J27" s="635"/>
      <c r="K27" s="635"/>
    </row>
    <row r="28" spans="1:11" x14ac:dyDescent="0.25">
      <c r="A28" s="635"/>
      <c r="B28" s="635"/>
      <c r="C28" s="635"/>
      <c r="D28" s="669"/>
      <c r="E28" s="669"/>
      <c r="F28" s="669"/>
      <c r="G28" s="669"/>
      <c r="H28" s="669"/>
      <c r="I28" s="635"/>
      <c r="J28" s="635"/>
      <c r="K28" s="635"/>
    </row>
    <row r="29" spans="1:11" x14ac:dyDescent="0.2">
      <c r="A29" s="244"/>
      <c r="B29" s="244"/>
      <c r="C29" s="244"/>
      <c r="D29" s="367"/>
      <c r="E29" s="367"/>
      <c r="F29" s="367"/>
      <c r="G29" s="367"/>
      <c r="H29" s="367"/>
    </row>
    <row r="30" spans="1:11" x14ac:dyDescent="0.2">
      <c r="A30" s="244"/>
      <c r="B30" s="244"/>
      <c r="C30" s="244"/>
      <c r="D30" s="367"/>
      <c r="E30" s="367"/>
      <c r="F30" s="367"/>
      <c r="G30" s="367"/>
      <c r="H30" s="367"/>
    </row>
    <row r="31" spans="1:11" x14ac:dyDescent="0.25">
      <c r="D31" s="670"/>
      <c r="E31" s="670"/>
      <c r="F31" s="670"/>
      <c r="G31" s="670"/>
      <c r="H31" s="670"/>
    </row>
  </sheetData>
  <sheetProtection algorithmName="SHA-512" hashValue="e9rA8X0n9i2eUIXhEG/qmVwbaLKZy0BLrz+q2boUlJh9xk8aJGLbm6Ha5JXm3AOIwVwj06xb+9NjWUWvHtCuyg==" saltValue="k1XdcZIENTAw8DE2jt+hJg==" spinCount="100000" sheet="1" objects="1" scenarios="1"/>
  <mergeCells count="20">
    <mergeCell ref="A9:C9"/>
    <mergeCell ref="A1:B1"/>
    <mergeCell ref="C1:J1"/>
    <mergeCell ref="A2:B2"/>
    <mergeCell ref="C2:J2"/>
    <mergeCell ref="A3:J3"/>
    <mergeCell ref="A5:B5"/>
    <mergeCell ref="C5:J5"/>
    <mergeCell ref="A6:B6"/>
    <mergeCell ref="C6:J6"/>
    <mergeCell ref="A7:B7"/>
    <mergeCell ref="C7:J7"/>
    <mergeCell ref="B8:C8"/>
    <mergeCell ref="A16:C16"/>
    <mergeCell ref="B10:C10"/>
    <mergeCell ref="I10:I14"/>
    <mergeCell ref="B11:C11"/>
    <mergeCell ref="A12:A13"/>
    <mergeCell ref="B12:C13"/>
    <mergeCell ref="B14:C14"/>
  </mergeCells>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21.pielikums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X297"/>
  <sheetViews>
    <sheetView view="pageLayout" zoomScaleNormal="100" workbookViewId="0">
      <selection activeCell="K14" sqref="K14"/>
    </sheetView>
  </sheetViews>
  <sheetFormatPr defaultRowHeight="12" x14ac:dyDescent="0.2"/>
  <cols>
    <col min="1" max="1" width="6.140625" style="244" customWidth="1"/>
    <col min="2" max="2" width="24.42578125" style="244" customWidth="1"/>
    <col min="3" max="3" width="14.85546875" style="244" customWidth="1"/>
    <col min="4" max="4" width="11.85546875" style="244" hidden="1" customWidth="1"/>
    <col min="5" max="5" width="11.140625" style="244" hidden="1" customWidth="1"/>
    <col min="6" max="6" width="10" style="244" hidden="1" customWidth="1"/>
    <col min="7" max="7" width="10.5703125" style="244" customWidth="1"/>
    <col min="8" max="8" width="9.7109375" style="244" customWidth="1"/>
    <col min="9" max="9" width="21.42578125" style="244" customWidth="1"/>
    <col min="10" max="10" width="39.28515625" style="1317" hidden="1" customWidth="1"/>
    <col min="11" max="11" width="33" style="244" customWidth="1"/>
    <col min="12" max="12" width="9.140625" style="244" customWidth="1"/>
    <col min="13" max="16384" width="9.140625" style="244"/>
  </cols>
  <sheetData>
    <row r="1" spans="1:11" x14ac:dyDescent="0.2">
      <c r="A1" s="1719" t="s">
        <v>117</v>
      </c>
      <c r="B1" s="1719"/>
      <c r="C1" s="1386" t="s">
        <v>118</v>
      </c>
      <c r="D1" s="319"/>
      <c r="E1" s="319"/>
      <c r="F1" s="319"/>
      <c r="G1" s="319"/>
      <c r="H1" s="319"/>
      <c r="I1" s="319"/>
      <c r="J1" s="1319"/>
    </row>
    <row r="2" spans="1:11" x14ac:dyDescent="0.2">
      <c r="A2" s="1719" t="s">
        <v>119</v>
      </c>
      <c r="B2" s="1719"/>
      <c r="C2" s="1386">
        <v>90000056357</v>
      </c>
      <c r="D2" s="319"/>
      <c r="E2" s="319"/>
      <c r="F2" s="319"/>
      <c r="G2" s="319"/>
      <c r="H2" s="319"/>
      <c r="I2" s="319"/>
      <c r="J2" s="1319"/>
    </row>
    <row r="3" spans="1:11" ht="15.75" x14ac:dyDescent="0.25">
      <c r="A3" s="1720" t="s">
        <v>120</v>
      </c>
      <c r="B3" s="1720"/>
      <c r="C3" s="1720"/>
      <c r="D3" s="1720"/>
      <c r="E3" s="1720"/>
      <c r="F3" s="1720"/>
      <c r="G3" s="1720"/>
      <c r="H3" s="1720"/>
      <c r="I3" s="1720"/>
      <c r="J3" s="1720"/>
    </row>
    <row r="4" spans="1:11" x14ac:dyDescent="0.2">
      <c r="A4" s="1320"/>
      <c r="B4" s="1320"/>
      <c r="C4" s="1320"/>
      <c r="D4" s="1320"/>
      <c r="E4" s="1320"/>
      <c r="F4" s="1320"/>
      <c r="G4" s="1320"/>
      <c r="H4" s="1320"/>
      <c r="I4" s="1320"/>
      <c r="J4" s="1321"/>
    </row>
    <row r="5" spans="1:11" ht="15.75" x14ac:dyDescent="0.25">
      <c r="A5" s="319" t="s">
        <v>121</v>
      </c>
      <c r="B5" s="319"/>
      <c r="C5" s="1459" t="s">
        <v>122</v>
      </c>
      <c r="D5" s="365"/>
      <c r="E5" s="365"/>
      <c r="F5" s="365"/>
      <c r="G5" s="365"/>
      <c r="H5" s="365"/>
      <c r="I5" s="365"/>
      <c r="J5" s="365"/>
      <c r="K5" s="365"/>
    </row>
    <row r="6" spans="1:11" x14ac:dyDescent="0.2">
      <c r="A6" s="319" t="s">
        <v>123</v>
      </c>
      <c r="B6" s="319"/>
      <c r="C6" s="319" t="s">
        <v>124</v>
      </c>
      <c r="D6" s="197"/>
      <c r="E6" s="197"/>
      <c r="F6" s="197"/>
      <c r="G6" s="197"/>
      <c r="H6" s="197"/>
      <c r="I6" s="197"/>
      <c r="J6" s="197"/>
      <c r="K6" s="197"/>
    </row>
    <row r="7" spans="1:11" x14ac:dyDescent="0.2">
      <c r="A7" s="319" t="s">
        <v>125</v>
      </c>
      <c r="B7" s="319"/>
      <c r="C7" s="1460" t="s">
        <v>126</v>
      </c>
      <c r="D7" s="1460"/>
      <c r="E7" s="1460"/>
      <c r="F7" s="1460"/>
      <c r="G7" s="1460"/>
      <c r="H7" s="1460"/>
      <c r="I7" s="1460"/>
      <c r="J7" s="1319"/>
    </row>
    <row r="8" spans="1:11" ht="48" x14ac:dyDescent="0.2">
      <c r="A8" s="1356" t="s">
        <v>1</v>
      </c>
      <c r="B8" s="1727" t="s">
        <v>127</v>
      </c>
      <c r="C8" s="1728"/>
      <c r="D8" s="1356" t="s">
        <v>14</v>
      </c>
      <c r="E8" s="1356" t="s">
        <v>12</v>
      </c>
      <c r="F8" s="1356" t="s">
        <v>128</v>
      </c>
      <c r="G8" s="1356" t="s">
        <v>129</v>
      </c>
      <c r="H8" s="1356" t="s">
        <v>3357</v>
      </c>
      <c r="I8" s="1356" t="s">
        <v>11</v>
      </c>
      <c r="J8" s="1356" t="s">
        <v>131</v>
      </c>
      <c r="K8" s="250"/>
    </row>
    <row r="9" spans="1:11" ht="15" customHeight="1" x14ac:dyDescent="0.2">
      <c r="A9" s="1729" t="s">
        <v>132</v>
      </c>
      <c r="B9" s="1730"/>
      <c r="C9" s="1731"/>
      <c r="D9" s="385">
        <f>D10+D11+D12+D13+D14</f>
        <v>363672.92</v>
      </c>
      <c r="E9" s="385">
        <f>E10+E11+E12+E13+E14</f>
        <v>351088</v>
      </c>
      <c r="F9" s="385">
        <f>F10+F11+F12+F13+F14</f>
        <v>62319</v>
      </c>
      <c r="G9" s="385"/>
      <c r="H9" s="385">
        <f t="shared" ref="H9" si="0">H10+H11+H12+H13+H14</f>
        <v>62319</v>
      </c>
      <c r="I9" s="385"/>
      <c r="J9" s="1322"/>
    </row>
    <row r="10" spans="1:11" ht="21.75" hidden="1" customHeight="1" x14ac:dyDescent="0.2">
      <c r="A10" s="1721">
        <v>1</v>
      </c>
      <c r="B10" s="1723" t="s">
        <v>133</v>
      </c>
      <c r="C10" s="1425"/>
      <c r="D10" s="1054">
        <v>224395</v>
      </c>
      <c r="E10" s="1054">
        <v>224395</v>
      </c>
      <c r="F10" s="371">
        <v>0</v>
      </c>
      <c r="G10" s="371">
        <v>5240</v>
      </c>
      <c r="H10" s="371">
        <v>0</v>
      </c>
      <c r="I10" s="1725" t="s">
        <v>134</v>
      </c>
      <c r="J10" s="1323" t="s">
        <v>135</v>
      </c>
    </row>
    <row r="11" spans="1:11" ht="20.25" hidden="1" customHeight="1" x14ac:dyDescent="0.2">
      <c r="A11" s="1722"/>
      <c r="B11" s="1724"/>
      <c r="C11" s="1426"/>
      <c r="D11" s="1054">
        <v>106220</v>
      </c>
      <c r="E11" s="1054">
        <v>106220</v>
      </c>
      <c r="F11" s="371">
        <v>0</v>
      </c>
      <c r="G11" s="371">
        <v>5250</v>
      </c>
      <c r="H11" s="371">
        <v>0</v>
      </c>
      <c r="I11" s="1726"/>
      <c r="J11" s="1323" t="s">
        <v>136</v>
      </c>
    </row>
    <row r="12" spans="1:11" ht="60" hidden="1" x14ac:dyDescent="0.2">
      <c r="A12" s="1324">
        <v>2</v>
      </c>
      <c r="B12" s="1458" t="s">
        <v>137</v>
      </c>
      <c r="C12" s="1458"/>
      <c r="D12" s="371">
        <f>8228-650</f>
        <v>7578</v>
      </c>
      <c r="E12" s="371">
        <v>7548</v>
      </c>
      <c r="F12" s="371">
        <v>0</v>
      </c>
      <c r="G12" s="371">
        <v>5240</v>
      </c>
      <c r="H12" s="371">
        <v>0</v>
      </c>
      <c r="I12" s="1354" t="s">
        <v>138</v>
      </c>
      <c r="J12" s="1325" t="s">
        <v>139</v>
      </c>
    </row>
    <row r="13" spans="1:11" hidden="1" x14ac:dyDescent="0.2">
      <c r="A13" s="1324">
        <v>3</v>
      </c>
      <c r="B13" s="1458" t="s">
        <v>140</v>
      </c>
      <c r="C13" s="1458"/>
      <c r="D13" s="371">
        <v>0</v>
      </c>
      <c r="E13" s="371">
        <v>0</v>
      </c>
      <c r="F13" s="371">
        <v>0</v>
      </c>
      <c r="G13" s="371">
        <v>5240</v>
      </c>
      <c r="H13" s="371">
        <v>0</v>
      </c>
      <c r="I13" s="1354"/>
      <c r="J13" s="1325" t="s">
        <v>141</v>
      </c>
    </row>
    <row r="14" spans="1:11" ht="69" customHeight="1" x14ac:dyDescent="0.2">
      <c r="A14" s="1735">
        <v>1</v>
      </c>
      <c r="B14" s="1741" t="s">
        <v>142</v>
      </c>
      <c r="C14" s="1742"/>
      <c r="D14" s="1054">
        <f>SUM(D15:D17)</f>
        <v>25479.919999999998</v>
      </c>
      <c r="E14" s="1054">
        <f>SUM(E15:E17)</f>
        <v>12925</v>
      </c>
      <c r="F14" s="1054">
        <f>SUM(F15:F17)</f>
        <v>62319</v>
      </c>
      <c r="G14" s="1326">
        <v>5250</v>
      </c>
      <c r="H14" s="691">
        <f t="shared" ref="H14" si="1">SUM(H15:H17)</f>
        <v>62319</v>
      </c>
      <c r="I14" s="1738" t="s">
        <v>143</v>
      </c>
      <c r="J14" s="420" t="s">
        <v>144</v>
      </c>
    </row>
    <row r="15" spans="1:11" ht="168" hidden="1" customHeight="1" x14ac:dyDescent="0.2">
      <c r="A15" s="1736"/>
      <c r="B15" s="1743"/>
      <c r="C15" s="1744"/>
      <c r="D15" s="172">
        <f>12554.96+12554.96</f>
        <v>25109.919999999998</v>
      </c>
      <c r="E15" s="1312">
        <v>12555</v>
      </c>
      <c r="F15" s="175">
        <v>50220</v>
      </c>
      <c r="G15" s="1360"/>
      <c r="H15" s="1312">
        <v>50220</v>
      </c>
      <c r="I15" s="1739"/>
      <c r="J15" s="1308" t="s">
        <v>145</v>
      </c>
    </row>
    <row r="16" spans="1:11" ht="24" hidden="1" customHeight="1" x14ac:dyDescent="0.2">
      <c r="A16" s="1736"/>
      <c r="B16" s="1743"/>
      <c r="C16" s="1744"/>
      <c r="D16" s="172">
        <v>0</v>
      </c>
      <c r="E16" s="1312">
        <v>0</v>
      </c>
      <c r="F16" s="175">
        <f>ROUND((9999*1.21),0)</f>
        <v>12099</v>
      </c>
      <c r="G16" s="1360"/>
      <c r="H16" s="1312">
        <v>12099</v>
      </c>
      <c r="I16" s="1739"/>
      <c r="J16" s="1308" t="s">
        <v>146</v>
      </c>
    </row>
    <row r="17" spans="1:10" ht="24" hidden="1" customHeight="1" x14ac:dyDescent="0.2">
      <c r="A17" s="1737"/>
      <c r="B17" s="1745"/>
      <c r="C17" s="1746"/>
      <c r="D17" s="172">
        <v>370</v>
      </c>
      <c r="E17" s="1312">
        <v>370</v>
      </c>
      <c r="F17" s="172">
        <v>0</v>
      </c>
      <c r="G17" s="1360">
        <v>5250</v>
      </c>
      <c r="H17" s="1312"/>
      <c r="I17" s="1740"/>
      <c r="J17" s="1308" t="s">
        <v>147</v>
      </c>
    </row>
    <row r="18" spans="1:10" x14ac:dyDescent="0.2">
      <c r="A18" s="1686"/>
      <c r="B18" s="1686"/>
      <c r="C18" s="1686"/>
      <c r="D18" s="1686"/>
      <c r="E18" s="1686"/>
      <c r="F18" s="1686"/>
      <c r="G18" s="1686"/>
      <c r="H18" s="1686"/>
      <c r="I18" s="1686"/>
      <c r="J18" s="1327"/>
    </row>
    <row r="19" spans="1:10" x14ac:dyDescent="0.2">
      <c r="A19" s="319" t="s">
        <v>123</v>
      </c>
      <c r="B19" s="319"/>
      <c r="C19" s="319" t="s">
        <v>148</v>
      </c>
      <c r="D19" s="319"/>
      <c r="E19" s="319"/>
      <c r="F19" s="319"/>
      <c r="G19" s="319"/>
      <c r="H19" s="319"/>
      <c r="I19" s="319"/>
      <c r="J19" s="1319"/>
    </row>
    <row r="20" spans="1:10" x14ac:dyDescent="0.2">
      <c r="A20" s="319" t="s">
        <v>125</v>
      </c>
      <c r="B20" s="319"/>
      <c r="C20" s="1460" t="s">
        <v>149</v>
      </c>
      <c r="D20" s="1460"/>
      <c r="E20" s="1460"/>
      <c r="F20" s="1460"/>
      <c r="G20" s="1460"/>
      <c r="H20" s="1460"/>
      <c r="I20" s="1460"/>
      <c r="J20" s="1319"/>
    </row>
    <row r="21" spans="1:10" ht="54.75" customHeight="1" x14ac:dyDescent="0.2">
      <c r="A21" s="1356" t="s">
        <v>1</v>
      </c>
      <c r="B21" s="1727" t="s">
        <v>127</v>
      </c>
      <c r="C21" s="1728"/>
      <c r="D21" s="1356" t="s">
        <v>14</v>
      </c>
      <c r="E21" s="1356" t="s">
        <v>12</v>
      </c>
      <c r="F21" s="1356" t="s">
        <v>128</v>
      </c>
      <c r="G21" s="1356" t="s">
        <v>129</v>
      </c>
      <c r="H21" s="1356" t="s">
        <v>130</v>
      </c>
      <c r="I21" s="1356" t="s">
        <v>11</v>
      </c>
      <c r="J21" s="1328" t="s">
        <v>131</v>
      </c>
    </row>
    <row r="22" spans="1:10" ht="15" customHeight="1" x14ac:dyDescent="0.2">
      <c r="A22" s="1729" t="s">
        <v>132</v>
      </c>
      <c r="B22" s="1730"/>
      <c r="C22" s="1731"/>
      <c r="D22" s="385">
        <f>D23+D27</f>
        <v>547385.32019999996</v>
      </c>
      <c r="E22" s="385">
        <f t="shared" ref="E22:H22" si="2">E23+E27</f>
        <v>287095</v>
      </c>
      <c r="F22" s="385">
        <f t="shared" si="2"/>
        <v>251452</v>
      </c>
      <c r="G22" s="385"/>
      <c r="H22" s="385">
        <f t="shared" si="2"/>
        <v>251452</v>
      </c>
      <c r="I22" s="385"/>
      <c r="J22" s="1322"/>
    </row>
    <row r="23" spans="1:10" ht="36" hidden="1" x14ac:dyDescent="0.2">
      <c r="A23" s="1408">
        <v>1</v>
      </c>
      <c r="B23" s="1741" t="s">
        <v>150</v>
      </c>
      <c r="C23" s="1742"/>
      <c r="D23" s="1054">
        <f>SUM(D24:D26)</f>
        <v>271839.9901</v>
      </c>
      <c r="E23" s="1054">
        <f>SUM(E24:E26)</f>
        <v>271840</v>
      </c>
      <c r="F23" s="1054">
        <f t="shared" ref="F23:H23" si="3">SUM(F24:F26)</f>
        <v>0</v>
      </c>
      <c r="G23" s="1054">
        <v>5240</v>
      </c>
      <c r="H23" s="1054">
        <f t="shared" si="3"/>
        <v>0</v>
      </c>
      <c r="I23" s="1738" t="s">
        <v>151</v>
      </c>
      <c r="J23" s="170" t="s">
        <v>152</v>
      </c>
    </row>
    <row r="24" spans="1:10" ht="66" hidden="1" customHeight="1" x14ac:dyDescent="0.2">
      <c r="A24" s="1384"/>
      <c r="B24" s="1384"/>
      <c r="C24" s="1384"/>
      <c r="D24" s="1309">
        <f>265595-9295</f>
        <v>256300</v>
      </c>
      <c r="E24" s="1309">
        <v>256300</v>
      </c>
      <c r="F24" s="1312">
        <v>0</v>
      </c>
      <c r="G24" s="172">
        <v>5240</v>
      </c>
      <c r="H24" s="1312"/>
      <c r="I24" s="1739"/>
      <c r="J24" s="1310" t="s">
        <v>153</v>
      </c>
    </row>
    <row r="25" spans="1:10" ht="48.75" hidden="1" customHeight="1" x14ac:dyDescent="0.2">
      <c r="A25" s="1384"/>
      <c r="B25" s="1384"/>
      <c r="C25" s="1384"/>
      <c r="D25" s="1309">
        <f>ROUNDDOWN((14000*1.21),2)-1400-0.0099</f>
        <v>15539.990100000001</v>
      </c>
      <c r="E25" s="1309">
        <v>15540</v>
      </c>
      <c r="F25" s="1312">
        <v>0</v>
      </c>
      <c r="G25" s="172">
        <v>5240</v>
      </c>
      <c r="H25" s="1312"/>
      <c r="I25" s="1739"/>
      <c r="J25" s="1322" t="s">
        <v>154</v>
      </c>
    </row>
    <row r="26" spans="1:10" ht="72.75" hidden="1" customHeight="1" x14ac:dyDescent="0.2">
      <c r="A26" s="1385"/>
      <c r="B26" s="1385"/>
      <c r="C26" s="1385"/>
      <c r="D26" s="172">
        <v>0</v>
      </c>
      <c r="E26" s="172">
        <v>0</v>
      </c>
      <c r="F26" s="1312">
        <v>0</v>
      </c>
      <c r="G26" s="172">
        <v>5240</v>
      </c>
      <c r="H26" s="1312"/>
      <c r="I26" s="1740"/>
      <c r="J26" s="1322" t="s">
        <v>155</v>
      </c>
    </row>
    <row r="27" spans="1:10" ht="62.25" customHeight="1" x14ac:dyDescent="0.2">
      <c r="A27" s="1405">
        <v>1</v>
      </c>
      <c r="B27" s="1747" t="s">
        <v>156</v>
      </c>
      <c r="C27" s="1748"/>
      <c r="D27" s="1054">
        <f>SUM(D28:D31)</f>
        <v>275545.33010000002</v>
      </c>
      <c r="E27" s="1054">
        <f>SUM(E28:E31)</f>
        <v>15255</v>
      </c>
      <c r="F27" s="1054">
        <f>SUM(F28:F31)</f>
        <v>251452</v>
      </c>
      <c r="G27" s="1054">
        <v>5240</v>
      </c>
      <c r="H27" s="691">
        <f>SUM(H28:H31)</f>
        <v>251452</v>
      </c>
      <c r="I27" s="1056" t="s">
        <v>157</v>
      </c>
      <c r="J27" s="1323" t="s">
        <v>158</v>
      </c>
    </row>
    <row r="28" spans="1:10" ht="195" hidden="1" customHeight="1" x14ac:dyDescent="0.2">
      <c r="A28" s="1384"/>
      <c r="B28" s="1384"/>
      <c r="C28" s="1377"/>
      <c r="D28" s="1311">
        <v>228690</v>
      </c>
      <c r="E28" s="172">
        <v>15255</v>
      </c>
      <c r="F28" s="1312">
        <v>212597</v>
      </c>
      <c r="G28" s="172"/>
      <c r="H28" s="1312">
        <v>212597</v>
      </c>
      <c r="I28" s="1461"/>
      <c r="J28" s="168" t="s">
        <v>159</v>
      </c>
    </row>
    <row r="29" spans="1:10" ht="144" hidden="1" x14ac:dyDescent="0.2">
      <c r="A29" s="1384"/>
      <c r="B29" s="1384"/>
      <c r="C29" s="1377"/>
      <c r="D29" s="1311">
        <f>ROUNDDOWN((18954*1.21),2)-0.0099</f>
        <v>22934.330099999999</v>
      </c>
      <c r="E29" s="172"/>
      <c r="F29" s="1312">
        <v>22934</v>
      </c>
      <c r="G29" s="1312"/>
      <c r="H29" s="1312">
        <v>22934</v>
      </c>
      <c r="I29" s="1461"/>
      <c r="J29" s="168" t="s">
        <v>160</v>
      </c>
    </row>
    <row r="30" spans="1:10" ht="48" hidden="1" x14ac:dyDescent="0.2">
      <c r="A30" s="1384"/>
      <c r="B30" s="1384"/>
      <c r="C30" s="1377"/>
      <c r="D30" s="1311">
        <v>15921</v>
      </c>
      <c r="E30" s="172"/>
      <c r="F30" s="1312">
        <v>15921</v>
      </c>
      <c r="G30" s="1312"/>
      <c r="H30" s="1312">
        <v>15921</v>
      </c>
      <c r="I30" s="1461"/>
      <c r="J30" s="168" t="s">
        <v>161</v>
      </c>
    </row>
    <row r="31" spans="1:10" ht="72" hidden="1" x14ac:dyDescent="0.2">
      <c r="A31" s="1385"/>
      <c r="B31" s="1385"/>
      <c r="C31" s="1378"/>
      <c r="D31" s="1311">
        <v>8000</v>
      </c>
      <c r="E31" s="172">
        <v>0</v>
      </c>
      <c r="F31" s="1312">
        <v>0</v>
      </c>
      <c r="G31" s="1312"/>
      <c r="H31" s="1312"/>
      <c r="I31" s="694"/>
      <c r="J31" s="1322" t="s">
        <v>162</v>
      </c>
    </row>
    <row r="32" spans="1:10" x14ac:dyDescent="0.2">
      <c r="B32" s="324"/>
      <c r="C32" s="324"/>
      <c r="D32" s="324"/>
      <c r="E32" s="324"/>
      <c r="F32" s="324"/>
      <c r="G32" s="324"/>
      <c r="H32" s="1329"/>
      <c r="I32" s="1329"/>
      <c r="J32" s="1327"/>
    </row>
    <row r="33" spans="1:10" x14ac:dyDescent="0.2">
      <c r="A33" s="319" t="s">
        <v>123</v>
      </c>
      <c r="B33" s="319"/>
      <c r="C33" s="319" t="s">
        <v>163</v>
      </c>
      <c r="D33" s="319"/>
      <c r="E33" s="319"/>
      <c r="F33" s="319"/>
      <c r="G33" s="319"/>
      <c r="H33" s="319"/>
      <c r="I33" s="319"/>
      <c r="J33" s="1319"/>
    </row>
    <row r="34" spans="1:10" x14ac:dyDescent="0.2">
      <c r="A34" s="319" t="s">
        <v>125</v>
      </c>
      <c r="B34" s="319"/>
      <c r="C34" s="1460" t="s">
        <v>164</v>
      </c>
      <c r="D34" s="1460"/>
      <c r="E34" s="1460"/>
      <c r="F34" s="1460"/>
      <c r="G34" s="1460"/>
      <c r="H34" s="1460"/>
      <c r="I34" s="1460"/>
      <c r="J34" s="1319"/>
    </row>
    <row r="35" spans="1:10" ht="54" customHeight="1" x14ac:dyDescent="0.2">
      <c r="A35" s="1356" t="s">
        <v>1</v>
      </c>
      <c r="B35" s="1727" t="s">
        <v>127</v>
      </c>
      <c r="C35" s="1728"/>
      <c r="D35" s="1356" t="s">
        <v>14</v>
      </c>
      <c r="E35" s="1356" t="s">
        <v>12</v>
      </c>
      <c r="F35" s="1356" t="s">
        <v>128</v>
      </c>
      <c r="G35" s="1356" t="s">
        <v>129</v>
      </c>
      <c r="H35" s="1356" t="s">
        <v>130</v>
      </c>
      <c r="I35" s="1356" t="s">
        <v>11</v>
      </c>
      <c r="J35" s="1328" t="s">
        <v>131</v>
      </c>
    </row>
    <row r="36" spans="1:10" ht="15" customHeight="1" x14ac:dyDescent="0.2">
      <c r="A36" s="1729" t="s">
        <v>132</v>
      </c>
      <c r="B36" s="1730"/>
      <c r="C36" s="1731"/>
      <c r="D36" s="385">
        <f>D37</f>
        <v>47488</v>
      </c>
      <c r="E36" s="385">
        <f t="shared" ref="E36:H36" si="4">E37</f>
        <v>9245</v>
      </c>
      <c r="F36" s="385">
        <f t="shared" si="4"/>
        <v>38243</v>
      </c>
      <c r="G36" s="385"/>
      <c r="H36" s="385">
        <f t="shared" si="4"/>
        <v>38243</v>
      </c>
      <c r="I36" s="385"/>
      <c r="J36" s="1322"/>
    </row>
    <row r="37" spans="1:10" ht="72" customHeight="1" x14ac:dyDescent="0.2">
      <c r="A37" s="1405">
        <v>1</v>
      </c>
      <c r="B37" s="1747" t="s">
        <v>165</v>
      </c>
      <c r="C37" s="1748"/>
      <c r="D37" s="1054">
        <f>SUM(D38:D42)</f>
        <v>47488</v>
      </c>
      <c r="E37" s="1054">
        <f t="shared" ref="E37:F37" si="5">SUM(E38:E42)</f>
        <v>9245</v>
      </c>
      <c r="F37" s="1054">
        <f t="shared" si="5"/>
        <v>38243</v>
      </c>
      <c r="G37" s="1054">
        <v>5250</v>
      </c>
      <c r="H37" s="691">
        <f t="shared" ref="H37" si="6">SUM(H38:H42)</f>
        <v>38243</v>
      </c>
      <c r="I37" s="1383" t="s">
        <v>166</v>
      </c>
      <c r="J37" s="420" t="s">
        <v>167</v>
      </c>
    </row>
    <row r="38" spans="1:10" ht="96" hidden="1" x14ac:dyDescent="0.2">
      <c r="A38" s="1384"/>
      <c r="B38" s="1384"/>
      <c r="C38" s="1377"/>
      <c r="D38" s="1463">
        <v>32065</v>
      </c>
      <c r="E38" s="1463"/>
      <c r="F38" s="1314">
        <v>32065</v>
      </c>
      <c r="G38" s="1314"/>
      <c r="H38" s="1314">
        <v>32065</v>
      </c>
      <c r="I38" s="1462"/>
      <c r="J38" s="1308" t="s">
        <v>168</v>
      </c>
    </row>
    <row r="39" spans="1:10" ht="96" hidden="1" x14ac:dyDescent="0.2">
      <c r="A39" s="1384"/>
      <c r="B39" s="1384"/>
      <c r="C39" s="1377"/>
      <c r="D39" s="175">
        <v>5808</v>
      </c>
      <c r="E39" s="175"/>
      <c r="F39" s="1312">
        <v>5808</v>
      </c>
      <c r="G39" s="1312"/>
      <c r="H39" s="1312">
        <v>5808</v>
      </c>
      <c r="I39" s="1462"/>
      <c r="J39" s="1308" t="s">
        <v>169</v>
      </c>
    </row>
    <row r="40" spans="1:10" ht="48" hidden="1" x14ac:dyDescent="0.2">
      <c r="A40" s="1384"/>
      <c r="B40" s="1384"/>
      <c r="C40" s="1377"/>
      <c r="D40" s="171">
        <v>9245</v>
      </c>
      <c r="E40" s="175">
        <v>9245</v>
      </c>
      <c r="F40" s="1312">
        <v>0</v>
      </c>
      <c r="G40" s="1312"/>
      <c r="H40" s="1312"/>
      <c r="I40" s="1462"/>
      <c r="J40" s="1308" t="s">
        <v>170</v>
      </c>
    </row>
    <row r="41" spans="1:10" ht="72" hidden="1" x14ac:dyDescent="0.2">
      <c r="A41" s="1384"/>
      <c r="B41" s="1384"/>
      <c r="C41" s="1377"/>
      <c r="D41" s="171">
        <v>370</v>
      </c>
      <c r="E41" s="175">
        <v>0</v>
      </c>
      <c r="F41" s="1312">
        <v>370</v>
      </c>
      <c r="G41" s="1312"/>
      <c r="H41" s="1312">
        <v>370</v>
      </c>
      <c r="I41" s="1462"/>
      <c r="J41" s="1308" t="s">
        <v>171</v>
      </c>
    </row>
    <row r="42" spans="1:10" ht="72" hidden="1" x14ac:dyDescent="0.2">
      <c r="A42" s="1385"/>
      <c r="B42" s="1385"/>
      <c r="C42" s="1378"/>
      <c r="D42" s="1309">
        <v>0</v>
      </c>
      <c r="E42" s="1309">
        <v>0</v>
      </c>
      <c r="F42" s="1311">
        <v>0</v>
      </c>
      <c r="G42" s="1312"/>
      <c r="H42" s="1311"/>
      <c r="I42" s="687"/>
      <c r="J42" s="1330" t="s">
        <v>172</v>
      </c>
    </row>
    <row r="43" spans="1:10" x14ac:dyDescent="0.2">
      <c r="A43" s="288"/>
      <c r="B43" s="288"/>
      <c r="C43" s="288"/>
      <c r="D43" s="1331"/>
      <c r="E43" s="1331"/>
      <c r="F43" s="313"/>
      <c r="G43" s="311"/>
      <c r="H43" s="313"/>
      <c r="I43" s="310"/>
      <c r="J43" s="1327"/>
    </row>
    <row r="44" spans="1:10" hidden="1" x14ac:dyDescent="0.2">
      <c r="A44" s="319" t="s">
        <v>123</v>
      </c>
      <c r="B44" s="319"/>
      <c r="C44" s="319" t="s">
        <v>173</v>
      </c>
      <c r="D44" s="319"/>
      <c r="E44" s="319"/>
      <c r="F44" s="319"/>
      <c r="G44" s="319"/>
      <c r="H44" s="319"/>
      <c r="I44" s="319"/>
      <c r="J44" s="1319"/>
    </row>
    <row r="45" spans="1:10" hidden="1" x14ac:dyDescent="0.2">
      <c r="A45" s="319" t="s">
        <v>125</v>
      </c>
      <c r="B45" s="319"/>
      <c r="C45" s="1460" t="s">
        <v>174</v>
      </c>
      <c r="D45" s="1460"/>
      <c r="E45" s="1460"/>
      <c r="F45" s="1460"/>
      <c r="G45" s="1460"/>
      <c r="H45" s="1460"/>
      <c r="I45" s="1460"/>
      <c r="J45" s="1319"/>
    </row>
    <row r="46" spans="1:10" ht="48" hidden="1" x14ac:dyDescent="0.2">
      <c r="A46" s="1356" t="s">
        <v>1</v>
      </c>
      <c r="B46" s="1358" t="s">
        <v>127</v>
      </c>
      <c r="C46" s="1429"/>
      <c r="D46" s="1356" t="s">
        <v>14</v>
      </c>
      <c r="E46" s="1356" t="s">
        <v>12</v>
      </c>
      <c r="F46" s="1356" t="s">
        <v>128</v>
      </c>
      <c r="G46" s="1356" t="s">
        <v>129</v>
      </c>
      <c r="H46" s="1356" t="s">
        <v>130</v>
      </c>
      <c r="I46" s="1356" t="s">
        <v>11</v>
      </c>
      <c r="J46" s="1328" t="s">
        <v>131</v>
      </c>
    </row>
    <row r="47" spans="1:10" hidden="1" x14ac:dyDescent="0.2">
      <c r="A47" s="1729" t="s">
        <v>132</v>
      </c>
      <c r="B47" s="1730"/>
      <c r="C47" s="1382"/>
      <c r="D47" s="385">
        <f>D48</f>
        <v>15161.2901</v>
      </c>
      <c r="E47" s="385">
        <f t="shared" ref="E47:H47" si="7">E48</f>
        <v>8735</v>
      </c>
      <c r="F47" s="385">
        <f t="shared" si="7"/>
        <v>0</v>
      </c>
      <c r="G47" s="385"/>
      <c r="H47" s="385">
        <f t="shared" si="7"/>
        <v>0</v>
      </c>
      <c r="I47" s="385"/>
      <c r="J47" s="1322"/>
    </row>
    <row r="48" spans="1:10" ht="48" hidden="1" customHeight="1" x14ac:dyDescent="0.2">
      <c r="A48" s="1749">
        <v>1</v>
      </c>
      <c r="B48" s="1751" t="s">
        <v>175</v>
      </c>
      <c r="C48" s="1376"/>
      <c r="D48" s="1054">
        <f>SUM(D49:D51)</f>
        <v>15161.2901</v>
      </c>
      <c r="E48" s="1054">
        <f t="shared" ref="E48:H48" si="8">SUM(E49:E51)</f>
        <v>8735</v>
      </c>
      <c r="F48" s="1054">
        <f t="shared" si="8"/>
        <v>0</v>
      </c>
      <c r="G48" s="1054">
        <v>5250</v>
      </c>
      <c r="H48" s="1054">
        <f t="shared" si="8"/>
        <v>0</v>
      </c>
      <c r="I48" s="1732" t="s">
        <v>176</v>
      </c>
      <c r="J48" s="1323" t="s">
        <v>177</v>
      </c>
    </row>
    <row r="49" spans="1:10" ht="123" hidden="1" customHeight="1" x14ac:dyDescent="0.2">
      <c r="A49" s="1753"/>
      <c r="B49" s="1754"/>
      <c r="C49" s="1377"/>
      <c r="D49" s="175">
        <f>ROUNDDOWN((530*1.21),2)-0.0099</f>
        <v>641.29009999999994</v>
      </c>
      <c r="E49" s="175">
        <v>641</v>
      </c>
      <c r="F49" s="1332">
        <v>0</v>
      </c>
      <c r="G49" s="1332"/>
      <c r="H49" s="1312"/>
      <c r="I49" s="1733"/>
      <c r="J49" s="1322" t="s">
        <v>178</v>
      </c>
    </row>
    <row r="50" spans="1:10" ht="108" hidden="1" x14ac:dyDescent="0.2">
      <c r="A50" s="1753"/>
      <c r="B50" s="1754"/>
      <c r="C50" s="1377"/>
      <c r="D50" s="171">
        <f>14520-325</f>
        <v>14195</v>
      </c>
      <c r="E50" s="175">
        <v>7769</v>
      </c>
      <c r="F50" s="1332">
        <v>0</v>
      </c>
      <c r="G50" s="1332"/>
      <c r="H50" s="1312"/>
      <c r="I50" s="1733"/>
      <c r="J50" s="1322" t="s">
        <v>179</v>
      </c>
    </row>
    <row r="51" spans="1:10" ht="72" hidden="1" x14ac:dyDescent="0.2">
      <c r="A51" s="1750"/>
      <c r="B51" s="1752"/>
      <c r="C51" s="1378"/>
      <c r="D51" s="171">
        <v>325</v>
      </c>
      <c r="E51" s="175">
        <v>325</v>
      </c>
      <c r="F51" s="1332">
        <v>0</v>
      </c>
      <c r="G51" s="1332"/>
      <c r="H51" s="1332"/>
      <c r="I51" s="1734"/>
      <c r="J51" s="1322" t="s">
        <v>180</v>
      </c>
    </row>
    <row r="52" spans="1:10" hidden="1" x14ac:dyDescent="0.2">
      <c r="A52" s="337"/>
      <c r="B52" s="1357"/>
      <c r="C52" s="1415"/>
      <c r="D52" s="1361"/>
      <c r="E52" s="1361"/>
      <c r="F52" s="311"/>
      <c r="G52" s="311"/>
      <c r="H52" s="311"/>
      <c r="I52" s="311"/>
      <c r="J52" s="1333"/>
    </row>
    <row r="53" spans="1:10" x14ac:dyDescent="0.2">
      <c r="A53" s="319" t="s">
        <v>123</v>
      </c>
      <c r="B53" s="319"/>
      <c r="C53" s="319" t="s">
        <v>925</v>
      </c>
      <c r="D53" s="319"/>
      <c r="E53" s="319"/>
      <c r="F53" s="319"/>
      <c r="G53" s="319"/>
      <c r="H53" s="319"/>
      <c r="I53" s="319"/>
      <c r="J53" s="1319"/>
    </row>
    <row r="54" spans="1:10" x14ac:dyDescent="0.2">
      <c r="A54" s="319" t="s">
        <v>125</v>
      </c>
      <c r="B54" s="319"/>
      <c r="C54" s="1460" t="s">
        <v>181</v>
      </c>
      <c r="D54" s="1460"/>
      <c r="E54" s="1460"/>
      <c r="F54" s="1460"/>
      <c r="G54" s="1460"/>
      <c r="H54" s="1460"/>
      <c r="I54" s="1460"/>
      <c r="J54" s="1319"/>
    </row>
    <row r="55" spans="1:10" ht="48" x14ac:dyDescent="0.2">
      <c r="A55" s="1356" t="s">
        <v>1</v>
      </c>
      <c r="B55" s="1727" t="s">
        <v>127</v>
      </c>
      <c r="C55" s="1728"/>
      <c r="D55" s="1356" t="s">
        <v>14</v>
      </c>
      <c r="E55" s="1356" t="s">
        <v>12</v>
      </c>
      <c r="F55" s="1356" t="s">
        <v>128</v>
      </c>
      <c r="G55" s="1356" t="s">
        <v>129</v>
      </c>
      <c r="H55" s="1356" t="s">
        <v>130</v>
      </c>
      <c r="I55" s="1356" t="s">
        <v>11</v>
      </c>
      <c r="J55" s="1328" t="s">
        <v>131</v>
      </c>
    </row>
    <row r="56" spans="1:10" ht="15" customHeight="1" x14ac:dyDescent="0.2">
      <c r="A56" s="1729" t="s">
        <v>132</v>
      </c>
      <c r="B56" s="1730"/>
      <c r="C56" s="1731"/>
      <c r="D56" s="385">
        <f>D57+D62</f>
        <v>82165.990099999995</v>
      </c>
      <c r="E56" s="385">
        <f>E57+E62</f>
        <v>363</v>
      </c>
      <c r="F56" s="385">
        <f>F57+F62</f>
        <v>60257.990099999995</v>
      </c>
      <c r="G56" s="385"/>
      <c r="H56" s="385">
        <f>H57+H62</f>
        <v>60258</v>
      </c>
      <c r="I56" s="385"/>
      <c r="J56" s="1322"/>
    </row>
    <row r="57" spans="1:10" ht="60.75" customHeight="1" x14ac:dyDescent="0.2">
      <c r="A57" s="1405">
        <v>1</v>
      </c>
      <c r="B57" s="1747" t="s">
        <v>182</v>
      </c>
      <c r="C57" s="1748"/>
      <c r="D57" s="1054">
        <f>D58</f>
        <v>60621</v>
      </c>
      <c r="E57" s="1054">
        <f>E58</f>
        <v>363</v>
      </c>
      <c r="F57" s="1054">
        <f>F58</f>
        <v>60258</v>
      </c>
      <c r="G57" s="1054">
        <v>5250</v>
      </c>
      <c r="H57" s="1054">
        <f>H58</f>
        <v>60258</v>
      </c>
      <c r="I57" s="1383" t="s">
        <v>183</v>
      </c>
      <c r="J57" s="420" t="s">
        <v>184</v>
      </c>
    </row>
    <row r="58" spans="1:10" ht="24" hidden="1" x14ac:dyDescent="0.2">
      <c r="A58" s="1384"/>
      <c r="B58" s="1384"/>
      <c r="C58" s="1377"/>
      <c r="D58" s="301">
        <f>D59+D60+D61</f>
        <v>60621</v>
      </c>
      <c r="E58" s="301">
        <f>E59+E60+E61</f>
        <v>363</v>
      </c>
      <c r="F58" s="301">
        <f>F59+F60+F61</f>
        <v>60258</v>
      </c>
      <c r="G58" s="301"/>
      <c r="H58" s="301">
        <f>H59+H60+H61</f>
        <v>60258</v>
      </c>
      <c r="I58" s="1407"/>
      <c r="J58" s="1308" t="s">
        <v>3347</v>
      </c>
    </row>
    <row r="59" spans="1:10" ht="288" hidden="1" x14ac:dyDescent="0.2">
      <c r="A59" s="1384"/>
      <c r="B59" s="1384"/>
      <c r="C59" s="1377"/>
      <c r="D59" s="175">
        <f>34364+8591</f>
        <v>42955</v>
      </c>
      <c r="E59" s="175">
        <v>0</v>
      </c>
      <c r="F59" s="1332">
        <v>42955</v>
      </c>
      <c r="G59" s="1332"/>
      <c r="H59" s="1332">
        <v>42955</v>
      </c>
      <c r="I59" s="1407"/>
      <c r="J59" s="1308" t="s">
        <v>185</v>
      </c>
    </row>
    <row r="60" spans="1:10" ht="96" hidden="1" x14ac:dyDescent="0.2">
      <c r="A60" s="1384"/>
      <c r="B60" s="1384"/>
      <c r="C60" s="1377"/>
      <c r="D60" s="175">
        <v>17303</v>
      </c>
      <c r="E60" s="175">
        <v>0</v>
      </c>
      <c r="F60" s="1332">
        <f>D60</f>
        <v>17303</v>
      </c>
      <c r="G60" s="1332"/>
      <c r="H60" s="1332">
        <v>17303</v>
      </c>
      <c r="I60" s="1407"/>
      <c r="J60" s="1308" t="s">
        <v>186</v>
      </c>
    </row>
    <row r="61" spans="1:10" ht="48" hidden="1" x14ac:dyDescent="0.2">
      <c r="A61" s="1385"/>
      <c r="B61" s="1385"/>
      <c r="C61" s="1378"/>
      <c r="D61" s="175">
        <v>363</v>
      </c>
      <c r="E61" s="175">
        <v>363</v>
      </c>
      <c r="F61" s="1332"/>
      <c r="G61" s="1332"/>
      <c r="H61" s="1332"/>
      <c r="I61" s="1407"/>
      <c r="J61" s="1308" t="s">
        <v>187</v>
      </c>
    </row>
    <row r="62" spans="1:10" ht="120" hidden="1" x14ac:dyDescent="0.2">
      <c r="A62" s="1749">
        <v>2</v>
      </c>
      <c r="B62" s="1751" t="s">
        <v>188</v>
      </c>
      <c r="C62" s="1376"/>
      <c r="D62" s="1326">
        <f>SUM(D63:D65)</f>
        <v>21544.990099999999</v>
      </c>
      <c r="E62" s="1326">
        <f t="shared" ref="E62:H62" si="9">SUM(E63:E65)</f>
        <v>0</v>
      </c>
      <c r="F62" s="1326">
        <f t="shared" si="9"/>
        <v>-9.9000000009255018E-3</v>
      </c>
      <c r="G62" s="1326">
        <v>5250</v>
      </c>
      <c r="H62" s="1326">
        <f t="shared" si="9"/>
        <v>0</v>
      </c>
      <c r="I62" s="1732" t="s">
        <v>189</v>
      </c>
      <c r="J62" s="420" t="s">
        <v>190</v>
      </c>
    </row>
    <row r="63" spans="1:10" ht="36" hidden="1" x14ac:dyDescent="0.2">
      <c r="A63" s="1753"/>
      <c r="B63" s="1754"/>
      <c r="C63" s="1377"/>
      <c r="D63" s="1362">
        <f>18150-0.0099</f>
        <v>18149.990099999999</v>
      </c>
      <c r="E63" s="1362">
        <v>0</v>
      </c>
      <c r="F63" s="735">
        <f>D63-E63-18150</f>
        <v>-9.9000000009255018E-3</v>
      </c>
      <c r="G63" s="735"/>
      <c r="H63" s="735"/>
      <c r="I63" s="1733"/>
      <c r="J63" s="1308" t="s">
        <v>191</v>
      </c>
    </row>
    <row r="64" spans="1:10" ht="72" hidden="1" x14ac:dyDescent="0.2">
      <c r="A64" s="1753"/>
      <c r="B64" s="1754"/>
      <c r="C64" s="1377"/>
      <c r="D64" s="1362">
        <v>3025</v>
      </c>
      <c r="E64" s="1362">
        <v>0</v>
      </c>
      <c r="F64" s="735">
        <v>0</v>
      </c>
      <c r="G64" s="735"/>
      <c r="H64" s="735"/>
      <c r="I64" s="1733"/>
      <c r="J64" s="1308" t="s">
        <v>192</v>
      </c>
    </row>
    <row r="65" spans="1:11" ht="24" hidden="1" x14ac:dyDescent="0.2">
      <c r="A65" s="1750"/>
      <c r="B65" s="1752"/>
      <c r="C65" s="1378"/>
      <c r="D65" s="1362">
        <v>370</v>
      </c>
      <c r="E65" s="1362">
        <v>0</v>
      </c>
      <c r="F65" s="735">
        <f>370-370</f>
        <v>0</v>
      </c>
      <c r="G65" s="735"/>
      <c r="H65" s="735"/>
      <c r="I65" s="1734"/>
      <c r="J65" s="1308" t="s">
        <v>193</v>
      </c>
    </row>
    <row r="66" spans="1:11" x14ac:dyDescent="0.2">
      <c r="A66" s="337"/>
      <c r="B66" s="1357"/>
      <c r="C66" s="1415"/>
      <c r="D66" s="1363"/>
      <c r="E66" s="1363"/>
      <c r="F66" s="311"/>
      <c r="G66" s="311"/>
      <c r="H66" s="311"/>
      <c r="I66" s="310"/>
      <c r="J66" s="1313"/>
    </row>
    <row r="67" spans="1:11" x14ac:dyDescent="0.2">
      <c r="A67" s="319" t="s">
        <v>123</v>
      </c>
      <c r="B67" s="319"/>
      <c r="C67" s="319" t="s">
        <v>194</v>
      </c>
      <c r="D67" s="319"/>
      <c r="E67" s="319"/>
      <c r="F67" s="319"/>
      <c r="G67" s="319"/>
      <c r="H67" s="319"/>
      <c r="I67" s="319"/>
      <c r="J67" s="1319"/>
    </row>
    <row r="68" spans="1:11" x14ac:dyDescent="0.2">
      <c r="A68" s="319" t="s">
        <v>125</v>
      </c>
      <c r="B68" s="319"/>
      <c r="C68" s="1460" t="s">
        <v>195</v>
      </c>
      <c r="D68" s="1460"/>
      <c r="E68" s="1460"/>
      <c r="F68" s="1460"/>
      <c r="G68" s="1460"/>
      <c r="H68" s="1460"/>
      <c r="I68" s="1460"/>
      <c r="J68" s="1319"/>
    </row>
    <row r="69" spans="1:11" ht="48" x14ac:dyDescent="0.2">
      <c r="A69" s="1356" t="s">
        <v>1</v>
      </c>
      <c r="B69" s="1727" t="s">
        <v>127</v>
      </c>
      <c r="C69" s="1728"/>
      <c r="D69" s="1356" t="s">
        <v>14</v>
      </c>
      <c r="E69" s="1356" t="s">
        <v>12</v>
      </c>
      <c r="F69" s="1356" t="s">
        <v>128</v>
      </c>
      <c r="G69" s="1356" t="s">
        <v>129</v>
      </c>
      <c r="H69" s="1356" t="s">
        <v>130</v>
      </c>
      <c r="I69" s="1356" t="s">
        <v>11</v>
      </c>
      <c r="J69" s="1328" t="s">
        <v>131</v>
      </c>
    </row>
    <row r="70" spans="1:11" ht="15" customHeight="1" x14ac:dyDescent="0.2">
      <c r="A70" s="1729" t="s">
        <v>132</v>
      </c>
      <c r="B70" s="1730"/>
      <c r="C70" s="1731"/>
      <c r="D70" s="385">
        <f t="shared" ref="D70:E70" si="10">D71+D75+D85+D92+D94</f>
        <v>198500.9901</v>
      </c>
      <c r="E70" s="385">
        <f t="shared" si="10"/>
        <v>45578</v>
      </c>
      <c r="F70" s="385">
        <f>F71+F75+F85+F92+F94</f>
        <v>4311683</v>
      </c>
      <c r="G70" s="385"/>
      <c r="H70" s="385">
        <f>H71+H75+H85+H92+H94</f>
        <v>4049283</v>
      </c>
      <c r="I70" s="385"/>
      <c r="J70" s="1322"/>
    </row>
    <row r="71" spans="1:11" ht="60" hidden="1" x14ac:dyDescent="0.2">
      <c r="A71" s="1749">
        <v>1</v>
      </c>
      <c r="B71" s="1751" t="s">
        <v>196</v>
      </c>
      <c r="C71" s="1376"/>
      <c r="D71" s="1326">
        <f>SUM(D72:D74)</f>
        <v>43197</v>
      </c>
      <c r="E71" s="1326">
        <f t="shared" ref="E71:F71" si="11">SUM(E72:E74)</f>
        <v>43197</v>
      </c>
      <c r="F71" s="1326">
        <f t="shared" si="11"/>
        <v>0</v>
      </c>
      <c r="G71" s="1326">
        <v>5250</v>
      </c>
      <c r="H71" s="1326">
        <f t="shared" ref="H71" si="12">SUM(H72:H74)</f>
        <v>0</v>
      </c>
      <c r="I71" s="1732" t="s">
        <v>197</v>
      </c>
      <c r="J71" s="420" t="s">
        <v>198</v>
      </c>
    </row>
    <row r="72" spans="1:11" ht="84" hidden="1" x14ac:dyDescent="0.2">
      <c r="A72" s="1753"/>
      <c r="B72" s="1754"/>
      <c r="C72" s="1377"/>
      <c r="D72" s="171">
        <f>32065-6413</f>
        <v>25652</v>
      </c>
      <c r="E72" s="175">
        <f>32065-6413</f>
        <v>25652</v>
      </c>
      <c r="F72" s="1332">
        <v>0</v>
      </c>
      <c r="G72" s="175"/>
      <c r="H72" s="1332"/>
      <c r="I72" s="1733"/>
      <c r="J72" s="168" t="s">
        <v>199</v>
      </c>
    </row>
    <row r="73" spans="1:11" ht="36" hidden="1" x14ac:dyDescent="0.2">
      <c r="A73" s="1753"/>
      <c r="B73" s="1754"/>
      <c r="C73" s="1377"/>
      <c r="D73" s="171">
        <v>17545</v>
      </c>
      <c r="E73" s="175">
        <v>17545</v>
      </c>
      <c r="F73" s="1332">
        <v>0</v>
      </c>
      <c r="G73" s="1332"/>
      <c r="H73" s="1332"/>
      <c r="I73" s="1733"/>
      <c r="J73" s="168" t="s">
        <v>200</v>
      </c>
    </row>
    <row r="74" spans="1:11" ht="72" hidden="1" x14ac:dyDescent="0.2">
      <c r="A74" s="1750"/>
      <c r="B74" s="1752"/>
      <c r="C74" s="1378"/>
      <c r="D74" s="171">
        <v>0</v>
      </c>
      <c r="E74" s="175">
        <v>0</v>
      </c>
      <c r="F74" s="1332">
        <v>0</v>
      </c>
      <c r="G74" s="1332"/>
      <c r="H74" s="1332"/>
      <c r="I74" s="1734"/>
      <c r="J74" s="168" t="s">
        <v>201</v>
      </c>
    </row>
    <row r="75" spans="1:11" ht="108" customHeight="1" x14ac:dyDescent="0.2">
      <c r="A75" s="1735">
        <v>1</v>
      </c>
      <c r="B75" s="1766" t="s">
        <v>202</v>
      </c>
      <c r="C75" s="1767"/>
      <c r="D75" s="1054">
        <f>SUM(D76:D84)</f>
        <v>134533.9901</v>
      </c>
      <c r="E75" s="1054">
        <f>SUM(E76:E84)</f>
        <v>2018</v>
      </c>
      <c r="F75" s="1054">
        <f>SUM(F76:F84)</f>
        <v>1034295</v>
      </c>
      <c r="G75" s="371">
        <v>5240</v>
      </c>
      <c r="H75" s="371">
        <f>SUM(H76:H84)</f>
        <v>1034295</v>
      </c>
      <c r="I75" s="1732" t="s">
        <v>203</v>
      </c>
      <c r="J75" s="1364" t="s">
        <v>3340</v>
      </c>
    </row>
    <row r="76" spans="1:11" ht="192" hidden="1" customHeight="1" x14ac:dyDescent="0.2">
      <c r="A76" s="1736"/>
      <c r="B76" s="1768"/>
      <c r="C76" s="1769"/>
      <c r="D76" s="1312">
        <v>104496</v>
      </c>
      <c r="E76" s="1365">
        <v>0</v>
      </c>
      <c r="F76" s="1314">
        <v>66809</v>
      </c>
      <c r="G76" s="1314"/>
      <c r="H76" s="1314">
        <v>66809</v>
      </c>
      <c r="I76" s="1733"/>
      <c r="J76" s="1359" t="s">
        <v>3348</v>
      </c>
      <c r="K76" s="1315"/>
    </row>
    <row r="77" spans="1:11" ht="168" hidden="1" customHeight="1" x14ac:dyDescent="0.2">
      <c r="A77" s="1736"/>
      <c r="B77" s="1768"/>
      <c r="C77" s="1769"/>
      <c r="D77" s="1312">
        <f>ROUNDDOWN((14000*1.21),0)+6112-0.0099</f>
        <v>23051.990099999999</v>
      </c>
      <c r="E77" s="1365">
        <v>0</v>
      </c>
      <c r="F77" s="1314">
        <v>6515</v>
      </c>
      <c r="G77" s="1314"/>
      <c r="H77" s="1314">
        <v>6515</v>
      </c>
      <c r="I77" s="1733"/>
      <c r="J77" s="1359" t="s">
        <v>3349</v>
      </c>
      <c r="K77" s="1315"/>
    </row>
    <row r="78" spans="1:11" ht="60" hidden="1" customHeight="1" x14ac:dyDescent="0.2">
      <c r="A78" s="1736"/>
      <c r="B78" s="1768"/>
      <c r="C78" s="1769"/>
      <c r="D78" s="1312">
        <v>370</v>
      </c>
      <c r="E78" s="1365">
        <v>363</v>
      </c>
      <c r="F78" s="1314">
        <v>0</v>
      </c>
      <c r="G78" s="1314"/>
      <c r="H78" s="1314"/>
      <c r="I78" s="1733"/>
      <c r="J78" s="1359" t="s">
        <v>3341</v>
      </c>
    </row>
    <row r="79" spans="1:11" ht="96" hidden="1" customHeight="1" x14ac:dyDescent="0.2">
      <c r="A79" s="1736"/>
      <c r="B79" s="1768"/>
      <c r="C79" s="1769"/>
      <c r="D79" s="1314">
        <v>4961</v>
      </c>
      <c r="E79" s="1365">
        <v>0</v>
      </c>
      <c r="F79" s="1314">
        <v>0</v>
      </c>
      <c r="G79" s="1314"/>
      <c r="H79" s="1314">
        <v>0</v>
      </c>
      <c r="I79" s="1733"/>
      <c r="J79" s="1359" t="s">
        <v>3350</v>
      </c>
    </row>
    <row r="80" spans="1:11" ht="62.25" hidden="1" customHeight="1" x14ac:dyDescent="0.2">
      <c r="A80" s="1736"/>
      <c r="B80" s="1768"/>
      <c r="C80" s="1769"/>
      <c r="D80" s="1314">
        <v>1425</v>
      </c>
      <c r="E80" s="1365">
        <v>1425</v>
      </c>
      <c r="F80" s="1314"/>
      <c r="G80" s="1314"/>
      <c r="H80" s="1314"/>
      <c r="I80" s="1733"/>
      <c r="J80" s="1359" t="s">
        <v>3342</v>
      </c>
    </row>
    <row r="81" spans="1:11" ht="12.75" hidden="1" customHeight="1" x14ac:dyDescent="0.2">
      <c r="A81" s="1736"/>
      <c r="B81" s="1768"/>
      <c r="C81" s="1769"/>
      <c r="D81" s="1314">
        <v>230</v>
      </c>
      <c r="E81" s="1365">
        <v>230</v>
      </c>
      <c r="F81" s="1314"/>
      <c r="G81" s="1314"/>
      <c r="H81" s="1314"/>
      <c r="I81" s="1733"/>
      <c r="J81" s="1359" t="s">
        <v>3343</v>
      </c>
    </row>
    <row r="82" spans="1:11" ht="156" hidden="1" customHeight="1" x14ac:dyDescent="0.2">
      <c r="A82" s="1736"/>
      <c r="B82" s="1768"/>
      <c r="C82" s="1769"/>
      <c r="D82" s="1314"/>
      <c r="E82" s="1365"/>
      <c r="F82" s="1314">
        <v>937505</v>
      </c>
      <c r="G82" s="1314"/>
      <c r="H82" s="1314">
        <v>937505</v>
      </c>
      <c r="I82" s="1733"/>
      <c r="J82" s="1359" t="s">
        <v>3351</v>
      </c>
      <c r="K82" s="1315"/>
    </row>
    <row r="83" spans="1:11" ht="168" hidden="1" customHeight="1" x14ac:dyDescent="0.2">
      <c r="A83" s="1736"/>
      <c r="B83" s="1768"/>
      <c r="C83" s="1769"/>
      <c r="D83" s="1314"/>
      <c r="E83" s="1365"/>
      <c r="F83" s="1314">
        <v>18750</v>
      </c>
      <c r="G83" s="1314"/>
      <c r="H83" s="1314">
        <v>18750</v>
      </c>
      <c r="I83" s="1733"/>
      <c r="J83" s="1359" t="s">
        <v>3352</v>
      </c>
      <c r="K83" s="1315"/>
    </row>
    <row r="84" spans="1:11" ht="156" hidden="1" customHeight="1" x14ac:dyDescent="0.2">
      <c r="A84" s="1736"/>
      <c r="B84" s="1768"/>
      <c r="C84" s="1769"/>
      <c r="D84" s="1316">
        <v>0</v>
      </c>
      <c r="E84" s="1366">
        <v>0</v>
      </c>
      <c r="F84" s="1316">
        <v>4716</v>
      </c>
      <c r="G84" s="1316"/>
      <c r="H84" s="1316">
        <v>4716</v>
      </c>
      <c r="I84" s="1733"/>
      <c r="J84" s="1359" t="s">
        <v>3353</v>
      </c>
      <c r="K84" s="1315"/>
    </row>
    <row r="85" spans="1:11" ht="27.75" customHeight="1" x14ac:dyDescent="0.2">
      <c r="A85" s="1737"/>
      <c r="B85" s="1770"/>
      <c r="C85" s="1771"/>
      <c r="D85" s="1464">
        <f t="shared" ref="D85:E85" si="13">SUM(D86:D91)</f>
        <v>0</v>
      </c>
      <c r="E85" s="1464">
        <f t="shared" si="13"/>
        <v>0</v>
      </c>
      <c r="F85" s="1464">
        <f>SUM(F86:F91)</f>
        <v>3014988</v>
      </c>
      <c r="G85" s="1464">
        <v>5250</v>
      </c>
      <c r="H85" s="1464">
        <f>SUM(H86:H91)</f>
        <v>3014988</v>
      </c>
      <c r="I85" s="1734"/>
      <c r="J85" s="1367" t="s">
        <v>3344</v>
      </c>
      <c r="K85" s="1315"/>
    </row>
    <row r="86" spans="1:11" ht="133.5" hidden="1" customHeight="1" x14ac:dyDescent="0.2">
      <c r="A86" s="1384"/>
      <c r="B86" s="1384"/>
      <c r="C86" s="1377"/>
      <c r="D86" s="1316"/>
      <c r="E86" s="1366"/>
      <c r="F86" s="1316">
        <v>194430</v>
      </c>
      <c r="G86" s="1316"/>
      <c r="H86" s="1316">
        <v>194430</v>
      </c>
      <c r="I86" s="1355"/>
      <c r="J86" s="1359" t="s">
        <v>3345</v>
      </c>
      <c r="K86" s="1315"/>
    </row>
    <row r="87" spans="1:11" ht="177" hidden="1" customHeight="1" x14ac:dyDescent="0.2">
      <c r="A87" s="1384"/>
      <c r="B87" s="1384"/>
      <c r="C87" s="1377"/>
      <c r="D87" s="1316"/>
      <c r="E87" s="1366"/>
      <c r="F87" s="1316">
        <v>18959</v>
      </c>
      <c r="G87" s="1316"/>
      <c r="H87" s="1316">
        <v>18959</v>
      </c>
      <c r="I87" s="1355"/>
      <c r="J87" s="1359" t="s">
        <v>3349</v>
      </c>
      <c r="K87" s="1315"/>
    </row>
    <row r="88" spans="1:11" ht="98.25" hidden="1" customHeight="1" x14ac:dyDescent="0.2">
      <c r="A88" s="1384"/>
      <c r="B88" s="1384"/>
      <c r="C88" s="1377"/>
      <c r="D88" s="1316"/>
      <c r="E88" s="1366"/>
      <c r="F88" s="1316">
        <v>4961</v>
      </c>
      <c r="G88" s="1316"/>
      <c r="H88" s="1316">
        <v>4961</v>
      </c>
      <c r="I88" s="1355"/>
      <c r="J88" s="1359" t="s">
        <v>3346</v>
      </c>
      <c r="K88" s="1315"/>
    </row>
    <row r="89" spans="1:11" ht="176.25" hidden="1" customHeight="1" x14ac:dyDescent="0.2">
      <c r="A89" s="1384"/>
      <c r="B89" s="1384"/>
      <c r="C89" s="1377"/>
      <c r="D89" s="1316"/>
      <c r="E89" s="1366"/>
      <c r="F89" s="1316">
        <v>2728346</v>
      </c>
      <c r="G89" s="1316"/>
      <c r="H89" s="1316">
        <v>2728346</v>
      </c>
      <c r="I89" s="1355"/>
      <c r="J89" s="1359" t="s">
        <v>3351</v>
      </c>
      <c r="K89" s="1315"/>
    </row>
    <row r="90" spans="1:11" ht="179.25" hidden="1" customHeight="1" x14ac:dyDescent="0.2">
      <c r="A90" s="1384"/>
      <c r="B90" s="1384"/>
      <c r="C90" s="1377"/>
      <c r="D90" s="1316"/>
      <c r="E90" s="1366"/>
      <c r="F90" s="1316">
        <v>54567</v>
      </c>
      <c r="G90" s="1316"/>
      <c r="H90" s="1316">
        <v>54567</v>
      </c>
      <c r="I90" s="1355"/>
      <c r="J90" s="1359" t="s">
        <v>3352</v>
      </c>
      <c r="K90" s="1315"/>
    </row>
    <row r="91" spans="1:11" ht="156.75" hidden="1" customHeight="1" x14ac:dyDescent="0.2">
      <c r="A91" s="1385"/>
      <c r="B91" s="1385"/>
      <c r="C91" s="1377"/>
      <c r="D91" s="1316"/>
      <c r="E91" s="1366"/>
      <c r="F91" s="1316">
        <v>13725</v>
      </c>
      <c r="G91" s="1316"/>
      <c r="H91" s="1316">
        <v>13725</v>
      </c>
      <c r="I91" s="1355"/>
      <c r="J91" s="1359" t="s">
        <v>3353</v>
      </c>
      <c r="K91" s="1315"/>
    </row>
    <row r="92" spans="1:11" ht="60" hidden="1" x14ac:dyDescent="0.2">
      <c r="A92" s="1749">
        <v>3</v>
      </c>
      <c r="B92" s="1751" t="s">
        <v>204</v>
      </c>
      <c r="C92" s="1376"/>
      <c r="D92" s="1326">
        <f>SUM(D93)</f>
        <v>370</v>
      </c>
      <c r="E92" s="1326">
        <f>SUM(E93)</f>
        <v>363</v>
      </c>
      <c r="F92" s="1326">
        <f t="shared" ref="F92:H92" si="14">SUM(F93)</f>
        <v>0</v>
      </c>
      <c r="G92" s="1326">
        <v>5250</v>
      </c>
      <c r="H92" s="1326">
        <f t="shared" si="14"/>
        <v>0</v>
      </c>
      <c r="I92" s="1732" t="s">
        <v>205</v>
      </c>
      <c r="J92" s="420" t="s">
        <v>206</v>
      </c>
      <c r="K92" s="1315"/>
    </row>
    <row r="93" spans="1:11" ht="24" hidden="1" x14ac:dyDescent="0.2">
      <c r="A93" s="1750"/>
      <c r="B93" s="1752"/>
      <c r="C93" s="1378"/>
      <c r="D93" s="175">
        <v>370</v>
      </c>
      <c r="E93" s="175">
        <v>363</v>
      </c>
      <c r="F93" s="1332"/>
      <c r="G93" s="1332"/>
      <c r="H93" s="1332"/>
      <c r="I93" s="1734"/>
      <c r="J93" s="1308" t="s">
        <v>193</v>
      </c>
    </row>
    <row r="94" spans="1:11" ht="24" hidden="1" x14ac:dyDescent="0.2">
      <c r="A94" s="1749">
        <v>4</v>
      </c>
      <c r="B94" s="1751" t="s">
        <v>207</v>
      </c>
      <c r="C94" s="1376"/>
      <c r="D94" s="1326">
        <f>SUM(D95:D98)</f>
        <v>20400</v>
      </c>
      <c r="E94" s="1326">
        <f t="shared" ref="E94" si="15">SUM(E95:E98)</f>
        <v>0</v>
      </c>
      <c r="F94" s="1326">
        <f>SUM(F95:F98)</f>
        <v>262400</v>
      </c>
      <c r="G94" s="1326">
        <v>5250</v>
      </c>
      <c r="H94" s="1326">
        <f t="shared" ref="H94" si="16">SUM(H95:H98)</f>
        <v>0</v>
      </c>
      <c r="I94" s="1732" t="s">
        <v>208</v>
      </c>
      <c r="J94" s="420" t="s">
        <v>184</v>
      </c>
    </row>
    <row r="95" spans="1:11" ht="96" hidden="1" x14ac:dyDescent="0.2">
      <c r="A95" s="1753"/>
      <c r="B95" s="1754"/>
      <c r="C95" s="1377"/>
      <c r="D95" s="171">
        <v>10400</v>
      </c>
      <c r="E95" s="175">
        <v>0</v>
      </c>
      <c r="F95" s="1332">
        <v>50000</v>
      </c>
      <c r="G95" s="1332"/>
      <c r="H95" s="1332"/>
      <c r="I95" s="1733"/>
      <c r="J95" s="168" t="s">
        <v>209</v>
      </c>
      <c r="K95" s="1315"/>
    </row>
    <row r="96" spans="1:11" ht="120" hidden="1" x14ac:dyDescent="0.2">
      <c r="A96" s="1753"/>
      <c r="B96" s="1754"/>
      <c r="C96" s="1377"/>
      <c r="D96" s="171">
        <v>10000</v>
      </c>
      <c r="E96" s="175">
        <v>0</v>
      </c>
      <c r="F96" s="1332">
        <v>14520</v>
      </c>
      <c r="G96" s="1332"/>
      <c r="H96" s="1332"/>
      <c r="I96" s="1733"/>
      <c r="J96" s="168" t="s">
        <v>210</v>
      </c>
      <c r="K96" s="1315"/>
    </row>
    <row r="97" spans="1:11" ht="48" hidden="1" x14ac:dyDescent="0.2">
      <c r="A97" s="1753"/>
      <c r="B97" s="1754"/>
      <c r="C97" s="1377"/>
      <c r="D97" s="171">
        <v>0</v>
      </c>
      <c r="E97" s="175">
        <v>0</v>
      </c>
      <c r="F97" s="1332">
        <v>194000</v>
      </c>
      <c r="G97" s="1332"/>
      <c r="H97" s="1332"/>
      <c r="I97" s="1733"/>
      <c r="J97" s="168" t="s">
        <v>211</v>
      </c>
      <c r="K97" s="1315"/>
    </row>
    <row r="98" spans="1:11" ht="48" hidden="1" x14ac:dyDescent="0.2">
      <c r="A98" s="1750"/>
      <c r="B98" s="1752"/>
      <c r="C98" s="1378"/>
      <c r="D98" s="171">
        <v>0</v>
      </c>
      <c r="E98" s="175">
        <v>0</v>
      </c>
      <c r="F98" s="1332">
        <v>3880</v>
      </c>
      <c r="G98" s="1332"/>
      <c r="H98" s="1332"/>
      <c r="I98" s="1734"/>
      <c r="J98" s="168" t="s">
        <v>212</v>
      </c>
      <c r="K98" s="1315"/>
    </row>
    <row r="99" spans="1:11" x14ac:dyDescent="0.2">
      <c r="A99" s="291"/>
      <c r="B99" s="308"/>
      <c r="C99" s="308"/>
      <c r="D99" s="1368"/>
      <c r="E99" s="1363"/>
      <c r="F99" s="1334"/>
      <c r="G99" s="1334"/>
      <c r="H99" s="1334"/>
      <c r="I99" s="310"/>
      <c r="J99" s="178"/>
      <c r="K99" s="1315"/>
    </row>
    <row r="100" spans="1:11" hidden="1" x14ac:dyDescent="0.2">
      <c r="A100" s="319" t="s">
        <v>123</v>
      </c>
      <c r="B100" s="319"/>
      <c r="C100" s="319" t="s">
        <v>213</v>
      </c>
      <c r="D100" s="319"/>
      <c r="E100" s="319"/>
      <c r="F100" s="319"/>
      <c r="G100" s="319"/>
      <c r="H100" s="319"/>
      <c r="I100" s="319"/>
      <c r="J100" s="1319"/>
    </row>
    <row r="101" spans="1:11" hidden="1" x14ac:dyDescent="0.2">
      <c r="A101" s="319" t="s">
        <v>125</v>
      </c>
      <c r="B101" s="319"/>
      <c r="C101" s="1460" t="s">
        <v>214</v>
      </c>
      <c r="D101" s="1460"/>
      <c r="E101" s="1460"/>
      <c r="F101" s="1460"/>
      <c r="G101" s="1460"/>
      <c r="H101" s="1460"/>
      <c r="I101" s="1460"/>
      <c r="J101" s="1319"/>
    </row>
    <row r="102" spans="1:11" ht="48" hidden="1" x14ac:dyDescent="0.2">
      <c r="A102" s="1356" t="s">
        <v>1</v>
      </c>
      <c r="B102" s="1727" t="s">
        <v>127</v>
      </c>
      <c r="C102" s="1728"/>
      <c r="D102" s="1356" t="s">
        <v>14</v>
      </c>
      <c r="E102" s="1356" t="s">
        <v>12</v>
      </c>
      <c r="F102" s="1356" t="s">
        <v>128</v>
      </c>
      <c r="G102" s="1356" t="s">
        <v>129</v>
      </c>
      <c r="H102" s="1356" t="s">
        <v>130</v>
      </c>
      <c r="I102" s="1356" t="s">
        <v>11</v>
      </c>
      <c r="J102" s="1328" t="s">
        <v>131</v>
      </c>
    </row>
    <row r="103" spans="1:11" ht="15" hidden="1" customHeight="1" x14ac:dyDescent="0.2">
      <c r="A103" s="1729" t="s">
        <v>132</v>
      </c>
      <c r="B103" s="1730"/>
      <c r="C103" s="1731"/>
      <c r="D103" s="385">
        <f>D104+D108+D117+D121+D125</f>
        <v>892283.97030000016</v>
      </c>
      <c r="E103" s="385">
        <f t="shared" ref="E103:F103" si="17">E104+E108+E117+E121+E125</f>
        <v>775357</v>
      </c>
      <c r="F103" s="385">
        <f t="shared" si="17"/>
        <v>0</v>
      </c>
      <c r="G103" s="385"/>
      <c r="H103" s="385">
        <f t="shared" ref="H103" si="18">H104+H108+H117+H121+H125</f>
        <v>0</v>
      </c>
      <c r="I103" s="385"/>
      <c r="J103" s="1322"/>
    </row>
    <row r="104" spans="1:11" ht="120" hidden="1" x14ac:dyDescent="0.2">
      <c r="A104" s="1755">
        <v>1</v>
      </c>
      <c r="B104" s="1758" t="s">
        <v>215</v>
      </c>
      <c r="C104" s="1379"/>
      <c r="D104" s="296">
        <f>SUM(D105:D107)</f>
        <v>50000</v>
      </c>
      <c r="E104" s="296">
        <f t="shared" ref="E104:F104" si="19">SUM(E105:E107)</f>
        <v>0</v>
      </c>
      <c r="F104" s="296">
        <f t="shared" si="19"/>
        <v>0</v>
      </c>
      <c r="G104" s="296">
        <v>5250</v>
      </c>
      <c r="H104" s="296">
        <f t="shared" ref="H104" si="20">SUM(H105:H107)</f>
        <v>0</v>
      </c>
      <c r="I104" s="1761" t="s">
        <v>216</v>
      </c>
      <c r="J104" s="170" t="s">
        <v>217</v>
      </c>
    </row>
    <row r="105" spans="1:11" ht="124.5" hidden="1" customHeight="1" x14ac:dyDescent="0.2">
      <c r="A105" s="1756"/>
      <c r="B105" s="1759"/>
      <c r="C105" s="1380"/>
      <c r="D105" s="175">
        <v>50000</v>
      </c>
      <c r="E105" s="1369">
        <v>0</v>
      </c>
      <c r="F105" s="1369">
        <f>ROUND(82885*60%,2)-49731</f>
        <v>0</v>
      </c>
      <c r="G105" s="1369"/>
      <c r="H105" s="1369"/>
      <c r="I105" s="1762"/>
      <c r="J105" s="1308" t="s">
        <v>218</v>
      </c>
    </row>
    <row r="106" spans="1:11" ht="24" hidden="1" x14ac:dyDescent="0.2">
      <c r="A106" s="1756"/>
      <c r="B106" s="1759"/>
      <c r="C106" s="1380"/>
      <c r="D106" s="175">
        <v>0</v>
      </c>
      <c r="E106" s="1369">
        <v>0</v>
      </c>
      <c r="F106" s="1369">
        <f>ROUND(12000*1.21,2)-14520</f>
        <v>0</v>
      </c>
      <c r="G106" s="1369"/>
      <c r="H106" s="1369"/>
      <c r="I106" s="1762"/>
      <c r="J106" s="1308" t="s">
        <v>219</v>
      </c>
    </row>
    <row r="107" spans="1:11" ht="24" hidden="1" x14ac:dyDescent="0.2">
      <c r="A107" s="1757"/>
      <c r="B107" s="1760"/>
      <c r="C107" s="1381"/>
      <c r="D107" s="175">
        <v>0</v>
      </c>
      <c r="E107" s="1369">
        <v>0</v>
      </c>
      <c r="F107" s="1369">
        <f>370-370</f>
        <v>0</v>
      </c>
      <c r="G107" s="1369"/>
      <c r="H107" s="1369"/>
      <c r="I107" s="1763"/>
      <c r="J107" s="1308" t="s">
        <v>193</v>
      </c>
    </row>
    <row r="108" spans="1:11" ht="36" hidden="1" x14ac:dyDescent="0.2">
      <c r="A108" s="1755">
        <v>2</v>
      </c>
      <c r="B108" s="1758" t="s">
        <v>220</v>
      </c>
      <c r="C108" s="1379"/>
      <c r="D108" s="1326">
        <f>D109+D110</f>
        <v>779386</v>
      </c>
      <c r="E108" s="1326">
        <f>E109+E110</f>
        <v>775357</v>
      </c>
      <c r="F108" s="1326">
        <f t="shared" ref="F108:H108" si="21">F109+F110</f>
        <v>0</v>
      </c>
      <c r="G108" s="1326">
        <v>5250</v>
      </c>
      <c r="H108" s="1326">
        <f t="shared" si="21"/>
        <v>0</v>
      </c>
      <c r="I108" s="1761" t="s">
        <v>221</v>
      </c>
      <c r="J108" s="420" t="s">
        <v>222</v>
      </c>
    </row>
    <row r="109" spans="1:11" ht="12.75" hidden="1" customHeight="1" x14ac:dyDescent="0.2">
      <c r="A109" s="1756"/>
      <c r="B109" s="1759"/>
      <c r="C109" s="1380"/>
      <c r="D109" s="1370">
        <f>D115+D116</f>
        <v>2362</v>
      </c>
      <c r="E109" s="1370">
        <f t="shared" ref="E109:H109" si="22">E115+E116</f>
        <v>2362</v>
      </c>
      <c r="F109" s="1370">
        <f t="shared" si="22"/>
        <v>0</v>
      </c>
      <c r="G109" s="1370"/>
      <c r="H109" s="1370">
        <f t="shared" si="22"/>
        <v>0</v>
      </c>
      <c r="I109" s="1762"/>
      <c r="J109" s="1371" t="s">
        <v>223</v>
      </c>
    </row>
    <row r="110" spans="1:11" ht="12.75" hidden="1" customHeight="1" x14ac:dyDescent="0.2">
      <c r="A110" s="1756"/>
      <c r="B110" s="1759"/>
      <c r="C110" s="1380"/>
      <c r="D110" s="1370">
        <f>D111+D112+D113+D114</f>
        <v>777024</v>
      </c>
      <c r="E110" s="1370">
        <f>E111+E112+E113+E114</f>
        <v>772995</v>
      </c>
      <c r="F110" s="1370">
        <f t="shared" ref="F110:H110" si="23">F111+F112+F113+F114</f>
        <v>0</v>
      </c>
      <c r="G110" s="1370"/>
      <c r="H110" s="1370">
        <f t="shared" si="23"/>
        <v>0</v>
      </c>
      <c r="I110" s="1762"/>
      <c r="J110" s="1371" t="s">
        <v>224</v>
      </c>
    </row>
    <row r="111" spans="1:11" ht="72" hidden="1" x14ac:dyDescent="0.2">
      <c r="A111" s="1756"/>
      <c r="B111" s="1759"/>
      <c r="C111" s="1380"/>
      <c r="D111" s="1312">
        <v>762516</v>
      </c>
      <c r="E111" s="1372">
        <f>721192+41324</f>
        <v>762516</v>
      </c>
      <c r="F111" s="1372">
        <v>0</v>
      </c>
      <c r="G111" s="1372"/>
      <c r="H111" s="1372"/>
      <c r="I111" s="1762"/>
      <c r="J111" s="1308" t="s">
        <v>225</v>
      </c>
    </row>
    <row r="112" spans="1:11" ht="60" hidden="1" x14ac:dyDescent="0.2">
      <c r="A112" s="1756"/>
      <c r="B112" s="1759"/>
      <c r="C112" s="1380"/>
      <c r="D112" s="172">
        <v>2420</v>
      </c>
      <c r="E112" s="1372">
        <v>2420</v>
      </c>
      <c r="F112" s="1372">
        <v>0</v>
      </c>
      <c r="G112" s="1372"/>
      <c r="H112" s="1372"/>
      <c r="I112" s="1762"/>
      <c r="J112" s="1308" t="s">
        <v>226</v>
      </c>
    </row>
    <row r="113" spans="1:11" ht="72" hidden="1" x14ac:dyDescent="0.2">
      <c r="A113" s="1756"/>
      <c r="B113" s="1759"/>
      <c r="C113" s="1380"/>
      <c r="D113" s="172">
        <v>8059</v>
      </c>
      <c r="E113" s="1372">
        <v>8059</v>
      </c>
      <c r="F113" s="1372">
        <v>0</v>
      </c>
      <c r="G113" s="1372"/>
      <c r="H113" s="1372"/>
      <c r="I113" s="1762"/>
      <c r="J113" s="1308" t="s">
        <v>227</v>
      </c>
    </row>
    <row r="114" spans="1:11" ht="90" hidden="1" customHeight="1" x14ac:dyDescent="0.2">
      <c r="A114" s="1756"/>
      <c r="B114" s="1759"/>
      <c r="C114" s="1380"/>
      <c r="D114" s="172">
        <v>4029</v>
      </c>
      <c r="E114" s="1372">
        <v>0</v>
      </c>
      <c r="F114" s="1372">
        <v>0</v>
      </c>
      <c r="G114" s="1372"/>
      <c r="H114" s="1372"/>
      <c r="I114" s="1762"/>
      <c r="J114" s="1308" t="s">
        <v>228</v>
      </c>
    </row>
    <row r="115" spans="1:11" ht="24" hidden="1" x14ac:dyDescent="0.2">
      <c r="A115" s="1756"/>
      <c r="B115" s="1759"/>
      <c r="C115" s="1380"/>
      <c r="D115" s="172">
        <v>1495</v>
      </c>
      <c r="E115" s="172">
        <v>1495</v>
      </c>
      <c r="F115" s="1312">
        <v>0</v>
      </c>
      <c r="G115" s="1312"/>
      <c r="H115" s="1312"/>
      <c r="I115" s="1762"/>
      <c r="J115" s="1308" t="s">
        <v>229</v>
      </c>
      <c r="K115" s="1315"/>
    </row>
    <row r="116" spans="1:11" hidden="1" x14ac:dyDescent="0.2">
      <c r="A116" s="1757"/>
      <c r="B116" s="1760"/>
      <c r="C116" s="1381"/>
      <c r="D116" s="172">
        <v>867</v>
      </c>
      <c r="E116" s="172">
        <v>867</v>
      </c>
      <c r="F116" s="1312">
        <v>0</v>
      </c>
      <c r="G116" s="1312"/>
      <c r="H116" s="1312"/>
      <c r="I116" s="1763"/>
      <c r="J116" s="1308" t="s">
        <v>230</v>
      </c>
      <c r="K116" s="1315"/>
    </row>
    <row r="117" spans="1:11" ht="120" hidden="1" x14ac:dyDescent="0.2">
      <c r="A117" s="1749">
        <v>3</v>
      </c>
      <c r="B117" s="1751" t="s">
        <v>231</v>
      </c>
      <c r="C117" s="1376"/>
      <c r="D117" s="1373">
        <f>SUM(D118:D120)</f>
        <v>26597.990099999999</v>
      </c>
      <c r="E117" s="1373">
        <f t="shared" ref="E117:F117" si="24">SUM(E118:E120)</f>
        <v>0</v>
      </c>
      <c r="F117" s="1373">
        <f t="shared" si="24"/>
        <v>0</v>
      </c>
      <c r="G117" s="1374">
        <v>5240</v>
      </c>
      <c r="H117" s="1373">
        <f t="shared" ref="H117" si="25">SUM(H118:H120)</f>
        <v>0</v>
      </c>
      <c r="I117" s="1732" t="s">
        <v>232</v>
      </c>
      <c r="J117" s="170" t="s">
        <v>233</v>
      </c>
      <c r="K117" s="1315"/>
    </row>
    <row r="118" spans="1:11" ht="48" hidden="1" x14ac:dyDescent="0.2">
      <c r="A118" s="1753"/>
      <c r="B118" s="1754"/>
      <c r="C118" s="1377"/>
      <c r="D118" s="175">
        <f>ROUNDDOWN(((21000+20000)*1.21),0)-23012-0.0099</f>
        <v>26597.990099999999</v>
      </c>
      <c r="E118" s="175">
        <v>0</v>
      </c>
      <c r="F118" s="1332">
        <f>49610-49610</f>
        <v>0</v>
      </c>
      <c r="G118" s="1332"/>
      <c r="H118" s="1332"/>
      <c r="I118" s="1733"/>
      <c r="J118" s="1308" t="s">
        <v>234</v>
      </c>
      <c r="K118" s="1315"/>
    </row>
    <row r="119" spans="1:11" ht="72" hidden="1" x14ac:dyDescent="0.2">
      <c r="A119" s="1753"/>
      <c r="B119" s="1754"/>
      <c r="C119" s="1377"/>
      <c r="D119" s="175">
        <f>ROUND(((5000+4000)*1.21),0)-10890</f>
        <v>0</v>
      </c>
      <c r="E119" s="175">
        <v>0</v>
      </c>
      <c r="F119" s="1332">
        <v>0</v>
      </c>
      <c r="G119" s="1332"/>
      <c r="H119" s="1332"/>
      <c r="I119" s="1733"/>
      <c r="J119" s="1308" t="s">
        <v>192</v>
      </c>
      <c r="K119" s="1315"/>
    </row>
    <row r="120" spans="1:11" ht="24" hidden="1" x14ac:dyDescent="0.2">
      <c r="A120" s="1750"/>
      <c r="B120" s="1752"/>
      <c r="C120" s="1378"/>
      <c r="D120" s="175">
        <f>370-370</f>
        <v>0</v>
      </c>
      <c r="E120" s="175">
        <v>0</v>
      </c>
      <c r="F120" s="1332">
        <f>370-370</f>
        <v>0</v>
      </c>
      <c r="G120" s="1332"/>
      <c r="H120" s="1332"/>
      <c r="I120" s="1734"/>
      <c r="J120" s="1308" t="s">
        <v>193</v>
      </c>
      <c r="K120" s="1315"/>
    </row>
    <row r="121" spans="1:11" ht="120" hidden="1" x14ac:dyDescent="0.2">
      <c r="A121" s="1749">
        <v>4</v>
      </c>
      <c r="B121" s="1751" t="s">
        <v>235</v>
      </c>
      <c r="C121" s="1376"/>
      <c r="D121" s="1374">
        <f>SUM(D122:D124)</f>
        <v>18149.990099999999</v>
      </c>
      <c r="E121" s="1374">
        <f t="shared" ref="E121:F121" si="26">SUM(E122:E124)</f>
        <v>0</v>
      </c>
      <c r="F121" s="1374">
        <f t="shared" si="26"/>
        <v>0</v>
      </c>
      <c r="G121" s="1374">
        <v>5240</v>
      </c>
      <c r="H121" s="1374">
        <f t="shared" ref="H121" si="27">SUM(H122:H124)</f>
        <v>0</v>
      </c>
      <c r="I121" s="1732" t="s">
        <v>236</v>
      </c>
      <c r="J121" s="170" t="s">
        <v>233</v>
      </c>
      <c r="K121" s="1315"/>
    </row>
    <row r="122" spans="1:11" ht="24" hidden="1" x14ac:dyDescent="0.2">
      <c r="A122" s="1753"/>
      <c r="B122" s="1754"/>
      <c r="C122" s="1377"/>
      <c r="D122" s="175">
        <f>36300-18150-0.0099</f>
        <v>18149.990099999999</v>
      </c>
      <c r="E122" s="175">
        <v>0</v>
      </c>
      <c r="F122" s="1332">
        <f>36300-36300</f>
        <v>0</v>
      </c>
      <c r="G122" s="1332"/>
      <c r="H122" s="1332"/>
      <c r="I122" s="1733"/>
      <c r="J122" s="1308" t="s">
        <v>237</v>
      </c>
      <c r="K122" s="1315"/>
    </row>
    <row r="123" spans="1:11" ht="72" hidden="1" x14ac:dyDescent="0.2">
      <c r="A123" s="1753"/>
      <c r="B123" s="1754"/>
      <c r="C123" s="1377"/>
      <c r="D123" s="175">
        <f>12099-12099</f>
        <v>0</v>
      </c>
      <c r="E123" s="175">
        <v>0</v>
      </c>
      <c r="F123" s="1332">
        <v>0</v>
      </c>
      <c r="G123" s="1332"/>
      <c r="H123" s="1332"/>
      <c r="I123" s="1733"/>
      <c r="J123" s="1308" t="s">
        <v>192</v>
      </c>
      <c r="K123" s="1315"/>
    </row>
    <row r="124" spans="1:11" ht="24" hidden="1" x14ac:dyDescent="0.2">
      <c r="A124" s="1750"/>
      <c r="B124" s="1752"/>
      <c r="C124" s="1378"/>
      <c r="D124" s="175">
        <f>370-370</f>
        <v>0</v>
      </c>
      <c r="E124" s="175">
        <v>0</v>
      </c>
      <c r="F124" s="1332">
        <f>370-370</f>
        <v>0</v>
      </c>
      <c r="G124" s="1332"/>
      <c r="H124" s="1332"/>
      <c r="I124" s="1734"/>
      <c r="J124" s="1308" t="s">
        <v>193</v>
      </c>
      <c r="K124" s="1315"/>
    </row>
    <row r="125" spans="1:11" ht="120" hidden="1" x14ac:dyDescent="0.2">
      <c r="A125" s="1749">
        <v>5</v>
      </c>
      <c r="B125" s="1751" t="s">
        <v>238</v>
      </c>
      <c r="C125" s="1376"/>
      <c r="D125" s="1374">
        <f>SUM(D126:D128)</f>
        <v>18149.990099999999</v>
      </c>
      <c r="E125" s="1374">
        <f t="shared" ref="E125:F125" si="28">SUM(E126:E128)</f>
        <v>0</v>
      </c>
      <c r="F125" s="1374">
        <f t="shared" si="28"/>
        <v>0</v>
      </c>
      <c r="G125" s="1374">
        <v>5240</v>
      </c>
      <c r="H125" s="1374">
        <f t="shared" ref="H125" si="29">SUM(H126:H128)</f>
        <v>0</v>
      </c>
      <c r="I125" s="1732" t="s">
        <v>236</v>
      </c>
      <c r="J125" s="170" t="s">
        <v>233</v>
      </c>
      <c r="K125" s="1315"/>
    </row>
    <row r="126" spans="1:11" ht="24" hidden="1" x14ac:dyDescent="0.2">
      <c r="A126" s="1753"/>
      <c r="B126" s="1754"/>
      <c r="C126" s="1377"/>
      <c r="D126" s="175">
        <f>36300-18150-0.0099</f>
        <v>18149.990099999999</v>
      </c>
      <c r="E126" s="175">
        <v>0</v>
      </c>
      <c r="F126" s="1332">
        <f>36300-36300</f>
        <v>0</v>
      </c>
      <c r="G126" s="1332"/>
      <c r="H126" s="1332"/>
      <c r="I126" s="1733"/>
      <c r="J126" s="1308" t="s">
        <v>237</v>
      </c>
      <c r="K126" s="1315"/>
    </row>
    <row r="127" spans="1:11" ht="72" hidden="1" x14ac:dyDescent="0.2">
      <c r="A127" s="1753"/>
      <c r="B127" s="1754"/>
      <c r="C127" s="1377"/>
      <c r="D127" s="175">
        <f>12099-12099</f>
        <v>0</v>
      </c>
      <c r="E127" s="175">
        <v>0</v>
      </c>
      <c r="F127" s="1332">
        <v>0</v>
      </c>
      <c r="G127" s="1332"/>
      <c r="H127" s="1332"/>
      <c r="I127" s="1733"/>
      <c r="J127" s="1308" t="s">
        <v>192</v>
      </c>
      <c r="K127" s="1315"/>
    </row>
    <row r="128" spans="1:11" ht="24" hidden="1" x14ac:dyDescent="0.2">
      <c r="A128" s="1750"/>
      <c r="B128" s="1752"/>
      <c r="C128" s="1378"/>
      <c r="D128" s="175">
        <f>370-370</f>
        <v>0</v>
      </c>
      <c r="E128" s="175">
        <v>0</v>
      </c>
      <c r="F128" s="1332">
        <f>370-370</f>
        <v>0</v>
      </c>
      <c r="G128" s="1332"/>
      <c r="H128" s="1332"/>
      <c r="I128" s="1734"/>
      <c r="J128" s="1308" t="s">
        <v>193</v>
      </c>
      <c r="K128" s="1315"/>
    </row>
    <row r="129" spans="1:12" hidden="1" x14ac:dyDescent="0.2">
      <c r="A129" s="1765" t="s">
        <v>239</v>
      </c>
      <c r="B129" s="1765"/>
      <c r="C129" s="1375"/>
      <c r="D129" s="1335">
        <f>SUM(D9,D22,D36,D47,D56,D70,D103)</f>
        <v>2146658.4808</v>
      </c>
      <c r="E129" s="1335">
        <f>SUM(E9,E22,E36,E47,E56,E70,E103)</f>
        <v>1477461</v>
      </c>
      <c r="F129" s="1335">
        <f>SUM(F9,F22,F36,F47,F56,F70,F103)</f>
        <v>4723954.9901000001</v>
      </c>
      <c r="G129" s="1335"/>
      <c r="H129" s="1335">
        <f>SUM(H9,H22,H36,H47,H56,H70,H103)</f>
        <v>4461555</v>
      </c>
      <c r="I129" s="1335"/>
      <c r="J129" s="1336"/>
    </row>
    <row r="130" spans="1:12" hidden="1" x14ac:dyDescent="0.2">
      <c r="A130" s="287"/>
      <c r="B130" s="287"/>
      <c r="C130" s="287"/>
      <c r="D130" s="287"/>
      <c r="E130" s="1337"/>
      <c r="F130" s="287"/>
      <c r="G130" s="287"/>
      <c r="H130" s="287"/>
      <c r="I130" s="287"/>
      <c r="J130" s="1338"/>
    </row>
    <row r="131" spans="1:12" hidden="1" x14ac:dyDescent="0.2">
      <c r="A131" s="287"/>
      <c r="B131" s="287"/>
      <c r="C131" s="287"/>
      <c r="D131" s="287"/>
      <c r="E131" s="287"/>
      <c r="F131" s="287"/>
      <c r="G131" s="287"/>
      <c r="H131" s="287"/>
      <c r="I131" s="287"/>
      <c r="J131" s="1338"/>
    </row>
    <row r="132" spans="1:12" s="161" customFormat="1" x14ac:dyDescent="0.2">
      <c r="A132" s="225" t="s">
        <v>240</v>
      </c>
      <c r="B132" s="196"/>
      <c r="C132" s="196"/>
      <c r="D132" s="196"/>
      <c r="E132" s="196"/>
      <c r="F132" s="196"/>
      <c r="G132" s="196"/>
      <c r="H132" s="196"/>
      <c r="I132" s="226"/>
      <c r="J132" s="1057"/>
      <c r="K132" s="182"/>
      <c r="L132" s="182"/>
    </row>
    <row r="133" spans="1:12" s="161" customFormat="1" x14ac:dyDescent="0.2">
      <c r="A133" s="228" t="s">
        <v>241</v>
      </c>
      <c r="B133" s="196"/>
      <c r="C133" s="196"/>
      <c r="D133" s="196"/>
      <c r="E133" s="196"/>
      <c r="F133" s="196"/>
      <c r="G133" s="196"/>
      <c r="H133" s="196"/>
      <c r="I133" s="226"/>
      <c r="J133" s="1057"/>
      <c r="K133" s="182"/>
      <c r="L133" s="182"/>
    </row>
    <row r="134" spans="1:12" s="161" customFormat="1" x14ac:dyDescent="0.2">
      <c r="A134" s="196" t="s">
        <v>242</v>
      </c>
      <c r="B134" s="196"/>
      <c r="C134" s="196"/>
      <c r="D134" s="196"/>
      <c r="E134" s="196"/>
      <c r="F134" s="196"/>
      <c r="G134" s="196"/>
      <c r="H134" s="196"/>
      <c r="I134" s="226"/>
      <c r="J134" s="1057"/>
      <c r="K134" s="182"/>
      <c r="L134" s="182"/>
    </row>
    <row r="135" spans="1:12" s="161" customFormat="1" x14ac:dyDescent="0.2">
      <c r="A135" s="196" t="s">
        <v>243</v>
      </c>
      <c r="B135" s="196"/>
      <c r="C135" s="196"/>
      <c r="D135" s="196"/>
      <c r="E135" s="196"/>
      <c r="F135" s="196"/>
      <c r="G135" s="196"/>
      <c r="H135" s="196"/>
      <c r="I135" s="226"/>
      <c r="J135" s="1057"/>
      <c r="K135" s="182"/>
      <c r="L135" s="182"/>
    </row>
    <row r="136" spans="1:12" s="161" customFormat="1" x14ac:dyDescent="0.2">
      <c r="A136" s="196" t="s">
        <v>244</v>
      </c>
      <c r="B136" s="196"/>
      <c r="C136" s="196"/>
      <c r="D136" s="196"/>
      <c r="E136" s="196"/>
      <c r="F136" s="196"/>
      <c r="G136" s="196"/>
      <c r="H136" s="196"/>
      <c r="I136" s="226"/>
      <c r="J136" s="1057"/>
      <c r="K136" s="182"/>
      <c r="L136" s="182"/>
    </row>
    <row r="137" spans="1:12" s="161" customFormat="1" x14ac:dyDescent="0.2">
      <c r="A137" s="196" t="s">
        <v>245</v>
      </c>
      <c r="B137" s="196"/>
      <c r="C137" s="196"/>
      <c r="D137" s="196"/>
      <c r="E137" s="196"/>
      <c r="F137" s="196"/>
      <c r="G137" s="196"/>
      <c r="H137" s="196"/>
      <c r="I137" s="196"/>
      <c r="J137" s="188"/>
      <c r="K137" s="182"/>
      <c r="L137" s="182"/>
    </row>
    <row r="138" spans="1:12" s="161" customFormat="1" x14ac:dyDescent="0.2">
      <c r="A138" s="196" t="s">
        <v>246</v>
      </c>
      <c r="B138" s="196"/>
      <c r="C138" s="196"/>
      <c r="D138" s="196"/>
      <c r="E138" s="196"/>
      <c r="F138" s="196"/>
      <c r="G138" s="196"/>
      <c r="H138" s="196"/>
      <c r="I138" s="226"/>
      <c r="J138" s="1057"/>
      <c r="K138" s="182"/>
      <c r="L138" s="182"/>
    </row>
    <row r="139" spans="1:12" s="161" customFormat="1" x14ac:dyDescent="0.2">
      <c r="A139" s="196" t="s">
        <v>247</v>
      </c>
      <c r="B139" s="196"/>
      <c r="C139" s="196"/>
      <c r="D139" s="196"/>
      <c r="E139" s="196"/>
      <c r="F139" s="196"/>
      <c r="G139" s="196"/>
      <c r="H139" s="196"/>
      <c r="I139" s="226"/>
      <c r="J139" s="1057"/>
      <c r="K139" s="182"/>
      <c r="L139" s="182"/>
    </row>
    <row r="140" spans="1:12" s="161" customFormat="1" x14ac:dyDescent="0.2">
      <c r="A140" s="196" t="s">
        <v>248</v>
      </c>
      <c r="B140" s="196"/>
      <c r="C140" s="196"/>
      <c r="D140" s="196"/>
      <c r="E140" s="196"/>
      <c r="F140" s="196"/>
      <c r="G140" s="196"/>
      <c r="H140" s="196"/>
      <c r="I140" s="226"/>
      <c r="J140" s="1057"/>
      <c r="K140" s="182"/>
      <c r="L140" s="182"/>
    </row>
    <row r="141" spans="1:12" s="161" customFormat="1" x14ac:dyDescent="0.2">
      <c r="A141" s="196" t="s">
        <v>249</v>
      </c>
      <c r="B141" s="196"/>
      <c r="C141" s="196"/>
      <c r="D141" s="196"/>
      <c r="E141" s="196"/>
      <c r="F141" s="196"/>
      <c r="G141" s="196"/>
      <c r="H141" s="196"/>
      <c r="I141" s="226"/>
      <c r="J141" s="1057"/>
      <c r="K141" s="182"/>
      <c r="L141" s="182"/>
    </row>
    <row r="142" spans="1:12" s="161" customFormat="1" x14ac:dyDescent="0.2">
      <c r="A142" s="196" t="s">
        <v>250</v>
      </c>
      <c r="B142" s="196"/>
      <c r="C142" s="196"/>
      <c r="D142" s="196"/>
      <c r="E142" s="196"/>
      <c r="F142" s="196"/>
      <c r="G142" s="196"/>
      <c r="H142" s="196"/>
      <c r="I142" s="226"/>
      <c r="J142" s="1057"/>
      <c r="K142" s="182"/>
      <c r="L142" s="182"/>
    </row>
    <row r="143" spans="1:12" s="161" customFormat="1" x14ac:dyDescent="0.2">
      <c r="A143" s="196" t="s">
        <v>251</v>
      </c>
      <c r="B143" s="196"/>
      <c r="C143" s="196"/>
      <c r="D143" s="196"/>
      <c r="E143" s="196"/>
      <c r="F143" s="196"/>
      <c r="G143" s="196"/>
      <c r="H143" s="196"/>
      <c r="I143" s="226"/>
      <c r="J143" s="1057"/>
      <c r="K143" s="182"/>
      <c r="L143" s="182"/>
    </row>
    <row r="144" spans="1:12" s="161" customFormat="1" x14ac:dyDescent="0.2">
      <c r="A144" s="196" t="s">
        <v>252</v>
      </c>
      <c r="B144" s="196"/>
      <c r="C144" s="196"/>
      <c r="D144" s="196"/>
      <c r="E144" s="196"/>
      <c r="F144" s="196"/>
      <c r="G144" s="196"/>
      <c r="H144" s="196"/>
      <c r="I144" s="226"/>
      <c r="J144" s="1057"/>
      <c r="K144" s="182"/>
      <c r="L144" s="182"/>
    </row>
    <row r="145" spans="1:12" s="161" customFormat="1" x14ac:dyDescent="0.2">
      <c r="A145" s="196" t="s">
        <v>253</v>
      </c>
      <c r="B145" s="196"/>
      <c r="C145" s="196"/>
      <c r="D145" s="196"/>
      <c r="E145" s="196"/>
      <c r="F145" s="196"/>
      <c r="G145" s="196"/>
      <c r="H145" s="196"/>
      <c r="I145" s="226"/>
      <c r="J145" s="1057"/>
      <c r="K145" s="182"/>
      <c r="L145" s="182"/>
    </row>
    <row r="146" spans="1:12" s="183" customFormat="1" x14ac:dyDescent="0.2">
      <c r="A146" s="228" t="s">
        <v>254</v>
      </c>
      <c r="B146" s="228"/>
      <c r="C146" s="228"/>
      <c r="D146" s="228"/>
      <c r="E146" s="228"/>
      <c r="F146" s="228"/>
      <c r="G146" s="228"/>
      <c r="H146" s="228"/>
      <c r="I146" s="231"/>
      <c r="J146" s="1058"/>
      <c r="K146" s="184"/>
      <c r="L146" s="184"/>
    </row>
    <row r="147" spans="1:12" s="161" customFormat="1" x14ac:dyDescent="0.2">
      <c r="A147" s="196" t="s">
        <v>255</v>
      </c>
      <c r="B147" s="196"/>
      <c r="C147" s="196"/>
      <c r="D147" s="196"/>
      <c r="E147" s="196"/>
      <c r="F147" s="196"/>
      <c r="G147" s="196"/>
      <c r="H147" s="196"/>
      <c r="I147" s="226"/>
      <c r="J147" s="1057"/>
      <c r="K147" s="182"/>
      <c r="L147" s="182"/>
    </row>
    <row r="148" spans="1:12" s="161" customFormat="1" x14ac:dyDescent="0.2">
      <c r="A148" s="196" t="s">
        <v>256</v>
      </c>
      <c r="B148" s="196"/>
      <c r="C148" s="196"/>
      <c r="D148" s="196"/>
      <c r="E148" s="196"/>
      <c r="F148" s="196"/>
      <c r="G148" s="196"/>
      <c r="H148" s="196"/>
      <c r="I148" s="226"/>
      <c r="J148" s="1057"/>
      <c r="K148" s="182"/>
      <c r="L148" s="182"/>
    </row>
    <row r="149" spans="1:12" s="161" customFormat="1" x14ac:dyDescent="0.2">
      <c r="A149" s="196" t="s">
        <v>257</v>
      </c>
      <c r="B149" s="196"/>
      <c r="C149" s="196"/>
      <c r="D149" s="196"/>
      <c r="E149" s="196"/>
      <c r="F149" s="196"/>
      <c r="G149" s="196"/>
      <c r="H149" s="196"/>
      <c r="I149" s="226"/>
      <c r="J149" s="1057"/>
      <c r="K149" s="182"/>
      <c r="L149" s="182"/>
    </row>
    <row r="150" spans="1:12" s="161" customFormat="1" x14ac:dyDescent="0.2">
      <c r="A150" s="196" t="s">
        <v>258</v>
      </c>
      <c r="B150" s="196"/>
      <c r="C150" s="196"/>
      <c r="D150" s="196"/>
      <c r="E150" s="196"/>
      <c r="F150" s="196"/>
      <c r="G150" s="196"/>
      <c r="H150" s="196"/>
      <c r="I150" s="226"/>
      <c r="J150" s="1057"/>
      <c r="K150" s="182"/>
      <c r="L150" s="182"/>
    </row>
    <row r="151" spans="1:12" s="161" customFormat="1" x14ac:dyDescent="0.2">
      <c r="A151" s="196" t="s">
        <v>259</v>
      </c>
      <c r="B151" s="196"/>
      <c r="C151" s="196"/>
      <c r="D151" s="196"/>
      <c r="E151" s="196"/>
      <c r="F151" s="196"/>
      <c r="G151" s="196"/>
      <c r="H151" s="196"/>
      <c r="I151" s="196"/>
      <c r="J151" s="188"/>
      <c r="K151" s="182"/>
      <c r="L151" s="182"/>
    </row>
    <row r="152" spans="1:12" s="161" customFormat="1" x14ac:dyDescent="0.2">
      <c r="A152" s="196" t="s">
        <v>260</v>
      </c>
      <c r="B152" s="196"/>
      <c r="C152" s="196"/>
      <c r="D152" s="196"/>
      <c r="E152" s="196"/>
      <c r="F152" s="196"/>
      <c r="G152" s="196"/>
      <c r="H152" s="196"/>
      <c r="I152" s="226"/>
      <c r="J152" s="1057"/>
      <c r="K152" s="182"/>
      <c r="L152" s="182"/>
    </row>
    <row r="153" spans="1:12" s="161" customFormat="1" x14ac:dyDescent="0.2">
      <c r="A153" s="196" t="s">
        <v>261</v>
      </c>
      <c r="B153" s="196"/>
      <c r="C153" s="196"/>
      <c r="D153" s="196"/>
      <c r="E153" s="196"/>
      <c r="F153" s="196"/>
      <c r="G153" s="196"/>
      <c r="H153" s="196"/>
      <c r="I153" s="226"/>
      <c r="J153" s="1057"/>
      <c r="K153" s="182"/>
      <c r="L153" s="182"/>
    </row>
    <row r="154" spans="1:12" s="161" customFormat="1" x14ac:dyDescent="0.2">
      <c r="A154" s="196" t="s">
        <v>262</v>
      </c>
      <c r="B154" s="196"/>
      <c r="C154" s="196"/>
      <c r="D154" s="196"/>
      <c r="E154" s="196"/>
      <c r="F154" s="196"/>
      <c r="G154" s="196"/>
      <c r="H154" s="196"/>
      <c r="I154" s="226"/>
      <c r="J154" s="1057"/>
      <c r="K154" s="182"/>
      <c r="L154" s="182"/>
    </row>
    <row r="155" spans="1:12" s="161" customFormat="1" x14ac:dyDescent="0.2">
      <c r="A155" s="196" t="s">
        <v>263</v>
      </c>
      <c r="B155" s="196"/>
      <c r="C155" s="196"/>
      <c r="D155" s="196"/>
      <c r="E155" s="196"/>
      <c r="F155" s="196"/>
      <c r="G155" s="196"/>
      <c r="H155" s="196"/>
      <c r="I155" s="226"/>
      <c r="J155" s="1057"/>
      <c r="K155" s="182"/>
      <c r="L155" s="182"/>
    </row>
    <row r="156" spans="1:12" s="161" customFormat="1" x14ac:dyDescent="0.2">
      <c r="A156" s="196" t="s">
        <v>264</v>
      </c>
      <c r="B156" s="196"/>
      <c r="C156" s="196"/>
      <c r="D156" s="196"/>
      <c r="E156" s="196"/>
      <c r="F156" s="196"/>
      <c r="G156" s="196"/>
      <c r="H156" s="196"/>
      <c r="I156" s="226"/>
      <c r="J156" s="1057"/>
      <c r="K156" s="182"/>
      <c r="L156" s="182"/>
    </row>
    <row r="157" spans="1:12" s="161" customFormat="1" x14ac:dyDescent="0.2">
      <c r="A157" s="196" t="s">
        <v>265</v>
      </c>
      <c r="B157" s="196"/>
      <c r="C157" s="196"/>
      <c r="D157" s="196"/>
      <c r="E157" s="196"/>
      <c r="F157" s="196"/>
      <c r="G157" s="196"/>
      <c r="H157" s="196"/>
      <c r="I157" s="226"/>
      <c r="J157" s="1057"/>
      <c r="K157" s="182"/>
      <c r="L157" s="182"/>
    </row>
    <row r="158" spans="1:12" s="161" customFormat="1" x14ac:dyDescent="0.2">
      <c r="A158" s="196" t="s">
        <v>266</v>
      </c>
      <c r="B158" s="196"/>
      <c r="C158" s="196"/>
      <c r="D158" s="196"/>
      <c r="E158" s="196"/>
      <c r="F158" s="196"/>
      <c r="G158" s="196"/>
      <c r="H158" s="196"/>
      <c r="I158" s="226"/>
      <c r="J158" s="1057"/>
      <c r="K158" s="182"/>
      <c r="L158" s="182"/>
    </row>
    <row r="159" spans="1:12" s="161" customFormat="1" x14ac:dyDescent="0.2">
      <c r="A159" s="196" t="s">
        <v>267</v>
      </c>
      <c r="B159" s="196"/>
      <c r="C159" s="196"/>
      <c r="D159" s="196"/>
      <c r="E159" s="196"/>
      <c r="F159" s="196"/>
      <c r="G159" s="196"/>
      <c r="H159" s="196"/>
      <c r="I159" s="226"/>
      <c r="J159" s="1057"/>
      <c r="K159" s="182"/>
      <c r="L159" s="182"/>
    </row>
    <row r="160" spans="1:12" s="161" customFormat="1" x14ac:dyDescent="0.2">
      <c r="A160" s="196" t="s">
        <v>268</v>
      </c>
      <c r="B160" s="196"/>
      <c r="C160" s="196"/>
      <c r="D160" s="196"/>
      <c r="E160" s="196"/>
      <c r="F160" s="196"/>
      <c r="G160" s="196"/>
      <c r="H160" s="196"/>
      <c r="I160" s="226"/>
      <c r="J160" s="1057"/>
      <c r="K160" s="182"/>
      <c r="L160" s="182"/>
    </row>
    <row r="161" spans="1:12" s="161" customFormat="1" x14ac:dyDescent="0.2">
      <c r="A161" s="196" t="s">
        <v>269</v>
      </c>
      <c r="B161" s="196"/>
      <c r="C161" s="196"/>
      <c r="D161" s="196"/>
      <c r="E161" s="196"/>
      <c r="F161" s="196"/>
      <c r="G161" s="196"/>
      <c r="H161" s="196"/>
      <c r="I161" s="226"/>
      <c r="J161" s="1057"/>
      <c r="K161" s="182"/>
      <c r="L161" s="182"/>
    </row>
    <row r="162" spans="1:12" s="161" customFormat="1" x14ac:dyDescent="0.2">
      <c r="A162" s="196" t="s">
        <v>270</v>
      </c>
      <c r="B162" s="196"/>
      <c r="C162" s="196"/>
      <c r="D162" s="196"/>
      <c r="E162" s="196"/>
      <c r="F162" s="196"/>
      <c r="G162" s="196"/>
      <c r="H162" s="196"/>
      <c r="I162" s="226"/>
      <c r="J162" s="1057"/>
      <c r="K162" s="182"/>
      <c r="L162" s="182"/>
    </row>
    <row r="163" spans="1:12" s="161" customFormat="1" x14ac:dyDescent="0.2">
      <c r="A163" s="196" t="s">
        <v>271</v>
      </c>
      <c r="B163" s="196"/>
      <c r="C163" s="196"/>
      <c r="D163" s="196"/>
      <c r="E163" s="196"/>
      <c r="F163" s="196"/>
      <c r="G163" s="196"/>
      <c r="H163" s="196"/>
      <c r="I163" s="226"/>
      <c r="J163" s="1057"/>
      <c r="K163" s="182"/>
      <c r="L163" s="182"/>
    </row>
    <row r="164" spans="1:12" s="161" customFormat="1" x14ac:dyDescent="0.2">
      <c r="A164" s="196" t="s">
        <v>272</v>
      </c>
      <c r="B164" s="196"/>
      <c r="C164" s="196"/>
      <c r="D164" s="196"/>
      <c r="E164" s="196"/>
      <c r="F164" s="196"/>
      <c r="G164" s="196"/>
      <c r="H164" s="196"/>
      <c r="I164" s="226"/>
      <c r="J164" s="1057"/>
      <c r="K164" s="182"/>
      <c r="L164" s="182"/>
    </row>
    <row r="165" spans="1:12" s="161" customFormat="1" x14ac:dyDescent="0.2">
      <c r="A165" s="196" t="s">
        <v>273</v>
      </c>
      <c r="B165" s="196"/>
      <c r="C165" s="196"/>
      <c r="D165" s="196"/>
      <c r="E165" s="196"/>
      <c r="F165" s="196"/>
      <c r="G165" s="196"/>
      <c r="H165" s="196"/>
      <c r="I165" s="226"/>
      <c r="J165" s="1057"/>
      <c r="K165" s="182"/>
      <c r="L165" s="182"/>
    </row>
    <row r="166" spans="1:12" s="183" customFormat="1" x14ac:dyDescent="0.2">
      <c r="A166" s="228" t="s">
        <v>274</v>
      </c>
      <c r="B166" s="228"/>
      <c r="C166" s="228"/>
      <c r="D166" s="228"/>
      <c r="E166" s="228"/>
      <c r="F166" s="228"/>
      <c r="G166" s="228"/>
      <c r="H166" s="228"/>
      <c r="I166" s="231"/>
      <c r="J166" s="1058"/>
      <c r="K166" s="184"/>
      <c r="L166" s="184"/>
    </row>
    <row r="167" spans="1:12" s="161" customFormat="1" x14ac:dyDescent="0.2">
      <c r="A167" s="196" t="s">
        <v>275</v>
      </c>
      <c r="B167" s="196"/>
      <c r="C167" s="196"/>
      <c r="D167" s="196"/>
      <c r="E167" s="196"/>
      <c r="F167" s="196"/>
      <c r="G167" s="196"/>
      <c r="H167" s="196"/>
      <c r="I167" s="226"/>
      <c r="J167" s="1057"/>
      <c r="K167" s="182"/>
      <c r="L167" s="182"/>
    </row>
    <row r="168" spans="1:12" s="161" customFormat="1" x14ac:dyDescent="0.2">
      <c r="A168" s="196" t="s">
        <v>276</v>
      </c>
      <c r="B168" s="196"/>
      <c r="C168" s="196"/>
      <c r="D168" s="196"/>
      <c r="E168" s="196"/>
      <c r="F168" s="196"/>
      <c r="G168" s="196"/>
      <c r="H168" s="196"/>
      <c r="I168" s="226"/>
      <c r="J168" s="1057"/>
      <c r="K168" s="182"/>
      <c r="L168" s="182"/>
    </row>
    <row r="169" spans="1:12" s="161" customFormat="1" x14ac:dyDescent="0.2">
      <c r="A169" s="196" t="s">
        <v>277</v>
      </c>
      <c r="B169" s="196"/>
      <c r="C169" s="196"/>
      <c r="D169" s="196"/>
      <c r="E169" s="196"/>
      <c r="F169" s="196"/>
      <c r="G169" s="196"/>
      <c r="H169" s="196"/>
      <c r="I169" s="226"/>
      <c r="J169" s="1057"/>
      <c r="K169" s="182"/>
      <c r="L169" s="182"/>
    </row>
    <row r="170" spans="1:12" s="161" customFormat="1" x14ac:dyDescent="0.2">
      <c r="A170" s="196" t="s">
        <v>278</v>
      </c>
      <c r="B170" s="196"/>
      <c r="C170" s="196"/>
      <c r="D170" s="196"/>
      <c r="E170" s="196"/>
      <c r="F170" s="196"/>
      <c r="G170" s="196"/>
      <c r="H170" s="196"/>
      <c r="I170" s="226"/>
      <c r="J170" s="1057"/>
      <c r="K170" s="182"/>
      <c r="L170" s="182"/>
    </row>
    <row r="171" spans="1:12" s="161" customFormat="1" x14ac:dyDescent="0.2">
      <c r="A171" s="196" t="s">
        <v>279</v>
      </c>
      <c r="B171" s="196"/>
      <c r="C171" s="196"/>
      <c r="D171" s="196"/>
      <c r="E171" s="196"/>
      <c r="F171" s="196"/>
      <c r="G171" s="196"/>
      <c r="H171" s="196"/>
      <c r="I171" s="226"/>
      <c r="J171" s="1057"/>
      <c r="K171" s="182"/>
      <c r="L171" s="182"/>
    </row>
    <row r="172" spans="1:12" s="161" customFormat="1" x14ac:dyDescent="0.2">
      <c r="A172" s="196" t="s">
        <v>280</v>
      </c>
      <c r="B172" s="196"/>
      <c r="C172" s="196"/>
      <c r="D172" s="196"/>
      <c r="E172" s="196"/>
      <c r="F172" s="196"/>
      <c r="G172" s="196"/>
      <c r="H172" s="196"/>
      <c r="I172" s="196"/>
      <c r="J172" s="188"/>
      <c r="K172" s="182"/>
      <c r="L172" s="182"/>
    </row>
    <row r="173" spans="1:12" s="161" customFormat="1" x14ac:dyDescent="0.2">
      <c r="A173" s="196" t="s">
        <v>281</v>
      </c>
      <c r="B173" s="196"/>
      <c r="C173" s="196"/>
      <c r="D173" s="196"/>
      <c r="E173" s="196"/>
      <c r="F173" s="196"/>
      <c r="G173" s="196"/>
      <c r="H173" s="196"/>
      <c r="I173" s="196"/>
      <c r="J173" s="188"/>
      <c r="K173" s="182"/>
      <c r="L173" s="182"/>
    </row>
    <row r="174" spans="1:12" s="161" customFormat="1" x14ac:dyDescent="0.2">
      <c r="A174" s="196" t="s">
        <v>282</v>
      </c>
      <c r="B174" s="196"/>
      <c r="C174" s="196"/>
      <c r="D174" s="196"/>
      <c r="E174" s="196"/>
      <c r="F174" s="196"/>
      <c r="G174" s="196"/>
      <c r="H174" s="196"/>
      <c r="I174" s="196"/>
      <c r="J174" s="188"/>
      <c r="K174" s="182"/>
      <c r="L174" s="182"/>
    </row>
    <row r="175" spans="1:12" s="161" customFormat="1" x14ac:dyDescent="0.2">
      <c r="A175" s="196" t="s">
        <v>283</v>
      </c>
      <c r="B175" s="196"/>
      <c r="C175" s="196"/>
      <c r="D175" s="196"/>
      <c r="E175" s="196"/>
      <c r="F175" s="196"/>
      <c r="G175" s="196"/>
      <c r="H175" s="196"/>
      <c r="I175" s="196"/>
      <c r="J175" s="188"/>
      <c r="K175" s="182"/>
      <c r="L175" s="182"/>
    </row>
    <row r="176" spans="1:12" s="161" customFormat="1" x14ac:dyDescent="0.2">
      <c r="A176" s="196" t="s">
        <v>284</v>
      </c>
      <c r="B176" s="196"/>
      <c r="C176" s="196"/>
      <c r="D176" s="196"/>
      <c r="E176" s="196"/>
      <c r="F176" s="196"/>
      <c r="G176" s="196"/>
      <c r="H176" s="196"/>
      <c r="I176" s="196"/>
      <c r="J176" s="188"/>
      <c r="K176" s="182"/>
      <c r="L176" s="182"/>
    </row>
    <row r="177" spans="1:12" s="161" customFormat="1" x14ac:dyDescent="0.2">
      <c r="A177" s="196" t="s">
        <v>285</v>
      </c>
      <c r="B177" s="196"/>
      <c r="C177" s="196"/>
      <c r="D177" s="196"/>
      <c r="E177" s="196"/>
      <c r="F177" s="196"/>
      <c r="G177" s="196"/>
      <c r="H177" s="196"/>
      <c r="I177" s="196"/>
      <c r="J177" s="188"/>
      <c r="K177" s="182"/>
      <c r="L177" s="182"/>
    </row>
    <row r="178" spans="1:12" s="161" customFormat="1" x14ac:dyDescent="0.2">
      <c r="A178" s="196" t="s">
        <v>286</v>
      </c>
      <c r="B178" s="196"/>
      <c r="C178" s="196"/>
      <c r="D178" s="196"/>
      <c r="E178" s="196"/>
      <c r="F178" s="196"/>
      <c r="G178" s="196"/>
      <c r="H178" s="196"/>
      <c r="I178" s="196"/>
      <c r="J178" s="188"/>
      <c r="K178" s="182"/>
      <c r="L178" s="182"/>
    </row>
    <row r="179" spans="1:12" s="161" customFormat="1" x14ac:dyDescent="0.2">
      <c r="A179" s="196" t="s">
        <v>287</v>
      </c>
      <c r="B179" s="196"/>
      <c r="C179" s="196"/>
      <c r="D179" s="196"/>
      <c r="E179" s="196"/>
      <c r="F179" s="196"/>
      <c r="G179" s="196"/>
      <c r="H179" s="196"/>
      <c r="I179" s="196"/>
      <c r="J179" s="188"/>
      <c r="K179" s="182"/>
      <c r="L179" s="182"/>
    </row>
    <row r="180" spans="1:12" s="161" customFormat="1" x14ac:dyDescent="0.2">
      <c r="A180" s="196" t="s">
        <v>288</v>
      </c>
      <c r="B180" s="196"/>
      <c r="C180" s="196"/>
      <c r="D180" s="196"/>
      <c r="E180" s="196"/>
      <c r="F180" s="196"/>
      <c r="G180" s="196"/>
      <c r="H180" s="196"/>
      <c r="I180" s="196"/>
      <c r="J180" s="188"/>
      <c r="K180" s="182"/>
      <c r="L180" s="182"/>
    </row>
    <row r="181" spans="1:12" s="161" customFormat="1" x14ac:dyDescent="0.2">
      <c r="A181" s="196" t="s">
        <v>289</v>
      </c>
      <c r="B181" s="196"/>
      <c r="C181" s="196"/>
      <c r="D181" s="196"/>
      <c r="E181" s="196"/>
      <c r="F181" s="196"/>
      <c r="G181" s="196"/>
      <c r="H181" s="196"/>
      <c r="I181" s="196"/>
      <c r="J181" s="188"/>
      <c r="K181" s="182"/>
      <c r="L181" s="182"/>
    </row>
    <row r="182" spans="1:12" s="161" customFormat="1" x14ac:dyDescent="0.2">
      <c r="A182" s="196" t="s">
        <v>290</v>
      </c>
      <c r="B182" s="196"/>
      <c r="C182" s="196"/>
      <c r="D182" s="196"/>
      <c r="E182" s="196"/>
      <c r="F182" s="196"/>
      <c r="G182" s="196"/>
      <c r="H182" s="196"/>
      <c r="I182" s="196"/>
      <c r="J182" s="188"/>
      <c r="K182" s="182"/>
      <c r="L182" s="182"/>
    </row>
    <row r="183" spans="1:12" s="161" customFormat="1" x14ac:dyDescent="0.2">
      <c r="A183" s="196" t="s">
        <v>291</v>
      </c>
      <c r="B183" s="196"/>
      <c r="C183" s="196"/>
      <c r="D183" s="196"/>
      <c r="E183" s="196"/>
      <c r="F183" s="196"/>
      <c r="G183" s="196"/>
      <c r="H183" s="196"/>
      <c r="I183" s="196"/>
      <c r="J183" s="188"/>
      <c r="K183" s="182"/>
      <c r="L183" s="182"/>
    </row>
    <row r="184" spans="1:12" s="161" customFormat="1" x14ac:dyDescent="0.2">
      <c r="A184" s="196" t="s">
        <v>292</v>
      </c>
      <c r="B184" s="196"/>
      <c r="C184" s="196"/>
      <c r="D184" s="196"/>
      <c r="E184" s="196"/>
      <c r="F184" s="196"/>
      <c r="G184" s="196"/>
      <c r="H184" s="196"/>
      <c r="I184" s="196"/>
      <c r="J184" s="188"/>
      <c r="K184" s="182"/>
      <c r="L184" s="182"/>
    </row>
    <row r="185" spans="1:12" s="161" customFormat="1" x14ac:dyDescent="0.2">
      <c r="A185" s="196" t="s">
        <v>293</v>
      </c>
      <c r="B185" s="196"/>
      <c r="C185" s="196"/>
      <c r="D185" s="196"/>
      <c r="E185" s="196"/>
      <c r="F185" s="196"/>
      <c r="G185" s="196"/>
      <c r="H185" s="196"/>
      <c r="I185" s="196"/>
      <c r="J185" s="188"/>
      <c r="K185" s="182"/>
      <c r="L185" s="182"/>
    </row>
    <row r="186" spans="1:12" s="161" customFormat="1" x14ac:dyDescent="0.2">
      <c r="A186" s="196" t="s">
        <v>294</v>
      </c>
      <c r="B186" s="196"/>
      <c r="C186" s="196"/>
      <c r="D186" s="196"/>
      <c r="E186" s="196"/>
      <c r="F186" s="196"/>
      <c r="G186" s="196"/>
      <c r="H186" s="196"/>
      <c r="I186" s="196"/>
      <c r="J186" s="188"/>
      <c r="K186" s="182"/>
      <c r="L186" s="182"/>
    </row>
    <row r="187" spans="1:12" s="161" customFormat="1" x14ac:dyDescent="0.2">
      <c r="A187" s="196" t="s">
        <v>295</v>
      </c>
      <c r="B187" s="196"/>
      <c r="C187" s="196"/>
      <c r="D187" s="196"/>
      <c r="E187" s="196"/>
      <c r="F187" s="196"/>
      <c r="G187" s="196"/>
      <c r="H187" s="196"/>
      <c r="I187" s="196"/>
      <c r="J187" s="188"/>
      <c r="K187" s="182"/>
      <c r="L187" s="182"/>
    </row>
    <row r="188" spans="1:12" s="161" customFormat="1" x14ac:dyDescent="0.2">
      <c r="A188" s="196" t="s">
        <v>296</v>
      </c>
      <c r="B188" s="196"/>
      <c r="C188" s="196"/>
      <c r="D188" s="196"/>
      <c r="E188" s="196"/>
      <c r="F188" s="196"/>
      <c r="G188" s="196"/>
      <c r="H188" s="196"/>
      <c r="I188" s="196"/>
      <c r="J188" s="188"/>
      <c r="K188" s="182"/>
      <c r="L188" s="182"/>
    </row>
    <row r="189" spans="1:12" s="161" customFormat="1" x14ac:dyDescent="0.2">
      <c r="A189" s="196" t="s">
        <v>297</v>
      </c>
      <c r="B189" s="196"/>
      <c r="C189" s="196"/>
      <c r="D189" s="196"/>
      <c r="E189" s="196"/>
      <c r="F189" s="196"/>
      <c r="G189" s="196"/>
      <c r="H189" s="196"/>
      <c r="I189" s="196"/>
      <c r="J189" s="188"/>
      <c r="K189" s="182"/>
      <c r="L189" s="182"/>
    </row>
    <row r="190" spans="1:12" s="161" customFormat="1" x14ac:dyDescent="0.2">
      <c r="A190" s="196" t="s">
        <v>298</v>
      </c>
      <c r="B190" s="196"/>
      <c r="C190" s="196"/>
      <c r="D190" s="196"/>
      <c r="E190" s="196"/>
      <c r="F190" s="196"/>
      <c r="G190" s="196"/>
      <c r="H190" s="196"/>
      <c r="I190" s="196"/>
      <c r="J190" s="188"/>
      <c r="K190" s="182"/>
      <c r="L190" s="182"/>
    </row>
    <row r="191" spans="1:12" s="161" customFormat="1" x14ac:dyDescent="0.2">
      <c r="A191" s="196"/>
      <c r="B191" s="196"/>
      <c r="C191" s="196"/>
      <c r="D191" s="196"/>
      <c r="E191" s="196"/>
      <c r="F191" s="196"/>
      <c r="G191" s="196"/>
      <c r="H191" s="196"/>
      <c r="I191" s="196"/>
      <c r="J191" s="188"/>
      <c r="K191" s="182"/>
      <c r="L191" s="182"/>
    </row>
    <row r="192" spans="1:12" s="161" customFormat="1" x14ac:dyDescent="0.2">
      <c r="A192" s="225" t="s">
        <v>299</v>
      </c>
      <c r="B192" s="196"/>
      <c r="C192" s="196"/>
      <c r="D192" s="196"/>
      <c r="E192" s="196"/>
      <c r="F192" s="196"/>
      <c r="G192" s="196"/>
      <c r="H192" s="196"/>
      <c r="I192" s="196"/>
      <c r="J192" s="188"/>
      <c r="K192" s="182"/>
      <c r="L192" s="182"/>
    </row>
    <row r="193" spans="1:24" s="185" customFormat="1" x14ac:dyDescent="0.2">
      <c r="A193" s="196" t="s">
        <v>300</v>
      </c>
      <c r="B193" s="196"/>
      <c r="C193" s="196"/>
      <c r="D193" s="196"/>
      <c r="E193" s="196"/>
      <c r="F193" s="196"/>
      <c r="G193" s="196"/>
      <c r="H193" s="196"/>
      <c r="I193" s="196"/>
      <c r="J193" s="188"/>
      <c r="K193" s="182"/>
      <c r="L193" s="182"/>
      <c r="M193" s="161"/>
      <c r="N193" s="161"/>
      <c r="O193" s="161"/>
      <c r="P193" s="161"/>
      <c r="Q193" s="161"/>
      <c r="R193" s="161"/>
      <c r="S193" s="161"/>
      <c r="T193" s="161"/>
      <c r="U193" s="161"/>
      <c r="V193" s="161"/>
      <c r="W193" s="161"/>
      <c r="X193" s="161"/>
    </row>
    <row r="194" spans="1:24" s="185" customFormat="1" x14ac:dyDescent="0.2">
      <c r="A194" s="196" t="s">
        <v>301</v>
      </c>
      <c r="B194" s="196"/>
      <c r="C194" s="196"/>
      <c r="D194" s="196"/>
      <c r="E194" s="196"/>
      <c r="F194" s="196"/>
      <c r="G194" s="196"/>
      <c r="H194" s="196"/>
      <c r="I194" s="196"/>
      <c r="J194" s="188"/>
      <c r="K194" s="182"/>
      <c r="L194" s="182"/>
      <c r="M194" s="161"/>
      <c r="N194" s="161"/>
      <c r="O194" s="161"/>
      <c r="P194" s="161"/>
      <c r="Q194" s="161"/>
      <c r="R194" s="161"/>
      <c r="S194" s="161"/>
      <c r="T194" s="161"/>
      <c r="U194" s="161"/>
      <c r="V194" s="161"/>
      <c r="W194" s="161"/>
      <c r="X194" s="161"/>
    </row>
    <row r="195" spans="1:24" s="185" customFormat="1" x14ac:dyDescent="0.2">
      <c r="A195" s="196" t="s">
        <v>302</v>
      </c>
      <c r="B195" s="196"/>
      <c r="C195" s="196"/>
      <c r="D195" s="196"/>
      <c r="E195" s="196"/>
      <c r="F195" s="196"/>
      <c r="G195" s="196"/>
      <c r="H195" s="196"/>
      <c r="I195" s="196"/>
      <c r="J195" s="188"/>
      <c r="K195" s="182"/>
      <c r="L195" s="182"/>
      <c r="M195" s="161"/>
      <c r="N195" s="161"/>
      <c r="O195" s="161"/>
      <c r="P195" s="161"/>
      <c r="Q195" s="161"/>
      <c r="R195" s="161"/>
      <c r="S195" s="161"/>
      <c r="T195" s="161"/>
      <c r="U195" s="161"/>
      <c r="V195" s="161"/>
      <c r="W195" s="161"/>
      <c r="X195" s="161"/>
    </row>
    <row r="196" spans="1:24" s="185" customFormat="1" x14ac:dyDescent="0.2">
      <c r="A196" s="196" t="s">
        <v>303</v>
      </c>
      <c r="B196" s="196"/>
      <c r="C196" s="196"/>
      <c r="D196" s="196"/>
      <c r="E196" s="196"/>
      <c r="F196" s="196"/>
      <c r="G196" s="196"/>
      <c r="H196" s="196"/>
      <c r="I196" s="196"/>
      <c r="J196" s="188"/>
      <c r="K196" s="182"/>
      <c r="L196" s="182"/>
      <c r="M196" s="161"/>
      <c r="N196" s="161"/>
      <c r="O196" s="161"/>
      <c r="P196" s="161"/>
      <c r="Q196" s="161"/>
      <c r="R196" s="161"/>
      <c r="S196" s="161"/>
      <c r="T196" s="161"/>
      <c r="U196" s="161"/>
      <c r="V196" s="161"/>
      <c r="W196" s="161"/>
      <c r="X196" s="161"/>
    </row>
    <row r="197" spans="1:24" s="185" customFormat="1" x14ac:dyDescent="0.2">
      <c r="A197" s="196" t="s">
        <v>304</v>
      </c>
      <c r="B197" s="196"/>
      <c r="C197" s="196"/>
      <c r="D197" s="196"/>
      <c r="E197" s="196"/>
      <c r="F197" s="196"/>
      <c r="G197" s="196"/>
      <c r="H197" s="196"/>
      <c r="I197" s="196"/>
      <c r="J197" s="188"/>
      <c r="K197" s="182"/>
      <c r="L197" s="182"/>
      <c r="M197" s="161"/>
      <c r="N197" s="161"/>
      <c r="O197" s="161"/>
      <c r="P197" s="161"/>
      <c r="Q197" s="161"/>
      <c r="R197" s="161"/>
      <c r="S197" s="161"/>
      <c r="T197" s="161"/>
      <c r="U197" s="161"/>
      <c r="V197" s="161"/>
      <c r="W197" s="161"/>
      <c r="X197" s="161"/>
    </row>
    <row r="198" spans="1:24" s="185" customFormat="1" x14ac:dyDescent="0.2">
      <c r="A198" s="196" t="s">
        <v>305</v>
      </c>
      <c r="B198" s="196"/>
      <c r="C198" s="196"/>
      <c r="D198" s="196"/>
      <c r="E198" s="196"/>
      <c r="F198" s="196"/>
      <c r="G198" s="196"/>
      <c r="H198" s="196"/>
      <c r="I198" s="196"/>
      <c r="J198" s="188"/>
      <c r="K198" s="182"/>
      <c r="L198" s="182"/>
      <c r="M198" s="161"/>
      <c r="N198" s="161"/>
      <c r="O198" s="161"/>
      <c r="P198" s="161"/>
      <c r="Q198" s="161"/>
      <c r="R198" s="161"/>
      <c r="S198" s="161"/>
      <c r="T198" s="161"/>
      <c r="U198" s="161"/>
      <c r="V198" s="161"/>
      <c r="W198" s="161"/>
      <c r="X198" s="161"/>
    </row>
    <row r="199" spans="1:24" s="161" customFormat="1" x14ac:dyDescent="0.2">
      <c r="A199" s="196"/>
      <c r="B199" s="196"/>
      <c r="C199" s="196"/>
      <c r="D199" s="196"/>
      <c r="E199" s="196"/>
      <c r="F199" s="196"/>
      <c r="G199" s="196"/>
      <c r="H199" s="196"/>
      <c r="I199" s="196"/>
      <c r="J199" s="188"/>
      <c r="K199" s="182"/>
      <c r="L199" s="182"/>
    </row>
    <row r="200" spans="1:24" s="161" customFormat="1" x14ac:dyDescent="0.2">
      <c r="A200" s="225" t="s">
        <v>306</v>
      </c>
      <c r="B200" s="196"/>
      <c r="C200" s="196"/>
      <c r="D200" s="196"/>
      <c r="E200" s="196"/>
      <c r="F200" s="196"/>
      <c r="G200" s="196"/>
      <c r="H200" s="196"/>
      <c r="I200" s="196"/>
      <c r="J200" s="188"/>
      <c r="K200" s="182"/>
      <c r="L200" s="182"/>
    </row>
    <row r="201" spans="1:24" s="185" customFormat="1" x14ac:dyDescent="0.2">
      <c r="A201" s="196" t="s">
        <v>307</v>
      </c>
      <c r="B201" s="196"/>
      <c r="C201" s="196"/>
      <c r="D201" s="196"/>
      <c r="E201" s="196"/>
      <c r="F201" s="196"/>
      <c r="G201" s="196"/>
      <c r="H201" s="196"/>
      <c r="I201" s="196"/>
      <c r="J201" s="188"/>
      <c r="K201" s="182"/>
      <c r="L201" s="182"/>
      <c r="M201" s="161"/>
      <c r="N201" s="161"/>
      <c r="O201" s="161"/>
      <c r="P201" s="161"/>
      <c r="Q201" s="161"/>
      <c r="R201" s="161"/>
      <c r="S201" s="161"/>
      <c r="T201" s="161"/>
      <c r="U201" s="161"/>
      <c r="V201" s="161"/>
      <c r="W201" s="161"/>
      <c r="X201" s="161"/>
    </row>
    <row r="202" spans="1:24" s="185" customFormat="1" x14ac:dyDescent="0.2">
      <c r="A202" s="196" t="s">
        <v>308</v>
      </c>
      <c r="B202" s="196"/>
      <c r="C202" s="196"/>
      <c r="D202" s="196"/>
      <c r="E202" s="196"/>
      <c r="F202" s="196"/>
      <c r="G202" s="196"/>
      <c r="H202" s="196"/>
      <c r="I202" s="196"/>
      <c r="J202" s="188"/>
      <c r="K202" s="182"/>
      <c r="L202" s="182"/>
      <c r="M202" s="161"/>
      <c r="N202" s="161"/>
      <c r="O202" s="161"/>
      <c r="P202" s="161"/>
      <c r="Q202" s="161"/>
      <c r="R202" s="161"/>
      <c r="S202" s="161"/>
      <c r="T202" s="161"/>
      <c r="U202" s="161"/>
      <c r="V202" s="161"/>
      <c r="W202" s="161"/>
      <c r="X202" s="161"/>
    </row>
    <row r="203" spans="1:24" s="185" customFormat="1" x14ac:dyDescent="0.2">
      <c r="A203" s="196" t="s">
        <v>309</v>
      </c>
      <c r="B203" s="196"/>
      <c r="C203" s="196"/>
      <c r="D203" s="196"/>
      <c r="E203" s="196"/>
      <c r="F203" s="196"/>
      <c r="G203" s="196"/>
      <c r="H203" s="196"/>
      <c r="I203" s="196"/>
      <c r="J203" s="188"/>
      <c r="K203" s="182"/>
      <c r="L203" s="182"/>
      <c r="M203" s="161"/>
      <c r="N203" s="161"/>
      <c r="O203" s="161"/>
      <c r="P203" s="161"/>
      <c r="Q203" s="161"/>
      <c r="R203" s="161"/>
      <c r="S203" s="161"/>
      <c r="T203" s="161"/>
      <c r="U203" s="161"/>
      <c r="V203" s="161"/>
      <c r="W203" s="161"/>
      <c r="X203" s="161"/>
    </row>
    <row r="204" spans="1:24" s="185" customFormat="1" x14ac:dyDescent="0.2">
      <c r="A204" s="196" t="s">
        <v>310</v>
      </c>
      <c r="B204" s="196"/>
      <c r="C204" s="196"/>
      <c r="D204" s="196"/>
      <c r="E204" s="196"/>
      <c r="F204" s="196"/>
      <c r="G204" s="196"/>
      <c r="H204" s="196"/>
      <c r="I204" s="196"/>
      <c r="J204" s="188"/>
      <c r="K204" s="182"/>
      <c r="L204" s="182"/>
      <c r="M204" s="161"/>
      <c r="N204" s="161"/>
      <c r="O204" s="161"/>
      <c r="P204" s="161"/>
      <c r="Q204" s="161"/>
      <c r="R204" s="161"/>
      <c r="S204" s="161"/>
      <c r="T204" s="161"/>
      <c r="U204" s="161"/>
      <c r="V204" s="161"/>
      <c r="W204" s="161"/>
      <c r="X204" s="161"/>
    </row>
    <row r="205" spans="1:24" s="185" customFormat="1" x14ac:dyDescent="0.2">
      <c r="A205" s="196" t="s">
        <v>311</v>
      </c>
      <c r="B205" s="196"/>
      <c r="C205" s="196"/>
      <c r="D205" s="196"/>
      <c r="E205" s="196"/>
      <c r="F205" s="196"/>
      <c r="G205" s="196"/>
      <c r="H205" s="196"/>
      <c r="I205" s="196"/>
      <c r="J205" s="188"/>
      <c r="K205" s="182"/>
      <c r="L205" s="182"/>
      <c r="M205" s="161"/>
      <c r="N205" s="161"/>
      <c r="O205" s="161"/>
      <c r="P205" s="161"/>
      <c r="Q205" s="161"/>
      <c r="R205" s="161"/>
      <c r="S205" s="161"/>
      <c r="T205" s="161"/>
      <c r="U205" s="161"/>
      <c r="V205" s="161"/>
      <c r="W205" s="161"/>
      <c r="X205" s="161"/>
    </row>
    <row r="206" spans="1:24" s="161" customFormat="1" x14ac:dyDescent="0.2">
      <c r="A206" s="196"/>
      <c r="B206" s="196"/>
      <c r="C206" s="196"/>
      <c r="D206" s="196"/>
      <c r="E206" s="196"/>
      <c r="F206" s="196"/>
      <c r="G206" s="196"/>
      <c r="H206" s="196"/>
      <c r="I206" s="196"/>
      <c r="J206" s="188"/>
      <c r="K206" s="182"/>
      <c r="L206" s="182"/>
    </row>
    <row r="207" spans="1:24" s="161" customFormat="1" x14ac:dyDescent="0.2">
      <c r="A207" s="225" t="s">
        <v>312</v>
      </c>
      <c r="B207" s="196"/>
      <c r="C207" s="196"/>
      <c r="D207" s="196"/>
      <c r="E207" s="196"/>
      <c r="F207" s="196"/>
      <c r="G207" s="196"/>
      <c r="H207" s="196"/>
      <c r="I207" s="196"/>
      <c r="J207" s="188"/>
      <c r="K207" s="182"/>
      <c r="L207" s="182"/>
    </row>
    <row r="208" spans="1:24" s="161" customFormat="1" x14ac:dyDescent="0.2">
      <c r="A208" s="1339" t="s">
        <v>313</v>
      </c>
      <c r="B208" s="196"/>
      <c r="C208" s="196"/>
      <c r="D208" s="196"/>
      <c r="E208" s="196"/>
      <c r="F208" s="196"/>
      <c r="G208" s="196"/>
      <c r="H208" s="196"/>
      <c r="I208" s="196"/>
      <c r="J208" s="188"/>
      <c r="K208" s="182"/>
      <c r="L208" s="182"/>
    </row>
    <row r="209" spans="1:24" s="161" customFormat="1" x14ac:dyDescent="0.2">
      <c r="A209" s="287" t="s">
        <v>314</v>
      </c>
      <c r="B209" s="196"/>
      <c r="C209" s="196"/>
      <c r="D209" s="196"/>
      <c r="E209" s="196"/>
      <c r="F209" s="196"/>
      <c r="G209" s="196"/>
      <c r="H209" s="196"/>
      <c r="I209" s="196"/>
      <c r="J209" s="188"/>
      <c r="K209" s="182"/>
      <c r="L209" s="182"/>
    </row>
    <row r="210" spans="1:24" s="161" customFormat="1" x14ac:dyDescent="0.2">
      <c r="A210" s="287" t="s">
        <v>315</v>
      </c>
      <c r="B210" s="196"/>
      <c r="C210" s="196"/>
      <c r="D210" s="196"/>
      <c r="E210" s="196"/>
      <c r="F210" s="196"/>
      <c r="G210" s="196"/>
      <c r="H210" s="196"/>
      <c r="I210" s="196"/>
      <c r="J210" s="188"/>
      <c r="K210" s="182"/>
      <c r="L210" s="182"/>
    </row>
    <row r="211" spans="1:24" s="161" customFormat="1" x14ac:dyDescent="0.2">
      <c r="A211" s="1339" t="s">
        <v>316</v>
      </c>
      <c r="B211" s="196"/>
      <c r="C211" s="196"/>
      <c r="D211" s="196"/>
      <c r="E211" s="196"/>
      <c r="F211" s="196"/>
      <c r="G211" s="196"/>
      <c r="H211" s="196"/>
      <c r="I211" s="196"/>
      <c r="J211" s="188"/>
      <c r="K211" s="182"/>
      <c r="L211" s="182"/>
    </row>
    <row r="212" spans="1:24" s="161" customFormat="1" x14ac:dyDescent="0.2">
      <c r="A212" s="287" t="s">
        <v>317</v>
      </c>
      <c r="B212" s="196"/>
      <c r="C212" s="196"/>
      <c r="D212" s="196"/>
      <c r="E212" s="196"/>
      <c r="F212" s="196"/>
      <c r="G212" s="196"/>
      <c r="H212" s="196"/>
      <c r="I212" s="196"/>
      <c r="J212" s="188"/>
      <c r="K212" s="182"/>
      <c r="L212" s="182"/>
    </row>
    <row r="213" spans="1:24" s="161" customFormat="1" x14ac:dyDescent="0.2">
      <c r="A213" s="287" t="s">
        <v>318</v>
      </c>
      <c r="B213" s="196"/>
      <c r="C213" s="196"/>
      <c r="D213" s="196"/>
      <c r="E213" s="196"/>
      <c r="F213" s="196"/>
      <c r="G213" s="196"/>
      <c r="H213" s="196"/>
      <c r="I213" s="196"/>
      <c r="J213" s="188"/>
      <c r="K213" s="182"/>
      <c r="L213" s="182"/>
    </row>
    <row r="214" spans="1:24" s="161" customFormat="1" x14ac:dyDescent="0.2">
      <c r="A214" s="287" t="s">
        <v>319</v>
      </c>
      <c r="B214" s="196"/>
      <c r="C214" s="196"/>
      <c r="D214" s="196"/>
      <c r="E214" s="196"/>
      <c r="F214" s="196"/>
      <c r="G214" s="196"/>
      <c r="H214" s="196"/>
      <c r="I214" s="196"/>
      <c r="J214" s="188"/>
      <c r="K214" s="182"/>
      <c r="L214" s="182"/>
    </row>
    <row r="215" spans="1:24" s="161" customFormat="1" x14ac:dyDescent="0.2">
      <c r="A215" s="287" t="s">
        <v>320</v>
      </c>
      <c r="B215" s="196"/>
      <c r="C215" s="196"/>
      <c r="D215" s="196"/>
      <c r="E215" s="196"/>
      <c r="F215" s="196"/>
      <c r="G215" s="196"/>
      <c r="H215" s="196"/>
      <c r="I215" s="196"/>
      <c r="J215" s="188"/>
      <c r="K215" s="182"/>
      <c r="L215" s="182"/>
    </row>
    <row r="216" spans="1:24" s="161" customFormat="1" x14ac:dyDescent="0.2">
      <c r="A216" s="287" t="s">
        <v>321</v>
      </c>
      <c r="B216" s="196"/>
      <c r="C216" s="196"/>
      <c r="D216" s="196"/>
      <c r="E216" s="196"/>
      <c r="F216" s="196"/>
      <c r="G216" s="196"/>
      <c r="H216" s="196"/>
      <c r="I216" s="196"/>
      <c r="J216" s="188"/>
      <c r="K216" s="182"/>
      <c r="L216" s="182"/>
    </row>
    <row r="217" spans="1:24" s="161" customFormat="1" x14ac:dyDescent="0.2">
      <c r="A217" s="228" t="s">
        <v>322</v>
      </c>
      <c r="B217" s="196"/>
      <c r="C217" s="196"/>
      <c r="D217" s="196"/>
      <c r="E217" s="196"/>
      <c r="F217" s="196"/>
      <c r="G217" s="196"/>
      <c r="H217" s="196"/>
      <c r="I217" s="196"/>
      <c r="J217" s="188"/>
      <c r="K217" s="182"/>
      <c r="L217" s="182"/>
    </row>
    <row r="218" spans="1:24" s="185" customFormat="1" x14ac:dyDescent="0.2">
      <c r="A218" s="196" t="s">
        <v>323</v>
      </c>
      <c r="B218" s="196"/>
      <c r="C218" s="196"/>
      <c r="D218" s="196"/>
      <c r="E218" s="196"/>
      <c r="F218" s="196"/>
      <c r="G218" s="196"/>
      <c r="H218" s="196"/>
      <c r="I218" s="196"/>
      <c r="J218" s="188"/>
      <c r="K218" s="182"/>
      <c r="L218" s="182"/>
      <c r="M218" s="161"/>
      <c r="N218" s="161"/>
      <c r="O218" s="161"/>
      <c r="P218" s="161"/>
      <c r="Q218" s="161"/>
      <c r="R218" s="161"/>
      <c r="S218" s="161"/>
      <c r="T218" s="161"/>
      <c r="U218" s="161"/>
      <c r="V218" s="161"/>
      <c r="W218" s="161"/>
      <c r="X218" s="161"/>
    </row>
    <row r="219" spans="1:24" s="185" customFormat="1" x14ac:dyDescent="0.2">
      <c r="A219" s="196" t="s">
        <v>324</v>
      </c>
      <c r="B219" s="196"/>
      <c r="C219" s="196"/>
      <c r="D219" s="196"/>
      <c r="E219" s="196"/>
      <c r="F219" s="196"/>
      <c r="G219" s="196"/>
      <c r="H219" s="196"/>
      <c r="I219" s="196"/>
      <c r="J219" s="188"/>
      <c r="K219" s="182"/>
      <c r="L219" s="182"/>
      <c r="M219" s="161"/>
      <c r="N219" s="161"/>
      <c r="O219" s="161"/>
      <c r="P219" s="161"/>
      <c r="Q219" s="161"/>
      <c r="R219" s="161"/>
      <c r="S219" s="161"/>
      <c r="T219" s="161"/>
      <c r="U219" s="161"/>
      <c r="V219" s="161"/>
      <c r="W219" s="161"/>
      <c r="X219" s="161"/>
    </row>
    <row r="220" spans="1:24" s="185" customFormat="1" x14ac:dyDescent="0.2">
      <c r="A220" s="196" t="s">
        <v>325</v>
      </c>
      <c r="B220" s="196"/>
      <c r="C220" s="196"/>
      <c r="D220" s="196"/>
      <c r="E220" s="196"/>
      <c r="F220" s="196"/>
      <c r="G220" s="196"/>
      <c r="H220" s="196"/>
      <c r="I220" s="196"/>
      <c r="J220" s="188"/>
      <c r="K220" s="182"/>
      <c r="L220" s="182"/>
      <c r="M220" s="161"/>
      <c r="N220" s="161"/>
      <c r="O220" s="161"/>
      <c r="P220" s="161"/>
      <c r="Q220" s="161"/>
      <c r="R220" s="161"/>
      <c r="S220" s="161"/>
      <c r="T220" s="161"/>
      <c r="U220" s="161"/>
      <c r="V220" s="161"/>
      <c r="W220" s="161"/>
      <c r="X220" s="161"/>
    </row>
    <row r="221" spans="1:24" s="185" customFormat="1" x14ac:dyDescent="0.2">
      <c r="A221" s="196" t="s">
        <v>326</v>
      </c>
      <c r="B221" s="196"/>
      <c r="C221" s="196"/>
      <c r="D221" s="196"/>
      <c r="E221" s="196"/>
      <c r="F221" s="196"/>
      <c r="G221" s="196"/>
      <c r="H221" s="196"/>
      <c r="I221" s="196"/>
      <c r="J221" s="188"/>
      <c r="K221" s="182"/>
      <c r="L221" s="182"/>
      <c r="M221" s="161"/>
      <c r="N221" s="161"/>
      <c r="O221" s="161"/>
      <c r="P221" s="161"/>
      <c r="Q221" s="161"/>
      <c r="R221" s="161"/>
      <c r="S221" s="161"/>
      <c r="T221" s="161"/>
      <c r="U221" s="161"/>
      <c r="V221" s="161"/>
      <c r="W221" s="161"/>
      <c r="X221" s="161"/>
    </row>
    <row r="222" spans="1:24" s="185" customFormat="1" x14ac:dyDescent="0.2">
      <c r="A222" s="196" t="s">
        <v>327</v>
      </c>
      <c r="B222" s="196"/>
      <c r="C222" s="196"/>
      <c r="D222" s="196"/>
      <c r="E222" s="196"/>
      <c r="F222" s="196"/>
      <c r="G222" s="196"/>
      <c r="H222" s="196"/>
      <c r="I222" s="196"/>
      <c r="J222" s="188"/>
      <c r="K222" s="182"/>
      <c r="L222" s="182"/>
      <c r="M222" s="161"/>
      <c r="N222" s="161"/>
      <c r="O222" s="161"/>
      <c r="P222" s="161"/>
      <c r="Q222" s="161"/>
      <c r="R222" s="161"/>
      <c r="S222" s="161"/>
      <c r="T222" s="161"/>
      <c r="U222" s="161"/>
      <c r="V222" s="161"/>
      <c r="W222" s="161"/>
      <c r="X222" s="161"/>
    </row>
    <row r="223" spans="1:24" s="185" customFormat="1" x14ac:dyDescent="0.2">
      <c r="A223" s="196" t="s">
        <v>328</v>
      </c>
      <c r="B223" s="196"/>
      <c r="C223" s="196"/>
      <c r="D223" s="196"/>
      <c r="E223" s="196"/>
      <c r="F223" s="196"/>
      <c r="G223" s="196"/>
      <c r="H223" s="196"/>
      <c r="I223" s="196"/>
      <c r="J223" s="188"/>
      <c r="K223" s="182"/>
      <c r="L223" s="182"/>
      <c r="M223" s="161"/>
      <c r="N223" s="161"/>
      <c r="O223" s="161"/>
      <c r="P223" s="161"/>
      <c r="Q223" s="161"/>
      <c r="R223" s="161"/>
      <c r="S223" s="161"/>
      <c r="T223" s="161"/>
      <c r="U223" s="161"/>
      <c r="V223" s="161"/>
      <c r="W223" s="161"/>
      <c r="X223" s="161"/>
    </row>
    <row r="224" spans="1:24" s="161" customFormat="1" x14ac:dyDescent="0.2">
      <c r="A224" s="196"/>
      <c r="B224" s="196"/>
      <c r="C224" s="196"/>
      <c r="D224" s="196"/>
      <c r="E224" s="196"/>
      <c r="F224" s="196"/>
      <c r="G224" s="196"/>
      <c r="H224" s="196"/>
      <c r="I224" s="196"/>
      <c r="J224" s="188"/>
      <c r="K224" s="182"/>
      <c r="L224" s="182"/>
    </row>
    <row r="225" spans="1:24" s="161" customFormat="1" x14ac:dyDescent="0.2">
      <c r="A225" s="225" t="s">
        <v>329</v>
      </c>
      <c r="B225" s="196"/>
      <c r="C225" s="196"/>
      <c r="D225" s="196"/>
      <c r="E225" s="196"/>
      <c r="F225" s="196"/>
      <c r="G225" s="196"/>
      <c r="H225" s="196"/>
      <c r="I225" s="196"/>
      <c r="J225" s="188"/>
      <c r="K225" s="182"/>
      <c r="L225" s="182"/>
    </row>
    <row r="226" spans="1:24" s="161" customFormat="1" x14ac:dyDescent="0.2">
      <c r="A226" s="228" t="s">
        <v>254</v>
      </c>
      <c r="B226" s="196"/>
      <c r="C226" s="196"/>
      <c r="D226" s="196"/>
      <c r="E226" s="196"/>
      <c r="F226" s="196"/>
      <c r="G226" s="196"/>
      <c r="H226" s="196"/>
      <c r="I226" s="196"/>
      <c r="J226" s="188"/>
      <c r="K226" s="182"/>
      <c r="L226" s="182"/>
    </row>
    <row r="227" spans="1:24" s="161" customFormat="1" x14ac:dyDescent="0.2">
      <c r="A227" s="287" t="s">
        <v>330</v>
      </c>
      <c r="B227" s="228"/>
      <c r="C227" s="228"/>
      <c r="D227" s="196"/>
      <c r="E227" s="196"/>
      <c r="F227" s="196"/>
      <c r="G227" s="196"/>
      <c r="H227" s="196"/>
      <c r="I227" s="196"/>
      <c r="J227" s="188"/>
      <c r="K227" s="182"/>
      <c r="L227" s="182"/>
    </row>
    <row r="228" spans="1:24" s="161" customFormat="1" x14ac:dyDescent="0.2">
      <c r="A228" s="287" t="s">
        <v>331</v>
      </c>
      <c r="B228" s="196"/>
      <c r="C228" s="196"/>
      <c r="D228" s="196"/>
      <c r="E228" s="196"/>
      <c r="F228" s="196"/>
      <c r="G228" s="196"/>
      <c r="H228" s="196"/>
      <c r="I228" s="196"/>
      <c r="J228" s="188"/>
      <c r="K228" s="182"/>
      <c r="L228" s="182"/>
    </row>
    <row r="229" spans="1:24" s="161" customFormat="1" x14ac:dyDescent="0.2">
      <c r="A229" s="287" t="s">
        <v>332</v>
      </c>
      <c r="B229" s="196"/>
      <c r="C229" s="196"/>
      <c r="D229" s="196"/>
      <c r="E229" s="196"/>
      <c r="F229" s="196"/>
      <c r="G229" s="196"/>
      <c r="H229" s="196"/>
      <c r="I229" s="196"/>
      <c r="J229" s="188"/>
      <c r="K229" s="182"/>
      <c r="L229" s="182"/>
    </row>
    <row r="230" spans="1:24" s="161" customFormat="1" x14ac:dyDescent="0.2">
      <c r="A230" s="1339" t="s">
        <v>333</v>
      </c>
      <c r="B230" s="196"/>
      <c r="C230" s="196"/>
      <c r="D230" s="196"/>
      <c r="E230" s="196"/>
      <c r="F230" s="196"/>
      <c r="G230" s="196"/>
      <c r="H230" s="196"/>
      <c r="I230" s="196"/>
      <c r="J230" s="188"/>
      <c r="K230" s="182"/>
      <c r="L230" s="182"/>
    </row>
    <row r="231" spans="1:24" s="161" customFormat="1" x14ac:dyDescent="0.2">
      <c r="A231" s="287" t="s">
        <v>334</v>
      </c>
      <c r="B231" s="196"/>
      <c r="C231" s="196"/>
      <c r="D231" s="196"/>
      <c r="E231" s="196"/>
      <c r="F231" s="196"/>
      <c r="G231" s="196"/>
      <c r="H231" s="196"/>
      <c r="I231" s="196"/>
      <c r="J231" s="188"/>
      <c r="K231" s="182"/>
      <c r="L231" s="182"/>
    </row>
    <row r="232" spans="1:24" s="161" customFormat="1" x14ac:dyDescent="0.2">
      <c r="A232" s="287" t="s">
        <v>335</v>
      </c>
      <c r="B232" s="196"/>
      <c r="C232" s="196"/>
      <c r="D232" s="196"/>
      <c r="E232" s="196"/>
      <c r="F232" s="196"/>
      <c r="G232" s="196"/>
      <c r="H232" s="196"/>
      <c r="I232" s="196"/>
      <c r="J232" s="188"/>
      <c r="K232" s="182"/>
      <c r="L232" s="182"/>
    </row>
    <row r="233" spans="1:24" s="161" customFormat="1" x14ac:dyDescent="0.2">
      <c r="A233" s="287" t="s">
        <v>336</v>
      </c>
      <c r="B233" s="196"/>
      <c r="C233" s="196"/>
      <c r="D233" s="196"/>
      <c r="E233" s="196"/>
      <c r="F233" s="196"/>
      <c r="G233" s="196"/>
      <c r="H233" s="196"/>
      <c r="I233" s="196"/>
      <c r="J233" s="188"/>
      <c r="K233" s="182"/>
      <c r="L233" s="182"/>
    </row>
    <row r="234" spans="1:24" s="161" customFormat="1" x14ac:dyDescent="0.2">
      <c r="A234" s="287" t="s">
        <v>337</v>
      </c>
      <c r="B234" s="196"/>
      <c r="C234" s="196"/>
      <c r="D234" s="196"/>
      <c r="E234" s="196"/>
      <c r="F234" s="196"/>
      <c r="G234" s="196"/>
      <c r="H234" s="196"/>
      <c r="I234" s="196"/>
      <c r="J234" s="188"/>
      <c r="K234" s="182"/>
      <c r="L234" s="182"/>
    </row>
    <row r="235" spans="1:24" s="161" customFormat="1" x14ac:dyDescent="0.2">
      <c r="A235" s="287" t="s">
        <v>338</v>
      </c>
      <c r="B235" s="196"/>
      <c r="C235" s="196"/>
      <c r="D235" s="196"/>
      <c r="E235" s="196"/>
      <c r="F235" s="196"/>
      <c r="G235" s="196"/>
      <c r="H235" s="196"/>
      <c r="I235" s="196"/>
      <c r="J235" s="188"/>
      <c r="K235" s="182"/>
      <c r="L235" s="182"/>
    </row>
    <row r="236" spans="1:24" s="161" customFormat="1" x14ac:dyDescent="0.2">
      <c r="A236" s="287" t="s">
        <v>339</v>
      </c>
      <c r="B236" s="196"/>
      <c r="C236" s="196"/>
      <c r="D236" s="196"/>
      <c r="E236" s="196"/>
      <c r="F236" s="196"/>
      <c r="G236" s="196"/>
      <c r="H236" s="196"/>
      <c r="I236" s="196"/>
      <c r="J236" s="188"/>
      <c r="K236" s="182"/>
      <c r="L236" s="182"/>
    </row>
    <row r="237" spans="1:24" s="161" customFormat="1" x14ac:dyDescent="0.2">
      <c r="A237" s="287" t="s">
        <v>340</v>
      </c>
      <c r="B237" s="196"/>
      <c r="C237" s="196"/>
      <c r="D237" s="196"/>
      <c r="E237" s="196"/>
      <c r="F237" s="196"/>
      <c r="G237" s="196"/>
      <c r="H237" s="196"/>
      <c r="I237" s="196"/>
      <c r="J237" s="188"/>
      <c r="K237" s="182"/>
      <c r="L237" s="182"/>
    </row>
    <row r="238" spans="1:24" s="161" customFormat="1" x14ac:dyDescent="0.2">
      <c r="A238" s="228" t="s">
        <v>322</v>
      </c>
      <c r="B238" s="196"/>
      <c r="C238" s="196"/>
      <c r="D238" s="196"/>
      <c r="E238" s="196"/>
      <c r="F238" s="196"/>
      <c r="G238" s="196"/>
      <c r="H238" s="196"/>
      <c r="I238" s="196"/>
      <c r="J238" s="188"/>
      <c r="K238" s="182"/>
      <c r="L238" s="182"/>
    </row>
    <row r="239" spans="1:24" s="161" customFormat="1" x14ac:dyDescent="0.2">
      <c r="A239" s="196" t="s">
        <v>341</v>
      </c>
      <c r="B239" s="196"/>
      <c r="C239" s="196"/>
      <c r="D239" s="196"/>
      <c r="E239" s="196"/>
      <c r="F239" s="196"/>
      <c r="G239" s="196"/>
      <c r="H239" s="196"/>
      <c r="I239" s="196"/>
      <c r="J239" s="188"/>
      <c r="K239" s="182"/>
      <c r="L239" s="182"/>
    </row>
    <row r="240" spans="1:24" s="185" customFormat="1" x14ac:dyDescent="0.2">
      <c r="A240" s="196" t="s">
        <v>342</v>
      </c>
      <c r="B240" s="196"/>
      <c r="C240" s="196"/>
      <c r="D240" s="196"/>
      <c r="E240" s="196"/>
      <c r="F240" s="196"/>
      <c r="G240" s="196"/>
      <c r="H240" s="196"/>
      <c r="I240" s="196"/>
      <c r="J240" s="188"/>
      <c r="K240" s="182"/>
      <c r="L240" s="182"/>
      <c r="M240" s="161"/>
      <c r="N240" s="161"/>
      <c r="O240" s="161"/>
      <c r="P240" s="161"/>
      <c r="Q240" s="161"/>
      <c r="R240" s="161"/>
      <c r="S240" s="161"/>
      <c r="T240" s="161"/>
      <c r="U240" s="161"/>
      <c r="V240" s="161"/>
      <c r="W240" s="161"/>
      <c r="X240" s="161"/>
    </row>
    <row r="241" spans="1:24" s="185" customFormat="1" x14ac:dyDescent="0.2">
      <c r="A241" s="196" t="s">
        <v>343</v>
      </c>
      <c r="B241" s="196"/>
      <c r="C241" s="196"/>
      <c r="D241" s="196"/>
      <c r="E241" s="196"/>
      <c r="F241" s="196"/>
      <c r="G241" s="196"/>
      <c r="H241" s="196"/>
      <c r="I241" s="196"/>
      <c r="J241" s="188"/>
      <c r="K241" s="182"/>
      <c r="L241" s="182"/>
      <c r="M241" s="161"/>
      <c r="N241" s="161"/>
      <c r="O241" s="161"/>
      <c r="P241" s="161"/>
      <c r="Q241" s="161"/>
      <c r="R241" s="161"/>
      <c r="S241" s="161"/>
      <c r="T241" s="161"/>
      <c r="U241" s="161"/>
      <c r="V241" s="161"/>
      <c r="W241" s="161"/>
      <c r="X241" s="161"/>
    </row>
    <row r="242" spans="1:24" s="185" customFormat="1" x14ac:dyDescent="0.2">
      <c r="A242" s="196" t="s">
        <v>344</v>
      </c>
      <c r="B242" s="196"/>
      <c r="C242" s="196"/>
      <c r="D242" s="196"/>
      <c r="E242" s="196"/>
      <c r="F242" s="196"/>
      <c r="G242" s="196"/>
      <c r="H242" s="196"/>
      <c r="I242" s="196"/>
      <c r="J242" s="188"/>
      <c r="K242" s="182"/>
      <c r="L242" s="182"/>
      <c r="M242" s="161"/>
      <c r="N242" s="161"/>
      <c r="O242" s="161"/>
      <c r="P242" s="161"/>
      <c r="Q242" s="161"/>
      <c r="R242" s="161"/>
      <c r="S242" s="161"/>
      <c r="T242" s="161"/>
      <c r="U242" s="161"/>
      <c r="V242" s="161"/>
      <c r="W242" s="161"/>
      <c r="X242" s="161"/>
    </row>
    <row r="243" spans="1:24" s="185" customFormat="1" x14ac:dyDescent="0.2">
      <c r="A243" s="196" t="s">
        <v>345</v>
      </c>
      <c r="B243" s="196"/>
      <c r="C243" s="196"/>
      <c r="D243" s="196"/>
      <c r="E243" s="196"/>
      <c r="F243" s="196"/>
      <c r="G243" s="196"/>
      <c r="H243" s="196"/>
      <c r="I243" s="196"/>
      <c r="J243" s="188"/>
      <c r="K243" s="182"/>
      <c r="L243" s="182"/>
      <c r="M243" s="161"/>
      <c r="N243" s="161"/>
      <c r="O243" s="161"/>
      <c r="P243" s="161"/>
      <c r="Q243" s="161"/>
      <c r="R243" s="161"/>
      <c r="S243" s="161"/>
      <c r="T243" s="161"/>
      <c r="U243" s="161"/>
      <c r="V243" s="161"/>
      <c r="W243" s="161"/>
      <c r="X243" s="161"/>
    </row>
    <row r="244" spans="1:24" s="185" customFormat="1" x14ac:dyDescent="0.2">
      <c r="A244" s="196" t="s">
        <v>346</v>
      </c>
      <c r="B244" s="196"/>
      <c r="C244" s="196"/>
      <c r="D244" s="196"/>
      <c r="E244" s="196"/>
      <c r="F244" s="196"/>
      <c r="G244" s="196"/>
      <c r="H244" s="196"/>
      <c r="I244" s="196"/>
      <c r="J244" s="188"/>
      <c r="K244" s="182"/>
      <c r="L244" s="182"/>
      <c r="M244" s="161"/>
      <c r="N244" s="161"/>
      <c r="O244" s="161"/>
      <c r="P244" s="161"/>
      <c r="Q244" s="161"/>
      <c r="R244" s="161"/>
      <c r="S244" s="161"/>
      <c r="T244" s="161"/>
      <c r="U244" s="161"/>
      <c r="V244" s="161"/>
      <c r="W244" s="161"/>
      <c r="X244" s="161"/>
    </row>
    <row r="245" spans="1:24" s="185" customFormat="1" x14ac:dyDescent="0.2">
      <c r="A245" s="196" t="s">
        <v>347</v>
      </c>
      <c r="B245" s="196"/>
      <c r="C245" s="196"/>
      <c r="D245" s="196"/>
      <c r="E245" s="196"/>
      <c r="F245" s="196"/>
      <c r="G245" s="196"/>
      <c r="H245" s="196"/>
      <c r="I245" s="196"/>
      <c r="J245" s="188"/>
      <c r="K245" s="182"/>
      <c r="L245" s="182"/>
      <c r="M245" s="161"/>
      <c r="N245" s="161"/>
      <c r="O245" s="161"/>
      <c r="P245" s="161"/>
      <c r="Q245" s="161"/>
      <c r="R245" s="161"/>
      <c r="S245" s="161"/>
      <c r="T245" s="161"/>
      <c r="U245" s="161"/>
      <c r="V245" s="161"/>
      <c r="W245" s="161"/>
      <c r="X245" s="161"/>
    </row>
    <row r="246" spans="1:24" s="185" customFormat="1" x14ac:dyDescent="0.2">
      <c r="A246" s="196" t="s">
        <v>348</v>
      </c>
      <c r="B246" s="196"/>
      <c r="C246" s="196"/>
      <c r="D246" s="196"/>
      <c r="E246" s="196"/>
      <c r="F246" s="196"/>
      <c r="G246" s="196"/>
      <c r="H246" s="196"/>
      <c r="I246" s="196"/>
      <c r="J246" s="188"/>
      <c r="K246" s="182"/>
      <c r="L246" s="182"/>
      <c r="M246" s="161"/>
      <c r="N246" s="161"/>
      <c r="O246" s="161"/>
      <c r="P246" s="161"/>
      <c r="Q246" s="161"/>
      <c r="R246" s="161"/>
      <c r="S246" s="161"/>
      <c r="T246" s="161"/>
      <c r="U246" s="161"/>
      <c r="V246" s="161"/>
      <c r="W246" s="161"/>
      <c r="X246" s="161"/>
    </row>
    <row r="247" spans="1:24" s="185" customFormat="1" x14ac:dyDescent="0.2">
      <c r="A247" s="196" t="s">
        <v>349</v>
      </c>
      <c r="B247" s="196"/>
      <c r="C247" s="196"/>
      <c r="D247" s="196"/>
      <c r="E247" s="196"/>
      <c r="F247" s="196"/>
      <c r="G247" s="196"/>
      <c r="H247" s="196"/>
      <c r="I247" s="196"/>
      <c r="J247" s="188"/>
      <c r="K247" s="182"/>
      <c r="L247" s="182"/>
      <c r="M247" s="161"/>
      <c r="N247" s="161"/>
      <c r="O247" s="161"/>
      <c r="P247" s="161"/>
      <c r="Q247" s="161"/>
      <c r="R247" s="161"/>
      <c r="S247" s="161"/>
      <c r="T247" s="161"/>
      <c r="U247" s="161"/>
      <c r="V247" s="161"/>
      <c r="W247" s="161"/>
      <c r="X247" s="161"/>
    </row>
    <row r="248" spans="1:24" s="185" customFormat="1" x14ac:dyDescent="0.2">
      <c r="A248" s="196" t="s">
        <v>350</v>
      </c>
      <c r="B248" s="196"/>
      <c r="C248" s="196"/>
      <c r="D248" s="196"/>
      <c r="E248" s="196"/>
      <c r="F248" s="196"/>
      <c r="G248" s="196"/>
      <c r="H248" s="196"/>
      <c r="I248" s="196"/>
      <c r="J248" s="188"/>
      <c r="K248" s="182"/>
      <c r="L248" s="182"/>
      <c r="M248" s="161"/>
      <c r="N248" s="161"/>
      <c r="O248" s="161"/>
      <c r="P248" s="161"/>
      <c r="Q248" s="161"/>
      <c r="R248" s="161"/>
      <c r="S248" s="161"/>
      <c r="T248" s="161"/>
      <c r="U248" s="161"/>
      <c r="V248" s="161"/>
      <c r="W248" s="161"/>
      <c r="X248" s="161"/>
    </row>
    <row r="249" spans="1:24" s="185" customFormat="1" x14ac:dyDescent="0.2">
      <c r="A249" s="196" t="s">
        <v>351</v>
      </c>
      <c r="B249" s="196"/>
      <c r="C249" s="196"/>
      <c r="D249" s="196"/>
      <c r="E249" s="196"/>
      <c r="F249" s="196"/>
      <c r="G249" s="196"/>
      <c r="H249" s="196"/>
      <c r="I249" s="196"/>
      <c r="J249" s="188"/>
      <c r="K249" s="182"/>
      <c r="L249" s="182"/>
      <c r="M249" s="161"/>
      <c r="N249" s="161"/>
      <c r="O249" s="161"/>
      <c r="P249" s="161"/>
      <c r="Q249" s="161"/>
      <c r="R249" s="161"/>
      <c r="S249" s="161"/>
      <c r="T249" s="161"/>
      <c r="U249" s="161"/>
      <c r="V249" s="161"/>
      <c r="W249" s="161"/>
      <c r="X249" s="161"/>
    </row>
    <row r="250" spans="1:24" s="185" customFormat="1" x14ac:dyDescent="0.2">
      <c r="A250" s="196" t="s">
        <v>352</v>
      </c>
      <c r="B250" s="196"/>
      <c r="C250" s="196"/>
      <c r="D250" s="196"/>
      <c r="E250" s="196"/>
      <c r="F250" s="196"/>
      <c r="G250" s="196"/>
      <c r="H250" s="196"/>
      <c r="I250" s="196"/>
      <c r="J250" s="188"/>
      <c r="K250" s="182"/>
      <c r="L250" s="182"/>
      <c r="M250" s="161"/>
      <c r="N250" s="161"/>
      <c r="O250" s="161"/>
      <c r="P250" s="161"/>
      <c r="Q250" s="161"/>
      <c r="R250" s="161"/>
      <c r="S250" s="161"/>
      <c r="T250" s="161"/>
      <c r="U250" s="161"/>
      <c r="V250" s="161"/>
      <c r="W250" s="161"/>
      <c r="X250" s="161"/>
    </row>
    <row r="251" spans="1:24" s="161" customFormat="1" x14ac:dyDescent="0.2">
      <c r="A251" s="196"/>
      <c r="B251" s="196"/>
      <c r="C251" s="196"/>
      <c r="D251" s="196"/>
      <c r="E251" s="196"/>
      <c r="F251" s="196"/>
      <c r="G251" s="196"/>
      <c r="H251" s="196"/>
      <c r="I251" s="196"/>
      <c r="J251" s="188"/>
      <c r="K251" s="182"/>
      <c r="L251" s="182"/>
    </row>
    <row r="252" spans="1:24" s="161" customFormat="1" x14ac:dyDescent="0.2">
      <c r="A252" s="225" t="s">
        <v>353</v>
      </c>
      <c r="B252" s="196"/>
      <c r="C252" s="196"/>
      <c r="D252" s="196"/>
      <c r="E252" s="196"/>
      <c r="F252" s="196"/>
      <c r="G252" s="196"/>
      <c r="H252" s="196"/>
      <c r="I252" s="196"/>
      <c r="J252" s="188"/>
      <c r="K252" s="182"/>
      <c r="L252" s="182"/>
    </row>
    <row r="253" spans="1:24" s="185" customFormat="1" x14ac:dyDescent="0.2">
      <c r="A253" s="228" t="s">
        <v>254</v>
      </c>
      <c r="B253" s="196"/>
      <c r="C253" s="196"/>
      <c r="D253" s="196"/>
      <c r="E253" s="196"/>
      <c r="F253" s="196"/>
      <c r="G253" s="196"/>
      <c r="H253" s="196"/>
      <c r="I253" s="196"/>
      <c r="J253" s="188"/>
      <c r="K253" s="182"/>
      <c r="L253" s="182"/>
      <c r="M253" s="161"/>
      <c r="N253" s="161"/>
      <c r="O253" s="161"/>
      <c r="P253" s="161"/>
      <c r="Q253" s="161"/>
      <c r="R253" s="161"/>
      <c r="S253" s="161"/>
      <c r="T253" s="161"/>
      <c r="U253" s="161"/>
      <c r="V253" s="161"/>
      <c r="W253" s="161"/>
      <c r="X253" s="161"/>
    </row>
    <row r="254" spans="1:24" s="185" customFormat="1" x14ac:dyDescent="0.2">
      <c r="A254" s="196" t="s">
        <v>267</v>
      </c>
      <c r="B254" s="196"/>
      <c r="C254" s="196"/>
      <c r="D254" s="196"/>
      <c r="E254" s="196"/>
      <c r="F254" s="196"/>
      <c r="G254" s="196"/>
      <c r="H254" s="196"/>
      <c r="I254" s="196"/>
      <c r="J254" s="188"/>
      <c r="K254" s="182"/>
      <c r="L254" s="182"/>
      <c r="M254" s="161"/>
      <c r="N254" s="161"/>
      <c r="O254" s="161"/>
      <c r="P254" s="161"/>
      <c r="Q254" s="161"/>
      <c r="R254" s="161"/>
      <c r="S254" s="161"/>
      <c r="T254" s="161"/>
      <c r="U254" s="161"/>
      <c r="V254" s="161"/>
      <c r="W254" s="161"/>
      <c r="X254" s="161"/>
    </row>
    <row r="255" spans="1:24" s="185" customFormat="1" x14ac:dyDescent="0.2">
      <c r="A255" s="196" t="s">
        <v>268</v>
      </c>
      <c r="B255" s="196"/>
      <c r="C255" s="196"/>
      <c r="D255" s="196"/>
      <c r="E255" s="196"/>
      <c r="F255" s="196"/>
      <c r="G255" s="196"/>
      <c r="H255" s="196"/>
      <c r="I255" s="196"/>
      <c r="J255" s="188"/>
      <c r="K255" s="182"/>
      <c r="L255" s="182"/>
      <c r="M255" s="161"/>
      <c r="N255" s="161"/>
      <c r="O255" s="161"/>
      <c r="P255" s="161"/>
      <c r="Q255" s="161"/>
      <c r="R255" s="161"/>
      <c r="S255" s="161"/>
      <c r="T255" s="161"/>
      <c r="U255" s="161"/>
      <c r="V255" s="161"/>
      <c r="W255" s="161"/>
      <c r="X255" s="161"/>
    </row>
    <row r="256" spans="1:24" s="185" customFormat="1" x14ac:dyDescent="0.2">
      <c r="A256" s="196"/>
      <c r="B256" s="196"/>
      <c r="C256" s="196"/>
      <c r="D256" s="196"/>
      <c r="E256" s="196"/>
      <c r="F256" s="196"/>
      <c r="G256" s="196"/>
      <c r="H256" s="196"/>
      <c r="I256" s="196"/>
      <c r="J256" s="188"/>
      <c r="K256" s="182"/>
      <c r="L256" s="182"/>
      <c r="M256" s="161"/>
      <c r="N256" s="161"/>
      <c r="O256" s="161"/>
      <c r="P256" s="161"/>
      <c r="Q256" s="161"/>
      <c r="R256" s="161"/>
      <c r="S256" s="161"/>
      <c r="T256" s="161"/>
      <c r="U256" s="161"/>
      <c r="V256" s="161"/>
      <c r="W256" s="161"/>
      <c r="X256" s="161"/>
    </row>
    <row r="257" spans="1:24" s="185" customFormat="1" x14ac:dyDescent="0.2">
      <c r="A257" s="225" t="s">
        <v>354</v>
      </c>
      <c r="B257" s="196"/>
      <c r="C257" s="196"/>
      <c r="D257" s="196"/>
      <c r="E257" s="196"/>
      <c r="F257" s="196"/>
      <c r="G257" s="196"/>
      <c r="H257" s="196"/>
      <c r="I257" s="196"/>
      <c r="J257" s="188"/>
      <c r="K257" s="182"/>
      <c r="L257" s="182"/>
      <c r="M257" s="161"/>
      <c r="N257" s="161"/>
      <c r="O257" s="161"/>
      <c r="P257" s="161"/>
      <c r="Q257" s="161"/>
      <c r="R257" s="161"/>
      <c r="S257" s="161"/>
      <c r="T257" s="161"/>
      <c r="U257" s="161"/>
      <c r="V257" s="161"/>
      <c r="W257" s="161"/>
      <c r="X257" s="161"/>
    </row>
    <row r="258" spans="1:24" s="185" customFormat="1" x14ac:dyDescent="0.2">
      <c r="A258" s="196" t="s">
        <v>355</v>
      </c>
      <c r="B258" s="196"/>
      <c r="C258" s="196"/>
      <c r="D258" s="196"/>
      <c r="E258" s="196"/>
      <c r="F258" s="196"/>
      <c r="G258" s="196"/>
      <c r="H258" s="196"/>
      <c r="I258" s="196"/>
      <c r="J258" s="188"/>
      <c r="K258" s="182"/>
      <c r="L258" s="182"/>
      <c r="M258" s="161"/>
      <c r="N258" s="161"/>
      <c r="O258" s="161"/>
      <c r="P258" s="161"/>
      <c r="Q258" s="161"/>
      <c r="R258" s="161"/>
      <c r="S258" s="161"/>
      <c r="T258" s="161"/>
      <c r="U258" s="161"/>
      <c r="V258" s="161"/>
      <c r="W258" s="161"/>
      <c r="X258" s="161"/>
    </row>
    <row r="259" spans="1:24" s="185" customFormat="1" x14ac:dyDescent="0.2">
      <c r="A259" s="196" t="s">
        <v>356</v>
      </c>
      <c r="B259" s="196"/>
      <c r="C259" s="196"/>
      <c r="D259" s="196"/>
      <c r="E259" s="196"/>
      <c r="F259" s="196"/>
      <c r="G259" s="196"/>
      <c r="H259" s="196"/>
      <c r="I259" s="196"/>
      <c r="J259" s="188"/>
      <c r="K259" s="182"/>
      <c r="L259" s="182"/>
      <c r="M259" s="161"/>
      <c r="N259" s="161"/>
      <c r="O259" s="161"/>
      <c r="P259" s="161"/>
      <c r="Q259" s="161"/>
      <c r="R259" s="161"/>
      <c r="S259" s="161"/>
      <c r="T259" s="161"/>
      <c r="U259" s="161"/>
      <c r="V259" s="161"/>
      <c r="W259" s="161"/>
      <c r="X259" s="161"/>
    </row>
    <row r="260" spans="1:24" s="185" customFormat="1" x14ac:dyDescent="0.2">
      <c r="A260" s="196" t="s">
        <v>357</v>
      </c>
      <c r="B260" s="196"/>
      <c r="C260" s="196"/>
      <c r="D260" s="196"/>
      <c r="E260" s="196"/>
      <c r="F260" s="196"/>
      <c r="G260" s="196"/>
      <c r="H260" s="196"/>
      <c r="I260" s="196"/>
      <c r="J260" s="188"/>
      <c r="K260" s="182"/>
      <c r="L260" s="182"/>
      <c r="M260" s="161"/>
      <c r="N260" s="161"/>
      <c r="O260" s="161"/>
      <c r="P260" s="161"/>
      <c r="Q260" s="161"/>
      <c r="R260" s="161"/>
      <c r="S260" s="161"/>
      <c r="T260" s="161"/>
      <c r="U260" s="161"/>
      <c r="V260" s="161"/>
      <c r="W260" s="161"/>
      <c r="X260" s="161"/>
    </row>
    <row r="261" spans="1:24" s="185" customFormat="1" x14ac:dyDescent="0.2">
      <c r="A261" s="196" t="s">
        <v>358</v>
      </c>
      <c r="B261" s="196"/>
      <c r="C261" s="196"/>
      <c r="D261" s="196"/>
      <c r="E261" s="196"/>
      <c r="F261" s="196"/>
      <c r="G261" s="196"/>
      <c r="H261" s="196"/>
      <c r="I261" s="196"/>
      <c r="J261" s="188"/>
      <c r="K261" s="182"/>
      <c r="L261" s="182"/>
      <c r="M261" s="161"/>
      <c r="N261" s="161"/>
      <c r="O261" s="161"/>
      <c r="P261" s="161"/>
      <c r="Q261" s="161"/>
      <c r="R261" s="161"/>
      <c r="S261" s="161"/>
      <c r="T261" s="161"/>
      <c r="U261" s="161"/>
      <c r="V261" s="161"/>
      <c r="W261" s="161"/>
      <c r="X261" s="161"/>
    </row>
    <row r="262" spans="1:24" s="185" customFormat="1" x14ac:dyDescent="0.2">
      <c r="A262" s="196" t="s">
        <v>359</v>
      </c>
      <c r="B262" s="196"/>
      <c r="C262" s="196"/>
      <c r="D262" s="196"/>
      <c r="E262" s="196"/>
      <c r="F262" s="196"/>
      <c r="G262" s="196"/>
      <c r="H262" s="196"/>
      <c r="I262" s="196"/>
      <c r="J262" s="188"/>
      <c r="K262" s="182"/>
      <c r="L262" s="182"/>
      <c r="M262" s="161"/>
      <c r="N262" s="161"/>
      <c r="O262" s="161"/>
      <c r="P262" s="161"/>
      <c r="Q262" s="161"/>
      <c r="R262" s="161"/>
      <c r="S262" s="161"/>
      <c r="T262" s="161"/>
      <c r="U262" s="161"/>
      <c r="V262" s="161"/>
      <c r="W262" s="161"/>
      <c r="X262" s="161"/>
    </row>
    <row r="263" spans="1:24" s="161" customFormat="1" x14ac:dyDescent="0.2">
      <c r="A263" s="196"/>
      <c r="B263" s="196"/>
      <c r="C263" s="196"/>
      <c r="D263" s="196"/>
      <c r="E263" s="196"/>
      <c r="F263" s="196"/>
      <c r="G263" s="196"/>
      <c r="H263" s="196"/>
      <c r="I263" s="196"/>
      <c r="J263" s="188"/>
      <c r="K263" s="182"/>
      <c r="L263" s="182"/>
    </row>
    <row r="264" spans="1:24" s="161" customFormat="1" x14ac:dyDescent="0.2">
      <c r="A264" s="225" t="s">
        <v>360</v>
      </c>
      <c r="B264" s="196"/>
      <c r="C264" s="196"/>
      <c r="D264" s="196"/>
      <c r="E264" s="196"/>
      <c r="F264" s="196"/>
      <c r="G264" s="196"/>
      <c r="H264" s="196"/>
      <c r="I264" s="196"/>
      <c r="J264" s="188"/>
      <c r="K264" s="182"/>
      <c r="L264" s="182"/>
    </row>
    <row r="265" spans="1:24" s="161" customFormat="1" x14ac:dyDescent="0.2">
      <c r="A265" s="228" t="s">
        <v>361</v>
      </c>
      <c r="B265" s="196"/>
      <c r="C265" s="196"/>
      <c r="D265" s="196"/>
      <c r="E265" s="196"/>
      <c r="F265" s="196"/>
      <c r="G265" s="196"/>
      <c r="H265" s="196"/>
      <c r="I265" s="196"/>
      <c r="J265" s="188"/>
      <c r="K265" s="182"/>
      <c r="L265" s="182"/>
    </row>
    <row r="266" spans="1:24" s="161" customFormat="1" x14ac:dyDescent="0.2">
      <c r="A266" s="287" t="s">
        <v>362</v>
      </c>
      <c r="B266" s="196"/>
      <c r="C266" s="196"/>
      <c r="D266" s="196"/>
      <c r="E266" s="196"/>
      <c r="F266" s="196"/>
      <c r="G266" s="196"/>
      <c r="H266" s="196"/>
      <c r="I266" s="196"/>
      <c r="J266" s="188"/>
      <c r="K266" s="182"/>
      <c r="L266" s="182"/>
    </row>
    <row r="267" spans="1:24" s="161" customFormat="1" x14ac:dyDescent="0.2">
      <c r="A267" s="228" t="s">
        <v>316</v>
      </c>
      <c r="B267" s="196"/>
      <c r="C267" s="196"/>
      <c r="D267" s="196"/>
      <c r="E267" s="196"/>
      <c r="F267" s="196"/>
      <c r="G267" s="196"/>
      <c r="H267" s="196"/>
      <c r="I267" s="196"/>
      <c r="J267" s="188"/>
      <c r="K267" s="182"/>
      <c r="L267" s="182"/>
    </row>
    <row r="268" spans="1:24" s="161" customFormat="1" x14ac:dyDescent="0.2">
      <c r="A268" s="196" t="s">
        <v>363</v>
      </c>
      <c r="B268" s="196"/>
      <c r="C268" s="196"/>
      <c r="D268" s="196"/>
      <c r="E268" s="196"/>
      <c r="F268" s="196"/>
      <c r="G268" s="196"/>
      <c r="H268" s="196"/>
      <c r="I268" s="196"/>
      <c r="J268" s="188"/>
      <c r="K268" s="182"/>
      <c r="L268" s="182"/>
    </row>
    <row r="269" spans="1:24" s="161" customFormat="1" x14ac:dyDescent="0.2">
      <c r="A269" s="196" t="s">
        <v>364</v>
      </c>
      <c r="B269" s="196"/>
      <c r="C269" s="196"/>
      <c r="D269" s="196"/>
      <c r="E269" s="196"/>
      <c r="F269" s="196"/>
      <c r="G269" s="196"/>
      <c r="H269" s="196"/>
      <c r="I269" s="196"/>
      <c r="J269" s="188"/>
      <c r="K269" s="182"/>
      <c r="L269" s="182"/>
    </row>
    <row r="270" spans="1:24" s="161" customFormat="1" x14ac:dyDescent="0.2">
      <c r="A270" s="196" t="s">
        <v>365</v>
      </c>
      <c r="B270" s="196"/>
      <c r="C270" s="196"/>
      <c r="D270" s="196"/>
      <c r="E270" s="196"/>
      <c r="F270" s="196"/>
      <c r="G270" s="196"/>
      <c r="H270" s="196"/>
      <c r="I270" s="196"/>
      <c r="J270" s="188"/>
      <c r="K270" s="182"/>
      <c r="L270" s="182"/>
    </row>
    <row r="271" spans="1:24" s="161" customFormat="1" x14ac:dyDescent="0.2">
      <c r="A271" s="196"/>
      <c r="B271" s="196"/>
      <c r="C271" s="196"/>
      <c r="D271" s="196"/>
      <c r="E271" s="196"/>
      <c r="F271" s="196"/>
      <c r="G271" s="196"/>
      <c r="H271" s="196"/>
      <c r="I271" s="196"/>
      <c r="J271" s="188"/>
      <c r="K271" s="182"/>
      <c r="L271" s="182"/>
    </row>
    <row r="272" spans="1:24" s="161" customFormat="1" x14ac:dyDescent="0.2">
      <c r="A272" s="225" t="s">
        <v>366</v>
      </c>
      <c r="B272" s="196"/>
      <c r="C272" s="196"/>
      <c r="D272" s="196"/>
      <c r="E272" s="196"/>
      <c r="F272" s="196"/>
      <c r="G272" s="196"/>
      <c r="H272" s="196"/>
      <c r="I272" s="196"/>
      <c r="J272" s="188"/>
      <c r="K272" s="182"/>
      <c r="L272" s="182"/>
    </row>
    <row r="273" spans="1:24" s="161" customFormat="1" x14ac:dyDescent="0.2">
      <c r="A273" s="228" t="s">
        <v>367</v>
      </c>
      <c r="B273" s="196" t="s">
        <v>368</v>
      </c>
      <c r="C273" s="196"/>
      <c r="D273" s="196"/>
      <c r="E273" s="196"/>
      <c r="F273" s="196"/>
      <c r="G273" s="196"/>
      <c r="H273" s="196"/>
      <c r="I273" s="196"/>
      <c r="J273" s="188"/>
      <c r="K273" s="182"/>
      <c r="L273" s="182"/>
    </row>
    <row r="274" spans="1:24" s="161" customFormat="1" x14ac:dyDescent="0.2">
      <c r="A274" s="186" t="s">
        <v>369</v>
      </c>
      <c r="B274" s="186"/>
      <c r="C274" s="186"/>
      <c r="D274" s="186"/>
      <c r="E274" s="186"/>
      <c r="F274" s="186"/>
      <c r="G274" s="187"/>
      <c r="H274" s="186"/>
      <c r="I274" s="186"/>
      <c r="J274" s="188"/>
      <c r="K274" s="182"/>
      <c r="L274" s="182"/>
    </row>
    <row r="275" spans="1:24" s="161" customFormat="1" x14ac:dyDescent="0.2">
      <c r="A275" s="189" t="s">
        <v>370</v>
      </c>
      <c r="B275" s="189"/>
      <c r="C275" s="189"/>
      <c r="D275" s="189"/>
      <c r="E275" s="189"/>
      <c r="F275" s="1764"/>
      <c r="G275" s="1764"/>
      <c r="H275" s="189"/>
      <c r="I275" s="189"/>
      <c r="J275" s="190"/>
      <c r="K275" s="182"/>
      <c r="L275" s="182"/>
    </row>
    <row r="276" spans="1:24" s="185" customFormat="1" x14ac:dyDescent="0.2">
      <c r="A276" s="191" t="s">
        <v>367</v>
      </c>
      <c r="B276" s="189" t="s">
        <v>371</v>
      </c>
      <c r="C276" s="189"/>
      <c r="D276" s="189"/>
      <c r="E276" s="189"/>
      <c r="F276" s="1353"/>
      <c r="G276" s="193"/>
      <c r="H276" s="189"/>
      <c r="I276" s="189"/>
      <c r="J276" s="190"/>
      <c r="K276" s="182"/>
      <c r="L276" s="182"/>
      <c r="M276" s="161"/>
      <c r="N276" s="161"/>
      <c r="O276" s="161"/>
      <c r="P276" s="161"/>
      <c r="Q276" s="161"/>
      <c r="R276" s="161"/>
      <c r="S276" s="161"/>
      <c r="T276" s="161"/>
      <c r="U276" s="161"/>
      <c r="V276" s="161"/>
      <c r="W276" s="161"/>
      <c r="X276" s="161"/>
    </row>
    <row r="277" spans="1:24" s="185" customFormat="1" x14ac:dyDescent="0.2">
      <c r="A277" s="189" t="s">
        <v>372</v>
      </c>
      <c r="B277" s="189"/>
      <c r="C277" s="189"/>
      <c r="D277" s="189"/>
      <c r="E277" s="189"/>
      <c r="F277" s="189"/>
      <c r="G277" s="194"/>
      <c r="H277" s="189"/>
      <c r="I277" s="189"/>
      <c r="J277" s="190"/>
      <c r="K277" s="182"/>
      <c r="L277" s="182"/>
      <c r="M277" s="161"/>
      <c r="N277" s="161"/>
      <c r="O277" s="161"/>
      <c r="P277" s="161"/>
      <c r="Q277" s="161"/>
      <c r="R277" s="161"/>
      <c r="S277" s="161"/>
      <c r="T277" s="161"/>
      <c r="U277" s="161"/>
      <c r="V277" s="161"/>
      <c r="W277" s="161"/>
      <c r="X277" s="161"/>
    </row>
    <row r="278" spans="1:24" s="185" customFormat="1" x14ac:dyDescent="0.2">
      <c r="A278" s="189" t="s">
        <v>373</v>
      </c>
      <c r="B278" s="189"/>
      <c r="C278" s="189"/>
      <c r="D278" s="189"/>
      <c r="E278" s="189"/>
      <c r="F278" s="189"/>
      <c r="G278" s="194"/>
      <c r="H278" s="189"/>
      <c r="I278" s="189"/>
      <c r="J278" s="190"/>
      <c r="K278" s="182"/>
      <c r="L278" s="182"/>
      <c r="M278" s="161"/>
      <c r="N278" s="161"/>
      <c r="O278" s="161"/>
      <c r="P278" s="161"/>
      <c r="Q278" s="161"/>
      <c r="R278" s="161"/>
      <c r="S278" s="161"/>
      <c r="T278" s="161"/>
      <c r="U278" s="161"/>
      <c r="V278" s="161"/>
      <c r="W278" s="161"/>
      <c r="X278" s="161"/>
    </row>
    <row r="279" spans="1:24" s="185" customFormat="1" ht="10.5" customHeight="1" x14ac:dyDescent="0.2">
      <c r="A279" s="189" t="s">
        <v>374</v>
      </c>
      <c r="B279" s="189"/>
      <c r="C279" s="189"/>
      <c r="D279" s="189"/>
      <c r="E279" s="189"/>
      <c r="F279" s="1764"/>
      <c r="G279" s="1764"/>
      <c r="H279" s="189"/>
      <c r="I279" s="189"/>
      <c r="J279" s="190"/>
      <c r="K279" s="182"/>
      <c r="L279" s="182"/>
      <c r="M279" s="161"/>
      <c r="N279" s="161"/>
      <c r="O279" s="161"/>
      <c r="P279" s="161"/>
      <c r="Q279" s="161"/>
      <c r="R279" s="161"/>
      <c r="S279" s="161"/>
      <c r="T279" s="161"/>
      <c r="U279" s="161"/>
      <c r="V279" s="161"/>
      <c r="W279" s="161"/>
      <c r="X279" s="161"/>
    </row>
    <row r="280" spans="1:24" s="185" customFormat="1" x14ac:dyDescent="0.2">
      <c r="A280" s="186"/>
      <c r="B280" s="186"/>
      <c r="C280" s="186"/>
      <c r="D280" s="186"/>
      <c r="E280" s="186"/>
      <c r="F280" s="186"/>
      <c r="G280" s="187"/>
      <c r="H280" s="186"/>
      <c r="I280" s="186"/>
      <c r="J280" s="188"/>
      <c r="K280" s="182"/>
      <c r="L280" s="182"/>
      <c r="M280" s="161"/>
      <c r="N280" s="161"/>
      <c r="O280" s="161"/>
      <c r="P280" s="161"/>
      <c r="Q280" s="161"/>
      <c r="R280" s="161"/>
      <c r="S280" s="161"/>
      <c r="T280" s="161"/>
      <c r="U280" s="161"/>
      <c r="V280" s="161"/>
      <c r="W280" s="161"/>
      <c r="X280" s="161"/>
    </row>
    <row r="281" spans="1:24" x14ac:dyDescent="0.2">
      <c r="A281" s="189"/>
      <c r="B281" s="189"/>
      <c r="C281" s="189"/>
      <c r="D281" s="189"/>
      <c r="E281" s="189"/>
      <c r="F281" s="1764"/>
      <c r="G281" s="1764"/>
      <c r="H281" s="189"/>
      <c r="I281" s="189"/>
      <c r="J281" s="190"/>
    </row>
    <row r="282" spans="1:24" x14ac:dyDescent="0.2">
      <c r="A282" s="189"/>
      <c r="B282" s="189"/>
      <c r="C282" s="189"/>
      <c r="D282" s="189"/>
      <c r="E282" s="189"/>
      <c r="F282" s="1353"/>
      <c r="G282" s="193"/>
      <c r="H282" s="189"/>
      <c r="I282" s="189"/>
      <c r="J282" s="190"/>
    </row>
    <row r="283" spans="1:24" x14ac:dyDescent="0.2">
      <c r="A283" s="367"/>
      <c r="B283" s="367"/>
      <c r="C283" s="367"/>
      <c r="D283" s="367"/>
      <c r="E283" s="367"/>
      <c r="F283" s="367"/>
      <c r="G283" s="367"/>
      <c r="H283" s="367"/>
      <c r="I283" s="367"/>
      <c r="J283" s="1318"/>
    </row>
    <row r="284" spans="1:24" s="196" customFormat="1" x14ac:dyDescent="0.2">
      <c r="A284" s="186"/>
      <c r="B284" s="186"/>
      <c r="C284" s="186"/>
      <c r="D284" s="186"/>
      <c r="E284" s="186"/>
      <c r="F284" s="186"/>
      <c r="G284" s="187"/>
      <c r="H284" s="186"/>
      <c r="I284" s="186"/>
      <c r="J284" s="188"/>
      <c r="K284" s="195"/>
      <c r="L284" s="195"/>
    </row>
    <row r="285" spans="1:24" s="196" customFormat="1" x14ac:dyDescent="0.2">
      <c r="A285" s="189"/>
      <c r="B285" s="189"/>
      <c r="C285" s="189"/>
      <c r="D285" s="189"/>
      <c r="E285" s="189"/>
      <c r="F285" s="1764"/>
      <c r="G285" s="1764"/>
      <c r="H285" s="189"/>
      <c r="I285" s="189"/>
      <c r="J285" s="190"/>
      <c r="K285" s="195"/>
      <c r="L285" s="195"/>
    </row>
    <row r="286" spans="1:24" s="196" customFormat="1" x14ac:dyDescent="0.2">
      <c r="A286" s="189"/>
      <c r="B286" s="189"/>
      <c r="C286" s="189"/>
      <c r="D286" s="189"/>
      <c r="E286" s="189"/>
      <c r="F286" s="1353"/>
      <c r="G286" s="193"/>
      <c r="H286" s="189"/>
      <c r="I286" s="189"/>
      <c r="J286" s="190"/>
      <c r="K286" s="195"/>
      <c r="L286" s="195"/>
    </row>
    <row r="287" spans="1:24" s="196" customFormat="1" x14ac:dyDescent="0.2">
      <c r="A287" s="189"/>
      <c r="B287" s="189"/>
      <c r="C287" s="189"/>
      <c r="D287" s="189"/>
      <c r="E287" s="189"/>
      <c r="F287" s="189"/>
      <c r="G287" s="194"/>
      <c r="H287" s="189"/>
      <c r="I287" s="189"/>
      <c r="J287" s="190"/>
      <c r="K287" s="195"/>
      <c r="L287" s="195"/>
    </row>
    <row r="288" spans="1:24" s="196" customFormat="1" x14ac:dyDescent="0.2">
      <c r="A288" s="189"/>
      <c r="B288" s="189"/>
      <c r="C288" s="189"/>
      <c r="D288" s="189"/>
      <c r="E288" s="189"/>
      <c r="F288" s="189"/>
      <c r="G288" s="194"/>
      <c r="H288" s="189"/>
      <c r="I288" s="189"/>
      <c r="J288" s="190"/>
      <c r="K288" s="195"/>
      <c r="L288" s="195"/>
    </row>
    <row r="289" spans="1:12" s="196" customFormat="1" x14ac:dyDescent="0.2">
      <c r="A289" s="189"/>
      <c r="B289" s="189"/>
      <c r="C289" s="189"/>
      <c r="D289" s="189"/>
      <c r="E289" s="189"/>
      <c r="F289" s="1764"/>
      <c r="G289" s="1764"/>
      <c r="H289" s="189"/>
      <c r="I289" s="189"/>
      <c r="J289" s="190"/>
      <c r="K289" s="195"/>
      <c r="L289" s="195"/>
    </row>
    <row r="290" spans="1:12" s="196" customFormat="1" x14ac:dyDescent="0.2">
      <c r="A290" s="186"/>
      <c r="B290" s="186"/>
      <c r="C290" s="186"/>
      <c r="D290" s="186"/>
      <c r="E290" s="186"/>
      <c r="F290" s="186"/>
      <c r="G290" s="187"/>
      <c r="H290" s="186"/>
      <c r="I290" s="186"/>
      <c r="J290" s="188"/>
    </row>
    <row r="291" spans="1:12" s="196" customFormat="1" x14ac:dyDescent="0.2">
      <c r="A291" s="186"/>
      <c r="B291" s="186"/>
      <c r="C291" s="186"/>
      <c r="D291" s="186"/>
      <c r="E291" s="186"/>
      <c r="F291" s="186"/>
      <c r="G291" s="187"/>
      <c r="H291" s="186"/>
      <c r="I291" s="186"/>
      <c r="J291" s="188"/>
    </row>
    <row r="292" spans="1:12" s="196" customFormat="1" x14ac:dyDescent="0.2">
      <c r="A292" s="189"/>
      <c r="B292" s="186"/>
      <c r="C292" s="186"/>
      <c r="D292" s="186"/>
      <c r="E292" s="186"/>
      <c r="F292" s="189"/>
      <c r="G292" s="194"/>
      <c r="H292" s="186"/>
      <c r="I292" s="186"/>
      <c r="J292" s="188"/>
    </row>
    <row r="293" spans="1:12" s="196" customFormat="1" x14ac:dyDescent="0.2">
      <c r="A293" s="186"/>
      <c r="B293" s="186"/>
      <c r="C293" s="186"/>
      <c r="D293" s="186"/>
      <c r="E293" s="186"/>
      <c r="F293" s="1764"/>
      <c r="G293" s="1764"/>
      <c r="H293" s="186"/>
      <c r="I293" s="186"/>
      <c r="J293" s="188"/>
    </row>
    <row r="294" spans="1:12" x14ac:dyDescent="0.2">
      <c r="A294" s="367"/>
      <c r="B294" s="367"/>
      <c r="C294" s="367"/>
      <c r="D294" s="367"/>
      <c r="E294" s="367"/>
      <c r="F294" s="367"/>
      <c r="G294" s="367"/>
      <c r="H294" s="367"/>
      <c r="I294" s="367"/>
      <c r="J294" s="1318"/>
    </row>
    <row r="295" spans="1:12" x14ac:dyDescent="0.2">
      <c r="A295" s="367"/>
      <c r="B295" s="367"/>
      <c r="C295" s="367"/>
      <c r="D295" s="367"/>
      <c r="E295" s="367"/>
      <c r="F295" s="367"/>
      <c r="G295" s="367"/>
      <c r="H295" s="367"/>
      <c r="I295" s="367"/>
      <c r="J295" s="1318"/>
    </row>
    <row r="296" spans="1:12" x14ac:dyDescent="0.2">
      <c r="A296" s="367"/>
      <c r="B296" s="367"/>
      <c r="C296" s="367"/>
      <c r="D296" s="367"/>
      <c r="E296" s="367"/>
      <c r="F296" s="367"/>
      <c r="G296" s="367"/>
      <c r="H296" s="367"/>
      <c r="I296" s="367"/>
      <c r="J296" s="1318"/>
    </row>
    <row r="297" spans="1:12" x14ac:dyDescent="0.2">
      <c r="A297" s="367"/>
      <c r="B297" s="367"/>
      <c r="C297" s="367"/>
      <c r="D297" s="367"/>
      <c r="E297" s="367"/>
      <c r="F297" s="367"/>
      <c r="G297" s="367"/>
      <c r="H297" s="367"/>
      <c r="I297" s="367"/>
      <c r="J297" s="1318"/>
    </row>
  </sheetData>
  <sheetProtection algorithmName="SHA-512" hashValue="cmnx6K6K/0F/SuadzlormkbkKgVSx8bYJgRcrzNEC8rUFMp6liCjCJ3P2eZMTnrp1tOBj2K/4FnC+uaEOgsAtA==" saltValue="kpO/4TSlPpHUA8rkeDoMGw==" spinCount="100000" sheet="1" objects="1" scenarios="1" formatCells="0"/>
  <mergeCells count="67">
    <mergeCell ref="B57:C57"/>
    <mergeCell ref="B69:C69"/>
    <mergeCell ref="A70:C70"/>
    <mergeCell ref="B75:C85"/>
    <mergeCell ref="A75:A85"/>
    <mergeCell ref="B55:C55"/>
    <mergeCell ref="A47:B47"/>
    <mergeCell ref="A48:A51"/>
    <mergeCell ref="B48:B51"/>
    <mergeCell ref="A56:C56"/>
    <mergeCell ref="F293:G293"/>
    <mergeCell ref="A129:B129"/>
    <mergeCell ref="F275:G275"/>
    <mergeCell ref="F279:G279"/>
    <mergeCell ref="F281:G281"/>
    <mergeCell ref="F285:G285"/>
    <mergeCell ref="F289:G289"/>
    <mergeCell ref="A121:A124"/>
    <mergeCell ref="B121:B124"/>
    <mergeCell ref="I121:I124"/>
    <mergeCell ref="A125:A128"/>
    <mergeCell ref="B125:B128"/>
    <mergeCell ref="I125:I128"/>
    <mergeCell ref="A108:A116"/>
    <mergeCell ref="B108:B116"/>
    <mergeCell ref="I108:I116"/>
    <mergeCell ref="A117:A120"/>
    <mergeCell ref="B117:B120"/>
    <mergeCell ref="I117:I120"/>
    <mergeCell ref="A94:A98"/>
    <mergeCell ref="B94:B98"/>
    <mergeCell ref="I94:I98"/>
    <mergeCell ref="A104:A107"/>
    <mergeCell ref="B104:B107"/>
    <mergeCell ref="I104:I107"/>
    <mergeCell ref="B102:C102"/>
    <mergeCell ref="A103:C103"/>
    <mergeCell ref="A92:A93"/>
    <mergeCell ref="B92:B93"/>
    <mergeCell ref="I92:I93"/>
    <mergeCell ref="I75:I85"/>
    <mergeCell ref="A62:A65"/>
    <mergeCell ref="B62:B65"/>
    <mergeCell ref="I62:I65"/>
    <mergeCell ref="A71:A74"/>
    <mergeCell ref="B71:B74"/>
    <mergeCell ref="I71:I74"/>
    <mergeCell ref="I48:I51"/>
    <mergeCell ref="A14:A17"/>
    <mergeCell ref="I14:I17"/>
    <mergeCell ref="I23:I26"/>
    <mergeCell ref="B14:C17"/>
    <mergeCell ref="B21:C21"/>
    <mergeCell ref="B23:C23"/>
    <mergeCell ref="A22:C22"/>
    <mergeCell ref="B27:C27"/>
    <mergeCell ref="B35:C35"/>
    <mergeCell ref="B37:C37"/>
    <mergeCell ref="A36:C36"/>
    <mergeCell ref="A1:B1"/>
    <mergeCell ref="A2:B2"/>
    <mergeCell ref="A3:J3"/>
    <mergeCell ref="A10:A11"/>
    <mergeCell ref="B10:B11"/>
    <mergeCell ref="I10:I11"/>
    <mergeCell ref="B8:C8"/>
    <mergeCell ref="A9:C9"/>
  </mergeCells>
  <printOptions horizontalCentered="1"/>
  <pageMargins left="0.78740157480314965" right="0.39370078740157483" top="0.59055118110236227" bottom="0.39370078740157483" header="0.23622047244094491" footer="0.23622047244094491"/>
  <pageSetup paperSize="9" scale="65" fitToHeight="8" orientation="portrait" r:id="rId1"/>
  <headerFooter>
    <oddHeader xml:space="preserve">&amp;R&amp;"Times New Roman,Regular"&amp;10
 4.pielikums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1"/>
  <sheetViews>
    <sheetView view="pageLayout" zoomScaleNormal="100" workbookViewId="0">
      <selection activeCell="K12" sqref="K12"/>
    </sheetView>
  </sheetViews>
  <sheetFormatPr defaultRowHeight="12" x14ac:dyDescent="0.2"/>
  <cols>
    <col min="1" max="1" width="6.140625" style="244" customWidth="1"/>
    <col min="2" max="2" width="24.28515625" style="244" customWidth="1"/>
    <col min="3" max="3" width="11.710937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19.140625" style="283" customWidth="1"/>
    <col min="10" max="10" width="32.28515625" style="244" hidden="1" customWidth="1"/>
    <col min="11" max="16384" width="9.140625" style="244"/>
  </cols>
  <sheetData>
    <row r="1" spans="1:11" x14ac:dyDescent="0.2">
      <c r="A1" s="1793" t="s">
        <v>117</v>
      </c>
      <c r="B1" s="1793"/>
      <c r="C1" s="1547" t="s">
        <v>118</v>
      </c>
      <c r="D1" s="243"/>
      <c r="E1" s="243"/>
      <c r="F1" s="243"/>
      <c r="G1" s="243"/>
      <c r="H1" s="243"/>
      <c r="J1" s="243"/>
    </row>
    <row r="2" spans="1:11" x14ac:dyDescent="0.2">
      <c r="A2" s="1793" t="s">
        <v>119</v>
      </c>
      <c r="B2" s="1793"/>
      <c r="C2" s="1503">
        <v>90000056357</v>
      </c>
      <c r="D2" s="245"/>
      <c r="E2" s="243"/>
      <c r="F2" s="243"/>
      <c r="G2" s="243"/>
      <c r="H2" s="243"/>
      <c r="J2" s="243"/>
    </row>
    <row r="3" spans="1:11" x14ac:dyDescent="0.2">
      <c r="A3" s="245"/>
      <c r="B3" s="245"/>
      <c r="C3" s="1503"/>
      <c r="D3" s="243"/>
      <c r="E3" s="243"/>
      <c r="F3" s="243"/>
      <c r="G3" s="243"/>
      <c r="H3" s="243"/>
      <c r="J3" s="243"/>
    </row>
    <row r="4" spans="1:11" ht="15.75" x14ac:dyDescent="0.25">
      <c r="A4" s="1794" t="s">
        <v>120</v>
      </c>
      <c r="B4" s="1794"/>
      <c r="C4" s="1794"/>
      <c r="D4" s="1794"/>
      <c r="E4" s="1794"/>
      <c r="F4" s="1794"/>
      <c r="G4" s="1794"/>
      <c r="H4" s="1794"/>
      <c r="I4" s="1794"/>
      <c r="J4" s="1794"/>
    </row>
    <row r="5" spans="1:11" ht="15.75" x14ac:dyDescent="0.25">
      <c r="A5" s="246"/>
      <c r="B5" s="246"/>
      <c r="C5" s="1504"/>
      <c r="D5" s="246"/>
      <c r="E5" s="246"/>
      <c r="F5" s="246"/>
      <c r="G5" s="246"/>
      <c r="H5" s="246"/>
      <c r="I5" s="1504"/>
      <c r="J5" s="246"/>
    </row>
    <row r="6" spans="1:11" ht="15.75" x14ac:dyDescent="0.25">
      <c r="A6" s="243" t="s">
        <v>121</v>
      </c>
      <c r="B6" s="243"/>
      <c r="C6" s="247" t="s">
        <v>1832</v>
      </c>
      <c r="D6" s="247"/>
      <c r="E6" s="249"/>
      <c r="F6" s="249"/>
      <c r="G6" s="243"/>
      <c r="H6" s="243"/>
      <c r="J6" s="243"/>
    </row>
    <row r="7" spans="1:11" x14ac:dyDescent="0.2">
      <c r="A7" s="243" t="s">
        <v>123</v>
      </c>
      <c r="B7" s="243"/>
      <c r="C7" s="1547" t="s">
        <v>1088</v>
      </c>
      <c r="D7" s="243"/>
      <c r="E7" s="243"/>
      <c r="F7" s="243"/>
      <c r="G7" s="243"/>
      <c r="H7" s="243"/>
      <c r="J7" s="243"/>
    </row>
    <row r="8" spans="1:11" ht="12.75" x14ac:dyDescent="0.2">
      <c r="A8" s="243" t="s">
        <v>125</v>
      </c>
      <c r="B8" s="243"/>
      <c r="C8" s="271" t="s">
        <v>1833</v>
      </c>
      <c r="D8" s="271"/>
      <c r="E8" s="243"/>
      <c r="F8" s="243"/>
      <c r="G8" s="243"/>
      <c r="H8" s="243"/>
      <c r="J8" s="243"/>
      <c r="K8" s="250"/>
    </row>
    <row r="9" spans="1:11" ht="48" x14ac:dyDescent="0.2">
      <c r="A9" s="251" t="s">
        <v>1</v>
      </c>
      <c r="B9" s="1797" t="s">
        <v>127</v>
      </c>
      <c r="C9" s="1798"/>
      <c r="D9" s="251" t="s">
        <v>14</v>
      </c>
      <c r="E9" s="251" t="s">
        <v>12</v>
      </c>
      <c r="F9" s="251" t="s">
        <v>128</v>
      </c>
      <c r="G9" s="251" t="s">
        <v>129</v>
      </c>
      <c r="H9" s="251" t="s">
        <v>3357</v>
      </c>
      <c r="I9" s="1533" t="s">
        <v>11</v>
      </c>
      <c r="J9" s="251" t="s">
        <v>131</v>
      </c>
    </row>
    <row r="10" spans="1:11" ht="12.75" customHeight="1" x14ac:dyDescent="0.2">
      <c r="A10" s="1807" t="s">
        <v>132</v>
      </c>
      <c r="B10" s="1808"/>
      <c r="C10" s="1809"/>
      <c r="D10" s="397">
        <f>SUM(D11:D14)</f>
        <v>46000</v>
      </c>
      <c r="E10" s="397">
        <f>SUM(E11:E14)</f>
        <v>43331</v>
      </c>
      <c r="F10" s="397">
        <f>SUM(F11:F14)</f>
        <v>46000</v>
      </c>
      <c r="G10" s="397"/>
      <c r="H10" s="397">
        <f>SUM(H11:H14)</f>
        <v>44000</v>
      </c>
      <c r="I10" s="1468"/>
      <c r="J10" s="254"/>
    </row>
    <row r="11" spans="1:11" ht="138" hidden="1" customHeight="1" x14ac:dyDescent="0.2">
      <c r="A11" s="686" t="s">
        <v>1122</v>
      </c>
      <c r="B11" s="1803" t="s">
        <v>1834</v>
      </c>
      <c r="C11" s="1804"/>
      <c r="D11" s="272">
        <v>35000</v>
      </c>
      <c r="E11" s="272">
        <v>34921</v>
      </c>
      <c r="F11" s="272"/>
      <c r="G11" s="256">
        <v>5240</v>
      </c>
      <c r="H11" s="272"/>
      <c r="I11" s="1497" t="s">
        <v>1835</v>
      </c>
      <c r="J11" s="687" t="s">
        <v>1836</v>
      </c>
    </row>
    <row r="12" spans="1:11" ht="28.5" customHeight="1" x14ac:dyDescent="0.2">
      <c r="A12" s="2020">
        <v>1</v>
      </c>
      <c r="B12" s="1799" t="s">
        <v>1837</v>
      </c>
      <c r="C12" s="1800"/>
      <c r="D12" s="272"/>
      <c r="E12" s="272"/>
      <c r="F12" s="272">
        <v>30000</v>
      </c>
      <c r="G12" s="256">
        <v>5240</v>
      </c>
      <c r="H12" s="272">
        <v>30000</v>
      </c>
      <c r="I12" s="1732" t="s">
        <v>1835</v>
      </c>
      <c r="J12" s="687" t="s">
        <v>1838</v>
      </c>
    </row>
    <row r="13" spans="1:11" ht="28.5" customHeight="1" x14ac:dyDescent="0.2">
      <c r="A13" s="2021"/>
      <c r="B13" s="1801"/>
      <c r="C13" s="1802"/>
      <c r="D13" s="272">
        <v>0</v>
      </c>
      <c r="E13" s="272">
        <v>0</v>
      </c>
      <c r="F13" s="272">
        <v>3000</v>
      </c>
      <c r="G13" s="256">
        <v>2239</v>
      </c>
      <c r="H13" s="272">
        <v>3000</v>
      </c>
      <c r="I13" s="1734"/>
      <c r="J13" s="279" t="s">
        <v>1839</v>
      </c>
    </row>
    <row r="14" spans="1:11" ht="43.5" customHeight="1" x14ac:dyDescent="0.2">
      <c r="A14" s="686">
        <v>2</v>
      </c>
      <c r="B14" s="1803" t="s">
        <v>1840</v>
      </c>
      <c r="C14" s="1804"/>
      <c r="D14" s="272">
        <v>11000</v>
      </c>
      <c r="E14" s="272">
        <v>8410</v>
      </c>
      <c r="F14" s="272">
        <v>13000</v>
      </c>
      <c r="G14" s="256">
        <v>2239</v>
      </c>
      <c r="H14" s="272">
        <v>11000</v>
      </c>
      <c r="I14" s="1526" t="s">
        <v>1841</v>
      </c>
      <c r="J14" s="279" t="s">
        <v>1842</v>
      </c>
    </row>
    <row r="15" spans="1:11" hidden="1" x14ac:dyDescent="0.2">
      <c r="A15" s="1810" t="s">
        <v>239</v>
      </c>
      <c r="B15" s="1811"/>
      <c r="C15" s="1502"/>
      <c r="D15" s="280">
        <f>SUM(D10)</f>
        <v>46000</v>
      </c>
      <c r="E15" s="280">
        <f>SUM(E10)</f>
        <v>43331</v>
      </c>
      <c r="F15" s="280">
        <f>SUM(F10)</f>
        <v>46000</v>
      </c>
      <c r="G15" s="280"/>
      <c r="H15" s="280">
        <f>SUM(H10)</f>
        <v>44000</v>
      </c>
      <c r="I15" s="1469"/>
      <c r="J15" s="265"/>
    </row>
    <row r="16" spans="1:11" x14ac:dyDescent="0.2">
      <c r="A16" s="432"/>
      <c r="B16" s="432"/>
      <c r="C16" s="432"/>
      <c r="D16" s="436"/>
      <c r="E16" s="436"/>
      <c r="F16" s="436"/>
      <c r="G16" s="436"/>
      <c r="H16" s="436"/>
      <c r="I16" s="1470"/>
      <c r="J16" s="367"/>
    </row>
    <row r="17" spans="1:15" x14ac:dyDescent="0.2">
      <c r="A17" s="244" t="s">
        <v>400</v>
      </c>
    </row>
    <row r="18" spans="1:15" x14ac:dyDescent="0.2">
      <c r="A18" s="244" t="s">
        <v>1843</v>
      </c>
    </row>
    <row r="19" spans="1:15" x14ac:dyDescent="0.2">
      <c r="A19" s="688" t="s">
        <v>1844</v>
      </c>
    </row>
    <row r="20" spans="1:15" x14ac:dyDescent="0.2">
      <c r="A20" s="2023" t="s">
        <v>1845</v>
      </c>
      <c r="B20" s="2023"/>
      <c r="C20" s="2023"/>
      <c r="D20" s="2023"/>
      <c r="E20" s="2023"/>
      <c r="F20" s="2023"/>
      <c r="G20" s="2023"/>
      <c r="H20" s="2023"/>
      <c r="I20" s="2023"/>
      <c r="J20" s="2023"/>
      <c r="K20" s="689"/>
      <c r="M20" s="367"/>
      <c r="N20" s="367"/>
      <c r="O20" s="367"/>
    </row>
    <row r="21" spans="1:15" x14ac:dyDescent="0.2">
      <c r="A21" s="2023" t="s">
        <v>1846</v>
      </c>
      <c r="B21" s="2023"/>
      <c r="C21" s="2023"/>
      <c r="D21" s="2023"/>
      <c r="E21" s="2023"/>
      <c r="F21" s="2023"/>
      <c r="G21" s="2023"/>
      <c r="H21" s="2023"/>
      <c r="I21" s="2023"/>
      <c r="J21" s="2023"/>
      <c r="K21" s="689"/>
      <c r="M21" s="367"/>
      <c r="N21" s="367"/>
      <c r="O21" s="367"/>
    </row>
    <row r="22" spans="1:15" s="367" customFormat="1" ht="24.75" customHeight="1" x14ac:dyDescent="0.2">
      <c r="A22" s="2022" t="s">
        <v>1847</v>
      </c>
      <c r="B22" s="2022"/>
      <c r="C22" s="2022"/>
      <c r="D22" s="2022"/>
      <c r="E22" s="2022"/>
      <c r="F22" s="2022"/>
      <c r="G22" s="2022"/>
      <c r="H22" s="2022"/>
      <c r="I22" s="2022"/>
      <c r="J22" s="2022"/>
      <c r="K22" s="689"/>
      <c r="L22" s="244"/>
      <c r="N22" s="690"/>
    </row>
    <row r="23" spans="1:15" ht="24" customHeight="1" x14ac:dyDescent="0.2">
      <c r="A23" s="2022" t="s">
        <v>1848</v>
      </c>
      <c r="B23" s="2022"/>
      <c r="C23" s="2022"/>
      <c r="D23" s="2022"/>
      <c r="E23" s="2022"/>
      <c r="F23" s="2022"/>
      <c r="G23" s="2022"/>
      <c r="H23" s="2022"/>
      <c r="I23" s="2022"/>
      <c r="J23" s="2022"/>
      <c r="K23" s="689"/>
      <c r="M23" s="367"/>
      <c r="N23" s="367"/>
      <c r="O23" s="367"/>
    </row>
    <row r="24" spans="1:15" ht="25.5" customHeight="1" x14ac:dyDescent="0.2">
      <c r="A24" s="2022" t="s">
        <v>1849</v>
      </c>
      <c r="B24" s="2022"/>
      <c r="C24" s="2022"/>
      <c r="D24" s="2022"/>
      <c r="E24" s="2022"/>
      <c r="F24" s="2022"/>
      <c r="G24" s="2022"/>
      <c r="H24" s="2022"/>
      <c r="I24" s="2022"/>
      <c r="J24" s="2022"/>
      <c r="K24" s="243"/>
      <c r="M24" s="367"/>
      <c r="N24" s="367"/>
      <c r="O24" s="367"/>
    </row>
    <row r="25" spans="1:15" x14ac:dyDescent="0.2">
      <c r="A25" s="688" t="s">
        <v>1850</v>
      </c>
      <c r="M25" s="367"/>
      <c r="N25" s="367"/>
      <c r="O25" s="367"/>
    </row>
    <row r="26" spans="1:15" ht="24" customHeight="1" x14ac:dyDescent="0.2">
      <c r="A26" s="2022" t="s">
        <v>1851</v>
      </c>
      <c r="B26" s="2022"/>
      <c r="C26" s="2022"/>
      <c r="D26" s="2022"/>
      <c r="E26" s="2022"/>
      <c r="F26" s="2022"/>
      <c r="G26" s="2022"/>
      <c r="H26" s="2022"/>
      <c r="I26" s="2022"/>
      <c r="J26" s="2022"/>
      <c r="K26" s="640"/>
      <c r="M26" s="367"/>
      <c r="N26" s="367"/>
      <c r="O26" s="367"/>
    </row>
    <row r="29" spans="1:15" x14ac:dyDescent="0.2">
      <c r="A29" s="268"/>
      <c r="B29" s="268"/>
      <c r="C29" s="268"/>
      <c r="D29" s="268"/>
      <c r="E29" s="268"/>
      <c r="F29" s="268"/>
      <c r="G29" s="268"/>
      <c r="H29" s="268"/>
      <c r="I29" s="679"/>
      <c r="J29" s="268"/>
      <c r="K29" s="268"/>
    </row>
    <row r="30" spans="1:15" x14ac:dyDescent="0.2">
      <c r="A30" s="268"/>
      <c r="B30" s="268"/>
      <c r="C30" s="268"/>
      <c r="D30" s="268"/>
      <c r="E30" s="268"/>
      <c r="F30" s="268"/>
      <c r="G30" s="268"/>
      <c r="H30" s="268"/>
      <c r="I30" s="679"/>
      <c r="J30" s="268"/>
      <c r="K30" s="268"/>
    </row>
    <row r="31" spans="1:15" x14ac:dyDescent="0.2">
      <c r="A31" s="268"/>
      <c r="B31" s="268"/>
      <c r="C31" s="268"/>
      <c r="D31" s="268"/>
      <c r="E31" s="268"/>
      <c r="F31" s="268"/>
      <c r="G31" s="268"/>
      <c r="H31" s="268"/>
      <c r="I31" s="679"/>
      <c r="J31" s="268"/>
      <c r="K31" s="268"/>
    </row>
  </sheetData>
  <sheetProtection algorithmName="SHA-512" hashValue="dSSDeRlqDCJBEGqTmY8Hwh2pyyFtQXlaSZ6JT6GfhBp6NXvplGPOXg++1T1TLLWA0VaWcW4f2pFcC/6+qafvIA==" saltValue="RoBQEXzidxgsOJiqVVlFOA==" spinCount="100000" sheet="1" objects="1" scenarios="1"/>
  <mergeCells count="17">
    <mergeCell ref="B14:C14"/>
    <mergeCell ref="A26:J26"/>
    <mergeCell ref="A15:B15"/>
    <mergeCell ref="A20:J20"/>
    <mergeCell ref="A21:J21"/>
    <mergeCell ref="A22:J22"/>
    <mergeCell ref="A23:J23"/>
    <mergeCell ref="A24:J24"/>
    <mergeCell ref="A1:B1"/>
    <mergeCell ref="A2:B2"/>
    <mergeCell ref="A4:J4"/>
    <mergeCell ref="A12:A13"/>
    <mergeCell ref="B9:C9"/>
    <mergeCell ref="A10:C10"/>
    <mergeCell ref="B11:C11"/>
    <mergeCell ref="B12:C13"/>
    <mergeCell ref="I12:I13"/>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22.pielikums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07"/>
  <sheetViews>
    <sheetView view="pageLayout" zoomScaleNormal="100" workbookViewId="0">
      <selection activeCell="L1" sqref="L1"/>
    </sheetView>
  </sheetViews>
  <sheetFormatPr defaultRowHeight="12" x14ac:dyDescent="0.2"/>
  <cols>
    <col min="1" max="1" width="6.140625" style="244" customWidth="1"/>
    <col min="2" max="2" width="26.140625" style="244" customWidth="1"/>
    <col min="3" max="3" width="12.5703125" style="244" customWidth="1"/>
    <col min="4" max="4" width="11.85546875" style="244" hidden="1" customWidth="1"/>
    <col min="5" max="5" width="11.140625" style="244" hidden="1" customWidth="1"/>
    <col min="6" max="6" width="10.28515625" style="244" hidden="1" customWidth="1"/>
    <col min="7" max="7" width="12.28515625" style="244" customWidth="1"/>
    <col min="8" max="8" width="9.7109375" style="244" customWidth="1"/>
    <col min="9" max="9" width="19.140625" style="244" customWidth="1"/>
    <col min="10" max="10" width="28.7109375" style="244" hidden="1" customWidth="1"/>
    <col min="11" max="16384" width="9.140625" style="244"/>
  </cols>
  <sheetData>
    <row r="1" spans="1:11" x14ac:dyDescent="0.2">
      <c r="A1" s="1793" t="s">
        <v>117</v>
      </c>
      <c r="B1" s="1793"/>
      <c r="C1" s="1547" t="s">
        <v>118</v>
      </c>
      <c r="D1" s="243"/>
      <c r="E1" s="243"/>
      <c r="F1" s="243"/>
      <c r="G1" s="243"/>
      <c r="H1" s="243"/>
      <c r="I1" s="243"/>
      <c r="J1" s="243"/>
    </row>
    <row r="2" spans="1:11" x14ac:dyDescent="0.2">
      <c r="A2" s="1793" t="s">
        <v>119</v>
      </c>
      <c r="B2" s="1793"/>
      <c r="C2" s="1503">
        <v>90000056357</v>
      </c>
      <c r="D2" s="245"/>
      <c r="E2" s="243"/>
      <c r="F2" s="243"/>
      <c r="G2" s="243"/>
      <c r="H2" s="243"/>
      <c r="I2" s="243"/>
      <c r="J2" s="243"/>
    </row>
    <row r="3" spans="1:11" x14ac:dyDescent="0.2">
      <c r="A3" s="245"/>
      <c r="B3" s="245"/>
      <c r="C3" s="1503"/>
      <c r="D3" s="243"/>
      <c r="E3" s="243"/>
      <c r="F3" s="243"/>
      <c r="G3" s="243"/>
      <c r="H3" s="243"/>
      <c r="I3" s="243"/>
      <c r="J3" s="243"/>
    </row>
    <row r="4" spans="1:11" ht="15.75" x14ac:dyDescent="0.25">
      <c r="A4" s="1794" t="s">
        <v>120</v>
      </c>
      <c r="B4" s="1794"/>
      <c r="C4" s="1794"/>
      <c r="D4" s="1794"/>
      <c r="E4" s="1794"/>
      <c r="F4" s="1794"/>
      <c r="G4" s="1794"/>
      <c r="H4" s="1794"/>
      <c r="I4" s="1794"/>
      <c r="J4" s="1794"/>
    </row>
    <row r="5" spans="1:11" ht="15.75" x14ac:dyDescent="0.25">
      <c r="A5" s="246"/>
      <c r="B5" s="246"/>
      <c r="C5" s="1504"/>
      <c r="D5" s="246"/>
      <c r="E5" s="246"/>
      <c r="F5" s="246"/>
      <c r="G5" s="246"/>
      <c r="H5" s="246"/>
      <c r="I5" s="246"/>
      <c r="J5" s="246"/>
    </row>
    <row r="6" spans="1:11" ht="15.75" x14ac:dyDescent="0.25">
      <c r="A6" s="243" t="s">
        <v>1822</v>
      </c>
      <c r="B6" s="243"/>
      <c r="C6" s="247" t="s">
        <v>1852</v>
      </c>
      <c r="D6" s="247"/>
      <c r="E6" s="243"/>
      <c r="F6" s="243"/>
      <c r="G6" s="243"/>
      <c r="H6" s="243"/>
      <c r="I6" s="243"/>
      <c r="J6" s="243"/>
    </row>
    <row r="7" spans="1:11" x14ac:dyDescent="0.2">
      <c r="A7" s="243" t="s">
        <v>123</v>
      </c>
      <c r="B7" s="243"/>
      <c r="C7" s="1547" t="s">
        <v>1853</v>
      </c>
      <c r="D7" s="243"/>
      <c r="E7" s="243"/>
      <c r="F7" s="243"/>
      <c r="G7" s="243"/>
      <c r="H7" s="243"/>
      <c r="I7" s="243"/>
      <c r="J7" s="243"/>
    </row>
    <row r="8" spans="1:11" ht="12.75" x14ac:dyDescent="0.2">
      <c r="A8" s="243" t="s">
        <v>125</v>
      </c>
      <c r="B8" s="243"/>
      <c r="C8" s="271" t="s">
        <v>1854</v>
      </c>
      <c r="D8" s="271"/>
      <c r="E8" s="243"/>
      <c r="F8" s="243"/>
      <c r="G8" s="243"/>
      <c r="H8" s="243"/>
      <c r="I8" s="243"/>
      <c r="J8" s="243"/>
      <c r="K8" s="250"/>
    </row>
    <row r="9" spans="1:11" ht="48" x14ac:dyDescent="0.2">
      <c r="A9" s="251" t="s">
        <v>1</v>
      </c>
      <c r="B9" s="1797" t="s">
        <v>127</v>
      </c>
      <c r="C9" s="1798"/>
      <c r="D9" s="251" t="s">
        <v>14</v>
      </c>
      <c r="E9" s="251" t="s">
        <v>12</v>
      </c>
      <c r="F9" s="251" t="s">
        <v>128</v>
      </c>
      <c r="G9" s="251" t="s">
        <v>129</v>
      </c>
      <c r="H9" s="251" t="s">
        <v>3357</v>
      </c>
      <c r="I9" s="251" t="s">
        <v>11</v>
      </c>
      <c r="J9" s="251" t="s">
        <v>131</v>
      </c>
    </row>
    <row r="10" spans="1:11" ht="12.75" customHeight="1" x14ac:dyDescent="0.2">
      <c r="A10" s="1807" t="s">
        <v>132</v>
      </c>
      <c r="B10" s="1808"/>
      <c r="C10" s="1809"/>
      <c r="D10" s="253">
        <f>SUM(D11:D66 )</f>
        <v>988825</v>
      </c>
      <c r="E10" s="253">
        <f>SUM(E11:E66 )</f>
        <v>906578</v>
      </c>
      <c r="F10" s="253">
        <f>SUM(F11:F66 )</f>
        <v>980067</v>
      </c>
      <c r="G10" s="253"/>
      <c r="H10" s="253">
        <f>SUM(H11:H66 )</f>
        <v>946492</v>
      </c>
      <c r="I10" s="253"/>
      <c r="J10" s="254"/>
    </row>
    <row r="11" spans="1:11" s="344" customFormat="1" ht="30" customHeight="1" x14ac:dyDescent="0.25">
      <c r="A11" s="1774">
        <v>1</v>
      </c>
      <c r="B11" s="1782" t="s">
        <v>1855</v>
      </c>
      <c r="C11" s="1783"/>
      <c r="D11" s="691">
        <v>0</v>
      </c>
      <c r="E11" s="691">
        <v>0</v>
      </c>
      <c r="F11" s="205">
        <v>7500</v>
      </c>
      <c r="G11" s="701">
        <v>2275</v>
      </c>
      <c r="H11" s="691">
        <v>7500</v>
      </c>
      <c r="I11" s="2024" t="s">
        <v>1856</v>
      </c>
      <c r="J11" s="692" t="s">
        <v>1857</v>
      </c>
    </row>
    <row r="12" spans="1:11" s="344" customFormat="1" ht="24" hidden="1" customHeight="1" x14ac:dyDescent="0.25">
      <c r="A12" s="1775"/>
      <c r="B12" s="1788"/>
      <c r="C12" s="1789"/>
      <c r="D12" s="691">
        <v>8754</v>
      </c>
      <c r="E12" s="691">
        <v>8754</v>
      </c>
      <c r="F12" s="205"/>
      <c r="G12" s="701">
        <v>1150</v>
      </c>
      <c r="H12" s="693"/>
      <c r="I12" s="2025"/>
      <c r="J12" s="585" t="s">
        <v>1858</v>
      </c>
    </row>
    <row r="13" spans="1:11" s="344" customFormat="1" ht="24" hidden="1" customHeight="1" x14ac:dyDescent="0.25">
      <c r="A13" s="1775"/>
      <c r="B13" s="1788"/>
      <c r="C13" s="1789"/>
      <c r="D13" s="691">
        <v>840</v>
      </c>
      <c r="E13" s="691">
        <v>807</v>
      </c>
      <c r="F13" s="205"/>
      <c r="G13" s="701">
        <v>1210</v>
      </c>
      <c r="H13" s="694"/>
      <c r="I13" s="2025"/>
      <c r="J13" s="585" t="s">
        <v>1859</v>
      </c>
    </row>
    <row r="14" spans="1:11" s="344" customFormat="1" ht="12" hidden="1" customHeight="1" x14ac:dyDescent="0.25">
      <c r="A14" s="1775"/>
      <c r="B14" s="1788"/>
      <c r="C14" s="1789"/>
      <c r="D14" s="691">
        <v>650</v>
      </c>
      <c r="E14" s="691">
        <v>650</v>
      </c>
      <c r="F14" s="205"/>
      <c r="G14" s="701">
        <v>2264</v>
      </c>
      <c r="H14" s="691"/>
      <c r="I14" s="2025"/>
      <c r="J14" s="585"/>
    </row>
    <row r="15" spans="1:11" s="344" customFormat="1" ht="12" hidden="1" customHeight="1" x14ac:dyDescent="0.25">
      <c r="A15" s="1775"/>
      <c r="B15" s="1788"/>
      <c r="C15" s="1789"/>
      <c r="D15" s="691">
        <v>1050</v>
      </c>
      <c r="E15" s="691">
        <v>1049</v>
      </c>
      <c r="F15" s="205"/>
      <c r="G15" s="701">
        <v>2314</v>
      </c>
      <c r="H15" s="691"/>
      <c r="I15" s="2025"/>
      <c r="J15" s="692"/>
    </row>
    <row r="16" spans="1:11" s="344" customFormat="1" ht="12" hidden="1" customHeight="1" x14ac:dyDescent="0.25">
      <c r="A16" s="1775"/>
      <c r="B16" s="1788"/>
      <c r="C16" s="1789"/>
      <c r="D16" s="691">
        <v>2254</v>
      </c>
      <c r="E16" s="691">
        <v>2253</v>
      </c>
      <c r="F16" s="205"/>
      <c r="G16" s="701">
        <v>2231</v>
      </c>
      <c r="H16" s="691"/>
      <c r="I16" s="2025"/>
      <c r="J16" s="692"/>
    </row>
    <row r="17" spans="1:10" s="344" customFormat="1" ht="12" hidden="1" customHeight="1" x14ac:dyDescent="0.25">
      <c r="A17" s="1775"/>
      <c r="B17" s="1788"/>
      <c r="C17" s="1789"/>
      <c r="D17" s="691">
        <v>596</v>
      </c>
      <c r="E17" s="691">
        <v>596</v>
      </c>
      <c r="F17" s="205"/>
      <c r="G17" s="701">
        <v>2261</v>
      </c>
      <c r="H17" s="691"/>
      <c r="I17" s="2025"/>
      <c r="J17" s="692"/>
    </row>
    <row r="18" spans="1:10" s="344" customFormat="1" ht="12" hidden="1" customHeight="1" x14ac:dyDescent="0.25">
      <c r="A18" s="1776"/>
      <c r="B18" s="1784"/>
      <c r="C18" s="1785"/>
      <c r="D18" s="691">
        <v>2640</v>
      </c>
      <c r="E18" s="691">
        <v>2640</v>
      </c>
      <c r="F18" s="205"/>
      <c r="G18" s="701">
        <v>2231</v>
      </c>
      <c r="H18" s="691"/>
      <c r="I18" s="2026"/>
      <c r="J18" s="692"/>
    </row>
    <row r="19" spans="1:10" s="161" customFormat="1" ht="23.25" customHeight="1" x14ac:dyDescent="0.2">
      <c r="A19" s="2027">
        <v>2</v>
      </c>
      <c r="B19" s="2030" t="s">
        <v>1860</v>
      </c>
      <c r="C19" s="2031"/>
      <c r="D19" s="201">
        <v>0</v>
      </c>
      <c r="E19" s="201">
        <v>0</v>
      </c>
      <c r="F19" s="205">
        <v>145575</v>
      </c>
      <c r="G19" s="1673">
        <v>2275</v>
      </c>
      <c r="H19" s="201">
        <v>120000</v>
      </c>
      <c r="I19" s="2028" t="s">
        <v>1861</v>
      </c>
      <c r="J19" s="2029" t="s">
        <v>1862</v>
      </c>
    </row>
    <row r="20" spans="1:10" s="161" customFormat="1" ht="23.25" hidden="1" customHeight="1" x14ac:dyDescent="0.2">
      <c r="A20" s="2027"/>
      <c r="B20" s="2032"/>
      <c r="C20" s="2033"/>
      <c r="D20" s="201">
        <v>5000</v>
      </c>
      <c r="E20" s="201">
        <v>5000</v>
      </c>
      <c r="F20" s="205"/>
      <c r="G20" s="1673">
        <v>3261</v>
      </c>
      <c r="H20" s="691"/>
      <c r="I20" s="2028"/>
      <c r="J20" s="2029"/>
    </row>
    <row r="21" spans="1:10" s="161" customFormat="1" ht="23.25" customHeight="1" x14ac:dyDescent="0.2">
      <c r="A21" s="2027"/>
      <c r="B21" s="2032"/>
      <c r="C21" s="2033"/>
      <c r="D21" s="201">
        <v>13619</v>
      </c>
      <c r="E21" s="201">
        <v>13619</v>
      </c>
      <c r="F21" s="691">
        <v>2448</v>
      </c>
      <c r="G21" s="1673">
        <v>3262</v>
      </c>
      <c r="H21" s="691">
        <v>2448</v>
      </c>
      <c r="I21" s="2028"/>
      <c r="J21" s="2029"/>
    </row>
    <row r="22" spans="1:10" s="161" customFormat="1" ht="23.25" customHeight="1" x14ac:dyDescent="0.2">
      <c r="A22" s="2027"/>
      <c r="B22" s="2034"/>
      <c r="C22" s="2035"/>
      <c r="D22" s="201">
        <v>106581</v>
      </c>
      <c r="E22" s="201">
        <v>98192</v>
      </c>
      <c r="F22" s="691">
        <v>7540</v>
      </c>
      <c r="G22" s="1673">
        <v>3263</v>
      </c>
      <c r="H22" s="691">
        <v>7540</v>
      </c>
      <c r="I22" s="2028"/>
      <c r="J22" s="2029"/>
    </row>
    <row r="23" spans="1:10" s="161" customFormat="1" ht="48" x14ac:dyDescent="0.2">
      <c r="A23" s="695">
        <v>3</v>
      </c>
      <c r="B23" s="1859" t="s">
        <v>1863</v>
      </c>
      <c r="C23" s="1860"/>
      <c r="D23" s="201">
        <v>17000</v>
      </c>
      <c r="E23" s="201">
        <v>16294</v>
      </c>
      <c r="F23" s="691">
        <v>25277</v>
      </c>
      <c r="G23" s="1673">
        <v>3263</v>
      </c>
      <c r="H23" s="201">
        <v>17277</v>
      </c>
      <c r="I23" s="696" t="s">
        <v>1864</v>
      </c>
      <c r="J23" s="697" t="s">
        <v>1865</v>
      </c>
    </row>
    <row r="24" spans="1:10" s="161" customFormat="1" ht="15" hidden="1" customHeight="1" x14ac:dyDescent="0.2">
      <c r="A24" s="2027">
        <v>4</v>
      </c>
      <c r="B24" s="2030" t="s">
        <v>1866</v>
      </c>
      <c r="C24" s="2031"/>
      <c r="D24" s="201">
        <v>25575</v>
      </c>
      <c r="E24" s="201">
        <v>0</v>
      </c>
      <c r="F24" s="691">
        <v>0</v>
      </c>
      <c r="G24" s="1673">
        <v>2275</v>
      </c>
      <c r="H24" s="201"/>
      <c r="I24" s="2028" t="s">
        <v>1867</v>
      </c>
      <c r="J24" s="2029" t="s">
        <v>1868</v>
      </c>
    </row>
    <row r="25" spans="1:10" s="161" customFormat="1" ht="29.25" hidden="1" customHeight="1" x14ac:dyDescent="0.2">
      <c r="A25" s="2027"/>
      <c r="B25" s="2032"/>
      <c r="C25" s="2033"/>
      <c r="D25" s="201">
        <v>4080</v>
      </c>
      <c r="E25" s="201">
        <v>4080</v>
      </c>
      <c r="F25" s="691"/>
      <c r="G25" s="1673">
        <v>3262</v>
      </c>
      <c r="H25" s="201"/>
      <c r="I25" s="2028"/>
      <c r="J25" s="2029"/>
    </row>
    <row r="26" spans="1:10" s="161" customFormat="1" ht="70.5" customHeight="1" x14ac:dyDescent="0.2">
      <c r="A26" s="2027"/>
      <c r="B26" s="2034"/>
      <c r="C26" s="2035"/>
      <c r="D26" s="201">
        <v>57281</v>
      </c>
      <c r="E26" s="201">
        <v>44660</v>
      </c>
      <c r="F26" s="691">
        <f>23575+323</f>
        <v>23898</v>
      </c>
      <c r="G26" s="1673">
        <v>3263</v>
      </c>
      <c r="H26" s="201">
        <f>23575+323</f>
        <v>23898</v>
      </c>
      <c r="I26" s="2028"/>
      <c r="J26" s="2029"/>
    </row>
    <row r="27" spans="1:10" s="161" customFormat="1" ht="12" hidden="1" customHeight="1" x14ac:dyDescent="0.2">
      <c r="A27" s="2036">
        <v>5</v>
      </c>
      <c r="B27" s="1782" t="s">
        <v>1869</v>
      </c>
      <c r="C27" s="1783"/>
      <c r="D27" s="698">
        <v>380</v>
      </c>
      <c r="E27" s="698">
        <v>380</v>
      </c>
      <c r="F27" s="699"/>
      <c r="G27" s="1673">
        <v>1150</v>
      </c>
      <c r="H27" s="698"/>
      <c r="I27" s="2028" t="s">
        <v>1870</v>
      </c>
      <c r="J27" s="2037"/>
    </row>
    <row r="28" spans="1:10" s="161" customFormat="1" ht="15" hidden="1" customHeight="1" x14ac:dyDescent="0.2">
      <c r="A28" s="2036"/>
      <c r="B28" s="1788"/>
      <c r="C28" s="1789"/>
      <c r="D28" s="698">
        <v>19</v>
      </c>
      <c r="E28" s="698">
        <v>19</v>
      </c>
      <c r="F28" s="699"/>
      <c r="G28" s="1673">
        <v>1210</v>
      </c>
      <c r="H28" s="698"/>
      <c r="I28" s="2028"/>
      <c r="J28" s="2037"/>
    </row>
    <row r="29" spans="1:10" s="161" customFormat="1" ht="24" customHeight="1" x14ac:dyDescent="0.2">
      <c r="A29" s="2036"/>
      <c r="B29" s="1788"/>
      <c r="C29" s="1789"/>
      <c r="D29" s="698">
        <v>551</v>
      </c>
      <c r="E29" s="698">
        <v>550</v>
      </c>
      <c r="F29" s="699">
        <v>650</v>
      </c>
      <c r="G29" s="1673">
        <v>2262</v>
      </c>
      <c r="H29" s="698">
        <v>650</v>
      </c>
      <c r="I29" s="2028"/>
      <c r="J29" s="2037"/>
    </row>
    <row r="30" spans="1:10" s="161" customFormat="1" ht="24" customHeight="1" x14ac:dyDescent="0.2">
      <c r="A30" s="2036"/>
      <c r="B30" s="1784"/>
      <c r="C30" s="1785"/>
      <c r="D30" s="698">
        <v>0</v>
      </c>
      <c r="E30" s="698">
        <v>0</v>
      </c>
      <c r="F30" s="699">
        <v>540</v>
      </c>
      <c r="G30" s="1673">
        <v>2275</v>
      </c>
      <c r="H30" s="700">
        <v>540</v>
      </c>
      <c r="I30" s="2028"/>
      <c r="J30" s="2037"/>
    </row>
    <row r="31" spans="1:10" s="161" customFormat="1" ht="35.25" customHeight="1" x14ac:dyDescent="0.2">
      <c r="A31" s="1774">
        <v>6</v>
      </c>
      <c r="B31" s="1782" t="s">
        <v>1871</v>
      </c>
      <c r="C31" s="1783"/>
      <c r="D31" s="698">
        <v>241764</v>
      </c>
      <c r="E31" s="698">
        <v>241579</v>
      </c>
      <c r="F31" s="699">
        <v>250000</v>
      </c>
      <c r="G31" s="701">
        <v>2231</v>
      </c>
      <c r="H31" s="700">
        <v>250000</v>
      </c>
      <c r="I31" s="1939" t="s">
        <v>1872</v>
      </c>
      <c r="J31" s="2037"/>
    </row>
    <row r="32" spans="1:10" s="161" customFormat="1" ht="35.25" hidden="1" customHeight="1" x14ac:dyDescent="0.2">
      <c r="A32" s="1775"/>
      <c r="B32" s="1788"/>
      <c r="C32" s="1789"/>
      <c r="D32" s="698">
        <v>8653</v>
      </c>
      <c r="E32" s="698">
        <v>8653</v>
      </c>
      <c r="F32" s="699"/>
      <c r="G32" s="1673">
        <v>1150</v>
      </c>
      <c r="H32" s="698"/>
      <c r="I32" s="2038"/>
      <c r="J32" s="2037"/>
    </row>
    <row r="33" spans="1:10" s="161" customFormat="1" ht="35.25" hidden="1" customHeight="1" x14ac:dyDescent="0.2">
      <c r="A33" s="1776"/>
      <c r="B33" s="1784"/>
      <c r="C33" s="1785"/>
      <c r="D33" s="698">
        <v>405</v>
      </c>
      <c r="E33" s="698">
        <v>405</v>
      </c>
      <c r="F33" s="699"/>
      <c r="G33" s="1673">
        <v>1210</v>
      </c>
      <c r="H33" s="698"/>
      <c r="I33" s="1940"/>
      <c r="J33" s="2037"/>
    </row>
    <row r="34" spans="1:10" s="161" customFormat="1" ht="69.75" customHeight="1" x14ac:dyDescent="0.2">
      <c r="A34" s="1774">
        <v>7</v>
      </c>
      <c r="B34" s="1782" t="s">
        <v>1873</v>
      </c>
      <c r="C34" s="1783"/>
      <c r="D34" s="698">
        <v>180423</v>
      </c>
      <c r="E34" s="698">
        <v>175912</v>
      </c>
      <c r="F34" s="699">
        <v>235000</v>
      </c>
      <c r="G34" s="701">
        <v>2231</v>
      </c>
      <c r="H34" s="700">
        <v>235000</v>
      </c>
      <c r="I34" s="1939" t="s">
        <v>1874</v>
      </c>
      <c r="J34" s="2037"/>
    </row>
    <row r="35" spans="1:10" s="161" customFormat="1" ht="21.75" hidden="1" customHeight="1" x14ac:dyDescent="0.2">
      <c r="A35" s="1775"/>
      <c r="B35" s="1788"/>
      <c r="C35" s="1789"/>
      <c r="D35" s="698">
        <v>3313</v>
      </c>
      <c r="E35" s="698">
        <v>3313</v>
      </c>
      <c r="F35" s="699"/>
      <c r="G35" s="1673">
        <v>2264</v>
      </c>
      <c r="H35" s="700"/>
      <c r="I35" s="2038"/>
      <c r="J35" s="2037"/>
    </row>
    <row r="36" spans="1:10" s="161" customFormat="1" ht="21.75" hidden="1" customHeight="1" x14ac:dyDescent="0.2">
      <c r="A36" s="1775"/>
      <c r="B36" s="1788"/>
      <c r="C36" s="1789"/>
      <c r="D36" s="698">
        <v>115</v>
      </c>
      <c r="E36" s="698">
        <v>115</v>
      </c>
      <c r="F36" s="699"/>
      <c r="G36" s="1673">
        <v>2248</v>
      </c>
      <c r="H36" s="700"/>
      <c r="I36" s="2038"/>
      <c r="J36" s="2037"/>
    </row>
    <row r="37" spans="1:10" s="161" customFormat="1" ht="21.75" hidden="1" customHeight="1" x14ac:dyDescent="0.2">
      <c r="A37" s="1775"/>
      <c r="B37" s="1788"/>
      <c r="C37" s="1789"/>
      <c r="D37" s="698">
        <f>45198+3515</f>
        <v>48713</v>
      </c>
      <c r="E37" s="698">
        <f>45198+3515</f>
        <v>48713</v>
      </c>
      <c r="F37" s="699"/>
      <c r="G37" s="1673">
        <v>1150</v>
      </c>
      <c r="H37" s="700"/>
      <c r="I37" s="2038"/>
      <c r="J37" s="2037"/>
    </row>
    <row r="38" spans="1:10" s="161" customFormat="1" ht="21.75" hidden="1" customHeight="1" x14ac:dyDescent="0.2">
      <c r="A38" s="1776"/>
      <c r="B38" s="1784"/>
      <c r="C38" s="1785"/>
      <c r="D38" s="698">
        <f>2260+176</f>
        <v>2436</v>
      </c>
      <c r="E38" s="698">
        <f>2260+176</f>
        <v>2436</v>
      </c>
      <c r="F38" s="699"/>
      <c r="G38" s="1673">
        <v>1210</v>
      </c>
      <c r="H38" s="700"/>
      <c r="I38" s="1940"/>
      <c r="J38" s="2037"/>
    </row>
    <row r="39" spans="1:10" s="161" customFormat="1" ht="31.5" customHeight="1" x14ac:dyDescent="0.2">
      <c r="A39" s="2039">
        <v>8</v>
      </c>
      <c r="B39" s="1782" t="s">
        <v>1875</v>
      </c>
      <c r="C39" s="1783"/>
      <c r="D39" s="201">
        <v>3508</v>
      </c>
      <c r="E39" s="201">
        <v>3507</v>
      </c>
      <c r="F39" s="205">
        <v>3508</v>
      </c>
      <c r="G39" s="1673">
        <v>6422</v>
      </c>
      <c r="H39" s="201">
        <v>3508</v>
      </c>
      <c r="I39" s="2028" t="s">
        <v>1876</v>
      </c>
      <c r="J39" s="2029"/>
    </row>
    <row r="40" spans="1:10" s="161" customFormat="1" ht="15" hidden="1" customHeight="1" x14ac:dyDescent="0.2">
      <c r="A40" s="2039"/>
      <c r="B40" s="1788"/>
      <c r="C40" s="1789"/>
      <c r="D40" s="201">
        <v>12365</v>
      </c>
      <c r="E40" s="201">
        <v>12365</v>
      </c>
      <c r="F40" s="205">
        <v>0</v>
      </c>
      <c r="G40" s="1673">
        <v>1150</v>
      </c>
      <c r="H40" s="201"/>
      <c r="I40" s="2028"/>
      <c r="J40" s="2029"/>
    </row>
    <row r="41" spans="1:10" s="161" customFormat="1" ht="15" hidden="1" customHeight="1" x14ac:dyDescent="0.2">
      <c r="A41" s="2039"/>
      <c r="B41" s="1788"/>
      <c r="C41" s="1789"/>
      <c r="D41" s="201">
        <v>619</v>
      </c>
      <c r="E41" s="201">
        <v>619</v>
      </c>
      <c r="F41" s="205">
        <v>0</v>
      </c>
      <c r="G41" s="1673">
        <v>1210</v>
      </c>
      <c r="H41" s="201"/>
      <c r="I41" s="2028"/>
      <c r="J41" s="2029"/>
    </row>
    <row r="42" spans="1:10" s="161" customFormat="1" ht="15" hidden="1" customHeight="1" x14ac:dyDescent="0.2">
      <c r="A42" s="2039"/>
      <c r="B42" s="1788"/>
      <c r="C42" s="1789"/>
      <c r="D42" s="201">
        <v>4787</v>
      </c>
      <c r="E42" s="201">
        <v>4782</v>
      </c>
      <c r="F42" s="205">
        <v>0</v>
      </c>
      <c r="G42" s="1673">
        <v>2231</v>
      </c>
      <c r="H42" s="201"/>
      <c r="I42" s="2028"/>
      <c r="J42" s="2029"/>
    </row>
    <row r="43" spans="1:10" s="161" customFormat="1" ht="15" hidden="1" customHeight="1" x14ac:dyDescent="0.2">
      <c r="A43" s="2039"/>
      <c r="B43" s="1788"/>
      <c r="C43" s="1789"/>
      <c r="D43" s="201">
        <v>1473</v>
      </c>
      <c r="E43" s="201">
        <v>1473</v>
      </c>
      <c r="F43" s="205">
        <v>0</v>
      </c>
      <c r="G43" s="1673">
        <v>2264</v>
      </c>
      <c r="H43" s="201"/>
      <c r="I43" s="2028"/>
      <c r="J43" s="2029"/>
    </row>
    <row r="44" spans="1:10" s="161" customFormat="1" ht="15" hidden="1" customHeight="1" x14ac:dyDescent="0.2">
      <c r="A44" s="2039"/>
      <c r="B44" s="1788"/>
      <c r="C44" s="1789"/>
      <c r="D44" s="201">
        <v>148</v>
      </c>
      <c r="E44" s="201">
        <v>148</v>
      </c>
      <c r="F44" s="205">
        <v>0</v>
      </c>
      <c r="G44" s="1673">
        <v>2314</v>
      </c>
      <c r="H44" s="201"/>
      <c r="I44" s="2028"/>
      <c r="J44" s="2029"/>
    </row>
    <row r="45" spans="1:10" s="161" customFormat="1" ht="33" customHeight="1" x14ac:dyDescent="0.2">
      <c r="A45" s="2039"/>
      <c r="B45" s="1784"/>
      <c r="C45" s="1785"/>
      <c r="D45" s="201">
        <v>765</v>
      </c>
      <c r="E45" s="201">
        <v>765</v>
      </c>
      <c r="F45" s="205">
        <v>20000</v>
      </c>
      <c r="G45" s="701">
        <v>2231</v>
      </c>
      <c r="H45" s="201">
        <v>20000</v>
      </c>
      <c r="I45" s="2028"/>
      <c r="J45" s="2029"/>
    </row>
    <row r="46" spans="1:10" s="161" customFormat="1" ht="60.75" customHeight="1" x14ac:dyDescent="0.2">
      <c r="A46" s="702">
        <v>9</v>
      </c>
      <c r="B46" s="1943" t="s">
        <v>1877</v>
      </c>
      <c r="C46" s="1944"/>
      <c r="D46" s="201">
        <v>50000</v>
      </c>
      <c r="E46" s="201">
        <v>50000</v>
      </c>
      <c r="F46" s="205">
        <v>50000</v>
      </c>
      <c r="G46" s="701">
        <v>2231</v>
      </c>
      <c r="H46" s="201">
        <v>50000</v>
      </c>
      <c r="I46" s="696" t="s">
        <v>1878</v>
      </c>
      <c r="J46" s="703"/>
    </row>
    <row r="47" spans="1:10" s="161" customFormat="1" ht="75.75" customHeight="1" x14ac:dyDescent="0.2">
      <c r="A47" s="704">
        <v>10</v>
      </c>
      <c r="B47" s="1943" t="s">
        <v>1879</v>
      </c>
      <c r="C47" s="1944"/>
      <c r="D47" s="201">
        <v>0</v>
      </c>
      <c r="E47" s="201">
        <v>0</v>
      </c>
      <c r="F47" s="205">
        <v>25000</v>
      </c>
      <c r="G47" s="701">
        <v>2231</v>
      </c>
      <c r="H47" s="201">
        <v>25000</v>
      </c>
      <c r="I47" s="705" t="s">
        <v>1880</v>
      </c>
      <c r="J47" s="703"/>
    </row>
    <row r="48" spans="1:10" s="161" customFormat="1" ht="18" customHeight="1" x14ac:dyDescent="0.2">
      <c r="A48" s="2036">
        <v>11</v>
      </c>
      <c r="B48" s="1782" t="s">
        <v>1881</v>
      </c>
      <c r="C48" s="1783"/>
      <c r="D48" s="201">
        <v>1211</v>
      </c>
      <c r="E48" s="201">
        <v>1211</v>
      </c>
      <c r="F48" s="205">
        <v>1000</v>
      </c>
      <c r="G48" s="1673">
        <v>2261</v>
      </c>
      <c r="H48" s="201">
        <v>1000</v>
      </c>
      <c r="I48" s="1939" t="s">
        <v>1882</v>
      </c>
      <c r="J48" s="703"/>
    </row>
    <row r="49" spans="1:10" s="161" customFormat="1" ht="18" customHeight="1" x14ac:dyDescent="0.2">
      <c r="A49" s="2036"/>
      <c r="B49" s="1784"/>
      <c r="C49" s="1785"/>
      <c r="D49" s="201">
        <v>289</v>
      </c>
      <c r="E49" s="201">
        <v>289</v>
      </c>
      <c r="F49" s="205">
        <v>500</v>
      </c>
      <c r="G49" s="1673">
        <v>6423</v>
      </c>
      <c r="H49" s="201">
        <v>500</v>
      </c>
      <c r="I49" s="1940"/>
      <c r="J49" s="703"/>
    </row>
    <row r="50" spans="1:10" s="161" customFormat="1" ht="29.25" customHeight="1" x14ac:dyDescent="0.2">
      <c r="A50" s="203">
        <v>12</v>
      </c>
      <c r="B50" s="1943" t="s">
        <v>1883</v>
      </c>
      <c r="C50" s="1944"/>
      <c r="D50" s="201">
        <v>30000</v>
      </c>
      <c r="E50" s="205"/>
      <c r="F50" s="205">
        <v>10000</v>
      </c>
      <c r="G50" s="701">
        <v>6422</v>
      </c>
      <c r="H50" s="201">
        <v>10000</v>
      </c>
      <c r="I50" s="695" t="s">
        <v>1884</v>
      </c>
      <c r="J50" s="706" t="s">
        <v>1885</v>
      </c>
    </row>
    <row r="51" spans="1:10" s="161" customFormat="1" ht="24.75" customHeight="1" x14ac:dyDescent="0.2">
      <c r="A51" s="203">
        <v>13</v>
      </c>
      <c r="B51" s="1943" t="s">
        <v>1886</v>
      </c>
      <c r="C51" s="1944"/>
      <c r="D51" s="201"/>
      <c r="E51" s="201"/>
      <c r="F51" s="205">
        <v>70000</v>
      </c>
      <c r="G51" s="1673">
        <v>5240</v>
      </c>
      <c r="H51" s="201">
        <v>70000</v>
      </c>
      <c r="I51" s="695" t="s">
        <v>1884</v>
      </c>
      <c r="J51" s="706" t="s">
        <v>1887</v>
      </c>
    </row>
    <row r="52" spans="1:10" s="161" customFormat="1" ht="38.25" customHeight="1" x14ac:dyDescent="0.2">
      <c r="A52" s="203">
        <v>14</v>
      </c>
      <c r="B52" s="1943" t="s">
        <v>1888</v>
      </c>
      <c r="C52" s="1944"/>
      <c r="D52" s="536">
        <v>100000</v>
      </c>
      <c r="E52" s="536">
        <v>100000</v>
      </c>
      <c r="F52" s="707">
        <v>100000</v>
      </c>
      <c r="G52" s="701">
        <v>2231</v>
      </c>
      <c r="H52" s="536">
        <v>100000</v>
      </c>
      <c r="I52" s="203" t="s">
        <v>1889</v>
      </c>
      <c r="J52" s="708"/>
    </row>
    <row r="53" spans="1:10" s="161" customFormat="1" ht="24" hidden="1" x14ac:dyDescent="0.2">
      <c r="A53" s="1774">
        <v>15</v>
      </c>
      <c r="B53" s="1941" t="s">
        <v>1599</v>
      </c>
      <c r="C53" s="1512"/>
      <c r="D53" s="205"/>
      <c r="E53" s="205">
        <v>0</v>
      </c>
      <c r="F53" s="205"/>
      <c r="G53" s="1674">
        <v>2275</v>
      </c>
      <c r="H53" s="201"/>
      <c r="I53" s="1738" t="s">
        <v>1890</v>
      </c>
      <c r="J53" s="709" t="s">
        <v>1891</v>
      </c>
    </row>
    <row r="54" spans="1:10" s="161" customFormat="1" hidden="1" x14ac:dyDescent="0.2">
      <c r="A54" s="1776"/>
      <c r="B54" s="1942"/>
      <c r="C54" s="1513"/>
      <c r="D54" s="205">
        <v>27143</v>
      </c>
      <c r="E54" s="205">
        <v>27143</v>
      </c>
      <c r="F54" s="205"/>
      <c r="G54" s="701">
        <v>2231</v>
      </c>
      <c r="H54" s="201"/>
      <c r="I54" s="1740"/>
      <c r="J54" s="703"/>
    </row>
    <row r="55" spans="1:10" s="161" customFormat="1" ht="36" hidden="1" x14ac:dyDescent="0.2">
      <c r="A55" s="203">
        <v>16</v>
      </c>
      <c r="B55" s="538" t="s">
        <v>1892</v>
      </c>
      <c r="C55" s="1544"/>
      <c r="D55" s="536">
        <v>10843</v>
      </c>
      <c r="E55" s="536">
        <v>10625</v>
      </c>
      <c r="F55" s="707"/>
      <c r="G55" s="1673">
        <v>5240</v>
      </c>
      <c r="H55" s="536"/>
      <c r="I55" s="203" t="s">
        <v>1893</v>
      </c>
      <c r="J55" s="703"/>
    </row>
    <row r="56" spans="1:10" s="161" customFormat="1" ht="17.25" hidden="1" customHeight="1" x14ac:dyDescent="0.2">
      <c r="A56" s="1774">
        <v>17</v>
      </c>
      <c r="B56" s="1941" t="s">
        <v>1894</v>
      </c>
      <c r="C56" s="1512"/>
      <c r="D56" s="536">
        <v>0</v>
      </c>
      <c r="E56" s="536">
        <v>0</v>
      </c>
      <c r="F56" s="707"/>
      <c r="G56" s="1673">
        <v>5240</v>
      </c>
      <c r="H56" s="536"/>
      <c r="I56" s="1774" t="s">
        <v>1893</v>
      </c>
      <c r="J56" s="703"/>
    </row>
    <row r="57" spans="1:10" s="161" customFormat="1" ht="17.25" hidden="1" customHeight="1" x14ac:dyDescent="0.2">
      <c r="A57" s="1775"/>
      <c r="B57" s="2044"/>
      <c r="C57" s="1542"/>
      <c r="D57" s="536">
        <v>950</v>
      </c>
      <c r="E57" s="536">
        <v>950</v>
      </c>
      <c r="F57" s="707"/>
      <c r="G57" s="1673">
        <v>1150</v>
      </c>
      <c r="H57" s="536"/>
      <c r="I57" s="1775"/>
      <c r="J57" s="703"/>
    </row>
    <row r="58" spans="1:10" s="161" customFormat="1" ht="17.25" hidden="1" customHeight="1" x14ac:dyDescent="0.2">
      <c r="A58" s="1776"/>
      <c r="B58" s="1942"/>
      <c r="C58" s="1513"/>
      <c r="D58" s="536">
        <v>48</v>
      </c>
      <c r="E58" s="536">
        <v>48</v>
      </c>
      <c r="F58" s="707"/>
      <c r="G58" s="1673">
        <v>1210</v>
      </c>
      <c r="H58" s="536"/>
      <c r="I58" s="1776"/>
      <c r="J58" s="703"/>
    </row>
    <row r="59" spans="1:10" s="161" customFormat="1" ht="44.25" hidden="1" customHeight="1" x14ac:dyDescent="0.2">
      <c r="A59" s="203">
        <v>18</v>
      </c>
      <c r="B59" s="538" t="s">
        <v>1895</v>
      </c>
      <c r="C59" s="1544"/>
      <c r="D59" s="201">
        <v>2400</v>
      </c>
      <c r="E59" s="201">
        <v>2400</v>
      </c>
      <c r="F59" s="205"/>
      <c r="G59" s="701">
        <v>2239</v>
      </c>
      <c r="H59" s="201"/>
      <c r="I59" s="695" t="s">
        <v>1896</v>
      </c>
      <c r="J59" s="708"/>
    </row>
    <row r="60" spans="1:10" s="161" customFormat="1" ht="57" hidden="1" customHeight="1" x14ac:dyDescent="0.2">
      <c r="A60" s="203">
        <v>19</v>
      </c>
      <c r="B60" s="538" t="s">
        <v>1897</v>
      </c>
      <c r="C60" s="1544"/>
      <c r="D60" s="201">
        <v>5326</v>
      </c>
      <c r="E60" s="201">
        <v>5326</v>
      </c>
      <c r="F60" s="205"/>
      <c r="G60" s="1675" t="s">
        <v>1898</v>
      </c>
      <c r="H60" s="201"/>
      <c r="I60" s="695" t="s">
        <v>1899</v>
      </c>
      <c r="J60" s="706"/>
    </row>
    <row r="61" spans="1:10" s="161" customFormat="1" ht="39" hidden="1" customHeight="1" x14ac:dyDescent="0.2">
      <c r="A61" s="203">
        <v>20</v>
      </c>
      <c r="B61" s="538" t="s">
        <v>1900</v>
      </c>
      <c r="C61" s="1544"/>
      <c r="D61" s="201">
        <v>2600</v>
      </c>
      <c r="E61" s="201">
        <v>2600</v>
      </c>
      <c r="F61" s="205"/>
      <c r="G61" s="701">
        <v>2231</v>
      </c>
      <c r="H61" s="201"/>
      <c r="I61" s="203" t="s">
        <v>1901</v>
      </c>
      <c r="J61" s="706"/>
    </row>
    <row r="62" spans="1:10" s="161" customFormat="1" ht="39.75" hidden="1" customHeight="1" x14ac:dyDescent="0.2">
      <c r="A62" s="203">
        <v>21</v>
      </c>
      <c r="B62" s="538" t="s">
        <v>1902</v>
      </c>
      <c r="C62" s="1544"/>
      <c r="D62" s="201">
        <v>800</v>
      </c>
      <c r="E62" s="201">
        <v>800</v>
      </c>
      <c r="F62" s="205"/>
      <c r="G62" s="701">
        <v>2231</v>
      </c>
      <c r="H62" s="201"/>
      <c r="I62" s="203" t="s">
        <v>1903</v>
      </c>
      <c r="J62" s="708"/>
    </row>
    <row r="63" spans="1:10" s="161" customFormat="1" ht="18.75" customHeight="1" x14ac:dyDescent="0.2">
      <c r="A63" s="2036">
        <v>15</v>
      </c>
      <c r="B63" s="1782" t="s">
        <v>1904</v>
      </c>
      <c r="C63" s="1783"/>
      <c r="D63" s="691">
        <v>471</v>
      </c>
      <c r="E63" s="201">
        <v>471</v>
      </c>
      <c r="F63" s="205">
        <v>201</v>
      </c>
      <c r="G63" s="1673">
        <v>1150</v>
      </c>
      <c r="H63" s="201">
        <v>201</v>
      </c>
      <c r="I63" s="2036" t="s">
        <v>1905</v>
      </c>
      <c r="J63" s="2040" t="s">
        <v>1906</v>
      </c>
    </row>
    <row r="64" spans="1:10" s="161" customFormat="1" ht="18.75" customHeight="1" x14ac:dyDescent="0.2">
      <c r="A64" s="2036"/>
      <c r="B64" s="1788"/>
      <c r="C64" s="1789"/>
      <c r="D64" s="691">
        <v>24</v>
      </c>
      <c r="E64" s="201">
        <v>24</v>
      </c>
      <c r="F64" s="205">
        <v>49</v>
      </c>
      <c r="G64" s="1673">
        <v>1210</v>
      </c>
      <c r="H64" s="201">
        <v>49</v>
      </c>
      <c r="I64" s="2036"/>
      <c r="J64" s="2040"/>
    </row>
    <row r="65" spans="1:10" s="161" customFormat="1" ht="18.75" customHeight="1" x14ac:dyDescent="0.2">
      <c r="A65" s="2036"/>
      <c r="B65" s="1788"/>
      <c r="C65" s="1789"/>
      <c r="D65" s="691">
        <v>363</v>
      </c>
      <c r="E65" s="691">
        <v>363</v>
      </c>
      <c r="F65" s="691">
        <v>363</v>
      </c>
      <c r="G65" s="701">
        <v>2233</v>
      </c>
      <c r="H65" s="691">
        <v>363</v>
      </c>
      <c r="I65" s="2036"/>
      <c r="J65" s="2040"/>
    </row>
    <row r="66" spans="1:10" ht="18.75" customHeight="1" x14ac:dyDescent="0.2">
      <c r="A66" s="2036"/>
      <c r="B66" s="1784"/>
      <c r="C66" s="1785"/>
      <c r="D66" s="455"/>
      <c r="E66" s="710"/>
      <c r="F66" s="710">
        <f>400+436+182</f>
        <v>1018</v>
      </c>
      <c r="G66" s="711">
        <v>2239</v>
      </c>
      <c r="H66" s="710">
        <f>400+436+182</f>
        <v>1018</v>
      </c>
      <c r="I66" s="2036"/>
      <c r="J66" s="2040"/>
    </row>
    <row r="67" spans="1:10" hidden="1" x14ac:dyDescent="0.2">
      <c r="A67" s="2041" t="s">
        <v>239</v>
      </c>
      <c r="B67" s="2042"/>
      <c r="C67" s="1541"/>
      <c r="D67" s="712">
        <f>SUM(D10,)</f>
        <v>988825</v>
      </c>
      <c r="E67" s="712">
        <f>SUM(E10,)</f>
        <v>906578</v>
      </c>
      <c r="F67" s="712">
        <f>SUM(F10,)</f>
        <v>980067</v>
      </c>
      <c r="G67" s="712"/>
      <c r="H67" s="712">
        <f>SUM(H10,)</f>
        <v>946492</v>
      </c>
      <c r="I67" s="712"/>
      <c r="J67" s="713"/>
    </row>
    <row r="69" spans="1:10" x14ac:dyDescent="0.2">
      <c r="A69" s="467" t="s">
        <v>400</v>
      </c>
      <c r="B69" s="467"/>
      <c r="C69" s="467"/>
      <c r="D69" s="467"/>
      <c r="E69" s="467"/>
      <c r="F69" s="467"/>
      <c r="G69" s="467"/>
      <c r="H69" s="467"/>
      <c r="I69" s="467"/>
    </row>
    <row r="70" spans="1:10" x14ac:dyDescent="0.2">
      <c r="A70" s="467" t="s">
        <v>401</v>
      </c>
      <c r="B70" s="467"/>
      <c r="C70" s="467"/>
      <c r="D70" s="467"/>
      <c r="E70" s="467"/>
      <c r="F70" s="467"/>
      <c r="G70" s="467"/>
      <c r="H70" s="467"/>
      <c r="I70" s="467"/>
    </row>
    <row r="71" spans="1:10" x14ac:dyDescent="0.2">
      <c r="A71" s="714" t="s">
        <v>1844</v>
      </c>
      <c r="B71" s="467"/>
      <c r="C71" s="467"/>
      <c r="D71" s="467"/>
      <c r="E71" s="467"/>
      <c r="F71" s="467"/>
      <c r="G71" s="467"/>
      <c r="H71" s="467"/>
      <c r="I71" s="467"/>
    </row>
    <row r="72" spans="1:10" x14ac:dyDescent="0.2">
      <c r="A72" s="467" t="s">
        <v>1907</v>
      </c>
      <c r="B72" s="467"/>
      <c r="C72" s="467"/>
      <c r="D72" s="467"/>
      <c r="E72" s="715"/>
      <c r="F72" s="715"/>
      <c r="G72" s="715"/>
      <c r="H72" s="715"/>
      <c r="I72" s="467"/>
    </row>
    <row r="73" spans="1:10" x14ac:dyDescent="0.2">
      <c r="A73" s="344"/>
      <c r="B73" s="344" t="s">
        <v>1908</v>
      </c>
      <c r="C73" s="1536"/>
      <c r="D73" s="344"/>
      <c r="E73" s="716"/>
      <c r="F73" s="716"/>
      <c r="G73" s="716"/>
      <c r="H73" s="716"/>
      <c r="I73" s="344"/>
    </row>
    <row r="74" spans="1:10" x14ac:dyDescent="0.2">
      <c r="A74" s="344" t="s">
        <v>1708</v>
      </c>
      <c r="B74" s="344"/>
      <c r="C74" s="1536"/>
      <c r="D74" s="344"/>
      <c r="E74" s="344"/>
      <c r="F74" s="344"/>
      <c r="G74" s="344"/>
      <c r="H74" s="344"/>
      <c r="I74" s="344"/>
    </row>
    <row r="75" spans="1:10" x14ac:dyDescent="0.2">
      <c r="A75" s="344"/>
      <c r="B75" s="344" t="s">
        <v>1909</v>
      </c>
      <c r="C75" s="1536"/>
      <c r="D75" s="344"/>
      <c r="E75" s="344"/>
      <c r="F75" s="344"/>
      <c r="G75" s="344"/>
      <c r="H75" s="344"/>
      <c r="I75" s="344"/>
    </row>
    <row r="76" spans="1:10" x14ac:dyDescent="0.2">
      <c r="A76" s="344"/>
      <c r="B76" s="344" t="s">
        <v>1910</v>
      </c>
      <c r="C76" s="1536"/>
      <c r="D76" s="344"/>
      <c r="E76" s="344"/>
      <c r="F76" s="344"/>
      <c r="G76" s="344"/>
      <c r="H76" s="344"/>
      <c r="I76" s="344"/>
      <c r="J76" s="243"/>
    </row>
    <row r="77" spans="1:10" x14ac:dyDescent="0.2">
      <c r="A77" s="344" t="s">
        <v>1911</v>
      </c>
      <c r="B77" s="344"/>
      <c r="C77" s="1536"/>
      <c r="D77" s="344"/>
      <c r="E77" s="344"/>
      <c r="F77" s="344"/>
      <c r="G77" s="344"/>
      <c r="H77" s="344"/>
      <c r="I77" s="344"/>
    </row>
    <row r="78" spans="1:10" x14ac:dyDescent="0.2">
      <c r="A78" s="344"/>
      <c r="B78" s="344" t="s">
        <v>1912</v>
      </c>
      <c r="C78" s="1536"/>
      <c r="D78" s="344"/>
      <c r="E78" s="344"/>
      <c r="F78" s="344"/>
      <c r="G78" s="344"/>
      <c r="H78" s="344"/>
      <c r="I78" s="344"/>
    </row>
    <row r="79" spans="1:10" x14ac:dyDescent="0.2">
      <c r="A79" s="344"/>
      <c r="B79" s="344" t="s">
        <v>1913</v>
      </c>
      <c r="C79" s="1536"/>
      <c r="D79" s="344"/>
      <c r="E79" s="344"/>
      <c r="F79" s="344"/>
      <c r="G79" s="344"/>
      <c r="H79" s="344"/>
      <c r="I79" s="344"/>
    </row>
    <row r="80" spans="1:10" x14ac:dyDescent="0.2">
      <c r="A80" s="344"/>
      <c r="B80" s="344" t="s">
        <v>1914</v>
      </c>
      <c r="C80" s="1536"/>
      <c r="D80" s="344"/>
      <c r="E80" s="344"/>
      <c r="F80" s="344"/>
      <c r="G80" s="344"/>
      <c r="H80" s="344"/>
      <c r="I80" s="344"/>
    </row>
    <row r="81" spans="1:9" x14ac:dyDescent="0.2">
      <c r="A81" s="344"/>
      <c r="B81" s="344" t="s">
        <v>1915</v>
      </c>
      <c r="C81" s="1536"/>
      <c r="D81" s="344"/>
      <c r="E81" s="344"/>
      <c r="F81" s="344"/>
      <c r="G81" s="344"/>
      <c r="H81" s="344"/>
      <c r="I81" s="344"/>
    </row>
    <row r="82" spans="1:9" x14ac:dyDescent="0.2">
      <c r="A82" s="344"/>
      <c r="B82" s="344"/>
      <c r="C82" s="1536"/>
      <c r="D82" s="344"/>
      <c r="E82" s="344"/>
      <c r="F82" s="344"/>
      <c r="G82" s="344"/>
      <c r="H82" s="344"/>
      <c r="I82" s="344"/>
    </row>
    <row r="83" spans="1:9" x14ac:dyDescent="0.2">
      <c r="A83" s="2043" t="s">
        <v>1631</v>
      </c>
      <c r="B83" s="2043"/>
      <c r="C83" s="2043"/>
      <c r="D83" s="2043"/>
      <c r="E83" s="2043"/>
      <c r="F83" s="2043"/>
      <c r="G83" s="2043"/>
      <c r="H83" s="2043"/>
      <c r="I83" s="2043"/>
    </row>
    <row r="84" spans="1:9" x14ac:dyDescent="0.2">
      <c r="A84" s="344" t="s">
        <v>1916</v>
      </c>
      <c r="B84" s="344"/>
      <c r="C84" s="1536"/>
      <c r="D84" s="344"/>
      <c r="E84" s="344"/>
      <c r="F84" s="344"/>
      <c r="G84" s="344"/>
      <c r="H84" s="344"/>
      <c r="I84" s="344"/>
    </row>
    <row r="85" spans="1:9" x14ac:dyDescent="0.2">
      <c r="A85" s="344"/>
      <c r="B85" s="344" t="s">
        <v>1917</v>
      </c>
      <c r="C85" s="1536"/>
      <c r="D85" s="344"/>
      <c r="E85" s="344"/>
      <c r="F85" s="344"/>
      <c r="G85" s="344"/>
      <c r="H85" s="344"/>
      <c r="I85" s="344"/>
    </row>
    <row r="86" spans="1:9" x14ac:dyDescent="0.2">
      <c r="A86" s="344"/>
      <c r="B86" s="344" t="s">
        <v>1918</v>
      </c>
      <c r="C86" s="1536"/>
      <c r="D86" s="344"/>
      <c r="E86" s="344"/>
      <c r="F86" s="344"/>
      <c r="G86" s="344"/>
      <c r="H86" s="344"/>
      <c r="I86" s="344"/>
    </row>
    <row r="87" spans="1:9" x14ac:dyDescent="0.2">
      <c r="A87" s="344" t="s">
        <v>1734</v>
      </c>
      <c r="B87" s="344"/>
      <c r="C87" s="1536"/>
      <c r="D87" s="344"/>
      <c r="E87" s="344"/>
      <c r="F87" s="344"/>
      <c r="G87" s="344"/>
      <c r="H87" s="344"/>
      <c r="I87" s="344"/>
    </row>
    <row r="88" spans="1:9" x14ac:dyDescent="0.2">
      <c r="A88" s="344"/>
      <c r="B88" s="344" t="s">
        <v>1919</v>
      </c>
      <c r="C88" s="1536"/>
      <c r="D88" s="344"/>
      <c r="E88" s="344"/>
      <c r="F88" s="344"/>
      <c r="G88" s="344"/>
      <c r="H88" s="344"/>
      <c r="I88" s="344"/>
    </row>
    <row r="89" spans="1:9" x14ac:dyDescent="0.2">
      <c r="A89" s="344"/>
      <c r="B89" s="344" t="s">
        <v>1920</v>
      </c>
      <c r="C89" s="1536"/>
      <c r="D89" s="344"/>
      <c r="E89" s="344"/>
      <c r="F89" s="344"/>
      <c r="G89" s="344"/>
      <c r="H89" s="344"/>
      <c r="I89" s="344"/>
    </row>
    <row r="90" spans="1:9" x14ac:dyDescent="0.2">
      <c r="A90" s="344"/>
      <c r="B90" s="344" t="s">
        <v>1921</v>
      </c>
      <c r="C90" s="1536"/>
      <c r="D90" s="344"/>
      <c r="E90" s="344"/>
      <c r="F90" s="344"/>
      <c r="G90" s="344"/>
      <c r="H90" s="344"/>
      <c r="I90" s="344"/>
    </row>
    <row r="91" spans="1:9" x14ac:dyDescent="0.2">
      <c r="A91" s="344" t="s">
        <v>1632</v>
      </c>
      <c r="B91" s="344"/>
      <c r="C91" s="1536"/>
      <c r="D91" s="344"/>
      <c r="E91" s="344"/>
      <c r="F91" s="344"/>
      <c r="G91" s="344"/>
      <c r="H91" s="344"/>
      <c r="I91" s="344"/>
    </row>
    <row r="92" spans="1:9" x14ac:dyDescent="0.2">
      <c r="A92" s="344"/>
      <c r="B92" s="344" t="s">
        <v>1633</v>
      </c>
      <c r="C92" s="1536"/>
      <c r="D92" s="344"/>
      <c r="E92" s="344"/>
      <c r="F92" s="344"/>
      <c r="G92" s="344"/>
      <c r="H92" s="344"/>
      <c r="I92" s="344"/>
    </row>
    <row r="93" spans="1:9" x14ac:dyDescent="0.2">
      <c r="A93" s="344"/>
      <c r="B93" s="344" t="s">
        <v>1922</v>
      </c>
      <c r="C93" s="1536"/>
      <c r="D93" s="344"/>
      <c r="E93" s="344"/>
      <c r="F93" s="344"/>
      <c r="G93" s="344"/>
      <c r="H93" s="344"/>
      <c r="I93" s="344"/>
    </row>
    <row r="94" spans="1:9" x14ac:dyDescent="0.2">
      <c r="A94" s="344"/>
      <c r="B94" s="344" t="s">
        <v>1923</v>
      </c>
      <c r="C94" s="1536"/>
      <c r="D94" s="344"/>
      <c r="E94" s="344"/>
      <c r="F94" s="344"/>
      <c r="G94" s="344"/>
      <c r="H94" s="344"/>
      <c r="I94" s="344"/>
    </row>
    <row r="95" spans="1:9" x14ac:dyDescent="0.2">
      <c r="A95" s="344"/>
      <c r="B95" s="344" t="s">
        <v>1924</v>
      </c>
      <c r="C95" s="1536"/>
      <c r="D95" s="344"/>
      <c r="E95" s="344"/>
      <c r="F95" s="344"/>
      <c r="G95" s="344"/>
      <c r="H95" s="344"/>
      <c r="I95" s="344"/>
    </row>
    <row r="96" spans="1:9" x14ac:dyDescent="0.2">
      <c r="A96" s="344" t="s">
        <v>1925</v>
      </c>
      <c r="B96" s="344"/>
      <c r="C96" s="1536"/>
      <c r="D96" s="344"/>
      <c r="E96" s="344"/>
      <c r="F96" s="344"/>
      <c r="G96" s="344"/>
      <c r="H96" s="344"/>
      <c r="I96" s="344"/>
    </row>
    <row r="97" spans="1:9" x14ac:dyDescent="0.2">
      <c r="A97" s="344"/>
      <c r="B97" s="344" t="s">
        <v>1926</v>
      </c>
      <c r="C97" s="1536"/>
      <c r="D97" s="344"/>
      <c r="E97" s="344"/>
      <c r="F97" s="344"/>
      <c r="G97" s="344"/>
      <c r="H97" s="344"/>
      <c r="I97" s="344"/>
    </row>
    <row r="98" spans="1:9" x14ac:dyDescent="0.2">
      <c r="A98" s="344"/>
      <c r="B98" s="344" t="s">
        <v>1927</v>
      </c>
      <c r="C98" s="1536"/>
      <c r="D98" s="344"/>
      <c r="E98" s="344"/>
      <c r="F98" s="344"/>
      <c r="G98" s="344"/>
      <c r="H98" s="344"/>
      <c r="I98" s="344"/>
    </row>
    <row r="99" spans="1:9" x14ac:dyDescent="0.2">
      <c r="A99" s="344" t="s">
        <v>1928</v>
      </c>
      <c r="B99" s="344"/>
      <c r="C99" s="1536"/>
      <c r="D99" s="344"/>
      <c r="E99" s="344"/>
      <c r="F99" s="344"/>
      <c r="G99" s="344"/>
      <c r="H99" s="344"/>
      <c r="I99" s="344"/>
    </row>
    <row r="100" spans="1:9" x14ac:dyDescent="0.2">
      <c r="A100" s="344"/>
      <c r="B100" s="344" t="s">
        <v>1929</v>
      </c>
      <c r="C100" s="1536"/>
      <c r="D100" s="344"/>
      <c r="E100" s="344"/>
      <c r="F100" s="344"/>
      <c r="G100" s="344"/>
      <c r="H100" s="344"/>
      <c r="I100" s="344"/>
    </row>
    <row r="101" spans="1:9" x14ac:dyDescent="0.2">
      <c r="A101" s="344"/>
      <c r="B101" s="344" t="s">
        <v>1930</v>
      </c>
      <c r="C101" s="1536"/>
      <c r="D101" s="344"/>
      <c r="E101" s="344"/>
      <c r="F101" s="344"/>
      <c r="G101" s="344"/>
      <c r="H101" s="344"/>
      <c r="I101" s="344"/>
    </row>
    <row r="102" spans="1:9" x14ac:dyDescent="0.2">
      <c r="A102" s="344"/>
      <c r="B102" s="344" t="s">
        <v>1931</v>
      </c>
      <c r="C102" s="1536"/>
      <c r="D102" s="344"/>
      <c r="E102" s="344"/>
      <c r="F102" s="344"/>
      <c r="G102" s="344"/>
      <c r="H102" s="344"/>
      <c r="I102" s="344"/>
    </row>
    <row r="103" spans="1:9" x14ac:dyDescent="0.2">
      <c r="A103" s="344"/>
      <c r="B103" s="344"/>
      <c r="C103" s="1536"/>
      <c r="D103" s="344"/>
      <c r="E103" s="344"/>
      <c r="F103" s="344"/>
      <c r="G103" s="344"/>
      <c r="H103" s="344"/>
      <c r="I103" s="344"/>
    </row>
    <row r="104" spans="1:9" x14ac:dyDescent="0.2">
      <c r="A104" s="717" t="s">
        <v>1932</v>
      </c>
      <c r="B104" s="467"/>
      <c r="C104" s="467"/>
      <c r="D104" s="467"/>
      <c r="E104" s="467"/>
      <c r="F104" s="467"/>
      <c r="G104" s="467"/>
      <c r="H104" s="467"/>
      <c r="I104" s="467"/>
    </row>
    <row r="105" spans="1:9" x14ac:dyDescent="0.2">
      <c r="A105" s="161"/>
      <c r="B105" s="161" t="s">
        <v>1933</v>
      </c>
      <c r="C105" s="161"/>
      <c r="D105" s="161"/>
      <c r="E105" s="161"/>
      <c r="F105" s="161"/>
      <c r="G105" s="161"/>
      <c r="H105" s="161"/>
      <c r="I105" s="161"/>
    </row>
    <row r="106" spans="1:9" x14ac:dyDescent="0.2">
      <c r="A106" s="161"/>
      <c r="B106" s="161" t="s">
        <v>1934</v>
      </c>
      <c r="C106" s="161"/>
      <c r="D106" s="161"/>
      <c r="E106" s="161"/>
      <c r="F106" s="161"/>
      <c r="G106" s="161"/>
      <c r="H106" s="161"/>
      <c r="I106" s="161"/>
    </row>
    <row r="107" spans="1:9" x14ac:dyDescent="0.2">
      <c r="A107" s="161"/>
      <c r="B107" s="161"/>
      <c r="C107" s="161"/>
      <c r="D107" s="161"/>
      <c r="E107" s="161"/>
      <c r="F107" s="161"/>
      <c r="G107" s="161"/>
      <c r="H107" s="161"/>
      <c r="I107" s="161"/>
    </row>
  </sheetData>
  <sheetProtection algorithmName="SHA-512" hashValue="3Cgg9G8WEmuhojMNR3W8ehrXij9+QChkaka+RDv+1bW4mejWfYq0MH47QI5/7h4UskL+PC05RMKgQhwU6Qsb6Q==" saltValue="IxHFRRwZ1r5mV1h/MrwMbg==" spinCount="100000" sheet="1" objects="1" scenarios="1"/>
  <mergeCells count="53">
    <mergeCell ref="B46:C46"/>
    <mergeCell ref="B47:C47"/>
    <mergeCell ref="B48:C49"/>
    <mergeCell ref="B50:C50"/>
    <mergeCell ref="B51:C51"/>
    <mergeCell ref="J63:J66"/>
    <mergeCell ref="A67:B67"/>
    <mergeCell ref="A83:I83"/>
    <mergeCell ref="A56:A58"/>
    <mergeCell ref="B56:B58"/>
    <mergeCell ref="I56:I58"/>
    <mergeCell ref="A63:A66"/>
    <mergeCell ref="I63:I66"/>
    <mergeCell ref="B63:C66"/>
    <mergeCell ref="A48:A49"/>
    <mergeCell ref="I48:I49"/>
    <mergeCell ref="A53:A54"/>
    <mergeCell ref="B53:B54"/>
    <mergeCell ref="I53:I54"/>
    <mergeCell ref="B52:C52"/>
    <mergeCell ref="A34:A38"/>
    <mergeCell ref="I34:I38"/>
    <mergeCell ref="J34:J38"/>
    <mergeCell ref="A39:A45"/>
    <mergeCell ref="I39:I45"/>
    <mergeCell ref="J39:J45"/>
    <mergeCell ref="B34:C38"/>
    <mergeCell ref="B39:C45"/>
    <mergeCell ref="A27:A30"/>
    <mergeCell ref="I27:I30"/>
    <mergeCell ref="J27:J30"/>
    <mergeCell ref="A31:A33"/>
    <mergeCell ref="I31:I33"/>
    <mergeCell ref="J31:J33"/>
    <mergeCell ref="B27:C30"/>
    <mergeCell ref="B31:C33"/>
    <mergeCell ref="A19:A22"/>
    <mergeCell ref="I19:I22"/>
    <mergeCell ref="J19:J22"/>
    <mergeCell ref="A24:A26"/>
    <mergeCell ref="I24:I26"/>
    <mergeCell ref="J24:J26"/>
    <mergeCell ref="B19:C22"/>
    <mergeCell ref="B23:C23"/>
    <mergeCell ref="B24:C26"/>
    <mergeCell ref="A1:B1"/>
    <mergeCell ref="A2:B2"/>
    <mergeCell ref="A4:J4"/>
    <mergeCell ref="A11:A18"/>
    <mergeCell ref="I11:I18"/>
    <mergeCell ref="B9:C9"/>
    <mergeCell ref="A10:C10"/>
    <mergeCell ref="B11:C18"/>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23.pielikums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9"/>
  <sheetViews>
    <sheetView view="pageLayout" zoomScaleNormal="100" workbookViewId="0">
      <selection activeCell="N9" sqref="N9"/>
    </sheetView>
  </sheetViews>
  <sheetFormatPr defaultRowHeight="12" x14ac:dyDescent="0.2"/>
  <cols>
    <col min="1" max="1" width="6.140625" style="244" customWidth="1"/>
    <col min="2" max="2" width="26.140625" style="244" customWidth="1"/>
    <col min="3" max="3" width="12.570312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19.140625" style="244" customWidth="1"/>
    <col min="10" max="10" width="28.7109375" style="244" hidden="1" customWidth="1"/>
    <col min="11" max="16384" width="9.140625" style="244"/>
  </cols>
  <sheetData>
    <row r="1" spans="1:11" x14ac:dyDescent="0.2">
      <c r="A1" s="1793" t="s">
        <v>117</v>
      </c>
      <c r="B1" s="1793"/>
      <c r="C1" s="1547" t="s">
        <v>118</v>
      </c>
      <c r="D1" s="243"/>
      <c r="E1" s="243"/>
      <c r="F1" s="243"/>
      <c r="G1" s="243"/>
      <c r="H1" s="243"/>
      <c r="I1" s="243"/>
      <c r="J1" s="243"/>
    </row>
    <row r="2" spans="1:11" x14ac:dyDescent="0.2">
      <c r="A2" s="1793" t="s">
        <v>119</v>
      </c>
      <c r="B2" s="1793"/>
      <c r="C2" s="1503">
        <v>90000056357</v>
      </c>
      <c r="D2" s="245"/>
      <c r="E2" s="243"/>
      <c r="F2" s="243"/>
      <c r="G2" s="243"/>
      <c r="H2" s="243"/>
      <c r="I2" s="243"/>
      <c r="J2" s="243"/>
    </row>
    <row r="3" spans="1:11" x14ac:dyDescent="0.2">
      <c r="A3" s="245"/>
      <c r="B3" s="245"/>
      <c r="C3" s="1503"/>
      <c r="D3" s="243"/>
      <c r="E3" s="243"/>
      <c r="F3" s="243"/>
      <c r="G3" s="243"/>
      <c r="H3" s="243"/>
      <c r="I3" s="243"/>
      <c r="J3" s="243"/>
    </row>
    <row r="4" spans="1:11" ht="15.75" x14ac:dyDescent="0.25">
      <c r="A4" s="1794" t="s">
        <v>120</v>
      </c>
      <c r="B4" s="1794"/>
      <c r="C4" s="1794"/>
      <c r="D4" s="1794"/>
      <c r="E4" s="1794"/>
      <c r="F4" s="1794"/>
      <c r="G4" s="1794"/>
      <c r="H4" s="1794"/>
      <c r="I4" s="1794"/>
      <c r="J4" s="1794"/>
    </row>
    <row r="5" spans="1:11" ht="15.75" x14ac:dyDescent="0.25">
      <c r="A5" s="246"/>
      <c r="B5" s="246"/>
      <c r="C5" s="1504"/>
      <c r="D5" s="246"/>
      <c r="E5" s="246"/>
      <c r="F5" s="246"/>
      <c r="G5" s="246"/>
      <c r="H5" s="246"/>
      <c r="I5" s="246"/>
      <c r="J5" s="246"/>
    </row>
    <row r="6" spans="1:11" ht="15.75" x14ac:dyDescent="0.25">
      <c r="A6" s="243" t="s">
        <v>121</v>
      </c>
      <c r="B6" s="243"/>
      <c r="C6" s="1514" t="s">
        <v>1935</v>
      </c>
      <c r="D6" s="247" t="s">
        <v>1935</v>
      </c>
      <c r="E6" s="247"/>
      <c r="F6" s="247"/>
      <c r="G6" s="1503"/>
      <c r="H6" s="1547"/>
      <c r="I6" s="1547"/>
      <c r="J6" s="243"/>
    </row>
    <row r="7" spans="1:11" x14ac:dyDescent="0.2">
      <c r="A7" s="243" t="s">
        <v>123</v>
      </c>
      <c r="B7" s="243"/>
      <c r="C7" s="1503" t="s">
        <v>1936</v>
      </c>
      <c r="D7" s="245"/>
      <c r="E7" s="245"/>
      <c r="F7" s="245"/>
      <c r="G7" s="245"/>
      <c r="H7" s="243"/>
      <c r="I7" s="243"/>
      <c r="J7" s="243"/>
    </row>
    <row r="8" spans="1:11" ht="12.75" x14ac:dyDescent="0.2">
      <c r="A8" s="243" t="s">
        <v>125</v>
      </c>
      <c r="B8" s="243"/>
      <c r="C8" s="271" t="s">
        <v>1833</v>
      </c>
      <c r="D8" s="271"/>
      <c r="E8" s="243"/>
      <c r="F8" s="243"/>
      <c r="G8" s="243"/>
      <c r="H8" s="243"/>
      <c r="I8" s="243"/>
      <c r="J8" s="243"/>
      <c r="K8" s="250"/>
    </row>
    <row r="9" spans="1:11" ht="48" x14ac:dyDescent="0.2">
      <c r="A9" s="251" t="s">
        <v>1</v>
      </c>
      <c r="B9" s="1797" t="s">
        <v>127</v>
      </c>
      <c r="C9" s="1798"/>
      <c r="D9" s="251" t="s">
        <v>14</v>
      </c>
      <c r="E9" s="251" t="s">
        <v>12</v>
      </c>
      <c r="F9" s="251" t="s">
        <v>128</v>
      </c>
      <c r="G9" s="251" t="s">
        <v>129</v>
      </c>
      <c r="H9" s="251" t="s">
        <v>3357</v>
      </c>
      <c r="I9" s="251" t="s">
        <v>11</v>
      </c>
      <c r="J9" s="251" t="s">
        <v>131</v>
      </c>
    </row>
    <row r="10" spans="1:11" ht="12.75" customHeight="1" x14ac:dyDescent="0.2">
      <c r="A10" s="1807" t="s">
        <v>132</v>
      </c>
      <c r="B10" s="1808"/>
      <c r="C10" s="1809"/>
      <c r="D10" s="253">
        <f>SUM(D11:D15)</f>
        <v>152563</v>
      </c>
      <c r="E10" s="253">
        <f>SUM(E11:E15)</f>
        <v>16637</v>
      </c>
      <c r="F10" s="253">
        <f>SUM(F11:F15)</f>
        <v>77588</v>
      </c>
      <c r="G10" s="253"/>
      <c r="H10" s="253">
        <f>SUM(H11:H15)</f>
        <v>187245</v>
      </c>
      <c r="I10" s="253"/>
      <c r="J10" s="254"/>
    </row>
    <row r="11" spans="1:11" ht="29.25" customHeight="1" x14ac:dyDescent="0.2">
      <c r="A11" s="258">
        <v>1</v>
      </c>
      <c r="B11" s="1803" t="s">
        <v>1937</v>
      </c>
      <c r="C11" s="1804"/>
      <c r="D11" s="416">
        <v>83382</v>
      </c>
      <c r="E11" s="416">
        <v>0</v>
      </c>
      <c r="F11" s="416">
        <v>55588</v>
      </c>
      <c r="G11" s="256">
        <v>5110</v>
      </c>
      <c r="H11" s="416">
        <f>55588+83382</f>
        <v>138970</v>
      </c>
      <c r="I11" s="255" t="s">
        <v>1938</v>
      </c>
      <c r="J11" s="279" t="s">
        <v>1939</v>
      </c>
    </row>
    <row r="12" spans="1:11" ht="48" hidden="1" x14ac:dyDescent="0.2">
      <c r="A12" s="1795">
        <v>2</v>
      </c>
      <c r="B12" s="1799" t="s">
        <v>1940</v>
      </c>
      <c r="C12" s="1800"/>
      <c r="D12" s="2045">
        <v>69181</v>
      </c>
      <c r="E12" s="416">
        <v>4324</v>
      </c>
      <c r="F12" s="416"/>
      <c r="G12" s="718">
        <v>5110</v>
      </c>
      <c r="H12" s="416"/>
      <c r="I12" s="255" t="s">
        <v>1938</v>
      </c>
      <c r="J12" s="279" t="s">
        <v>1941</v>
      </c>
    </row>
    <row r="13" spans="1:11" ht="72" hidden="1" x14ac:dyDescent="0.2">
      <c r="A13" s="1863"/>
      <c r="B13" s="1889"/>
      <c r="C13" s="1890"/>
      <c r="D13" s="2046"/>
      <c r="E13" s="416">
        <v>7744</v>
      </c>
      <c r="F13" s="416"/>
      <c r="G13" s="718">
        <v>5110</v>
      </c>
      <c r="H13" s="416"/>
      <c r="I13" s="255" t="s">
        <v>1938</v>
      </c>
      <c r="J13" s="279" t="s">
        <v>1942</v>
      </c>
    </row>
    <row r="14" spans="1:11" ht="24.75" customHeight="1" x14ac:dyDescent="0.2">
      <c r="A14" s="1796"/>
      <c r="B14" s="1801"/>
      <c r="C14" s="1802"/>
      <c r="D14" s="2047"/>
      <c r="E14" s="416">
        <v>4569</v>
      </c>
      <c r="F14" s="416">
        <v>22000</v>
      </c>
      <c r="G14" s="256">
        <v>5110</v>
      </c>
      <c r="H14" s="416">
        <v>48275</v>
      </c>
      <c r="I14" s="255" t="s">
        <v>1938</v>
      </c>
      <c r="J14" s="279" t="s">
        <v>1943</v>
      </c>
    </row>
    <row r="15" spans="1:11" hidden="1" x14ac:dyDescent="0.2">
      <c r="A15" s="254"/>
      <c r="B15" s="421"/>
      <c r="C15" s="421"/>
      <c r="D15" s="541"/>
      <c r="E15" s="541"/>
      <c r="F15" s="541"/>
      <c r="G15" s="541"/>
      <c r="H15" s="541"/>
      <c r="I15" s="541"/>
      <c r="J15" s="254"/>
    </row>
    <row r="16" spans="1:11" x14ac:dyDescent="0.2">
      <c r="A16" s="356"/>
      <c r="B16" s="356"/>
      <c r="C16" s="356"/>
      <c r="D16" s="356"/>
      <c r="E16" s="356"/>
      <c r="F16" s="356"/>
      <c r="G16" s="356"/>
      <c r="H16" s="356"/>
      <c r="I16" s="356"/>
      <c r="J16" s="356"/>
    </row>
    <row r="17" spans="1:10" x14ac:dyDescent="0.2">
      <c r="A17" s="243" t="s">
        <v>123</v>
      </c>
      <c r="B17" s="243"/>
      <c r="C17" s="1547" t="s">
        <v>1944</v>
      </c>
      <c r="D17" s="243"/>
      <c r="E17" s="245"/>
      <c r="F17" s="245"/>
      <c r="G17" s="243"/>
      <c r="H17" s="243"/>
      <c r="I17" s="243"/>
      <c r="J17" s="243"/>
    </row>
    <row r="18" spans="1:10" x14ac:dyDescent="0.2">
      <c r="A18" s="243" t="s">
        <v>125</v>
      </c>
      <c r="B18" s="243"/>
      <c r="C18" s="271" t="s">
        <v>809</v>
      </c>
      <c r="D18" s="271"/>
      <c r="E18" s="243"/>
      <c r="F18" s="243"/>
      <c r="G18" s="243"/>
      <c r="H18" s="243"/>
      <c r="I18" s="243"/>
      <c r="J18" s="243"/>
    </row>
    <row r="19" spans="1:10" ht="48" x14ac:dyDescent="0.2">
      <c r="A19" s="251" t="s">
        <v>1</v>
      </c>
      <c r="B19" s="1797" t="s">
        <v>127</v>
      </c>
      <c r="C19" s="1798"/>
      <c r="D19" s="251" t="s">
        <v>14</v>
      </c>
      <c r="E19" s="251" t="s">
        <v>12</v>
      </c>
      <c r="F19" s="251" t="s">
        <v>128</v>
      </c>
      <c r="G19" s="251" t="s">
        <v>129</v>
      </c>
      <c r="H19" s="251" t="s">
        <v>3357</v>
      </c>
      <c r="I19" s="251" t="s">
        <v>11</v>
      </c>
      <c r="J19" s="251" t="s">
        <v>131</v>
      </c>
    </row>
    <row r="20" spans="1:10" ht="15" customHeight="1" x14ac:dyDescent="0.2">
      <c r="A20" s="1807" t="s">
        <v>132</v>
      </c>
      <c r="B20" s="1808"/>
      <c r="C20" s="1809"/>
      <c r="D20" s="253">
        <f>SUM(D21:D33)</f>
        <v>186882</v>
      </c>
      <c r="E20" s="253">
        <f>SUM(E21:E33)</f>
        <v>184599.69</v>
      </c>
      <c r="F20" s="253">
        <f>SUM(F21:F33)</f>
        <v>217800</v>
      </c>
      <c r="G20" s="253"/>
      <c r="H20" s="253">
        <f>SUM(H21:H33)</f>
        <v>267600</v>
      </c>
      <c r="I20" s="253"/>
      <c r="J20" s="254"/>
    </row>
    <row r="21" spans="1:10" ht="24.75" customHeight="1" x14ac:dyDescent="0.2">
      <c r="A21" s="258">
        <v>1</v>
      </c>
      <c r="B21" s="1803" t="s">
        <v>1945</v>
      </c>
      <c r="C21" s="1804"/>
      <c r="D21" s="272">
        <v>38500</v>
      </c>
      <c r="E21" s="272">
        <v>38500</v>
      </c>
      <c r="F21" s="272">
        <v>38500</v>
      </c>
      <c r="G21" s="259">
        <v>2239</v>
      </c>
      <c r="H21" s="272">
        <v>38500</v>
      </c>
      <c r="I21" s="272" t="s">
        <v>1946</v>
      </c>
      <c r="J21" s="254" t="s">
        <v>1947</v>
      </c>
    </row>
    <row r="22" spans="1:10" ht="24.75" customHeight="1" x14ac:dyDescent="0.2">
      <c r="A22" s="258">
        <v>2</v>
      </c>
      <c r="B22" s="1803" t="s">
        <v>1948</v>
      </c>
      <c r="C22" s="1804"/>
      <c r="D22" s="272">
        <v>10000</v>
      </c>
      <c r="E22" s="272">
        <v>10000</v>
      </c>
      <c r="F22" s="272">
        <v>10000</v>
      </c>
      <c r="G22" s="259">
        <v>2239</v>
      </c>
      <c r="H22" s="272">
        <v>10000</v>
      </c>
      <c r="I22" s="272" t="s">
        <v>1946</v>
      </c>
      <c r="J22" s="254" t="s">
        <v>1949</v>
      </c>
    </row>
    <row r="23" spans="1:10" ht="15.75" customHeight="1" x14ac:dyDescent="0.2">
      <c r="A23" s="1795">
        <v>3</v>
      </c>
      <c r="B23" s="1799" t="s">
        <v>1950</v>
      </c>
      <c r="C23" s="1800"/>
      <c r="D23" s="272">
        <v>4800</v>
      </c>
      <c r="E23" s="272">
        <v>4800</v>
      </c>
      <c r="F23" s="272">
        <v>5000</v>
      </c>
      <c r="G23" s="259">
        <v>2239</v>
      </c>
      <c r="H23" s="272">
        <v>4800</v>
      </c>
      <c r="I23" s="1815" t="s">
        <v>1946</v>
      </c>
      <c r="J23" s="254" t="s">
        <v>1951</v>
      </c>
    </row>
    <row r="24" spans="1:10" ht="15.75" customHeight="1" x14ac:dyDescent="0.2">
      <c r="A24" s="1863"/>
      <c r="B24" s="1889"/>
      <c r="C24" s="1890"/>
      <c r="D24" s="272">
        <v>7000</v>
      </c>
      <c r="E24" s="272">
        <v>7000</v>
      </c>
      <c r="F24" s="272">
        <v>7000</v>
      </c>
      <c r="G24" s="256">
        <v>2312</v>
      </c>
      <c r="H24" s="272">
        <v>7000</v>
      </c>
      <c r="I24" s="1887"/>
      <c r="J24" s="254" t="s">
        <v>1952</v>
      </c>
    </row>
    <row r="25" spans="1:10" ht="15.75" customHeight="1" x14ac:dyDescent="0.2">
      <c r="A25" s="1863"/>
      <c r="B25" s="1889"/>
      <c r="C25" s="1890"/>
      <c r="D25" s="272">
        <v>2000</v>
      </c>
      <c r="E25" s="272">
        <v>2000</v>
      </c>
      <c r="F25" s="272">
        <v>2000</v>
      </c>
      <c r="G25" s="256">
        <v>2390</v>
      </c>
      <c r="H25" s="272">
        <v>2000</v>
      </c>
      <c r="I25" s="1887"/>
      <c r="J25" s="254" t="s">
        <v>1953</v>
      </c>
    </row>
    <row r="26" spans="1:10" ht="60.75" hidden="1" customHeight="1" x14ac:dyDescent="0.2">
      <c r="A26" s="1796"/>
      <c r="B26" s="1801"/>
      <c r="C26" s="1802"/>
      <c r="D26" s="272">
        <v>14000</v>
      </c>
      <c r="E26" s="272">
        <v>14000</v>
      </c>
      <c r="F26" s="272"/>
      <c r="G26" s="256">
        <v>5240</v>
      </c>
      <c r="H26" s="272"/>
      <c r="I26" s="1816"/>
      <c r="J26" s="254" t="s">
        <v>1954</v>
      </c>
    </row>
    <row r="27" spans="1:10" ht="21" customHeight="1" x14ac:dyDescent="0.2">
      <c r="A27" s="1795">
        <v>4</v>
      </c>
      <c r="B27" s="1799" t="s">
        <v>1955</v>
      </c>
      <c r="C27" s="1800"/>
      <c r="D27" s="272">
        <v>1300</v>
      </c>
      <c r="E27" s="272">
        <v>1299.69</v>
      </c>
      <c r="F27" s="272">
        <v>1300</v>
      </c>
      <c r="G27" s="256">
        <v>2231</v>
      </c>
      <c r="H27" s="272">
        <v>1300</v>
      </c>
      <c r="I27" s="1815" t="s">
        <v>1946</v>
      </c>
      <c r="J27" s="254" t="s">
        <v>1956</v>
      </c>
    </row>
    <row r="28" spans="1:10" ht="21" customHeight="1" x14ac:dyDescent="0.2">
      <c r="A28" s="1796"/>
      <c r="B28" s="1801"/>
      <c r="C28" s="1802"/>
      <c r="D28" s="272">
        <v>2282</v>
      </c>
      <c r="E28" s="272">
        <v>0</v>
      </c>
      <c r="F28" s="272">
        <v>2000</v>
      </c>
      <c r="G28" s="256">
        <v>2314</v>
      </c>
      <c r="H28" s="272">
        <v>2000</v>
      </c>
      <c r="I28" s="1816"/>
      <c r="J28" s="254" t="s">
        <v>1957</v>
      </c>
    </row>
    <row r="29" spans="1:10" ht="27" customHeight="1" x14ac:dyDescent="0.2">
      <c r="A29" s="423">
        <v>5</v>
      </c>
      <c r="B29" s="1803" t="s">
        <v>1958</v>
      </c>
      <c r="C29" s="1804"/>
      <c r="D29" s="453">
        <v>46772</v>
      </c>
      <c r="E29" s="453">
        <v>46772</v>
      </c>
      <c r="F29" s="453">
        <v>50000</v>
      </c>
      <c r="G29" s="454">
        <v>5240</v>
      </c>
      <c r="H29" s="272">
        <f>50000+50000</f>
        <v>100000</v>
      </c>
      <c r="I29" s="272" t="s">
        <v>1946</v>
      </c>
      <c r="J29" s="617" t="s">
        <v>1959</v>
      </c>
    </row>
    <row r="30" spans="1:10" ht="48.75" hidden="1" customHeight="1" x14ac:dyDescent="0.2">
      <c r="A30" s="1885">
        <v>6</v>
      </c>
      <c r="B30" s="1799" t="s">
        <v>1960</v>
      </c>
      <c r="C30" s="1800"/>
      <c r="D30" s="453">
        <v>8228</v>
      </c>
      <c r="E30" s="453">
        <v>8228</v>
      </c>
      <c r="F30" s="453"/>
      <c r="G30" s="454">
        <v>5240</v>
      </c>
      <c r="H30" s="272"/>
      <c r="I30" s="1815" t="s">
        <v>1961</v>
      </c>
      <c r="J30" s="617" t="s">
        <v>1962</v>
      </c>
    </row>
    <row r="31" spans="1:10" ht="57.75" customHeight="1" x14ac:dyDescent="0.2">
      <c r="A31" s="1886"/>
      <c r="B31" s="1801"/>
      <c r="C31" s="1802"/>
      <c r="D31" s="719"/>
      <c r="E31" s="453"/>
      <c r="F31" s="453">
        <v>50000</v>
      </c>
      <c r="G31" s="454">
        <v>5240</v>
      </c>
      <c r="H31" s="272">
        <v>50000</v>
      </c>
      <c r="I31" s="1816"/>
      <c r="J31" s="617" t="s">
        <v>1963</v>
      </c>
    </row>
    <row r="32" spans="1:10" ht="19.5" customHeight="1" x14ac:dyDescent="0.2">
      <c r="A32" s="1795">
        <v>7</v>
      </c>
      <c r="B32" s="1799" t="s">
        <v>1964</v>
      </c>
      <c r="C32" s="1800"/>
      <c r="D32" s="272">
        <v>12000</v>
      </c>
      <c r="E32" s="272">
        <v>12000</v>
      </c>
      <c r="F32" s="272">
        <v>12000</v>
      </c>
      <c r="G32" s="256">
        <v>2243</v>
      </c>
      <c r="H32" s="272">
        <v>12000</v>
      </c>
      <c r="I32" s="2012" t="s">
        <v>1965</v>
      </c>
      <c r="J32" s="273" t="s">
        <v>1966</v>
      </c>
    </row>
    <row r="33" spans="1:10" ht="19.5" customHeight="1" x14ac:dyDescent="0.2">
      <c r="A33" s="1796"/>
      <c r="B33" s="1801"/>
      <c r="C33" s="1802"/>
      <c r="D33" s="272">
        <v>40000</v>
      </c>
      <c r="E33" s="272">
        <v>40000</v>
      </c>
      <c r="F33" s="272">
        <v>40000</v>
      </c>
      <c r="G33" s="256">
        <v>5240</v>
      </c>
      <c r="H33" s="272">
        <v>40000</v>
      </c>
      <c r="I33" s="2012"/>
      <c r="J33" s="254" t="s">
        <v>1967</v>
      </c>
    </row>
    <row r="34" spans="1:10" x14ac:dyDescent="0.2">
      <c r="A34" s="356"/>
      <c r="B34" s="356"/>
      <c r="C34" s="356"/>
      <c r="D34" s="356"/>
      <c r="E34" s="356"/>
      <c r="F34" s="356"/>
      <c r="G34" s="356"/>
      <c r="H34" s="357"/>
      <c r="I34" s="357"/>
      <c r="J34" s="356"/>
    </row>
    <row r="35" spans="1:10" x14ac:dyDescent="0.2">
      <c r="A35" s="243" t="s">
        <v>123</v>
      </c>
      <c r="B35" s="243"/>
      <c r="C35" s="1547" t="s">
        <v>1968</v>
      </c>
      <c r="D35" s="243"/>
      <c r="E35" s="245"/>
      <c r="F35" s="245"/>
      <c r="G35" s="243"/>
      <c r="H35" s="243"/>
      <c r="I35" s="243"/>
      <c r="J35" s="243"/>
    </row>
    <row r="36" spans="1:10" x14ac:dyDescent="0.2">
      <c r="A36" s="243" t="s">
        <v>125</v>
      </c>
      <c r="B36" s="243"/>
      <c r="C36" s="271" t="s">
        <v>1969</v>
      </c>
      <c r="D36" s="271"/>
      <c r="E36" s="243"/>
      <c r="F36" s="243"/>
      <c r="G36" s="243"/>
      <c r="H36" s="243"/>
      <c r="I36" s="243"/>
      <c r="J36" s="243"/>
    </row>
    <row r="37" spans="1:10" ht="48" x14ac:dyDescent="0.2">
      <c r="A37" s="251" t="s">
        <v>1</v>
      </c>
      <c r="B37" s="1797" t="s">
        <v>127</v>
      </c>
      <c r="C37" s="1798"/>
      <c r="D37" s="251" t="s">
        <v>14</v>
      </c>
      <c r="E37" s="251" t="s">
        <v>12</v>
      </c>
      <c r="F37" s="251" t="s">
        <v>128</v>
      </c>
      <c r="G37" s="251" t="s">
        <v>129</v>
      </c>
      <c r="H37" s="251" t="s">
        <v>3357</v>
      </c>
      <c r="I37" s="251" t="s">
        <v>11</v>
      </c>
      <c r="J37" s="251" t="s">
        <v>131</v>
      </c>
    </row>
    <row r="38" spans="1:10" ht="15" customHeight="1" x14ac:dyDescent="0.2">
      <c r="A38" s="1807" t="s">
        <v>132</v>
      </c>
      <c r="B38" s="1808"/>
      <c r="C38" s="1809"/>
      <c r="D38" s="253">
        <f>SUM(D39:D42)</f>
        <v>64000</v>
      </c>
      <c r="E38" s="253">
        <f>SUM(E39:E42)</f>
        <v>63165.88</v>
      </c>
      <c r="F38" s="253">
        <f>SUM(F39:F42)</f>
        <v>130000</v>
      </c>
      <c r="G38" s="253"/>
      <c r="H38" s="253">
        <f>SUM(H39:H42)</f>
        <v>130000</v>
      </c>
      <c r="I38" s="253"/>
      <c r="J38" s="254"/>
    </row>
    <row r="39" spans="1:10" ht="42.75" customHeight="1" x14ac:dyDescent="0.2">
      <c r="A39" s="258">
        <v>1</v>
      </c>
      <c r="B39" s="1803" t="s">
        <v>1970</v>
      </c>
      <c r="C39" s="1804"/>
      <c r="D39" s="272">
        <v>40000</v>
      </c>
      <c r="E39" s="272">
        <v>39994.379999999997</v>
      </c>
      <c r="F39" s="272">
        <v>80000</v>
      </c>
      <c r="G39" s="256">
        <v>3263</v>
      </c>
      <c r="H39" s="272">
        <v>80000</v>
      </c>
      <c r="I39" s="272" t="s">
        <v>1971</v>
      </c>
      <c r="J39" s="279" t="s">
        <v>1972</v>
      </c>
    </row>
    <row r="40" spans="1:10" ht="51.75" customHeight="1" x14ac:dyDescent="0.2">
      <c r="A40" s="276">
        <v>2</v>
      </c>
      <c r="B40" s="1803" t="s">
        <v>1973</v>
      </c>
      <c r="C40" s="1804"/>
      <c r="D40" s="272">
        <v>16000</v>
      </c>
      <c r="E40" s="272">
        <v>15246</v>
      </c>
      <c r="F40" s="272">
        <v>32000</v>
      </c>
      <c r="G40" s="256">
        <v>5140</v>
      </c>
      <c r="H40" s="272">
        <v>32000</v>
      </c>
      <c r="I40" s="720" t="s">
        <v>1974</v>
      </c>
      <c r="J40" s="277" t="s">
        <v>1975</v>
      </c>
    </row>
    <row r="41" spans="1:10" ht="51.75" customHeight="1" x14ac:dyDescent="0.2">
      <c r="A41" s="258">
        <v>3</v>
      </c>
      <c r="B41" s="1803" t="s">
        <v>1976</v>
      </c>
      <c r="C41" s="1804"/>
      <c r="D41" s="272">
        <v>8000</v>
      </c>
      <c r="E41" s="272">
        <v>7925.5</v>
      </c>
      <c r="F41" s="272">
        <v>18000</v>
      </c>
      <c r="G41" s="256">
        <v>2314</v>
      </c>
      <c r="H41" s="272">
        <v>18000</v>
      </c>
      <c r="I41" s="1681" t="s">
        <v>1974</v>
      </c>
      <c r="J41" s="279" t="s">
        <v>1975</v>
      </c>
    </row>
    <row r="42" spans="1:10" hidden="1" x14ac:dyDescent="0.2">
      <c r="A42" s="254"/>
      <c r="B42" s="421"/>
      <c r="C42" s="421"/>
      <c r="D42" s="541"/>
      <c r="E42" s="541"/>
      <c r="F42" s="541"/>
      <c r="G42" s="541"/>
      <c r="H42" s="541"/>
      <c r="I42" s="541"/>
      <c r="J42" s="254"/>
    </row>
    <row r="43" spans="1:10" hidden="1" x14ac:dyDescent="0.2">
      <c r="D43" s="358"/>
      <c r="E43" s="358"/>
      <c r="F43" s="358"/>
      <c r="H43" s="358"/>
      <c r="I43" s="358"/>
    </row>
    <row r="44" spans="1:10" hidden="1" x14ac:dyDescent="0.2">
      <c r="A44" s="1810" t="s">
        <v>239</v>
      </c>
      <c r="B44" s="1811"/>
      <c r="C44" s="1502"/>
      <c r="D44" s="280">
        <f>SUM(D10,D20,D38)</f>
        <v>403445</v>
      </c>
      <c r="E44" s="280">
        <f>SUM(E10,E20,E38)</f>
        <v>264402.57</v>
      </c>
      <c r="F44" s="280">
        <f>SUM(F10,F20,F38)</f>
        <v>425388</v>
      </c>
      <c r="G44" s="281"/>
      <c r="H44" s="280">
        <f>SUM(H10,H20,H38)</f>
        <v>584845</v>
      </c>
      <c r="I44" s="280"/>
      <c r="J44" s="265"/>
    </row>
    <row r="45" spans="1:10" x14ac:dyDescent="0.2">
      <c r="A45" s="432"/>
      <c r="B45" s="432"/>
      <c r="C45" s="432"/>
      <c r="D45" s="436"/>
      <c r="E45" s="436"/>
      <c r="F45" s="436"/>
      <c r="G45" s="622"/>
      <c r="H45" s="436"/>
      <c r="I45" s="436"/>
      <c r="J45" s="367"/>
    </row>
    <row r="46" spans="1:10" x14ac:dyDescent="0.2">
      <c r="A46" s="244" t="s">
        <v>400</v>
      </c>
    </row>
    <row r="47" spans="1:10" x14ac:dyDescent="0.2">
      <c r="A47" s="244" t="s">
        <v>401</v>
      </c>
    </row>
    <row r="48" spans="1:10" x14ac:dyDescent="0.2">
      <c r="A48" s="467" t="s">
        <v>1977</v>
      </c>
      <c r="B48" s="467"/>
      <c r="C48" s="467"/>
      <c r="D48" s="721"/>
      <c r="E48" s="467"/>
      <c r="F48" s="467"/>
      <c r="G48" s="467"/>
      <c r="H48" s="467"/>
    </row>
    <row r="49" spans="1:11" x14ac:dyDescent="0.2">
      <c r="A49" s="467"/>
      <c r="B49" s="467" t="s">
        <v>1978</v>
      </c>
      <c r="C49" s="467"/>
      <c r="D49" s="721"/>
      <c r="E49" s="467"/>
      <c r="F49" s="467"/>
      <c r="G49" s="467"/>
      <c r="H49" s="467"/>
    </row>
    <row r="50" spans="1:11" x14ac:dyDescent="0.2">
      <c r="A50" s="467"/>
      <c r="B50" s="467" t="s">
        <v>1979</v>
      </c>
      <c r="C50" s="467"/>
      <c r="E50" s="467"/>
      <c r="F50" s="467"/>
      <c r="G50" s="467"/>
      <c r="H50" s="467"/>
    </row>
    <row r="51" spans="1:11" x14ac:dyDescent="0.2">
      <c r="A51" s="467"/>
      <c r="B51" s="467" t="s">
        <v>1980</v>
      </c>
      <c r="C51" s="467"/>
      <c r="E51" s="467"/>
      <c r="F51" s="467"/>
      <c r="G51" s="467"/>
      <c r="H51" s="467"/>
      <c r="K51" s="268"/>
    </row>
    <row r="52" spans="1:11" x14ac:dyDescent="0.2">
      <c r="A52" s="467"/>
      <c r="B52" s="467" t="s">
        <v>1981</v>
      </c>
      <c r="C52" s="467"/>
      <c r="D52" s="467"/>
      <c r="E52" s="467"/>
      <c r="F52" s="467"/>
      <c r="G52" s="467"/>
      <c r="H52" s="467"/>
      <c r="K52" s="268"/>
    </row>
    <row r="53" spans="1:11" x14ac:dyDescent="0.2">
      <c r="A53" s="467"/>
      <c r="B53" s="467" t="s">
        <v>1982</v>
      </c>
      <c r="C53" s="467"/>
      <c r="E53" s="467"/>
      <c r="F53" s="467"/>
      <c r="G53" s="467"/>
      <c r="H53" s="467"/>
      <c r="K53" s="268"/>
    </row>
    <row r="54" spans="1:11" x14ac:dyDescent="0.2">
      <c r="A54" s="467"/>
      <c r="B54" s="467" t="s">
        <v>1983</v>
      </c>
      <c r="C54" s="467"/>
      <c r="D54" s="467"/>
      <c r="E54" s="467"/>
      <c r="F54" s="467"/>
      <c r="G54" s="467"/>
      <c r="H54" s="467"/>
      <c r="I54" s="268"/>
      <c r="J54" s="268"/>
    </row>
    <row r="55" spans="1:11" x14ac:dyDescent="0.2">
      <c r="A55" s="467"/>
      <c r="B55" s="467" t="s">
        <v>1984</v>
      </c>
      <c r="C55" s="467"/>
      <c r="E55" s="467"/>
      <c r="F55" s="467"/>
      <c r="G55" s="467"/>
      <c r="H55" s="467"/>
    </row>
    <row r="56" spans="1:11" x14ac:dyDescent="0.2">
      <c r="A56" s="467"/>
      <c r="B56" s="467" t="s">
        <v>1771</v>
      </c>
      <c r="C56" s="467"/>
      <c r="D56" s="467"/>
      <c r="E56" s="467"/>
      <c r="F56" s="467"/>
      <c r="G56" s="467"/>
      <c r="H56" s="467"/>
    </row>
    <row r="57" spans="1:11" x14ac:dyDescent="0.2">
      <c r="A57" s="467"/>
      <c r="B57" s="467" t="s">
        <v>1985</v>
      </c>
      <c r="C57" s="467"/>
      <c r="E57" s="467"/>
      <c r="F57" s="467"/>
      <c r="G57" s="467"/>
      <c r="H57" s="467"/>
    </row>
    <row r="58" spans="1:11" x14ac:dyDescent="0.2">
      <c r="A58" s="467"/>
      <c r="B58" s="467" t="s">
        <v>1986</v>
      </c>
      <c r="C58" s="467"/>
      <c r="D58" s="467"/>
      <c r="E58" s="467"/>
      <c r="F58" s="467"/>
      <c r="G58" s="467"/>
      <c r="H58" s="467"/>
    </row>
    <row r="59" spans="1:11" x14ac:dyDescent="0.2">
      <c r="A59" s="467"/>
      <c r="B59" s="467" t="s">
        <v>1987</v>
      </c>
      <c r="C59" s="467"/>
      <c r="E59" s="467"/>
      <c r="F59" s="467"/>
      <c r="G59" s="467"/>
      <c r="H59" s="467"/>
    </row>
    <row r="60" spans="1:11" x14ac:dyDescent="0.2">
      <c r="A60" s="244" t="s">
        <v>1988</v>
      </c>
    </row>
    <row r="61" spans="1:11" x14ac:dyDescent="0.2">
      <c r="B61" s="1883" t="s">
        <v>1989</v>
      </c>
      <c r="C61" s="1883"/>
      <c r="D61" s="1883"/>
      <c r="E61" s="1883"/>
      <c r="F61" s="1883"/>
      <c r="G61" s="1883"/>
      <c r="H61" s="1883"/>
    </row>
    <row r="62" spans="1:11" ht="15" x14ac:dyDescent="0.25">
      <c r="A62" s="722"/>
      <c r="B62" s="723" t="s">
        <v>1990</v>
      </c>
      <c r="C62" s="1546"/>
      <c r="D62" s="724"/>
      <c r="E62" s="725"/>
      <c r="F62" s="725"/>
      <c r="G62" s="725"/>
      <c r="H62" s="725"/>
    </row>
    <row r="63" spans="1:11" x14ac:dyDescent="0.2">
      <c r="B63" s="1883" t="s">
        <v>1991</v>
      </c>
      <c r="C63" s="1883"/>
      <c r="D63" s="1883"/>
      <c r="E63" s="1883"/>
      <c r="F63" s="1883"/>
      <c r="G63" s="1883"/>
      <c r="H63" s="1883"/>
    </row>
    <row r="64" spans="1:11" ht="12.75" x14ac:dyDescent="0.2">
      <c r="A64" s="389" t="s">
        <v>1992</v>
      </c>
      <c r="B64" s="726"/>
      <c r="C64" s="726"/>
      <c r="D64" s="726"/>
      <c r="E64" s="726"/>
      <c r="F64" s="727"/>
      <c r="G64" s="727"/>
      <c r="H64" s="727"/>
    </row>
    <row r="65" spans="1:8" x14ac:dyDescent="0.2">
      <c r="A65" s="722"/>
      <c r="B65" s="728" t="s">
        <v>1993</v>
      </c>
      <c r="C65" s="728"/>
      <c r="D65" s="243"/>
      <c r="E65" s="243"/>
      <c r="F65" s="727"/>
      <c r="G65" s="727"/>
      <c r="H65" s="727"/>
    </row>
    <row r="66" spans="1:8" x14ac:dyDescent="0.2">
      <c r="A66" s="722"/>
      <c r="B66" s="723" t="s">
        <v>1994</v>
      </c>
      <c r="C66" s="1546"/>
      <c r="D66" s="532"/>
      <c r="E66" s="725"/>
      <c r="F66" s="725"/>
      <c r="G66" s="725"/>
      <c r="H66" s="725"/>
    </row>
    <row r="67" spans="1:8" x14ac:dyDescent="0.2">
      <c r="A67" s="722"/>
      <c r="B67" s="728" t="s">
        <v>1995</v>
      </c>
      <c r="C67" s="728"/>
      <c r="D67" s="532"/>
      <c r="E67" s="725"/>
      <c r="F67" s="725"/>
      <c r="G67" s="725"/>
      <c r="H67" s="725"/>
    </row>
    <row r="68" spans="1:8" x14ac:dyDescent="0.2">
      <c r="A68" s="722"/>
      <c r="B68" s="2050" t="s">
        <v>1996</v>
      </c>
      <c r="C68" s="2050"/>
      <c r="D68" s="2051"/>
      <c r="E68" s="2051"/>
      <c r="F68" s="2051"/>
      <c r="G68" s="725"/>
      <c r="H68" s="725"/>
    </row>
    <row r="69" spans="1:8" x14ac:dyDescent="0.2">
      <c r="A69" s="722"/>
      <c r="B69" s="728" t="s">
        <v>1997</v>
      </c>
      <c r="C69" s="728"/>
      <c r="D69" s="243"/>
      <c r="E69" s="243"/>
      <c r="F69" s="243"/>
      <c r="G69" s="725"/>
      <c r="H69" s="725"/>
    </row>
    <row r="70" spans="1:8" x14ac:dyDescent="0.2">
      <c r="A70" s="722"/>
      <c r="B70" s="2050" t="s">
        <v>1998</v>
      </c>
      <c r="C70" s="2050"/>
      <c r="D70" s="2051"/>
      <c r="E70" s="2051"/>
      <c r="F70" s="2051"/>
      <c r="G70" s="725"/>
      <c r="H70" s="725"/>
    </row>
    <row r="71" spans="1:8" x14ac:dyDescent="0.2">
      <c r="A71" s="722"/>
      <c r="B71" s="723"/>
      <c r="C71" s="1546"/>
      <c r="D71" s="243"/>
      <c r="E71" s="243"/>
      <c r="F71" s="243"/>
      <c r="G71" s="725"/>
      <c r="H71" s="725"/>
    </row>
    <row r="72" spans="1:8" x14ac:dyDescent="0.2">
      <c r="A72" s="722"/>
      <c r="B72" s="723"/>
      <c r="C72" s="1546"/>
      <c r="D72" s="243"/>
      <c r="E72" s="243"/>
      <c r="F72" s="243"/>
      <c r="G72" s="725"/>
      <c r="H72" s="725"/>
    </row>
    <row r="73" spans="1:8" x14ac:dyDescent="0.2">
      <c r="D73" s="367"/>
      <c r="E73" s="367"/>
    </row>
    <row r="74" spans="1:8" x14ac:dyDescent="0.2">
      <c r="D74" s="2049"/>
      <c r="E74" s="2049"/>
      <c r="F74" s="2048"/>
      <c r="G74" s="2048"/>
      <c r="H74" s="243"/>
    </row>
    <row r="75" spans="1:8" x14ac:dyDescent="0.2">
      <c r="D75" s="367"/>
      <c r="E75" s="367"/>
    </row>
    <row r="76" spans="1:8" x14ac:dyDescent="0.2">
      <c r="D76" s="367"/>
      <c r="E76" s="367"/>
    </row>
    <row r="77" spans="1:8" x14ac:dyDescent="0.2">
      <c r="D77" s="2049"/>
      <c r="E77" s="2049"/>
      <c r="F77" s="2048"/>
      <c r="G77" s="2048"/>
      <c r="H77" s="243"/>
    </row>
    <row r="78" spans="1:8" x14ac:dyDescent="0.2">
      <c r="D78" s="367"/>
      <c r="E78" s="367"/>
    </row>
    <row r="79" spans="1:8" x14ac:dyDescent="0.2">
      <c r="D79" s="367"/>
      <c r="E79" s="367"/>
    </row>
  </sheetData>
  <sheetProtection algorithmName="SHA-512" hashValue="9pmY+7fSOPLZR2M1DvVX86kZ++rv/Wx4oX4WY/I7l/06dlpw7Tdhuu4RrtxM5TEiiT7AaoybTUEeuIJr4+NTHg==" saltValue="vReGHvNfa4g27eHfD3YRpA==" spinCount="100000" sheet="1" objects="1" scenarios="1"/>
  <mergeCells count="40">
    <mergeCell ref="B19:C19"/>
    <mergeCell ref="A20:C20"/>
    <mergeCell ref="B29:C29"/>
    <mergeCell ref="B30:C31"/>
    <mergeCell ref="B32:C33"/>
    <mergeCell ref="A30:A31"/>
    <mergeCell ref="B21:C21"/>
    <mergeCell ref="B22:C22"/>
    <mergeCell ref="B39:C39"/>
    <mergeCell ref="B40:C40"/>
    <mergeCell ref="B37:C37"/>
    <mergeCell ref="A38:C38"/>
    <mergeCell ref="D74:E74"/>
    <mergeCell ref="B41:C41"/>
    <mergeCell ref="F74:G74"/>
    <mergeCell ref="D77:E77"/>
    <mergeCell ref="F77:G77"/>
    <mergeCell ref="A44:B44"/>
    <mergeCell ref="B61:H61"/>
    <mergeCell ref="B63:H63"/>
    <mergeCell ref="B68:F68"/>
    <mergeCell ref="B70:F70"/>
    <mergeCell ref="I30:I31"/>
    <mergeCell ref="A32:A33"/>
    <mergeCell ref="I32:I33"/>
    <mergeCell ref="A23:A26"/>
    <mergeCell ref="I23:I26"/>
    <mergeCell ref="A27:A28"/>
    <mergeCell ref="I27:I28"/>
    <mergeCell ref="B23:C26"/>
    <mergeCell ref="B27:C28"/>
    <mergeCell ref="A12:A14"/>
    <mergeCell ref="D12:D14"/>
    <mergeCell ref="A1:B1"/>
    <mergeCell ref="A2:B2"/>
    <mergeCell ref="A4:J4"/>
    <mergeCell ref="B9:C9"/>
    <mergeCell ref="A10:C10"/>
    <mergeCell ref="B11:C11"/>
    <mergeCell ref="B12:C14"/>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24.pielikums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60"/>
  <sheetViews>
    <sheetView view="pageLayout" zoomScaleNormal="100" workbookViewId="0">
      <selection activeCell="K12" sqref="K12"/>
    </sheetView>
  </sheetViews>
  <sheetFormatPr defaultRowHeight="12" x14ac:dyDescent="0.2"/>
  <cols>
    <col min="1" max="1" width="6.140625" style="244" customWidth="1"/>
    <col min="2" max="2" width="26.85546875" style="244" customWidth="1"/>
    <col min="3" max="3" width="10.2851562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21.7109375" style="263" customWidth="1"/>
    <col min="10" max="10" width="28.7109375" style="244" hidden="1" customWidth="1"/>
    <col min="11" max="16384" width="9.140625" style="244"/>
  </cols>
  <sheetData>
    <row r="1" spans="1:11" x14ac:dyDescent="0.2">
      <c r="A1" s="1793" t="s">
        <v>117</v>
      </c>
      <c r="B1" s="1793"/>
      <c r="C1" s="1547" t="s">
        <v>118</v>
      </c>
      <c r="D1" s="243"/>
      <c r="E1" s="243"/>
      <c r="F1" s="243"/>
      <c r="G1" s="243"/>
      <c r="H1" s="243"/>
      <c r="J1" s="243"/>
    </row>
    <row r="2" spans="1:11" x14ac:dyDescent="0.2">
      <c r="A2" s="1793" t="s">
        <v>119</v>
      </c>
      <c r="B2" s="1793"/>
      <c r="C2" s="1503">
        <v>90000056357</v>
      </c>
      <c r="D2" s="245"/>
      <c r="E2" s="243"/>
      <c r="F2" s="243"/>
      <c r="G2" s="243"/>
      <c r="H2" s="243"/>
      <c r="J2" s="243"/>
    </row>
    <row r="3" spans="1:11" x14ac:dyDescent="0.2">
      <c r="A3" s="245"/>
      <c r="B3" s="245"/>
      <c r="C3" s="1503"/>
      <c r="D3" s="243"/>
      <c r="E3" s="243"/>
      <c r="F3" s="243"/>
      <c r="G3" s="243"/>
      <c r="H3" s="243"/>
      <c r="J3" s="243"/>
    </row>
    <row r="4" spans="1:11" ht="15.75" x14ac:dyDescent="0.25">
      <c r="A4" s="1794" t="s">
        <v>120</v>
      </c>
      <c r="B4" s="1794"/>
      <c r="C4" s="1794"/>
      <c r="D4" s="1794"/>
      <c r="E4" s="1794"/>
      <c r="F4" s="1794"/>
      <c r="G4" s="1794"/>
      <c r="H4" s="1794"/>
      <c r="I4" s="1794"/>
      <c r="J4" s="1794"/>
    </row>
    <row r="5" spans="1:11" ht="15.75" x14ac:dyDescent="0.25">
      <c r="A5" s="246"/>
      <c r="B5" s="246"/>
      <c r="C5" s="1504"/>
      <c r="D5" s="246"/>
      <c r="E5" s="246"/>
      <c r="F5" s="246"/>
      <c r="G5" s="246"/>
      <c r="H5" s="246"/>
      <c r="I5" s="1539"/>
      <c r="J5" s="246"/>
    </row>
    <row r="6" spans="1:11" ht="15.75" x14ac:dyDescent="0.25">
      <c r="A6" s="243" t="s">
        <v>1822</v>
      </c>
      <c r="B6" s="243"/>
      <c r="C6" s="247" t="s">
        <v>1999</v>
      </c>
      <c r="D6" s="247"/>
      <c r="E6" s="243"/>
      <c r="F6" s="243"/>
      <c r="G6" s="243"/>
      <c r="H6" s="243"/>
      <c r="J6" s="243"/>
    </row>
    <row r="7" spans="1:11" x14ac:dyDescent="0.2">
      <c r="A7" s="243" t="s">
        <v>2000</v>
      </c>
      <c r="B7" s="243"/>
      <c r="C7" s="1547" t="s">
        <v>1517</v>
      </c>
      <c r="D7" s="243"/>
      <c r="E7" s="243"/>
      <c r="F7" s="243"/>
      <c r="G7" s="243"/>
      <c r="H7" s="243"/>
      <c r="J7" s="243"/>
    </row>
    <row r="8" spans="1:11" ht="12.75" x14ac:dyDescent="0.2">
      <c r="A8" s="243" t="s">
        <v>125</v>
      </c>
      <c r="B8" s="243"/>
      <c r="C8" s="271" t="s">
        <v>872</v>
      </c>
      <c r="D8" s="271"/>
      <c r="E8" s="243"/>
      <c r="F8" s="243"/>
      <c r="G8" s="243"/>
      <c r="H8" s="243"/>
      <c r="J8" s="243"/>
      <c r="K8" s="250"/>
    </row>
    <row r="9" spans="1:11" ht="48" x14ac:dyDescent="0.2">
      <c r="A9" s="251" t="s">
        <v>1</v>
      </c>
      <c r="B9" s="1797" t="s">
        <v>127</v>
      </c>
      <c r="C9" s="1798"/>
      <c r="D9" s="251" t="s">
        <v>14</v>
      </c>
      <c r="E9" s="251" t="s">
        <v>12</v>
      </c>
      <c r="F9" s="251" t="s">
        <v>128</v>
      </c>
      <c r="G9" s="251" t="s">
        <v>129</v>
      </c>
      <c r="H9" s="251" t="s">
        <v>3357</v>
      </c>
      <c r="I9" s="1533" t="s">
        <v>11</v>
      </c>
      <c r="J9" s="251" t="s">
        <v>131</v>
      </c>
    </row>
    <row r="10" spans="1:11" ht="12.75" customHeight="1" x14ac:dyDescent="0.2">
      <c r="A10" s="1807" t="s">
        <v>132</v>
      </c>
      <c r="B10" s="1808"/>
      <c r="C10" s="1809"/>
      <c r="D10" s="253">
        <f>SUM(D11:D44)</f>
        <v>692991</v>
      </c>
      <c r="E10" s="253">
        <f>SUM(E11:E44)</f>
        <v>639518.37</v>
      </c>
      <c r="F10" s="253">
        <f>SUM(F11:F44)</f>
        <v>724783.10000000009</v>
      </c>
      <c r="G10" s="253"/>
      <c r="H10" s="253">
        <f>SUM(H11:H44)</f>
        <v>724783</v>
      </c>
      <c r="I10" s="450"/>
      <c r="J10" s="254"/>
    </row>
    <row r="11" spans="1:11" ht="17.25" customHeight="1" x14ac:dyDescent="0.2">
      <c r="A11" s="258">
        <v>1</v>
      </c>
      <c r="B11" s="1803" t="s">
        <v>2001</v>
      </c>
      <c r="C11" s="1804"/>
      <c r="D11" s="272">
        <v>4840</v>
      </c>
      <c r="E11" s="272">
        <v>4840</v>
      </c>
      <c r="F11" s="272">
        <v>4840</v>
      </c>
      <c r="G11" s="327">
        <v>2231</v>
      </c>
      <c r="H11" s="272">
        <v>4840</v>
      </c>
      <c r="I11" s="1815" t="s">
        <v>2002</v>
      </c>
      <c r="J11" s="254"/>
    </row>
    <row r="12" spans="1:11" ht="15" customHeight="1" x14ac:dyDescent="0.2">
      <c r="A12" s="258">
        <v>2</v>
      </c>
      <c r="B12" s="1803" t="s">
        <v>2003</v>
      </c>
      <c r="C12" s="1804"/>
      <c r="D12" s="272">
        <v>5400</v>
      </c>
      <c r="E12" s="272">
        <v>5377</v>
      </c>
      <c r="F12" s="272">
        <v>5400</v>
      </c>
      <c r="G12" s="327">
        <v>2231</v>
      </c>
      <c r="H12" s="272">
        <v>5400</v>
      </c>
      <c r="I12" s="1887"/>
      <c r="J12" s="254"/>
    </row>
    <row r="13" spans="1:11" ht="15" customHeight="1" x14ac:dyDescent="0.2">
      <c r="A13" s="258">
        <v>3</v>
      </c>
      <c r="B13" s="1803" t="s">
        <v>2004</v>
      </c>
      <c r="C13" s="1804"/>
      <c r="D13" s="272">
        <v>3400</v>
      </c>
      <c r="E13" s="272">
        <v>3399</v>
      </c>
      <c r="F13" s="272">
        <v>3400</v>
      </c>
      <c r="G13" s="327">
        <v>2231</v>
      </c>
      <c r="H13" s="272">
        <v>3400</v>
      </c>
      <c r="I13" s="1887"/>
      <c r="J13" s="254"/>
    </row>
    <row r="14" spans="1:11" ht="15" customHeight="1" x14ac:dyDescent="0.2">
      <c r="A14" s="258">
        <v>4</v>
      </c>
      <c r="B14" s="1803" t="s">
        <v>2005</v>
      </c>
      <c r="C14" s="1804"/>
      <c r="D14" s="272">
        <v>3000</v>
      </c>
      <c r="E14" s="272">
        <v>0</v>
      </c>
      <c r="F14" s="272">
        <v>3000</v>
      </c>
      <c r="G14" s="327">
        <v>2231</v>
      </c>
      <c r="H14" s="272">
        <v>3000</v>
      </c>
      <c r="I14" s="1887"/>
      <c r="J14" s="254"/>
    </row>
    <row r="15" spans="1:11" ht="15" customHeight="1" x14ac:dyDescent="0.2">
      <c r="A15" s="258">
        <v>5</v>
      </c>
      <c r="B15" s="1803" t="s">
        <v>2006</v>
      </c>
      <c r="C15" s="1804"/>
      <c r="D15" s="272">
        <v>36300</v>
      </c>
      <c r="E15" s="272">
        <v>36300</v>
      </c>
      <c r="F15" s="272">
        <v>36300</v>
      </c>
      <c r="G15" s="327">
        <v>2231</v>
      </c>
      <c r="H15" s="272">
        <v>36300</v>
      </c>
      <c r="I15" s="1887"/>
      <c r="J15" s="254"/>
    </row>
    <row r="16" spans="1:11" ht="15" customHeight="1" x14ac:dyDescent="0.2">
      <c r="A16" s="258">
        <v>6</v>
      </c>
      <c r="B16" s="1803" t="s">
        <v>2007</v>
      </c>
      <c r="C16" s="1804"/>
      <c r="D16" s="272">
        <v>200000</v>
      </c>
      <c r="E16" s="272">
        <v>200000</v>
      </c>
      <c r="F16" s="272">
        <v>200000</v>
      </c>
      <c r="G16" s="327">
        <v>2231</v>
      </c>
      <c r="H16" s="272">
        <v>200000</v>
      </c>
      <c r="I16" s="1887"/>
      <c r="J16" s="254"/>
    </row>
    <row r="17" spans="1:10" ht="15" customHeight="1" x14ac:dyDescent="0.2">
      <c r="A17" s="258">
        <v>7</v>
      </c>
      <c r="B17" s="1803" t="s">
        <v>2008</v>
      </c>
      <c r="C17" s="1804"/>
      <c r="D17" s="272">
        <v>30820</v>
      </c>
      <c r="E17" s="272">
        <v>29887</v>
      </c>
      <c r="F17" s="272">
        <v>50820</v>
      </c>
      <c r="G17" s="327">
        <v>2231</v>
      </c>
      <c r="H17" s="272">
        <v>50820</v>
      </c>
      <c r="I17" s="1887"/>
      <c r="J17" s="254"/>
    </row>
    <row r="18" spans="1:10" ht="15" customHeight="1" x14ac:dyDescent="0.2">
      <c r="A18" s="258">
        <v>9</v>
      </c>
      <c r="B18" s="1803" t="s">
        <v>2009</v>
      </c>
      <c r="C18" s="1804"/>
      <c r="D18" s="272">
        <v>50470</v>
      </c>
      <c r="E18" s="272">
        <v>49652.37</v>
      </c>
      <c r="F18" s="272">
        <v>50820</v>
      </c>
      <c r="G18" s="327">
        <v>2231</v>
      </c>
      <c r="H18" s="272">
        <v>50820</v>
      </c>
      <c r="I18" s="1887"/>
      <c r="J18" s="254"/>
    </row>
    <row r="19" spans="1:10" ht="15" customHeight="1" x14ac:dyDescent="0.2">
      <c r="A19" s="258">
        <v>10</v>
      </c>
      <c r="B19" s="1803" t="s">
        <v>2010</v>
      </c>
      <c r="C19" s="1804"/>
      <c r="D19" s="272">
        <v>38820</v>
      </c>
      <c r="E19" s="272">
        <v>36239</v>
      </c>
      <c r="F19" s="272">
        <v>50820</v>
      </c>
      <c r="G19" s="327">
        <v>2231</v>
      </c>
      <c r="H19" s="272">
        <v>50820</v>
      </c>
      <c r="I19" s="1887"/>
      <c r="J19" s="254"/>
    </row>
    <row r="20" spans="1:10" ht="15" customHeight="1" x14ac:dyDescent="0.2">
      <c r="A20" s="258">
        <v>11</v>
      </c>
      <c r="B20" s="1803" t="s">
        <v>2011</v>
      </c>
      <c r="C20" s="1804"/>
      <c r="D20" s="272">
        <v>50820</v>
      </c>
      <c r="E20" s="272">
        <v>41200</v>
      </c>
      <c r="F20" s="272">
        <v>50820</v>
      </c>
      <c r="G20" s="327">
        <v>2231</v>
      </c>
      <c r="H20" s="272">
        <v>50820</v>
      </c>
      <c r="I20" s="1887"/>
      <c r="J20" s="254"/>
    </row>
    <row r="21" spans="1:10" ht="15" customHeight="1" x14ac:dyDescent="0.2">
      <c r="A21" s="258">
        <v>12</v>
      </c>
      <c r="B21" s="1803" t="s">
        <v>2012</v>
      </c>
      <c r="C21" s="1804"/>
      <c r="D21" s="272">
        <v>50820</v>
      </c>
      <c r="E21" s="272">
        <v>41500</v>
      </c>
      <c r="F21" s="272">
        <v>50820</v>
      </c>
      <c r="G21" s="327">
        <v>2231</v>
      </c>
      <c r="H21" s="272">
        <v>50820</v>
      </c>
      <c r="I21" s="1887"/>
      <c r="J21" s="254"/>
    </row>
    <row r="22" spans="1:10" ht="15" customHeight="1" x14ac:dyDescent="0.2">
      <c r="A22" s="258">
        <v>13</v>
      </c>
      <c r="B22" s="1803" t="s">
        <v>2013</v>
      </c>
      <c r="C22" s="1804"/>
      <c r="D22" s="272">
        <v>46829</v>
      </c>
      <c r="E22" s="272">
        <v>24079</v>
      </c>
      <c r="F22" s="272">
        <v>50820</v>
      </c>
      <c r="G22" s="327">
        <v>2231</v>
      </c>
      <c r="H22" s="272">
        <v>50820</v>
      </c>
      <c r="I22" s="1887"/>
      <c r="J22" s="254"/>
    </row>
    <row r="23" spans="1:10" ht="15" customHeight="1" x14ac:dyDescent="0.2">
      <c r="A23" s="258">
        <v>14</v>
      </c>
      <c r="B23" s="1803" t="s">
        <v>2014</v>
      </c>
      <c r="C23" s="1804"/>
      <c r="D23" s="272">
        <v>5600</v>
      </c>
      <c r="E23" s="272">
        <v>2800</v>
      </c>
      <c r="F23" s="272">
        <v>5600</v>
      </c>
      <c r="G23" s="327">
        <v>3263</v>
      </c>
      <c r="H23" s="272">
        <v>5600</v>
      </c>
      <c r="I23" s="1887"/>
      <c r="J23" s="254"/>
    </row>
    <row r="24" spans="1:10" ht="15" customHeight="1" x14ac:dyDescent="0.2">
      <c r="A24" s="258">
        <v>15</v>
      </c>
      <c r="B24" s="1803" t="s">
        <v>2015</v>
      </c>
      <c r="C24" s="1804"/>
      <c r="D24" s="272">
        <v>12100</v>
      </c>
      <c r="E24" s="272">
        <v>12100</v>
      </c>
      <c r="F24" s="272">
        <v>12100</v>
      </c>
      <c r="G24" s="327">
        <v>3263</v>
      </c>
      <c r="H24" s="272">
        <v>12100</v>
      </c>
      <c r="I24" s="1887"/>
      <c r="J24" s="254"/>
    </row>
    <row r="25" spans="1:10" ht="15" customHeight="1" x14ac:dyDescent="0.2">
      <c r="A25" s="258">
        <v>16</v>
      </c>
      <c r="B25" s="1803" t="s">
        <v>2016</v>
      </c>
      <c r="C25" s="1804"/>
      <c r="D25" s="272">
        <v>15000</v>
      </c>
      <c r="E25" s="272">
        <v>14999</v>
      </c>
      <c r="F25" s="272">
        <v>15000</v>
      </c>
      <c r="G25" s="327">
        <v>2231</v>
      </c>
      <c r="H25" s="272">
        <v>15000</v>
      </c>
      <c r="I25" s="1887"/>
      <c r="J25" s="254"/>
    </row>
    <row r="26" spans="1:10" ht="29.25" customHeight="1" x14ac:dyDescent="0.2">
      <c r="A26" s="258">
        <v>17</v>
      </c>
      <c r="B26" s="1803" t="s">
        <v>2017</v>
      </c>
      <c r="C26" s="1804"/>
      <c r="D26" s="272">
        <v>3622</v>
      </c>
      <c r="E26" s="272">
        <v>3622</v>
      </c>
      <c r="F26" s="578">
        <v>3822</v>
      </c>
      <c r="G26" s="454">
        <v>3263</v>
      </c>
      <c r="H26" s="272">
        <v>3822</v>
      </c>
      <c r="I26" s="1887"/>
      <c r="J26" s="254"/>
    </row>
    <row r="27" spans="1:10" ht="15" customHeight="1" x14ac:dyDescent="0.2">
      <c r="A27" s="258">
        <v>18</v>
      </c>
      <c r="B27" s="1803" t="s">
        <v>2018</v>
      </c>
      <c r="C27" s="1804"/>
      <c r="D27" s="272">
        <v>6163</v>
      </c>
      <c r="E27" s="272">
        <v>6127</v>
      </c>
      <c r="F27" s="272">
        <v>6163</v>
      </c>
      <c r="G27" s="454">
        <v>3263</v>
      </c>
      <c r="H27" s="272">
        <v>6163</v>
      </c>
      <c r="I27" s="1887"/>
      <c r="J27" s="254"/>
    </row>
    <row r="28" spans="1:10" ht="15" customHeight="1" x14ac:dyDescent="0.2">
      <c r="A28" s="258">
        <v>19</v>
      </c>
      <c r="B28" s="1803" t="s">
        <v>2019</v>
      </c>
      <c r="C28" s="1804"/>
      <c r="D28" s="272">
        <v>3184</v>
      </c>
      <c r="E28" s="272">
        <v>3184</v>
      </c>
      <c r="F28" s="272">
        <v>3184</v>
      </c>
      <c r="G28" s="454">
        <v>3263</v>
      </c>
      <c r="H28" s="272">
        <v>3184</v>
      </c>
      <c r="I28" s="1887"/>
      <c r="J28" s="254"/>
    </row>
    <row r="29" spans="1:10" ht="15" hidden="1" customHeight="1" x14ac:dyDescent="0.2">
      <c r="A29" s="258">
        <v>20</v>
      </c>
      <c r="B29" s="1803" t="s">
        <v>2020</v>
      </c>
      <c r="C29" s="1804"/>
      <c r="D29" s="272">
        <v>1290</v>
      </c>
      <c r="E29" s="272">
        <v>0</v>
      </c>
      <c r="F29" s="272">
        <v>0</v>
      </c>
      <c r="G29" s="454">
        <v>3263</v>
      </c>
      <c r="H29" s="272"/>
      <c r="I29" s="1887"/>
      <c r="J29" s="254"/>
    </row>
    <row r="30" spans="1:10" x14ac:dyDescent="0.2">
      <c r="A30" s="258">
        <v>20</v>
      </c>
      <c r="B30" s="1803" t="s">
        <v>2021</v>
      </c>
      <c r="C30" s="1804"/>
      <c r="D30" s="272">
        <v>25000</v>
      </c>
      <c r="E30" s="272">
        <v>25000</v>
      </c>
      <c r="F30" s="272">
        <v>25000</v>
      </c>
      <c r="G30" s="454">
        <v>3263</v>
      </c>
      <c r="H30" s="272">
        <v>25000</v>
      </c>
      <c r="I30" s="1887"/>
      <c r="J30" s="254"/>
    </row>
    <row r="31" spans="1:10" ht="15" customHeight="1" x14ac:dyDescent="0.2">
      <c r="A31" s="258">
        <v>21</v>
      </c>
      <c r="B31" s="1803" t="s">
        <v>2022</v>
      </c>
      <c r="C31" s="1804"/>
      <c r="D31" s="272">
        <v>6562</v>
      </c>
      <c r="E31" s="272">
        <v>6562</v>
      </c>
      <c r="F31" s="272">
        <v>6562</v>
      </c>
      <c r="G31" s="454">
        <v>3263</v>
      </c>
      <c r="H31" s="272">
        <v>6562</v>
      </c>
      <c r="I31" s="1887"/>
      <c r="J31" s="254"/>
    </row>
    <row r="32" spans="1:10" ht="15" hidden="1" customHeight="1" x14ac:dyDescent="0.2">
      <c r="A32" s="258">
        <v>23</v>
      </c>
      <c r="B32" s="1803" t="s">
        <v>2023</v>
      </c>
      <c r="C32" s="1804"/>
      <c r="D32" s="272">
        <v>3294</v>
      </c>
      <c r="E32" s="272">
        <v>3294</v>
      </c>
      <c r="F32" s="272">
        <v>0</v>
      </c>
      <c r="G32" s="454">
        <v>3263</v>
      </c>
      <c r="H32" s="272"/>
      <c r="I32" s="1887"/>
      <c r="J32" s="254"/>
    </row>
    <row r="33" spans="1:10" x14ac:dyDescent="0.2">
      <c r="A33" s="423">
        <v>22</v>
      </c>
      <c r="B33" s="1803" t="s">
        <v>2024</v>
      </c>
      <c r="C33" s="1804"/>
      <c r="D33" s="452">
        <v>3430</v>
      </c>
      <c r="E33" s="452">
        <v>3430</v>
      </c>
      <c r="F33" s="452">
        <v>3430</v>
      </c>
      <c r="G33" s="454">
        <v>3263</v>
      </c>
      <c r="H33" s="272">
        <v>3430</v>
      </c>
      <c r="I33" s="1887"/>
      <c r="J33" s="545"/>
    </row>
    <row r="34" spans="1:10" ht="15" customHeight="1" x14ac:dyDescent="0.2">
      <c r="A34" s="423">
        <v>23</v>
      </c>
      <c r="B34" s="1803" t="s">
        <v>2025</v>
      </c>
      <c r="C34" s="1804"/>
      <c r="D34" s="452">
        <v>669</v>
      </c>
      <c r="E34" s="452">
        <v>669</v>
      </c>
      <c r="F34" s="452">
        <v>655</v>
      </c>
      <c r="G34" s="454">
        <v>3263</v>
      </c>
      <c r="H34" s="272">
        <v>655</v>
      </c>
      <c r="I34" s="1887"/>
      <c r="J34" s="545"/>
    </row>
    <row r="35" spans="1:10" ht="15" customHeight="1" x14ac:dyDescent="0.2">
      <c r="A35" s="423">
        <v>24</v>
      </c>
      <c r="B35" s="1803" t="s">
        <v>2026</v>
      </c>
      <c r="C35" s="1804"/>
      <c r="D35" s="452">
        <v>6554</v>
      </c>
      <c r="E35" s="452">
        <v>6554</v>
      </c>
      <c r="F35" s="452">
        <v>5918</v>
      </c>
      <c r="G35" s="454">
        <v>3263</v>
      </c>
      <c r="H35" s="272">
        <v>5918</v>
      </c>
      <c r="I35" s="1887"/>
      <c r="J35" s="545"/>
    </row>
    <row r="36" spans="1:10" ht="15" customHeight="1" x14ac:dyDescent="0.2">
      <c r="A36" s="423">
        <v>25</v>
      </c>
      <c r="B36" s="1803" t="s">
        <v>2027</v>
      </c>
      <c r="C36" s="1804"/>
      <c r="D36" s="452">
        <v>2219</v>
      </c>
      <c r="E36" s="452">
        <v>2219</v>
      </c>
      <c r="F36" s="452">
        <v>1963.8</v>
      </c>
      <c r="G36" s="454">
        <v>3263</v>
      </c>
      <c r="H36" s="272">
        <v>1964</v>
      </c>
      <c r="I36" s="1887"/>
      <c r="J36" s="545"/>
    </row>
    <row r="37" spans="1:10" ht="15" hidden="1" customHeight="1" x14ac:dyDescent="0.2">
      <c r="A37" s="423">
        <v>28</v>
      </c>
      <c r="B37" s="1803" t="s">
        <v>2028</v>
      </c>
      <c r="C37" s="1804"/>
      <c r="D37" s="452">
        <v>300</v>
      </c>
      <c r="E37" s="452">
        <v>0</v>
      </c>
      <c r="F37" s="452">
        <v>0</v>
      </c>
      <c r="G37" s="454">
        <v>2314</v>
      </c>
      <c r="H37" s="272"/>
      <c r="I37" s="1887"/>
      <c r="J37" s="545"/>
    </row>
    <row r="38" spans="1:10" x14ac:dyDescent="0.2">
      <c r="A38" s="423">
        <v>26</v>
      </c>
      <c r="B38" s="1803" t="s">
        <v>2029</v>
      </c>
      <c r="C38" s="1804"/>
      <c r="D38" s="452">
        <v>1845</v>
      </c>
      <c r="E38" s="452">
        <v>1845</v>
      </c>
      <c r="F38" s="452">
        <v>1845</v>
      </c>
      <c r="G38" s="454">
        <v>3263</v>
      </c>
      <c r="H38" s="272">
        <v>1845</v>
      </c>
      <c r="I38" s="1887"/>
      <c r="J38" s="545"/>
    </row>
    <row r="39" spans="1:10" ht="24" customHeight="1" x14ac:dyDescent="0.2">
      <c r="A39" s="423">
        <v>27</v>
      </c>
      <c r="B39" s="1803" t="s">
        <v>2030</v>
      </c>
      <c r="C39" s="1804"/>
      <c r="D39" s="452">
        <v>1500</v>
      </c>
      <c r="E39" s="452">
        <v>1500</v>
      </c>
      <c r="F39" s="452">
        <v>1500</v>
      </c>
      <c r="G39" s="454">
        <v>3263</v>
      </c>
      <c r="H39" s="272">
        <v>1500</v>
      </c>
      <c r="I39" s="1887"/>
      <c r="J39" s="545"/>
    </row>
    <row r="40" spans="1:10" ht="15" customHeight="1" x14ac:dyDescent="0.2">
      <c r="A40" s="423">
        <v>28</v>
      </c>
      <c r="B40" s="1803" t="s">
        <v>2031</v>
      </c>
      <c r="C40" s="1804"/>
      <c r="D40" s="452">
        <v>40000</v>
      </c>
      <c r="E40" s="452">
        <v>40000</v>
      </c>
      <c r="F40" s="452">
        <v>40000</v>
      </c>
      <c r="G40" s="327">
        <v>2231</v>
      </c>
      <c r="H40" s="272">
        <v>40000</v>
      </c>
      <c r="I40" s="1887"/>
      <c r="J40" s="545"/>
    </row>
    <row r="41" spans="1:10" ht="15" hidden="1" customHeight="1" x14ac:dyDescent="0.2">
      <c r="A41" s="423">
        <v>32</v>
      </c>
      <c r="B41" s="1803" t="s">
        <v>2032</v>
      </c>
      <c r="C41" s="1804"/>
      <c r="D41" s="452">
        <v>1140</v>
      </c>
      <c r="E41" s="452">
        <v>1140</v>
      </c>
      <c r="F41" s="452">
        <v>0</v>
      </c>
      <c r="G41" s="454">
        <v>3263</v>
      </c>
      <c r="H41" s="272"/>
      <c r="I41" s="1887"/>
      <c r="J41" s="545"/>
    </row>
    <row r="42" spans="1:10" x14ac:dyDescent="0.2">
      <c r="A42" s="423">
        <v>29</v>
      </c>
      <c r="B42" s="1803" t="s">
        <v>2033</v>
      </c>
      <c r="C42" s="1804"/>
      <c r="D42" s="452">
        <v>32000</v>
      </c>
      <c r="E42" s="452">
        <v>32000</v>
      </c>
      <c r="F42" s="452">
        <v>32000</v>
      </c>
      <c r="G42" s="1676">
        <v>2231</v>
      </c>
      <c r="H42" s="272">
        <v>32000</v>
      </c>
      <c r="I42" s="1887"/>
      <c r="J42" s="545"/>
    </row>
    <row r="43" spans="1:10" ht="15" customHeight="1" x14ac:dyDescent="0.2">
      <c r="A43" s="423">
        <v>30</v>
      </c>
      <c r="B43" s="1803" t="s">
        <v>2034</v>
      </c>
      <c r="C43" s="1804"/>
      <c r="D43" s="452">
        <v>0</v>
      </c>
      <c r="E43" s="452">
        <v>0</v>
      </c>
      <c r="F43" s="452">
        <v>180.3</v>
      </c>
      <c r="G43" s="454">
        <v>3263</v>
      </c>
      <c r="H43" s="272">
        <v>180</v>
      </c>
      <c r="I43" s="1887"/>
      <c r="J43" s="545"/>
    </row>
    <row r="44" spans="1:10" ht="23.25" customHeight="1" x14ac:dyDescent="0.2">
      <c r="A44" s="423">
        <v>31</v>
      </c>
      <c r="B44" s="1803" t="s">
        <v>2035</v>
      </c>
      <c r="C44" s="1804"/>
      <c r="D44" s="452">
        <v>0</v>
      </c>
      <c r="E44" s="452">
        <v>0</v>
      </c>
      <c r="F44" s="452">
        <v>2000</v>
      </c>
      <c r="G44" s="454">
        <v>3263</v>
      </c>
      <c r="H44" s="272">
        <v>2000</v>
      </c>
      <c r="I44" s="1816"/>
      <c r="J44" s="545"/>
    </row>
    <row r="45" spans="1:10" x14ac:dyDescent="0.2">
      <c r="A45" s="356"/>
      <c r="B45" s="356"/>
      <c r="C45" s="356"/>
      <c r="D45" s="356"/>
      <c r="E45" s="356"/>
      <c r="F45" s="356"/>
      <c r="G45" s="356"/>
      <c r="H45" s="356"/>
      <c r="I45" s="1493"/>
      <c r="J45" s="356"/>
    </row>
    <row r="46" spans="1:10" x14ac:dyDescent="0.2">
      <c r="A46" s="243" t="s">
        <v>123</v>
      </c>
      <c r="B46" s="243"/>
      <c r="C46" s="1547" t="s">
        <v>2036</v>
      </c>
      <c r="D46" s="243"/>
      <c r="E46" s="243"/>
      <c r="F46" s="243"/>
      <c r="G46" s="243"/>
      <c r="H46" s="243"/>
      <c r="J46" s="243"/>
    </row>
    <row r="47" spans="1:10" x14ac:dyDescent="0.2">
      <c r="A47" s="243" t="s">
        <v>125</v>
      </c>
      <c r="B47" s="243"/>
      <c r="C47" s="271" t="s">
        <v>872</v>
      </c>
      <c r="D47" s="271"/>
      <c r="E47" s="243"/>
      <c r="F47" s="243"/>
      <c r="G47" s="243"/>
      <c r="H47" s="243"/>
      <c r="J47" s="243"/>
    </row>
    <row r="48" spans="1:10" ht="48" x14ac:dyDescent="0.2">
      <c r="A48" s="251" t="s">
        <v>1</v>
      </c>
      <c r="B48" s="1797" t="s">
        <v>127</v>
      </c>
      <c r="C48" s="1798"/>
      <c r="D48" s="251" t="s">
        <v>14</v>
      </c>
      <c r="E48" s="251" t="s">
        <v>12</v>
      </c>
      <c r="F48" s="251" t="s">
        <v>128</v>
      </c>
      <c r="G48" s="251" t="s">
        <v>129</v>
      </c>
      <c r="H48" s="251" t="s">
        <v>3357</v>
      </c>
      <c r="I48" s="1533" t="s">
        <v>11</v>
      </c>
      <c r="J48" s="251" t="s">
        <v>131</v>
      </c>
    </row>
    <row r="49" spans="1:10" ht="15" customHeight="1" x14ac:dyDescent="0.2">
      <c r="A49" s="1807" t="s">
        <v>132</v>
      </c>
      <c r="B49" s="1808"/>
      <c r="C49" s="1809"/>
      <c r="D49" s="253">
        <f>SUM(D50:D101)</f>
        <v>388209</v>
      </c>
      <c r="E49" s="253">
        <f>SUM(E50:E101)</f>
        <v>361433.44</v>
      </c>
      <c r="F49" s="253">
        <f>SUM(F50:F101)</f>
        <v>358880</v>
      </c>
      <c r="G49" s="253"/>
      <c r="H49" s="253">
        <f>SUM(H50:H101)</f>
        <v>218880</v>
      </c>
      <c r="I49" s="450"/>
      <c r="J49" s="254"/>
    </row>
    <row r="50" spans="1:10" ht="48" hidden="1" x14ac:dyDescent="0.2">
      <c r="A50" s="258">
        <v>1</v>
      </c>
      <c r="B50" s="1803" t="s">
        <v>2037</v>
      </c>
      <c r="C50" s="1804"/>
      <c r="D50" s="272">
        <v>140000</v>
      </c>
      <c r="E50" s="272">
        <v>140000</v>
      </c>
      <c r="F50" s="272">
        <v>140000</v>
      </c>
      <c r="G50" s="404">
        <v>3263</v>
      </c>
      <c r="H50" s="272"/>
      <c r="I50" s="1526" t="s">
        <v>2038</v>
      </c>
      <c r="J50" s="279" t="s">
        <v>2039</v>
      </c>
    </row>
    <row r="51" spans="1:10" ht="26.25" customHeight="1" x14ac:dyDescent="0.2">
      <c r="A51" s="258">
        <v>1</v>
      </c>
      <c r="B51" s="1803" t="s">
        <v>2040</v>
      </c>
      <c r="C51" s="1804"/>
      <c r="D51" s="272">
        <v>60191</v>
      </c>
      <c r="E51" s="272">
        <v>60191</v>
      </c>
      <c r="F51" s="272">
        <v>47965</v>
      </c>
      <c r="G51" s="454">
        <v>3263</v>
      </c>
      <c r="H51" s="272">
        <v>47965</v>
      </c>
      <c r="I51" s="1815" t="s">
        <v>2038</v>
      </c>
      <c r="J51" s="254"/>
    </row>
    <row r="52" spans="1:10" ht="27" customHeight="1" x14ac:dyDescent="0.2">
      <c r="A52" s="258">
        <v>2</v>
      </c>
      <c r="B52" s="1803" t="s">
        <v>2041</v>
      </c>
      <c r="C52" s="1804"/>
      <c r="D52" s="272">
        <v>9306</v>
      </c>
      <c r="E52" s="272">
        <v>9306</v>
      </c>
      <c r="F52" s="272">
        <v>10000</v>
      </c>
      <c r="G52" s="454">
        <v>3263</v>
      </c>
      <c r="H52" s="272">
        <v>10000</v>
      </c>
      <c r="I52" s="1887"/>
      <c r="J52" s="254"/>
    </row>
    <row r="53" spans="1:10" ht="15" customHeight="1" x14ac:dyDescent="0.2">
      <c r="A53" s="258">
        <v>3</v>
      </c>
      <c r="B53" s="1803" t="s">
        <v>2042</v>
      </c>
      <c r="C53" s="1804"/>
      <c r="D53" s="272">
        <v>10000</v>
      </c>
      <c r="E53" s="272">
        <v>10000</v>
      </c>
      <c r="F53" s="272">
        <v>10000</v>
      </c>
      <c r="G53" s="454">
        <v>3263</v>
      </c>
      <c r="H53" s="272">
        <v>10000</v>
      </c>
      <c r="I53" s="1887"/>
      <c r="J53" s="254"/>
    </row>
    <row r="54" spans="1:10" ht="12" hidden="1" customHeight="1" x14ac:dyDescent="0.2">
      <c r="A54" s="258">
        <v>5</v>
      </c>
      <c r="B54" s="1803" t="s">
        <v>2043</v>
      </c>
      <c r="C54" s="1804"/>
      <c r="D54" s="272">
        <v>6070</v>
      </c>
      <c r="E54" s="272">
        <v>0</v>
      </c>
      <c r="F54" s="272">
        <v>0</v>
      </c>
      <c r="G54" s="454">
        <v>3263</v>
      </c>
      <c r="H54" s="272"/>
      <c r="I54" s="1887"/>
      <c r="J54" s="254"/>
    </row>
    <row r="55" spans="1:10" ht="15" customHeight="1" x14ac:dyDescent="0.2">
      <c r="A55" s="258">
        <v>4</v>
      </c>
      <c r="B55" s="1803" t="s">
        <v>2044</v>
      </c>
      <c r="C55" s="1804"/>
      <c r="D55" s="272">
        <v>7797</v>
      </c>
      <c r="E55" s="272">
        <v>7797</v>
      </c>
      <c r="F55" s="272">
        <v>8896</v>
      </c>
      <c r="G55" s="454">
        <v>3263</v>
      </c>
      <c r="H55" s="272">
        <v>8896</v>
      </c>
      <c r="I55" s="1887"/>
      <c r="J55" s="254"/>
    </row>
    <row r="56" spans="1:10" ht="23.25" customHeight="1" x14ac:dyDescent="0.2">
      <c r="A56" s="258">
        <v>5</v>
      </c>
      <c r="B56" s="1803" t="s">
        <v>2045</v>
      </c>
      <c r="C56" s="1804"/>
      <c r="D56" s="272">
        <v>9994</v>
      </c>
      <c r="E56" s="272">
        <v>9994</v>
      </c>
      <c r="F56" s="272">
        <v>8896</v>
      </c>
      <c r="G56" s="454">
        <v>3263</v>
      </c>
      <c r="H56" s="272">
        <v>8896</v>
      </c>
      <c r="I56" s="1887"/>
      <c r="J56" s="254"/>
    </row>
    <row r="57" spans="1:10" ht="15" customHeight="1" x14ac:dyDescent="0.2">
      <c r="A57" s="258">
        <v>6</v>
      </c>
      <c r="B57" s="1803" t="s">
        <v>2046</v>
      </c>
      <c r="C57" s="1804"/>
      <c r="D57" s="272">
        <v>7000</v>
      </c>
      <c r="E57" s="272">
        <v>7000</v>
      </c>
      <c r="F57" s="272">
        <v>7000</v>
      </c>
      <c r="G57" s="454">
        <v>3263</v>
      </c>
      <c r="H57" s="272">
        <v>7000</v>
      </c>
      <c r="I57" s="1887"/>
      <c r="J57" s="254"/>
    </row>
    <row r="58" spans="1:10" ht="15" customHeight="1" x14ac:dyDescent="0.2">
      <c r="A58" s="258">
        <v>7</v>
      </c>
      <c r="B58" s="1803" t="s">
        <v>2047</v>
      </c>
      <c r="C58" s="1804"/>
      <c r="D58" s="272">
        <v>4440</v>
      </c>
      <c r="E58" s="272">
        <v>4440</v>
      </c>
      <c r="F58" s="272">
        <v>4450</v>
      </c>
      <c r="G58" s="454">
        <v>3263</v>
      </c>
      <c r="H58" s="272">
        <v>4450</v>
      </c>
      <c r="I58" s="1887"/>
      <c r="J58" s="254"/>
    </row>
    <row r="59" spans="1:10" ht="15" customHeight="1" x14ac:dyDescent="0.2">
      <c r="A59" s="258">
        <v>8</v>
      </c>
      <c r="B59" s="1803" t="s">
        <v>2048</v>
      </c>
      <c r="C59" s="1804"/>
      <c r="D59" s="272">
        <v>7000</v>
      </c>
      <c r="E59" s="272">
        <v>7000</v>
      </c>
      <c r="F59" s="272">
        <v>7000</v>
      </c>
      <c r="G59" s="454">
        <v>3263</v>
      </c>
      <c r="H59" s="272">
        <v>7000</v>
      </c>
      <c r="I59" s="1887"/>
      <c r="J59" s="254"/>
    </row>
    <row r="60" spans="1:10" ht="15" customHeight="1" x14ac:dyDescent="0.2">
      <c r="A60" s="258">
        <v>9</v>
      </c>
      <c r="B60" s="1803" t="s">
        <v>2049</v>
      </c>
      <c r="C60" s="1804"/>
      <c r="D60" s="272">
        <v>16500</v>
      </c>
      <c r="E60" s="272">
        <v>16500</v>
      </c>
      <c r="F60" s="272">
        <v>16500</v>
      </c>
      <c r="G60" s="454">
        <v>3263</v>
      </c>
      <c r="H60" s="272">
        <v>16500</v>
      </c>
      <c r="I60" s="1887"/>
      <c r="J60" s="254"/>
    </row>
    <row r="61" spans="1:10" ht="15" customHeight="1" x14ac:dyDescent="0.2">
      <c r="A61" s="258">
        <v>10</v>
      </c>
      <c r="B61" s="1803" t="s">
        <v>2050</v>
      </c>
      <c r="C61" s="1804"/>
      <c r="D61" s="272">
        <v>21150</v>
      </c>
      <c r="E61" s="272">
        <v>21150</v>
      </c>
      <c r="F61" s="272">
        <v>21150</v>
      </c>
      <c r="G61" s="454">
        <v>3263</v>
      </c>
      <c r="H61" s="272">
        <v>21150</v>
      </c>
      <c r="I61" s="1887"/>
      <c r="J61" s="254"/>
    </row>
    <row r="62" spans="1:10" ht="15" customHeight="1" x14ac:dyDescent="0.2">
      <c r="A62" s="258">
        <v>11</v>
      </c>
      <c r="B62" s="1803" t="s">
        <v>2051</v>
      </c>
      <c r="C62" s="1804"/>
      <c r="D62" s="272">
        <v>2213</v>
      </c>
      <c r="E62" s="272">
        <v>2213</v>
      </c>
      <c r="F62" s="272">
        <v>2200</v>
      </c>
      <c r="G62" s="454">
        <v>3263</v>
      </c>
      <c r="H62" s="272">
        <v>2200</v>
      </c>
      <c r="I62" s="1887"/>
      <c r="J62" s="254"/>
    </row>
    <row r="63" spans="1:10" ht="15" customHeight="1" x14ac:dyDescent="0.2">
      <c r="A63" s="258">
        <v>12</v>
      </c>
      <c r="B63" s="1803" t="s">
        <v>2052</v>
      </c>
      <c r="C63" s="1804"/>
      <c r="D63" s="272">
        <v>1000</v>
      </c>
      <c r="E63" s="272">
        <v>1000</v>
      </c>
      <c r="F63" s="272">
        <v>1000</v>
      </c>
      <c r="G63" s="454">
        <v>3263</v>
      </c>
      <c r="H63" s="272">
        <v>1000</v>
      </c>
      <c r="I63" s="1887"/>
      <c r="J63" s="254"/>
    </row>
    <row r="64" spans="1:10" ht="15" customHeight="1" x14ac:dyDescent="0.2">
      <c r="A64" s="258">
        <v>13</v>
      </c>
      <c r="B64" s="1803" t="s">
        <v>2053</v>
      </c>
      <c r="C64" s="1804"/>
      <c r="D64" s="272">
        <v>5209</v>
      </c>
      <c r="E64" s="272">
        <v>5209</v>
      </c>
      <c r="F64" s="272">
        <v>4551</v>
      </c>
      <c r="G64" s="454">
        <v>3263</v>
      </c>
      <c r="H64" s="272">
        <v>4551</v>
      </c>
      <c r="I64" s="1887"/>
      <c r="J64" s="254"/>
    </row>
    <row r="65" spans="1:10" ht="15" customHeight="1" x14ac:dyDescent="0.2">
      <c r="A65" s="258">
        <v>14</v>
      </c>
      <c r="B65" s="1803" t="s">
        <v>2054</v>
      </c>
      <c r="C65" s="1804"/>
      <c r="D65" s="272">
        <v>7000</v>
      </c>
      <c r="E65" s="272">
        <v>7000</v>
      </c>
      <c r="F65" s="272">
        <v>7000</v>
      </c>
      <c r="G65" s="454">
        <v>3263</v>
      </c>
      <c r="H65" s="272">
        <v>7000</v>
      </c>
      <c r="I65" s="1887"/>
      <c r="J65" s="254"/>
    </row>
    <row r="66" spans="1:10" ht="12" hidden="1" customHeight="1" x14ac:dyDescent="0.2">
      <c r="A66" s="258">
        <v>15</v>
      </c>
      <c r="B66" s="2052" t="s">
        <v>2055</v>
      </c>
      <c r="C66" s="2053"/>
      <c r="D66" s="578">
        <v>1800</v>
      </c>
      <c r="E66" s="729">
        <v>1800</v>
      </c>
      <c r="F66" s="272">
        <v>0</v>
      </c>
      <c r="G66" s="454">
        <v>3263</v>
      </c>
      <c r="H66" s="272"/>
      <c r="I66" s="1887"/>
      <c r="J66" s="254"/>
    </row>
    <row r="67" spans="1:10" ht="12" hidden="1" customHeight="1" x14ac:dyDescent="0.2">
      <c r="A67" s="258">
        <v>16</v>
      </c>
      <c r="B67" s="2052" t="s">
        <v>2056</v>
      </c>
      <c r="C67" s="2053"/>
      <c r="D67" s="578">
        <v>1070</v>
      </c>
      <c r="E67" s="729">
        <v>1070</v>
      </c>
      <c r="F67" s="272"/>
      <c r="G67" s="454">
        <v>3263</v>
      </c>
      <c r="H67" s="272"/>
      <c r="I67" s="1887"/>
      <c r="J67" s="254"/>
    </row>
    <row r="68" spans="1:10" ht="12" hidden="1" customHeight="1" x14ac:dyDescent="0.2">
      <c r="A68" s="258">
        <v>19</v>
      </c>
      <c r="B68" s="2052" t="s">
        <v>2057</v>
      </c>
      <c r="C68" s="2053"/>
      <c r="D68" s="578">
        <v>1000</v>
      </c>
      <c r="E68" s="729">
        <v>1000</v>
      </c>
      <c r="F68" s="272">
        <v>0</v>
      </c>
      <c r="G68" s="454">
        <v>3263</v>
      </c>
      <c r="H68" s="272"/>
      <c r="I68" s="1887"/>
      <c r="J68" s="254"/>
    </row>
    <row r="69" spans="1:10" ht="12" hidden="1" customHeight="1" x14ac:dyDescent="0.2">
      <c r="A69" s="258">
        <v>20</v>
      </c>
      <c r="B69" s="2052" t="s">
        <v>2058</v>
      </c>
      <c r="C69" s="2053"/>
      <c r="D69" s="578">
        <v>500</v>
      </c>
      <c r="E69" s="729">
        <v>500</v>
      </c>
      <c r="F69" s="272">
        <v>0</v>
      </c>
      <c r="G69" s="454">
        <v>3263</v>
      </c>
      <c r="H69" s="272"/>
      <c r="I69" s="1887"/>
      <c r="J69" s="254"/>
    </row>
    <row r="70" spans="1:10" ht="12" hidden="1" customHeight="1" x14ac:dyDescent="0.2">
      <c r="A70" s="258">
        <v>21</v>
      </c>
      <c r="B70" s="2052" t="s">
        <v>2059</v>
      </c>
      <c r="C70" s="2053"/>
      <c r="D70" s="578">
        <v>500</v>
      </c>
      <c r="E70" s="729">
        <v>500</v>
      </c>
      <c r="F70" s="272">
        <v>0</v>
      </c>
      <c r="G70" s="454">
        <v>3263</v>
      </c>
      <c r="H70" s="272"/>
      <c r="I70" s="1887"/>
      <c r="J70" s="254"/>
    </row>
    <row r="71" spans="1:10" ht="12" hidden="1" customHeight="1" x14ac:dyDescent="0.2">
      <c r="A71" s="258">
        <v>22</v>
      </c>
      <c r="B71" s="2052" t="s">
        <v>2060</v>
      </c>
      <c r="C71" s="2053"/>
      <c r="D71" s="578">
        <v>500</v>
      </c>
      <c r="E71" s="729">
        <v>500</v>
      </c>
      <c r="F71" s="272">
        <v>0</v>
      </c>
      <c r="G71" s="454">
        <v>3263</v>
      </c>
      <c r="H71" s="272"/>
      <c r="I71" s="1887"/>
      <c r="J71" s="254"/>
    </row>
    <row r="72" spans="1:10" ht="12" hidden="1" customHeight="1" x14ac:dyDescent="0.2">
      <c r="A72" s="258">
        <v>23</v>
      </c>
      <c r="B72" s="2052" t="s">
        <v>2061</v>
      </c>
      <c r="C72" s="2053"/>
      <c r="D72" s="578">
        <v>300</v>
      </c>
      <c r="E72" s="729">
        <v>300</v>
      </c>
      <c r="F72" s="272">
        <v>0</v>
      </c>
      <c r="G72" s="454">
        <v>3263</v>
      </c>
      <c r="H72" s="272"/>
      <c r="I72" s="1887"/>
      <c r="J72" s="254"/>
    </row>
    <row r="73" spans="1:10" ht="12" hidden="1" customHeight="1" x14ac:dyDescent="0.2">
      <c r="A73" s="258">
        <v>24</v>
      </c>
      <c r="B73" s="2052" t="s">
        <v>2062</v>
      </c>
      <c r="C73" s="2053"/>
      <c r="D73" s="578">
        <v>300</v>
      </c>
      <c r="E73" s="729">
        <v>300</v>
      </c>
      <c r="F73" s="272">
        <v>0</v>
      </c>
      <c r="G73" s="454">
        <v>3263</v>
      </c>
      <c r="H73" s="272"/>
      <c r="I73" s="1887"/>
      <c r="J73" s="254"/>
    </row>
    <row r="74" spans="1:10" ht="26.25" customHeight="1" x14ac:dyDescent="0.2">
      <c r="A74" s="258">
        <v>15</v>
      </c>
      <c r="B74" s="1803" t="s">
        <v>2063</v>
      </c>
      <c r="C74" s="1804"/>
      <c r="D74" s="272">
        <v>1652</v>
      </c>
      <c r="E74" s="272">
        <v>1652</v>
      </c>
      <c r="F74" s="272">
        <v>1652</v>
      </c>
      <c r="G74" s="454">
        <v>3263</v>
      </c>
      <c r="H74" s="272">
        <v>1652</v>
      </c>
      <c r="I74" s="1887"/>
      <c r="J74" s="254"/>
    </row>
    <row r="75" spans="1:10" ht="15" customHeight="1" x14ac:dyDescent="0.2">
      <c r="A75" s="258">
        <v>16</v>
      </c>
      <c r="B75" s="1803" t="s">
        <v>2064</v>
      </c>
      <c r="C75" s="1804"/>
      <c r="D75" s="272">
        <v>1977</v>
      </c>
      <c r="E75" s="272">
        <v>1977</v>
      </c>
      <c r="F75" s="272">
        <v>1705</v>
      </c>
      <c r="G75" s="454">
        <v>3263</v>
      </c>
      <c r="H75" s="272">
        <v>1705</v>
      </c>
      <c r="I75" s="1887"/>
      <c r="J75" s="254"/>
    </row>
    <row r="76" spans="1:10" ht="28.5" customHeight="1" x14ac:dyDescent="0.2">
      <c r="A76" s="258">
        <v>17</v>
      </c>
      <c r="B76" s="1803" t="s">
        <v>2065</v>
      </c>
      <c r="C76" s="1804"/>
      <c r="D76" s="272">
        <v>475</v>
      </c>
      <c r="E76" s="272">
        <v>475</v>
      </c>
      <c r="F76" s="272">
        <v>520</v>
      </c>
      <c r="G76" s="454">
        <v>3263</v>
      </c>
      <c r="H76" s="272">
        <v>520</v>
      </c>
      <c r="I76" s="1887"/>
      <c r="J76" s="254"/>
    </row>
    <row r="77" spans="1:10" ht="28.5" customHeight="1" x14ac:dyDescent="0.2">
      <c r="A77" s="258">
        <v>18</v>
      </c>
      <c r="B77" s="1803" t="s">
        <v>2066</v>
      </c>
      <c r="C77" s="1804"/>
      <c r="D77" s="272">
        <v>0</v>
      </c>
      <c r="E77" s="272">
        <v>0</v>
      </c>
      <c r="F77" s="272">
        <v>340</v>
      </c>
      <c r="G77" s="454">
        <v>3263</v>
      </c>
      <c r="H77" s="272">
        <v>340</v>
      </c>
      <c r="I77" s="1887"/>
      <c r="J77" s="254"/>
    </row>
    <row r="78" spans="1:10" ht="15" customHeight="1" x14ac:dyDescent="0.2">
      <c r="A78" s="258">
        <v>19</v>
      </c>
      <c r="B78" s="1803" t="s">
        <v>2067</v>
      </c>
      <c r="C78" s="1804"/>
      <c r="D78" s="272">
        <v>0</v>
      </c>
      <c r="E78" s="272">
        <v>0</v>
      </c>
      <c r="F78" s="272">
        <v>650</v>
      </c>
      <c r="G78" s="454">
        <v>3263</v>
      </c>
      <c r="H78" s="272">
        <v>650</v>
      </c>
      <c r="I78" s="1887"/>
      <c r="J78" s="254"/>
    </row>
    <row r="79" spans="1:10" ht="15" customHeight="1" x14ac:dyDescent="0.2">
      <c r="A79" s="258">
        <v>20</v>
      </c>
      <c r="B79" s="1803" t="s">
        <v>2068</v>
      </c>
      <c r="C79" s="1804"/>
      <c r="D79" s="272">
        <v>0</v>
      </c>
      <c r="E79" s="272">
        <v>0</v>
      </c>
      <c r="F79" s="272">
        <v>650</v>
      </c>
      <c r="G79" s="454">
        <v>3263</v>
      </c>
      <c r="H79" s="272">
        <v>650</v>
      </c>
      <c r="I79" s="1887"/>
      <c r="J79" s="254"/>
    </row>
    <row r="80" spans="1:10" ht="15" customHeight="1" x14ac:dyDescent="0.2">
      <c r="A80" s="258">
        <v>21</v>
      </c>
      <c r="B80" s="1803" t="s">
        <v>2069</v>
      </c>
      <c r="C80" s="1804"/>
      <c r="D80" s="272">
        <v>0</v>
      </c>
      <c r="E80" s="272">
        <v>0</v>
      </c>
      <c r="F80" s="272">
        <v>650</v>
      </c>
      <c r="G80" s="454">
        <v>3263</v>
      </c>
      <c r="H80" s="272">
        <v>650</v>
      </c>
      <c r="I80" s="1887"/>
      <c r="J80" s="254"/>
    </row>
    <row r="81" spans="1:10" ht="15" customHeight="1" x14ac:dyDescent="0.2">
      <c r="A81" s="258">
        <v>22</v>
      </c>
      <c r="B81" s="1803" t="s">
        <v>2070</v>
      </c>
      <c r="C81" s="1804"/>
      <c r="D81" s="272">
        <v>1320</v>
      </c>
      <c r="E81" s="272">
        <v>0</v>
      </c>
      <c r="F81" s="272">
        <v>1320</v>
      </c>
      <c r="G81" s="454">
        <v>3263</v>
      </c>
      <c r="H81" s="272">
        <v>1320</v>
      </c>
      <c r="I81" s="1887"/>
      <c r="J81" s="254"/>
    </row>
    <row r="82" spans="1:10" ht="15" customHeight="1" x14ac:dyDescent="0.2">
      <c r="A82" s="258">
        <v>23</v>
      </c>
      <c r="B82" s="1803" t="s">
        <v>2071</v>
      </c>
      <c r="C82" s="1804"/>
      <c r="D82" s="272">
        <v>0</v>
      </c>
      <c r="E82" s="272">
        <v>0</v>
      </c>
      <c r="F82" s="272">
        <v>500</v>
      </c>
      <c r="G82" s="454">
        <v>3263</v>
      </c>
      <c r="H82" s="272">
        <v>500</v>
      </c>
      <c r="I82" s="1887"/>
      <c r="J82" s="254"/>
    </row>
    <row r="83" spans="1:10" ht="15" customHeight="1" x14ac:dyDescent="0.2">
      <c r="A83" s="258">
        <v>24</v>
      </c>
      <c r="B83" s="1803" t="s">
        <v>2072</v>
      </c>
      <c r="C83" s="1804"/>
      <c r="D83" s="272">
        <v>935</v>
      </c>
      <c r="E83" s="272">
        <v>935</v>
      </c>
      <c r="F83" s="272">
        <v>925</v>
      </c>
      <c r="G83" s="454">
        <v>3263</v>
      </c>
      <c r="H83" s="272">
        <v>925</v>
      </c>
      <c r="I83" s="1887"/>
      <c r="J83" s="254"/>
    </row>
    <row r="84" spans="1:10" ht="15" customHeight="1" x14ac:dyDescent="0.2">
      <c r="A84" s="258">
        <v>25</v>
      </c>
      <c r="B84" s="1803" t="s">
        <v>2073</v>
      </c>
      <c r="C84" s="1804"/>
      <c r="D84" s="272">
        <v>0</v>
      </c>
      <c r="E84" s="272">
        <v>0</v>
      </c>
      <c r="F84" s="272">
        <v>610</v>
      </c>
      <c r="G84" s="454">
        <v>3263</v>
      </c>
      <c r="H84" s="272">
        <v>610</v>
      </c>
      <c r="I84" s="1887"/>
      <c r="J84" s="254"/>
    </row>
    <row r="85" spans="1:10" ht="15" customHeight="1" x14ac:dyDescent="0.2">
      <c r="A85" s="258">
        <v>26</v>
      </c>
      <c r="B85" s="1803" t="s">
        <v>2074</v>
      </c>
      <c r="C85" s="1804"/>
      <c r="D85" s="272">
        <v>0</v>
      </c>
      <c r="E85" s="272">
        <v>0</v>
      </c>
      <c r="F85" s="272">
        <v>1000</v>
      </c>
      <c r="G85" s="454">
        <v>3263</v>
      </c>
      <c r="H85" s="272">
        <v>1000</v>
      </c>
      <c r="I85" s="1887"/>
      <c r="J85" s="254"/>
    </row>
    <row r="86" spans="1:10" ht="15" customHeight="1" x14ac:dyDescent="0.2">
      <c r="A86" s="258">
        <v>27</v>
      </c>
      <c r="B86" s="1803" t="s">
        <v>2075</v>
      </c>
      <c r="C86" s="1804"/>
      <c r="D86" s="272">
        <v>0</v>
      </c>
      <c r="E86" s="272">
        <v>0</v>
      </c>
      <c r="F86" s="272">
        <v>1050</v>
      </c>
      <c r="G86" s="454">
        <v>3263</v>
      </c>
      <c r="H86" s="272">
        <v>1050</v>
      </c>
      <c r="I86" s="1887"/>
      <c r="J86" s="254"/>
    </row>
    <row r="87" spans="1:10" ht="25.5" customHeight="1" x14ac:dyDescent="0.2">
      <c r="A87" s="258">
        <v>28</v>
      </c>
      <c r="B87" s="1803" t="s">
        <v>2076</v>
      </c>
      <c r="C87" s="1804"/>
      <c r="D87" s="272">
        <v>0</v>
      </c>
      <c r="E87" s="272">
        <v>0</v>
      </c>
      <c r="F87" s="272">
        <v>525</v>
      </c>
      <c r="G87" s="454">
        <v>3263</v>
      </c>
      <c r="H87" s="272">
        <v>525</v>
      </c>
      <c r="I87" s="1887"/>
      <c r="J87" s="254"/>
    </row>
    <row r="88" spans="1:10" ht="15" customHeight="1" x14ac:dyDescent="0.2">
      <c r="A88" s="258">
        <v>29</v>
      </c>
      <c r="B88" s="1803" t="s">
        <v>2077</v>
      </c>
      <c r="C88" s="1804"/>
      <c r="D88" s="272">
        <v>0</v>
      </c>
      <c r="E88" s="272">
        <v>0</v>
      </c>
      <c r="F88" s="272">
        <v>675</v>
      </c>
      <c r="G88" s="454">
        <v>3263</v>
      </c>
      <c r="H88" s="272">
        <v>675</v>
      </c>
      <c r="I88" s="1887"/>
      <c r="J88" s="254"/>
    </row>
    <row r="89" spans="1:10" ht="17.25" hidden="1" customHeight="1" x14ac:dyDescent="0.2">
      <c r="A89" s="1885">
        <v>40</v>
      </c>
      <c r="B89" s="1799" t="s">
        <v>2078</v>
      </c>
      <c r="C89" s="1800"/>
      <c r="D89" s="452">
        <v>20284</v>
      </c>
      <c r="E89" s="452">
        <v>20281.400000000001</v>
      </c>
      <c r="F89" s="452">
        <v>0</v>
      </c>
      <c r="G89" s="454">
        <v>2361</v>
      </c>
      <c r="H89" s="272"/>
      <c r="I89" s="1887"/>
      <c r="J89" s="545"/>
    </row>
    <row r="90" spans="1:10" ht="12.75" hidden="1" customHeight="1" x14ac:dyDescent="0.2">
      <c r="A90" s="1888"/>
      <c r="B90" s="1889"/>
      <c r="C90" s="1890"/>
      <c r="D90" s="452">
        <v>3413</v>
      </c>
      <c r="E90" s="452">
        <v>3412.04</v>
      </c>
      <c r="F90" s="452">
        <v>0</v>
      </c>
      <c r="G90" s="454">
        <v>2363</v>
      </c>
      <c r="H90" s="272"/>
      <c r="I90" s="1887"/>
      <c r="J90" s="545"/>
    </row>
    <row r="91" spans="1:10" ht="12.75" hidden="1" customHeight="1" x14ac:dyDescent="0.2">
      <c r="A91" s="1888"/>
      <c r="B91" s="1889"/>
      <c r="C91" s="1890"/>
      <c r="D91" s="452">
        <v>5837</v>
      </c>
      <c r="E91" s="452">
        <v>5836</v>
      </c>
      <c r="F91" s="452">
        <v>0</v>
      </c>
      <c r="G91" s="454">
        <v>2262</v>
      </c>
      <c r="H91" s="272"/>
      <c r="I91" s="1887"/>
      <c r="J91" s="545"/>
    </row>
    <row r="92" spans="1:10" ht="12.75" hidden="1" customHeight="1" x14ac:dyDescent="0.2">
      <c r="A92" s="1888"/>
      <c r="B92" s="1889"/>
      <c r="C92" s="1890"/>
      <c r="D92" s="452">
        <v>577</v>
      </c>
      <c r="E92" s="452">
        <v>576</v>
      </c>
      <c r="F92" s="452">
        <v>0</v>
      </c>
      <c r="G92" s="454">
        <v>2261</v>
      </c>
      <c r="H92" s="272"/>
      <c r="I92" s="1887"/>
      <c r="J92" s="545"/>
    </row>
    <row r="93" spans="1:10" ht="12.75" hidden="1" customHeight="1" x14ac:dyDescent="0.2">
      <c r="A93" s="1886"/>
      <c r="B93" s="1801"/>
      <c r="C93" s="1802"/>
      <c r="D93" s="452">
        <v>500</v>
      </c>
      <c r="E93" s="452">
        <v>0</v>
      </c>
      <c r="F93" s="452">
        <v>0</v>
      </c>
      <c r="G93" s="327">
        <v>2231</v>
      </c>
      <c r="H93" s="272"/>
      <c r="I93" s="1887"/>
      <c r="J93" s="545"/>
    </row>
    <row r="94" spans="1:10" ht="12.75" customHeight="1" x14ac:dyDescent="0.2">
      <c r="A94" s="1885">
        <v>30</v>
      </c>
      <c r="B94" s="1799" t="s">
        <v>2079</v>
      </c>
      <c r="C94" s="1800"/>
      <c r="D94" s="452">
        <v>0</v>
      </c>
      <c r="E94" s="452">
        <v>0</v>
      </c>
      <c r="F94" s="452">
        <v>20000</v>
      </c>
      <c r="G94" s="327">
        <v>2361</v>
      </c>
      <c r="H94" s="272">
        <v>20000</v>
      </c>
      <c r="I94" s="1887"/>
      <c r="J94" s="545"/>
    </row>
    <row r="95" spans="1:10" ht="12.75" customHeight="1" x14ac:dyDescent="0.2">
      <c r="A95" s="1888"/>
      <c r="B95" s="1889"/>
      <c r="C95" s="1890"/>
      <c r="D95" s="452">
        <v>0</v>
      </c>
      <c r="E95" s="452">
        <v>0</v>
      </c>
      <c r="F95" s="452">
        <v>5000</v>
      </c>
      <c r="G95" s="327">
        <v>2363</v>
      </c>
      <c r="H95" s="272">
        <v>5000</v>
      </c>
      <c r="I95" s="1887"/>
      <c r="J95" s="545"/>
    </row>
    <row r="96" spans="1:10" ht="12.75" customHeight="1" x14ac:dyDescent="0.2">
      <c r="A96" s="1888"/>
      <c r="B96" s="1889"/>
      <c r="C96" s="1890"/>
      <c r="D96" s="452">
        <v>0</v>
      </c>
      <c r="E96" s="452">
        <v>0</v>
      </c>
      <c r="F96" s="452">
        <v>10000</v>
      </c>
      <c r="G96" s="327">
        <v>2261</v>
      </c>
      <c r="H96" s="272">
        <v>10000</v>
      </c>
      <c r="I96" s="1887"/>
      <c r="J96" s="545"/>
    </row>
    <row r="97" spans="1:10" ht="12.75" customHeight="1" x14ac:dyDescent="0.2">
      <c r="A97" s="1888"/>
      <c r="B97" s="1889"/>
      <c r="C97" s="1890"/>
      <c r="D97" s="452">
        <v>0</v>
      </c>
      <c r="E97" s="452">
        <v>0</v>
      </c>
      <c r="F97" s="452">
        <v>3000</v>
      </c>
      <c r="G97" s="327">
        <v>2262</v>
      </c>
      <c r="H97" s="272">
        <v>3000</v>
      </c>
      <c r="I97" s="1887"/>
      <c r="J97" s="545"/>
    </row>
    <row r="98" spans="1:10" ht="12.75" customHeight="1" x14ac:dyDescent="0.2">
      <c r="A98" s="1886"/>
      <c r="B98" s="1801"/>
      <c r="C98" s="1802"/>
      <c r="D98" s="416">
        <v>0</v>
      </c>
      <c r="E98" s="416">
        <v>0</v>
      </c>
      <c r="F98" s="416">
        <v>500</v>
      </c>
      <c r="G98" s="327">
        <v>2231</v>
      </c>
      <c r="H98" s="272">
        <v>500</v>
      </c>
      <c r="I98" s="1887"/>
      <c r="J98" s="258"/>
    </row>
    <row r="99" spans="1:10" ht="53.25" customHeight="1" x14ac:dyDescent="0.2">
      <c r="A99" s="258">
        <v>31</v>
      </c>
      <c r="B99" s="1803" t="s">
        <v>2080</v>
      </c>
      <c r="C99" s="1804"/>
      <c r="D99" s="416">
        <v>30049</v>
      </c>
      <c r="E99" s="416">
        <v>11169</v>
      </c>
      <c r="F99" s="416">
        <v>11000</v>
      </c>
      <c r="G99" s="454">
        <v>6422</v>
      </c>
      <c r="H99" s="272">
        <v>11000</v>
      </c>
      <c r="I99" s="1816"/>
      <c r="J99" s="258"/>
    </row>
    <row r="100" spans="1:10" ht="48" hidden="1" x14ac:dyDescent="0.2">
      <c r="A100" s="258">
        <v>43</v>
      </c>
      <c r="B100" s="2052" t="s">
        <v>2081</v>
      </c>
      <c r="C100" s="2053"/>
      <c r="D100" s="729">
        <v>350</v>
      </c>
      <c r="E100" s="729">
        <v>350</v>
      </c>
      <c r="F100" s="354">
        <v>0</v>
      </c>
      <c r="G100" s="730">
        <v>3263</v>
      </c>
      <c r="H100" s="576"/>
      <c r="I100" s="1526" t="s">
        <v>2038</v>
      </c>
      <c r="J100" s="258"/>
    </row>
    <row r="101" spans="1:10" hidden="1" x14ac:dyDescent="0.2">
      <c r="A101" s="254"/>
      <c r="B101" s="421"/>
      <c r="C101" s="421"/>
      <c r="D101" s="541"/>
      <c r="E101" s="541"/>
      <c r="F101" s="541"/>
      <c r="G101" s="541"/>
      <c r="H101" s="541"/>
      <c r="I101" s="1526"/>
      <c r="J101" s="254"/>
    </row>
    <row r="102" spans="1:10" x14ac:dyDescent="0.2">
      <c r="A102" s="388"/>
      <c r="B102" s="396"/>
      <c r="C102" s="1520"/>
      <c r="D102" s="387"/>
      <c r="E102" s="387"/>
      <c r="F102" s="387"/>
      <c r="G102" s="387"/>
      <c r="H102" s="387"/>
      <c r="I102" s="608"/>
      <c r="J102" s="388"/>
    </row>
    <row r="103" spans="1:10" ht="12.75" x14ac:dyDescent="0.2">
      <c r="A103" s="243" t="s">
        <v>123</v>
      </c>
      <c r="B103" s="243"/>
      <c r="C103" s="731" t="s">
        <v>148</v>
      </c>
      <c r="D103" s="731"/>
      <c r="E103" s="732"/>
      <c r="F103" s="274"/>
      <c r="G103" s="274"/>
      <c r="H103" s="243"/>
      <c r="J103" s="243"/>
    </row>
    <row r="104" spans="1:10" x14ac:dyDescent="0.2">
      <c r="A104" s="243" t="s">
        <v>125</v>
      </c>
      <c r="B104" s="243"/>
      <c r="C104" s="733" t="s">
        <v>872</v>
      </c>
      <c r="D104" s="733"/>
      <c r="E104" s="243"/>
      <c r="F104" s="243"/>
      <c r="G104" s="243"/>
      <c r="H104" s="243"/>
      <c r="J104" s="243"/>
    </row>
    <row r="105" spans="1:10" ht="48" x14ac:dyDescent="0.2">
      <c r="A105" s="251" t="s">
        <v>1</v>
      </c>
      <c r="B105" s="1797" t="s">
        <v>127</v>
      </c>
      <c r="C105" s="1798"/>
      <c r="D105" s="251" t="s">
        <v>14</v>
      </c>
      <c r="E105" s="251" t="s">
        <v>12</v>
      </c>
      <c r="F105" s="251" t="s">
        <v>128</v>
      </c>
      <c r="G105" s="251" t="s">
        <v>129</v>
      </c>
      <c r="H105" s="251" t="s">
        <v>3357</v>
      </c>
      <c r="I105" s="1533" t="s">
        <v>11</v>
      </c>
      <c r="J105" s="251" t="s">
        <v>131</v>
      </c>
    </row>
    <row r="106" spans="1:10" ht="15" customHeight="1" x14ac:dyDescent="0.2">
      <c r="A106" s="1729" t="s">
        <v>132</v>
      </c>
      <c r="B106" s="1730"/>
      <c r="C106" s="1731"/>
      <c r="D106" s="385">
        <f>SUM(D107:D107)</f>
        <v>0</v>
      </c>
      <c r="E106" s="385">
        <f>SUM(E107:E107)</f>
        <v>0</v>
      </c>
      <c r="F106" s="385">
        <f>SUM(F107,F108,F109,F110,F113,F115,F121,F124)</f>
        <v>202500</v>
      </c>
      <c r="G106" s="385"/>
      <c r="H106" s="385">
        <f t="shared" ref="H106" si="0">SUM(H107,H108,H109,H110,H113,H115,H121,H124)</f>
        <v>190000</v>
      </c>
      <c r="I106" s="600"/>
      <c r="J106" s="254"/>
    </row>
    <row r="107" spans="1:10" ht="18.75" customHeight="1" x14ac:dyDescent="0.2">
      <c r="A107" s="1735">
        <v>1</v>
      </c>
      <c r="B107" s="1741" t="s">
        <v>2082</v>
      </c>
      <c r="C107" s="1742"/>
      <c r="D107" s="301"/>
      <c r="E107" s="301"/>
      <c r="F107" s="734">
        <v>113000</v>
      </c>
      <c r="G107" s="259">
        <v>2231</v>
      </c>
      <c r="H107" s="1507">
        <v>113000</v>
      </c>
      <c r="I107" s="1732" t="s">
        <v>3372</v>
      </c>
      <c r="J107" s="279" t="s">
        <v>2083</v>
      </c>
    </row>
    <row r="108" spans="1:10" ht="18.75" customHeight="1" x14ac:dyDescent="0.2">
      <c r="A108" s="1736"/>
      <c r="B108" s="1743"/>
      <c r="C108" s="1744"/>
      <c r="D108" s="278"/>
      <c r="E108" s="278"/>
      <c r="F108" s="735">
        <v>500</v>
      </c>
      <c r="G108" s="259">
        <v>2222</v>
      </c>
      <c r="H108" s="1507">
        <v>500</v>
      </c>
      <c r="I108" s="1733"/>
      <c r="J108" s="279" t="s">
        <v>2084</v>
      </c>
    </row>
    <row r="109" spans="1:10" ht="18.75" customHeight="1" x14ac:dyDescent="0.2">
      <c r="A109" s="1737"/>
      <c r="B109" s="1745"/>
      <c r="C109" s="1746"/>
      <c r="D109" s="320"/>
      <c r="E109" s="320"/>
      <c r="F109" s="736">
        <v>10000</v>
      </c>
      <c r="G109" s="600">
        <v>2223</v>
      </c>
      <c r="H109" s="321">
        <v>10000</v>
      </c>
      <c r="I109" s="1734"/>
      <c r="J109" s="279" t="s">
        <v>2085</v>
      </c>
    </row>
    <row r="110" spans="1:10" ht="15" customHeight="1" x14ac:dyDescent="0.2">
      <c r="A110" s="295">
        <v>2</v>
      </c>
      <c r="B110" s="2054" t="s">
        <v>2086</v>
      </c>
      <c r="C110" s="1869"/>
      <c r="D110" s="320"/>
      <c r="E110" s="320"/>
      <c r="F110" s="321">
        <f>SUM(F111:F112)</f>
        <v>7500</v>
      </c>
      <c r="G110" s="600">
        <v>5250</v>
      </c>
      <c r="H110" s="320">
        <f>SUM(H111:H112)</f>
        <v>7500</v>
      </c>
      <c r="I110" s="1761" t="s">
        <v>2087</v>
      </c>
      <c r="J110" s="279"/>
    </row>
    <row r="111" spans="1:10" ht="19.5" hidden="1" customHeight="1" x14ac:dyDescent="0.2">
      <c r="A111" s="1947"/>
      <c r="B111" s="1947"/>
      <c r="C111" s="1517"/>
      <c r="D111" s="320"/>
      <c r="E111" s="320"/>
      <c r="F111" s="736">
        <v>4000</v>
      </c>
      <c r="G111" s="600"/>
      <c r="H111" s="321">
        <v>4000</v>
      </c>
      <c r="I111" s="1762"/>
      <c r="J111" s="279" t="s">
        <v>2088</v>
      </c>
    </row>
    <row r="112" spans="1:10" ht="36.75" hidden="1" customHeight="1" x14ac:dyDescent="0.2">
      <c r="A112" s="1948"/>
      <c r="B112" s="1948"/>
      <c r="C112" s="1518"/>
      <c r="D112" s="320"/>
      <c r="E112" s="320"/>
      <c r="F112" s="736">
        <v>3500</v>
      </c>
      <c r="G112" s="600"/>
      <c r="H112" s="321">
        <v>3500</v>
      </c>
      <c r="I112" s="1762"/>
      <c r="J112" s="306" t="s">
        <v>2089</v>
      </c>
    </row>
    <row r="113" spans="1:10" ht="15" customHeight="1" x14ac:dyDescent="0.2">
      <c r="A113" s="295">
        <v>3</v>
      </c>
      <c r="B113" s="2054" t="s">
        <v>879</v>
      </c>
      <c r="C113" s="1869"/>
      <c r="D113" s="320"/>
      <c r="E113" s="320"/>
      <c r="F113" s="321">
        <f>SUM(F114)</f>
        <v>5000</v>
      </c>
      <c r="G113" s="600">
        <v>5250</v>
      </c>
      <c r="H113" s="320">
        <f t="shared" ref="H113" si="1">SUM(H114)</f>
        <v>5000</v>
      </c>
      <c r="I113" s="1762"/>
      <c r="J113" s="279"/>
    </row>
    <row r="114" spans="1:10" ht="36" hidden="1" customHeight="1" x14ac:dyDescent="0.2">
      <c r="A114" s="295"/>
      <c r="B114" s="320"/>
      <c r="C114" s="320"/>
      <c r="D114" s="320"/>
      <c r="E114" s="320"/>
      <c r="F114" s="736">
        <v>5000</v>
      </c>
      <c r="G114" s="600"/>
      <c r="H114" s="321">
        <v>5000</v>
      </c>
      <c r="I114" s="1762"/>
      <c r="J114" s="279" t="s">
        <v>2090</v>
      </c>
    </row>
    <row r="115" spans="1:10" ht="15" customHeight="1" x14ac:dyDescent="0.2">
      <c r="A115" s="295">
        <v>4</v>
      </c>
      <c r="B115" s="2054" t="s">
        <v>881</v>
      </c>
      <c r="C115" s="1869"/>
      <c r="D115" s="320"/>
      <c r="E115" s="320"/>
      <c r="F115" s="321">
        <f>SUM(F116:F120)</f>
        <v>57500</v>
      </c>
      <c r="G115" s="600">
        <v>5250</v>
      </c>
      <c r="H115" s="321">
        <f t="shared" ref="H115" si="2">SUM(H116:H120)</f>
        <v>45000</v>
      </c>
      <c r="I115" s="1762"/>
      <c r="J115" s="279"/>
    </row>
    <row r="116" spans="1:10" ht="60" hidden="1" customHeight="1" x14ac:dyDescent="0.2">
      <c r="A116" s="1947"/>
      <c r="B116" s="1947"/>
      <c r="C116" s="1517"/>
      <c r="D116" s="320"/>
      <c r="E116" s="320"/>
      <c r="F116" s="736">
        <v>25000</v>
      </c>
      <c r="G116" s="600"/>
      <c r="H116" s="321">
        <v>25000</v>
      </c>
      <c r="I116" s="1762"/>
      <c r="J116" s="306" t="s">
        <v>2091</v>
      </c>
    </row>
    <row r="117" spans="1:10" ht="42" hidden="1" customHeight="1" x14ac:dyDescent="0.2">
      <c r="A117" s="1949"/>
      <c r="B117" s="1949"/>
      <c r="C117" s="1519"/>
      <c r="D117" s="320"/>
      <c r="E117" s="320"/>
      <c r="F117" s="736">
        <v>5000</v>
      </c>
      <c r="G117" s="600"/>
      <c r="H117" s="321"/>
      <c r="I117" s="1762"/>
      <c r="J117" s="300" t="s">
        <v>2092</v>
      </c>
    </row>
    <row r="118" spans="1:10" ht="50.25" hidden="1" customHeight="1" x14ac:dyDescent="0.2">
      <c r="A118" s="1949"/>
      <c r="B118" s="1949"/>
      <c r="C118" s="1519"/>
      <c r="D118" s="320"/>
      <c r="E118" s="320"/>
      <c r="F118" s="736">
        <v>6000</v>
      </c>
      <c r="G118" s="600"/>
      <c r="H118" s="321">
        <v>5000</v>
      </c>
      <c r="I118" s="1762"/>
      <c r="J118" s="273" t="s">
        <v>2093</v>
      </c>
    </row>
    <row r="119" spans="1:10" ht="51" hidden="1" customHeight="1" x14ac:dyDescent="0.2">
      <c r="A119" s="1949"/>
      <c r="B119" s="1949"/>
      <c r="C119" s="1519"/>
      <c r="D119" s="320"/>
      <c r="E119" s="320"/>
      <c r="F119" s="736">
        <v>15000</v>
      </c>
      <c r="G119" s="600"/>
      <c r="H119" s="321">
        <v>15000</v>
      </c>
      <c r="I119" s="1762"/>
      <c r="J119" s="273" t="s">
        <v>2094</v>
      </c>
    </row>
    <row r="120" spans="1:10" ht="31.5" hidden="1" customHeight="1" x14ac:dyDescent="0.2">
      <c r="A120" s="1948"/>
      <c r="B120" s="1948"/>
      <c r="C120" s="1518"/>
      <c r="D120" s="320"/>
      <c r="E120" s="320"/>
      <c r="F120" s="736">
        <v>6500</v>
      </c>
      <c r="G120" s="600"/>
      <c r="H120" s="321">
        <v>0</v>
      </c>
      <c r="I120" s="1762"/>
      <c r="J120" s="273" t="s">
        <v>2095</v>
      </c>
    </row>
    <row r="121" spans="1:10" ht="17.25" customHeight="1" x14ac:dyDescent="0.2">
      <c r="A121" s="1987">
        <v>5</v>
      </c>
      <c r="B121" s="1835" t="s">
        <v>2096</v>
      </c>
      <c r="C121" s="1836"/>
      <c r="D121" s="320"/>
      <c r="E121" s="320"/>
      <c r="F121" s="321">
        <f>SUM(F122:F123)</f>
        <v>3000</v>
      </c>
      <c r="G121" s="600">
        <v>5250</v>
      </c>
      <c r="H121" s="321">
        <f>SUM(H122:H123)</f>
        <v>3000</v>
      </c>
      <c r="I121" s="1762"/>
      <c r="J121" s="273"/>
    </row>
    <row r="122" spans="1:10" ht="24" hidden="1" customHeight="1" x14ac:dyDescent="0.2">
      <c r="A122" s="2055"/>
      <c r="B122" s="1950"/>
      <c r="C122" s="1877"/>
      <c r="D122" s="320"/>
      <c r="E122" s="320"/>
      <c r="F122" s="736">
        <v>2000</v>
      </c>
      <c r="G122" s="600"/>
      <c r="H122" s="321">
        <v>2000</v>
      </c>
      <c r="I122" s="1762"/>
      <c r="J122" s="273" t="s">
        <v>2097</v>
      </c>
    </row>
    <row r="123" spans="1:10" ht="38.25" hidden="1" customHeight="1" x14ac:dyDescent="0.2">
      <c r="A123" s="2055"/>
      <c r="B123" s="1950"/>
      <c r="C123" s="1877"/>
      <c r="D123" s="320"/>
      <c r="E123" s="320"/>
      <c r="F123" s="736">
        <v>1000</v>
      </c>
      <c r="G123" s="600"/>
      <c r="H123" s="321">
        <v>1000</v>
      </c>
      <c r="I123" s="1762"/>
      <c r="J123" s="273" t="s">
        <v>2098</v>
      </c>
    </row>
    <row r="124" spans="1:10" ht="15" customHeight="1" x14ac:dyDescent="0.2">
      <c r="A124" s="2055"/>
      <c r="B124" s="1950"/>
      <c r="C124" s="1877"/>
      <c r="D124" s="320"/>
      <c r="E124" s="320"/>
      <c r="F124" s="321">
        <v>6000</v>
      </c>
      <c r="G124" s="600">
        <v>5239</v>
      </c>
      <c r="H124" s="321">
        <v>6000</v>
      </c>
      <c r="I124" s="1763"/>
      <c r="J124" s="273" t="s">
        <v>2099</v>
      </c>
    </row>
    <row r="125" spans="1:10" ht="12.75" hidden="1" customHeight="1" x14ac:dyDescent="0.2">
      <c r="A125" s="1988"/>
      <c r="B125" s="1837"/>
      <c r="C125" s="1838"/>
      <c r="D125" s="320"/>
      <c r="E125" s="320"/>
      <c r="F125" s="321"/>
      <c r="G125" s="600"/>
      <c r="H125" s="321"/>
      <c r="I125" s="372"/>
      <c r="J125" s="279"/>
    </row>
    <row r="126" spans="1:10" x14ac:dyDescent="0.2">
      <c r="A126" s="1617"/>
      <c r="B126" s="1617"/>
      <c r="C126" s="1617"/>
      <c r="D126" s="1617"/>
      <c r="E126" s="1617"/>
      <c r="F126" s="1617"/>
      <c r="G126" s="1618"/>
      <c r="H126" s="1165"/>
      <c r="I126" s="1619"/>
      <c r="J126" s="388"/>
    </row>
    <row r="127" spans="1:10" ht="12.75" hidden="1" x14ac:dyDescent="0.2">
      <c r="A127" s="243" t="s">
        <v>123</v>
      </c>
      <c r="B127" s="243"/>
      <c r="C127" s="731" t="s">
        <v>2100</v>
      </c>
      <c r="D127" s="731"/>
      <c r="E127" s="732"/>
      <c r="F127" s="274"/>
      <c r="G127" s="274"/>
      <c r="H127" s="243"/>
      <c r="J127" s="243"/>
    </row>
    <row r="128" spans="1:10" hidden="1" x14ac:dyDescent="0.2">
      <c r="A128" s="243" t="s">
        <v>125</v>
      </c>
      <c r="B128" s="243"/>
      <c r="C128" s="738" t="s">
        <v>1854</v>
      </c>
      <c r="D128" s="738"/>
      <c r="E128" s="243"/>
      <c r="F128" s="243"/>
      <c r="G128" s="243"/>
      <c r="H128" s="243"/>
      <c r="J128" s="243"/>
    </row>
    <row r="129" spans="1:10" ht="48" hidden="1" x14ac:dyDescent="0.2">
      <c r="A129" s="251" t="s">
        <v>1</v>
      </c>
      <c r="B129" s="252" t="s">
        <v>127</v>
      </c>
      <c r="C129" s="1505"/>
      <c r="D129" s="251" t="s">
        <v>14</v>
      </c>
      <c r="E129" s="251" t="s">
        <v>12</v>
      </c>
      <c r="F129" s="251" t="s">
        <v>128</v>
      </c>
      <c r="G129" s="251" t="s">
        <v>129</v>
      </c>
      <c r="H129" s="251" t="s">
        <v>130</v>
      </c>
      <c r="I129" s="1533" t="s">
        <v>11</v>
      </c>
      <c r="J129" s="251" t="s">
        <v>131</v>
      </c>
    </row>
    <row r="130" spans="1:10" hidden="1" x14ac:dyDescent="0.2">
      <c r="A130" s="1807" t="s">
        <v>132</v>
      </c>
      <c r="B130" s="1808"/>
      <c r="C130" s="1501"/>
      <c r="D130" s="253">
        <f>SUM(D131:D132)</f>
        <v>7000</v>
      </c>
      <c r="E130" s="253">
        <f>SUM(E131:E132)</f>
        <v>0</v>
      </c>
      <c r="F130" s="253">
        <f>SUM(F131:F132)</f>
        <v>0</v>
      </c>
      <c r="G130" s="253"/>
      <c r="H130" s="253">
        <f>SUM(H131:H132)</f>
        <v>0</v>
      </c>
      <c r="I130" s="450"/>
      <c r="J130" s="254"/>
    </row>
    <row r="131" spans="1:10" hidden="1" x14ac:dyDescent="0.2">
      <c r="A131" s="739">
        <v>1</v>
      </c>
      <c r="B131" s="421" t="s">
        <v>2101</v>
      </c>
      <c r="C131" s="421"/>
      <c r="D131" s="541">
        <v>7000</v>
      </c>
      <c r="E131" s="541">
        <v>0</v>
      </c>
      <c r="F131" s="541">
        <v>0</v>
      </c>
      <c r="G131" s="624">
        <v>1150</v>
      </c>
      <c r="H131" s="541"/>
      <c r="I131" s="1526"/>
      <c r="J131" s="254"/>
    </row>
    <row r="132" spans="1:10" hidden="1" x14ac:dyDescent="0.2">
      <c r="A132" s="254"/>
      <c r="B132" s="740"/>
      <c r="C132" s="740"/>
      <c r="D132" s="741"/>
      <c r="E132" s="741"/>
      <c r="F132" s="741"/>
      <c r="G132" s="624"/>
      <c r="H132" s="541"/>
      <c r="I132" s="1526"/>
      <c r="J132" s="254"/>
    </row>
    <row r="133" spans="1:10" hidden="1" x14ac:dyDescent="0.2">
      <c r="D133" s="358"/>
      <c r="E133" s="358"/>
      <c r="F133" s="358"/>
      <c r="H133" s="358"/>
      <c r="I133" s="262"/>
    </row>
    <row r="134" spans="1:10" hidden="1" x14ac:dyDescent="0.2">
      <c r="A134" s="1810" t="s">
        <v>239</v>
      </c>
      <c r="B134" s="1811"/>
      <c r="C134" s="1502"/>
      <c r="D134" s="280">
        <f>SUM(D10,D49,D130)</f>
        <v>1088200</v>
      </c>
      <c r="E134" s="280">
        <f>SUM(E10,E49,E130)</f>
        <v>1000951.81</v>
      </c>
      <c r="F134" s="280">
        <f>SUM(F10,F49,F130)</f>
        <v>1083663.1000000001</v>
      </c>
      <c r="G134" s="281"/>
      <c r="H134" s="280">
        <f>SUM(H10,H49,H130)</f>
        <v>943663</v>
      </c>
      <c r="I134" s="264"/>
      <c r="J134" s="265"/>
    </row>
    <row r="135" spans="1:10" x14ac:dyDescent="0.2">
      <c r="A135" s="244" t="s">
        <v>400</v>
      </c>
    </row>
    <row r="136" spans="1:10" x14ac:dyDescent="0.2">
      <c r="A136" s="244" t="s">
        <v>401</v>
      </c>
    </row>
    <row r="138" spans="1:10" x14ac:dyDescent="0.2">
      <c r="A138" s="244" t="s">
        <v>1977</v>
      </c>
    </row>
    <row r="139" spans="1:10" x14ac:dyDescent="0.2">
      <c r="B139" s="244" t="s">
        <v>2102</v>
      </c>
    </row>
    <row r="140" spans="1:10" x14ac:dyDescent="0.2">
      <c r="B140" s="244" t="s">
        <v>2103</v>
      </c>
    </row>
    <row r="141" spans="1:10" x14ac:dyDescent="0.2">
      <c r="B141" s="244" t="s">
        <v>2104</v>
      </c>
    </row>
    <row r="142" spans="1:10" x14ac:dyDescent="0.2">
      <c r="B142" s="244" t="s">
        <v>2105</v>
      </c>
    </row>
    <row r="143" spans="1:10" x14ac:dyDescent="0.2">
      <c r="B143" s="244" t="s">
        <v>2106</v>
      </c>
    </row>
    <row r="144" spans="1:10" x14ac:dyDescent="0.2">
      <c r="B144" s="244" t="s">
        <v>2107</v>
      </c>
    </row>
    <row r="145" spans="1:11" x14ac:dyDescent="0.2">
      <c r="B145" s="244" t="s">
        <v>2108</v>
      </c>
    </row>
    <row r="146" spans="1:11" x14ac:dyDescent="0.2">
      <c r="B146" s="244" t="s">
        <v>2109</v>
      </c>
    </row>
    <row r="147" spans="1:11" x14ac:dyDescent="0.2">
      <c r="B147" s="244" t="s">
        <v>2110</v>
      </c>
    </row>
    <row r="149" spans="1:11" x14ac:dyDescent="0.2">
      <c r="A149" s="244" t="s">
        <v>2111</v>
      </c>
    </row>
    <row r="150" spans="1:11" x14ac:dyDescent="0.2">
      <c r="A150" s="742" t="s">
        <v>2112</v>
      </c>
      <c r="B150" s="742"/>
      <c r="C150" s="742"/>
      <c r="D150" s="742"/>
    </row>
    <row r="151" spans="1:11" x14ac:dyDescent="0.2">
      <c r="A151" s="742" t="s">
        <v>2113</v>
      </c>
      <c r="B151" s="742"/>
      <c r="C151" s="742"/>
      <c r="D151" s="742"/>
    </row>
    <row r="152" spans="1:11" x14ac:dyDescent="0.2">
      <c r="A152" s="742" t="s">
        <v>2114</v>
      </c>
      <c r="B152" s="742"/>
      <c r="C152" s="742"/>
      <c r="D152" s="742"/>
    </row>
    <row r="153" spans="1:11" x14ac:dyDescent="0.2">
      <c r="A153" s="742" t="s">
        <v>2115</v>
      </c>
      <c r="B153" s="742"/>
      <c r="C153" s="742"/>
      <c r="D153" s="742"/>
    </row>
    <row r="158" spans="1:11" x14ac:dyDescent="0.2">
      <c r="A158" s="268"/>
      <c r="B158" s="268"/>
      <c r="C158" s="268"/>
      <c r="D158" s="268"/>
      <c r="E158" s="268"/>
      <c r="F158" s="268"/>
      <c r="G158" s="268"/>
      <c r="H158" s="268"/>
      <c r="I158" s="1494"/>
      <c r="J158" s="268"/>
      <c r="K158" s="268"/>
    </row>
    <row r="159" spans="1:11" x14ac:dyDescent="0.2">
      <c r="A159" s="268"/>
      <c r="B159" s="268"/>
      <c r="C159" s="268"/>
      <c r="D159" s="268"/>
      <c r="E159" s="268"/>
      <c r="F159" s="268"/>
      <c r="G159" s="268"/>
      <c r="H159" s="268"/>
      <c r="I159" s="1494"/>
      <c r="J159" s="268"/>
      <c r="K159" s="268"/>
    </row>
    <row r="160" spans="1:11" x14ac:dyDescent="0.2">
      <c r="A160" s="268"/>
      <c r="B160" s="268"/>
      <c r="C160" s="268"/>
      <c r="D160" s="268"/>
      <c r="E160" s="268"/>
      <c r="F160" s="268"/>
      <c r="G160" s="268"/>
      <c r="H160" s="268"/>
      <c r="I160" s="1494"/>
      <c r="J160" s="268"/>
      <c r="K160" s="268"/>
    </row>
  </sheetData>
  <sheetProtection algorithmName="SHA-512" hashValue="B+Sho0/QhXqaNV5JgZB8npOm0sbkn9ZMkNBPQHL+QCC73jiIE7A7S3Zk180+mFTkKeA7c0ByzO2civ5Rn2aMtQ==" saltValue="2OOcmqgIsFp9Qf/qYc5h6w==" spinCount="100000" sheet="1" objects="1" scenarios="1"/>
  <mergeCells count="105">
    <mergeCell ref="B85:C85"/>
    <mergeCell ref="B86:C86"/>
    <mergeCell ref="B87:C87"/>
    <mergeCell ref="B88:C88"/>
    <mergeCell ref="B89:C93"/>
    <mergeCell ref="I107:I10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B61:C61"/>
    <mergeCell ref="B62:C62"/>
    <mergeCell ref="B63:C63"/>
    <mergeCell ref="B64:C64"/>
    <mergeCell ref="B60:C60"/>
    <mergeCell ref="B40:C40"/>
    <mergeCell ref="B41:C41"/>
    <mergeCell ref="B32:C32"/>
    <mergeCell ref="B33:C33"/>
    <mergeCell ref="B34:C34"/>
    <mergeCell ref="B35:C35"/>
    <mergeCell ref="B36:C36"/>
    <mergeCell ref="B50:C50"/>
    <mergeCell ref="B51:C51"/>
    <mergeCell ref="B55:C55"/>
    <mergeCell ref="B56:C56"/>
    <mergeCell ref="B57:C57"/>
    <mergeCell ref="B58:C58"/>
    <mergeCell ref="B59:C59"/>
    <mergeCell ref="B52:C52"/>
    <mergeCell ref="B53:C53"/>
    <mergeCell ref="B54:C54"/>
    <mergeCell ref="B42:C42"/>
    <mergeCell ref="B43:C43"/>
    <mergeCell ref="B44:C44"/>
    <mergeCell ref="B48:C48"/>
    <mergeCell ref="A49:C49"/>
    <mergeCell ref="B31:C31"/>
    <mergeCell ref="B22:C22"/>
    <mergeCell ref="B23:C23"/>
    <mergeCell ref="B24:C24"/>
    <mergeCell ref="B25:C25"/>
    <mergeCell ref="B26:C26"/>
    <mergeCell ref="B37:C37"/>
    <mergeCell ref="B38:C38"/>
    <mergeCell ref="B39:C39"/>
    <mergeCell ref="A130:B130"/>
    <mergeCell ref="A134:B134"/>
    <mergeCell ref="A111:A112"/>
    <mergeCell ref="B111:B112"/>
    <mergeCell ref="A116:A120"/>
    <mergeCell ref="B116:B120"/>
    <mergeCell ref="A94:A98"/>
    <mergeCell ref="B94:C98"/>
    <mergeCell ref="B99:C99"/>
    <mergeCell ref="B100:C100"/>
    <mergeCell ref="B105:C105"/>
    <mergeCell ref="A106:C106"/>
    <mergeCell ref="B107:C109"/>
    <mergeCell ref="A107:A109"/>
    <mergeCell ref="B110:C110"/>
    <mergeCell ref="B113:C113"/>
    <mergeCell ref="B121:C125"/>
    <mergeCell ref="A121:A125"/>
    <mergeCell ref="B115:C115"/>
    <mergeCell ref="B15:C15"/>
    <mergeCell ref="B16:C16"/>
    <mergeCell ref="I11:I44"/>
    <mergeCell ref="A10:C10"/>
    <mergeCell ref="I51:I99"/>
    <mergeCell ref="I110:I124"/>
    <mergeCell ref="A1:B1"/>
    <mergeCell ref="A2:B2"/>
    <mergeCell ref="A4:J4"/>
    <mergeCell ref="B9:C9"/>
    <mergeCell ref="B11:C11"/>
    <mergeCell ref="B12:C12"/>
    <mergeCell ref="B13:C13"/>
    <mergeCell ref="B14:C14"/>
    <mergeCell ref="B17:C17"/>
    <mergeCell ref="B18:C18"/>
    <mergeCell ref="B19:C19"/>
    <mergeCell ref="B20:C20"/>
    <mergeCell ref="B21:C21"/>
    <mergeCell ref="A89:A93"/>
    <mergeCell ref="B27:C27"/>
    <mergeCell ref="B28:C28"/>
    <mergeCell ref="B29:C29"/>
    <mergeCell ref="B30:C30"/>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25.pielikums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U330"/>
  <sheetViews>
    <sheetView view="pageLayout" zoomScaleNormal="100" workbookViewId="0">
      <selection activeCell="O17" sqref="O17"/>
    </sheetView>
  </sheetViews>
  <sheetFormatPr defaultRowHeight="12" x14ac:dyDescent="0.2"/>
  <cols>
    <col min="1" max="1" width="4.85546875" style="161" customWidth="1"/>
    <col min="2" max="2" width="33.5703125" style="161" customWidth="1"/>
    <col min="3" max="3" width="10.7109375" style="161" hidden="1" customWidth="1"/>
    <col min="4" max="4" width="9.5703125" style="161" hidden="1" customWidth="1"/>
    <col min="5" max="5" width="10.7109375" style="161" hidden="1" customWidth="1"/>
    <col min="6" max="6" width="9.5703125" style="161" hidden="1" customWidth="1"/>
    <col min="7" max="7" width="10.7109375" style="161" hidden="1" customWidth="1"/>
    <col min="8" max="8" width="9.5703125" style="161" hidden="1" customWidth="1"/>
    <col min="9" max="9" width="11.140625" style="1615" customWidth="1"/>
    <col min="10" max="10" width="10.7109375" style="161" bestFit="1" customWidth="1"/>
    <col min="11" max="11" width="9.5703125" style="161" bestFit="1" customWidth="1"/>
    <col min="12" max="12" width="22.140625" style="161" customWidth="1"/>
    <col min="13" max="13" width="22" style="161" hidden="1" customWidth="1"/>
    <col min="14" max="47" width="9.140625" style="196"/>
    <col min="48" max="16384" width="9.140625" style="161"/>
  </cols>
  <sheetData>
    <row r="1" spans="1:15" ht="12.75" customHeight="1" x14ac:dyDescent="0.2">
      <c r="A1" s="1113" t="s">
        <v>117</v>
      </c>
      <c r="B1" s="1114"/>
      <c r="C1" s="2058" t="s">
        <v>2499</v>
      </c>
      <c r="D1" s="2058"/>
      <c r="E1" s="2058"/>
      <c r="F1" s="2058"/>
      <c r="G1" s="2058"/>
      <c r="H1" s="2058"/>
      <c r="I1" s="2058"/>
      <c r="J1" s="2058"/>
      <c r="K1" s="2058"/>
      <c r="L1" s="1115"/>
      <c r="M1" s="1041"/>
    </row>
    <row r="2" spans="1:15" ht="12.75" customHeight="1" x14ac:dyDescent="0.2">
      <c r="A2" s="176" t="s">
        <v>515</v>
      </c>
      <c r="B2" s="1116"/>
      <c r="C2" s="2059">
        <v>90009229680</v>
      </c>
      <c r="D2" s="2059"/>
      <c r="E2" s="2059"/>
      <c r="F2" s="2059"/>
      <c r="G2" s="2059"/>
      <c r="H2" s="2059"/>
      <c r="I2" s="2059"/>
      <c r="J2" s="2059"/>
      <c r="K2" s="2059"/>
      <c r="L2" s="1117"/>
      <c r="M2" s="1117"/>
    </row>
    <row r="3" spans="1:15" ht="15.75" x14ac:dyDescent="0.25">
      <c r="A3" s="2062" t="s">
        <v>516</v>
      </c>
      <c r="B3" s="2062"/>
      <c r="C3" s="2062"/>
      <c r="D3" s="2062"/>
      <c r="E3" s="2062"/>
      <c r="F3" s="2062"/>
      <c r="G3" s="2062"/>
      <c r="H3" s="2062"/>
      <c r="I3" s="2062"/>
      <c r="J3" s="2062"/>
      <c r="K3" s="2062"/>
      <c r="L3" s="2062"/>
      <c r="M3" s="1118"/>
      <c r="N3" s="1620"/>
      <c r="O3" s="1620"/>
    </row>
    <row r="4" spans="1:15" ht="15.75" x14ac:dyDescent="0.25">
      <c r="A4" s="1118"/>
      <c r="B4" s="1118"/>
      <c r="C4" s="1118"/>
      <c r="D4" s="1118"/>
      <c r="E4" s="1118"/>
      <c r="F4" s="1118"/>
      <c r="G4" s="1118"/>
      <c r="H4" s="1118"/>
      <c r="I4" s="1550"/>
      <c r="J4" s="1118"/>
      <c r="K4" s="1118"/>
      <c r="L4" s="1118"/>
      <c r="M4" s="1118"/>
      <c r="N4" s="1620"/>
      <c r="O4" s="1620"/>
    </row>
    <row r="5" spans="1:15" ht="12.75" customHeight="1" x14ac:dyDescent="0.25">
      <c r="A5" s="2060" t="s">
        <v>121</v>
      </c>
      <c r="B5" s="2060"/>
      <c r="C5" s="2061" t="s">
        <v>2499</v>
      </c>
      <c r="D5" s="2061"/>
      <c r="E5" s="2061"/>
      <c r="F5" s="2061"/>
      <c r="G5" s="2061"/>
      <c r="H5" s="2061"/>
      <c r="I5" s="2061"/>
      <c r="J5" s="2061"/>
      <c r="K5" s="2061"/>
      <c r="L5" s="1041"/>
      <c r="M5" s="1041"/>
    </row>
    <row r="6" spans="1:15" ht="12.75" customHeight="1" x14ac:dyDescent="0.2">
      <c r="A6" s="176" t="s">
        <v>123</v>
      </c>
      <c r="B6" s="176"/>
      <c r="C6" s="2058" t="s">
        <v>2500</v>
      </c>
      <c r="D6" s="2058"/>
      <c r="E6" s="2058"/>
      <c r="F6" s="2058"/>
      <c r="G6" s="2058"/>
      <c r="H6" s="2058"/>
      <c r="I6" s="2058"/>
      <c r="J6" s="2058"/>
      <c r="K6" s="2058"/>
      <c r="L6" s="1041"/>
      <c r="M6" s="1041"/>
    </row>
    <row r="7" spans="1:15" ht="12.75" customHeight="1" x14ac:dyDescent="0.2">
      <c r="A7" s="1119" t="s">
        <v>125</v>
      </c>
      <c r="B7" s="1119"/>
      <c r="C7" s="2056" t="s">
        <v>1854</v>
      </c>
      <c r="D7" s="2056"/>
      <c r="E7" s="2056"/>
      <c r="F7" s="2056"/>
      <c r="G7" s="2056"/>
      <c r="H7" s="2056"/>
      <c r="I7" s="2056"/>
      <c r="J7" s="2056"/>
      <c r="K7" s="2056"/>
      <c r="L7" s="1120"/>
      <c r="M7" s="1120"/>
    </row>
    <row r="8" spans="1:15" ht="26.25" customHeight="1" x14ac:dyDescent="0.2">
      <c r="A8" s="2057" t="s">
        <v>1</v>
      </c>
      <c r="B8" s="2057" t="s">
        <v>127</v>
      </c>
      <c r="C8" s="2057" t="s">
        <v>520</v>
      </c>
      <c r="D8" s="2057"/>
      <c r="E8" s="2057" t="s">
        <v>521</v>
      </c>
      <c r="F8" s="2057"/>
      <c r="G8" s="2057" t="s">
        <v>522</v>
      </c>
      <c r="H8" s="2057"/>
      <c r="I8" s="2057" t="s">
        <v>129</v>
      </c>
      <c r="J8" s="2057" t="s">
        <v>3357</v>
      </c>
      <c r="K8" s="2057"/>
      <c r="L8" s="2057" t="s">
        <v>11</v>
      </c>
      <c r="M8" s="2057" t="s">
        <v>131</v>
      </c>
    </row>
    <row r="9" spans="1:15" ht="24" x14ac:dyDescent="0.2">
      <c r="A9" s="2057"/>
      <c r="B9" s="2057"/>
      <c r="C9" s="165" t="s">
        <v>524</v>
      </c>
      <c r="D9" s="165" t="s">
        <v>525</v>
      </c>
      <c r="E9" s="165" t="s">
        <v>524</v>
      </c>
      <c r="F9" s="165" t="s">
        <v>525</v>
      </c>
      <c r="G9" s="165" t="s">
        <v>524</v>
      </c>
      <c r="H9" s="165" t="s">
        <v>525</v>
      </c>
      <c r="I9" s="2057"/>
      <c r="J9" s="165" t="s">
        <v>524</v>
      </c>
      <c r="K9" s="165" t="s">
        <v>525</v>
      </c>
      <c r="L9" s="2057"/>
      <c r="M9" s="2057"/>
    </row>
    <row r="10" spans="1:15" ht="16.5" customHeight="1" x14ac:dyDescent="0.2">
      <c r="A10" s="2068" t="s">
        <v>526</v>
      </c>
      <c r="B10" s="2068"/>
      <c r="C10" s="167">
        <f t="shared" ref="C10:H10" si="0">SUM(C11,C18,C27,C63,C83,C117,C135,C173,C216,C244)</f>
        <v>513808</v>
      </c>
      <c r="D10" s="167">
        <f t="shared" si="0"/>
        <v>24865</v>
      </c>
      <c r="E10" s="167">
        <f t="shared" si="0"/>
        <v>506105</v>
      </c>
      <c r="F10" s="167">
        <f t="shared" si="0"/>
        <v>22417</v>
      </c>
      <c r="G10" s="1055">
        <f t="shared" si="0"/>
        <v>527997</v>
      </c>
      <c r="H10" s="167">
        <f t="shared" si="0"/>
        <v>24129</v>
      </c>
      <c r="I10" s="1631"/>
      <c r="J10" s="1628">
        <f>SUM(J11,J18,J27,J63,J83,J117,J135,J173,J216,J244)</f>
        <v>478091</v>
      </c>
      <c r="K10" s="1628">
        <f>SUM(K11,K18,K27,K63,K83,K117,K135,K173,K216,K244)</f>
        <v>23751</v>
      </c>
      <c r="L10" s="167"/>
      <c r="M10" s="167"/>
    </row>
    <row r="11" spans="1:15" ht="15.75" customHeight="1" x14ac:dyDescent="0.2">
      <c r="A11" s="2069">
        <v>1</v>
      </c>
      <c r="B11" s="2070" t="s">
        <v>2501</v>
      </c>
      <c r="C11" s="167">
        <f>SUM(C12:C17)</f>
        <v>45703</v>
      </c>
      <c r="D11" s="167">
        <f t="shared" ref="D11:H11" si="1">SUM(D12:D17)</f>
        <v>0</v>
      </c>
      <c r="E11" s="167">
        <f t="shared" si="1"/>
        <v>45703</v>
      </c>
      <c r="F11" s="167">
        <f t="shared" si="1"/>
        <v>0</v>
      </c>
      <c r="G11" s="1055">
        <f t="shared" si="1"/>
        <v>45353</v>
      </c>
      <c r="H11" s="167">
        <f t="shared" si="1"/>
        <v>0</v>
      </c>
      <c r="I11" s="1631"/>
      <c r="J11" s="1628">
        <f t="shared" ref="J11:K11" si="2">SUM(J12:J17)</f>
        <v>45747</v>
      </c>
      <c r="K11" s="1628">
        <f t="shared" si="2"/>
        <v>0</v>
      </c>
      <c r="L11" s="2071" t="s">
        <v>2502</v>
      </c>
      <c r="M11" s="2072" t="s">
        <v>2503</v>
      </c>
    </row>
    <row r="12" spans="1:15" ht="15.75" customHeight="1" x14ac:dyDescent="0.2">
      <c r="A12" s="2069"/>
      <c r="B12" s="2070"/>
      <c r="C12" s="539">
        <v>8000</v>
      </c>
      <c r="D12" s="539"/>
      <c r="E12" s="539">
        <v>8000</v>
      </c>
      <c r="F12" s="539"/>
      <c r="G12" s="1204">
        <v>8000</v>
      </c>
      <c r="H12" s="539"/>
      <c r="I12" s="1548">
        <v>1150</v>
      </c>
      <c r="J12" s="536">
        <v>8000</v>
      </c>
      <c r="K12" s="925"/>
      <c r="L12" s="2071"/>
      <c r="M12" s="2072"/>
    </row>
    <row r="13" spans="1:15" ht="15.75" customHeight="1" x14ac:dyDescent="0.2">
      <c r="A13" s="2069"/>
      <c r="B13" s="2070"/>
      <c r="C13" s="539">
        <v>400</v>
      </c>
      <c r="D13" s="539"/>
      <c r="E13" s="539">
        <v>400</v>
      </c>
      <c r="F13" s="539"/>
      <c r="G13" s="1204">
        <v>400</v>
      </c>
      <c r="H13" s="539"/>
      <c r="I13" s="1548">
        <v>1210</v>
      </c>
      <c r="J13" s="536">
        <v>400</v>
      </c>
      <c r="K13" s="925"/>
      <c r="L13" s="2071"/>
      <c r="M13" s="2072"/>
    </row>
    <row r="14" spans="1:15" ht="15.75" hidden="1" customHeight="1" x14ac:dyDescent="0.2">
      <c r="A14" s="2069"/>
      <c r="B14" s="2070"/>
      <c r="C14" s="539">
        <v>310</v>
      </c>
      <c r="D14" s="539"/>
      <c r="E14" s="539">
        <v>310</v>
      </c>
      <c r="F14" s="539"/>
      <c r="G14" s="1204">
        <v>310</v>
      </c>
      <c r="H14" s="539"/>
      <c r="I14" s="1548">
        <v>2262</v>
      </c>
      <c r="J14" s="536">
        <v>0</v>
      </c>
      <c r="K14" s="925"/>
      <c r="L14" s="2071"/>
      <c r="M14" s="2072"/>
    </row>
    <row r="15" spans="1:15" ht="15.75" hidden="1" customHeight="1" x14ac:dyDescent="0.2">
      <c r="A15" s="2069"/>
      <c r="B15" s="2070"/>
      <c r="C15" s="539">
        <v>19075</v>
      </c>
      <c r="D15" s="539"/>
      <c r="E15" s="539">
        <v>19075</v>
      </c>
      <c r="F15" s="539"/>
      <c r="G15" s="1204">
        <v>19075</v>
      </c>
      <c r="H15" s="539"/>
      <c r="I15" s="1548">
        <v>2264</v>
      </c>
      <c r="J15" s="536">
        <v>0</v>
      </c>
      <c r="K15" s="925"/>
      <c r="L15" s="2071"/>
      <c r="M15" s="2072"/>
    </row>
    <row r="16" spans="1:15" ht="15.75" customHeight="1" x14ac:dyDescent="0.2">
      <c r="A16" s="2069"/>
      <c r="B16" s="2070"/>
      <c r="C16" s="539">
        <v>14023</v>
      </c>
      <c r="D16" s="539"/>
      <c r="E16" s="539">
        <v>14023</v>
      </c>
      <c r="F16" s="539"/>
      <c r="G16" s="1204">
        <v>13673</v>
      </c>
      <c r="H16" s="539"/>
      <c r="I16" s="1548">
        <v>2231</v>
      </c>
      <c r="J16" s="536">
        <f>33058+394</f>
        <v>33452</v>
      </c>
      <c r="K16" s="925"/>
      <c r="L16" s="2071"/>
      <c r="M16" s="2072"/>
    </row>
    <row r="17" spans="1:13" ht="15.75" customHeight="1" x14ac:dyDescent="0.2">
      <c r="A17" s="2069"/>
      <c r="B17" s="2070"/>
      <c r="C17" s="539">
        <v>3895</v>
      </c>
      <c r="D17" s="539"/>
      <c r="E17" s="539">
        <v>3895</v>
      </c>
      <c r="F17" s="539"/>
      <c r="G17" s="1204">
        <v>3895</v>
      </c>
      <c r="H17" s="539"/>
      <c r="I17" s="1548">
        <v>2314</v>
      </c>
      <c r="J17" s="536">
        <v>3895</v>
      </c>
      <c r="K17" s="925"/>
      <c r="L17" s="2071"/>
      <c r="M17" s="2072"/>
    </row>
    <row r="18" spans="1:13" x14ac:dyDescent="0.2">
      <c r="A18" s="2069">
        <v>2</v>
      </c>
      <c r="B18" s="2070" t="s">
        <v>2504</v>
      </c>
      <c r="C18" s="1123">
        <f>SUM(C19:C26)</f>
        <v>56097</v>
      </c>
      <c r="D18" s="1123">
        <f t="shared" ref="D18:H18" si="3">SUM(D19:D26)</f>
        <v>0</v>
      </c>
      <c r="E18" s="1123">
        <f t="shared" si="3"/>
        <v>56097</v>
      </c>
      <c r="F18" s="1123">
        <f t="shared" si="3"/>
        <v>0</v>
      </c>
      <c r="G18" s="1205">
        <f t="shared" si="3"/>
        <v>56097</v>
      </c>
      <c r="H18" s="1123">
        <f t="shared" si="3"/>
        <v>0</v>
      </c>
      <c r="I18" s="1543"/>
      <c r="J18" s="1629">
        <f t="shared" ref="J18:K18" si="4">SUM(J19:J26)</f>
        <v>56832</v>
      </c>
      <c r="K18" s="1629">
        <f t="shared" si="4"/>
        <v>0</v>
      </c>
      <c r="L18" s="2071" t="s">
        <v>2505</v>
      </c>
      <c r="M18" s="2063" t="s">
        <v>2506</v>
      </c>
    </row>
    <row r="19" spans="1:13" ht="12.75" customHeight="1" x14ac:dyDescent="0.2">
      <c r="A19" s="2069"/>
      <c r="B19" s="2070"/>
      <c r="C19" s="539">
        <v>6824</v>
      </c>
      <c r="D19" s="539"/>
      <c r="E19" s="539">
        <v>6824</v>
      </c>
      <c r="F19" s="539"/>
      <c r="G19" s="1204">
        <v>6824</v>
      </c>
      <c r="H19" s="539"/>
      <c r="I19" s="1548">
        <v>1150</v>
      </c>
      <c r="J19" s="536">
        <v>6824</v>
      </c>
      <c r="K19" s="925"/>
      <c r="L19" s="2071"/>
      <c r="M19" s="2063"/>
    </row>
    <row r="20" spans="1:13" ht="12.75" customHeight="1" x14ac:dyDescent="0.2">
      <c r="A20" s="2069"/>
      <c r="B20" s="2070"/>
      <c r="C20" s="539">
        <v>341</v>
      </c>
      <c r="D20" s="539"/>
      <c r="E20" s="539">
        <v>341</v>
      </c>
      <c r="F20" s="539"/>
      <c r="G20" s="1204">
        <v>341</v>
      </c>
      <c r="H20" s="539"/>
      <c r="I20" s="1548">
        <v>1210</v>
      </c>
      <c r="J20" s="536">
        <v>341</v>
      </c>
      <c r="K20" s="925"/>
      <c r="L20" s="2071"/>
      <c r="M20" s="2063"/>
    </row>
    <row r="21" spans="1:13" ht="12.75" customHeight="1" x14ac:dyDescent="0.2">
      <c r="A21" s="2069"/>
      <c r="B21" s="2070"/>
      <c r="C21" s="539">
        <v>600</v>
      </c>
      <c r="D21" s="539"/>
      <c r="E21" s="539">
        <v>600</v>
      </c>
      <c r="F21" s="539"/>
      <c r="G21" s="1204">
        <v>600</v>
      </c>
      <c r="H21" s="539"/>
      <c r="I21" s="1548">
        <v>2231</v>
      </c>
      <c r="J21" s="536">
        <f>600+1180+24848+300+18847+342+393</f>
        <v>46510</v>
      </c>
      <c r="K21" s="925"/>
      <c r="L21" s="2071"/>
      <c r="M21" s="2063"/>
    </row>
    <row r="22" spans="1:13" ht="12.75" hidden="1" customHeight="1" x14ac:dyDescent="0.2">
      <c r="A22" s="2069"/>
      <c r="B22" s="2070"/>
      <c r="C22" s="539">
        <v>1180</v>
      </c>
      <c r="D22" s="539"/>
      <c r="E22" s="539">
        <v>1180</v>
      </c>
      <c r="F22" s="539"/>
      <c r="G22" s="1204">
        <v>1180</v>
      </c>
      <c r="H22" s="539"/>
      <c r="I22" s="1548">
        <v>2262</v>
      </c>
      <c r="J22" s="536">
        <v>0</v>
      </c>
      <c r="K22" s="925"/>
      <c r="L22" s="2071"/>
      <c r="M22" s="2063"/>
    </row>
    <row r="23" spans="1:13" ht="12.75" hidden="1" customHeight="1" x14ac:dyDescent="0.2">
      <c r="A23" s="2069"/>
      <c r="B23" s="2070"/>
      <c r="C23" s="539">
        <v>24848</v>
      </c>
      <c r="D23" s="539"/>
      <c r="E23" s="539">
        <v>24848</v>
      </c>
      <c r="F23" s="539"/>
      <c r="G23" s="1204">
        <v>24848</v>
      </c>
      <c r="H23" s="539"/>
      <c r="I23" s="1548">
        <v>2264</v>
      </c>
      <c r="J23" s="536">
        <v>0</v>
      </c>
      <c r="K23" s="925"/>
      <c r="L23" s="2071"/>
      <c r="M23" s="2063"/>
    </row>
    <row r="24" spans="1:13" ht="21.75" hidden="1" customHeight="1" x14ac:dyDescent="0.2">
      <c r="A24" s="2069"/>
      <c r="B24" s="2070"/>
      <c r="C24" s="539">
        <v>300</v>
      </c>
      <c r="D24" s="539"/>
      <c r="E24" s="539">
        <v>300</v>
      </c>
      <c r="F24" s="539"/>
      <c r="G24" s="1204">
        <v>300</v>
      </c>
      <c r="H24" s="539"/>
      <c r="I24" s="1548">
        <v>2269</v>
      </c>
      <c r="J24" s="536">
        <v>0</v>
      </c>
      <c r="K24" s="925"/>
      <c r="L24" s="2071"/>
      <c r="M24" s="2063"/>
    </row>
    <row r="25" spans="1:13" ht="18.75" hidden="1" customHeight="1" x14ac:dyDescent="0.2">
      <c r="A25" s="2069"/>
      <c r="B25" s="2070"/>
      <c r="C25" s="539">
        <v>18847</v>
      </c>
      <c r="D25" s="539"/>
      <c r="E25" s="539">
        <v>18847</v>
      </c>
      <c r="F25" s="539"/>
      <c r="G25" s="1204">
        <v>18847</v>
      </c>
      <c r="H25" s="539"/>
      <c r="I25" s="1548">
        <v>2279</v>
      </c>
      <c r="J25" s="536">
        <v>0</v>
      </c>
      <c r="K25" s="925"/>
      <c r="L25" s="2071"/>
      <c r="M25" s="2063"/>
    </row>
    <row r="26" spans="1:13" ht="15" customHeight="1" x14ac:dyDescent="0.2">
      <c r="A26" s="2069"/>
      <c r="B26" s="2070"/>
      <c r="C26" s="539">
        <v>3157</v>
      </c>
      <c r="D26" s="539"/>
      <c r="E26" s="539">
        <v>3157</v>
      </c>
      <c r="F26" s="539"/>
      <c r="G26" s="1204">
        <v>3157</v>
      </c>
      <c r="H26" s="539"/>
      <c r="I26" s="1548">
        <v>2314</v>
      </c>
      <c r="J26" s="536">
        <v>3157</v>
      </c>
      <c r="K26" s="925"/>
      <c r="L26" s="2071"/>
      <c r="M26" s="2063"/>
    </row>
    <row r="27" spans="1:13" ht="15.75" customHeight="1" x14ac:dyDescent="0.2">
      <c r="A27" s="1124">
        <v>3</v>
      </c>
      <c r="B27" s="1621" t="s">
        <v>2507</v>
      </c>
      <c r="C27" s="1123">
        <f>SUM(C28,C35,C42,C49,C56)</f>
        <v>141574</v>
      </c>
      <c r="D27" s="1123">
        <f t="shared" ref="D27:H27" si="5">SUM(D28,D35,D42,D49,D56)</f>
        <v>0</v>
      </c>
      <c r="E27" s="1123">
        <f t="shared" si="5"/>
        <v>165777</v>
      </c>
      <c r="F27" s="1123">
        <f t="shared" si="5"/>
        <v>0</v>
      </c>
      <c r="G27" s="1205">
        <f t="shared" si="5"/>
        <v>182068</v>
      </c>
      <c r="H27" s="1123">
        <f t="shared" si="5"/>
        <v>0</v>
      </c>
      <c r="I27" s="1548"/>
      <c r="J27" s="1629">
        <f t="shared" ref="J27:K27" si="6">SUM(J28,J35,J42,J49,J56)</f>
        <v>166596</v>
      </c>
      <c r="K27" s="1629">
        <f t="shared" si="6"/>
        <v>0</v>
      </c>
      <c r="L27" s="1134"/>
      <c r="M27" s="1125"/>
    </row>
    <row r="28" spans="1:13" ht="14.25" customHeight="1" x14ac:dyDescent="0.2">
      <c r="A28" s="2064" t="s">
        <v>2508</v>
      </c>
      <c r="B28" s="2065" t="s">
        <v>2509</v>
      </c>
      <c r="C28" s="1123">
        <f t="shared" ref="C28:F28" si="7">SUM(C29:C34)</f>
        <v>0</v>
      </c>
      <c r="D28" s="1123">
        <f t="shared" si="7"/>
        <v>0</v>
      </c>
      <c r="E28" s="1123">
        <f t="shared" si="7"/>
        <v>24941</v>
      </c>
      <c r="F28" s="1123">
        <f t="shared" si="7"/>
        <v>0</v>
      </c>
      <c r="G28" s="1205">
        <f>SUM(G29:G34)</f>
        <v>36794</v>
      </c>
      <c r="H28" s="1123">
        <f>SUM(H29:H34)</f>
        <v>0</v>
      </c>
      <c r="I28" s="1548"/>
      <c r="J28" s="1629">
        <f t="shared" ref="J28:K28" si="8">SUM(J29:J34)</f>
        <v>25053</v>
      </c>
      <c r="K28" s="1629">
        <f t="shared" si="8"/>
        <v>0</v>
      </c>
      <c r="L28" s="2066" t="s">
        <v>2510</v>
      </c>
      <c r="M28" s="1126" t="s">
        <v>2511</v>
      </c>
    </row>
    <row r="29" spans="1:13" ht="14.25" customHeight="1" x14ac:dyDescent="0.2">
      <c r="A29" s="2064"/>
      <c r="B29" s="2065"/>
      <c r="C29" s="539">
        <v>0</v>
      </c>
      <c r="D29" s="1123"/>
      <c r="E29" s="539">
        <v>3742</v>
      </c>
      <c r="F29" s="1123"/>
      <c r="G29" s="1204">
        <v>7000</v>
      </c>
      <c r="H29" s="1123"/>
      <c r="I29" s="1548">
        <v>1150</v>
      </c>
      <c r="J29" s="536">
        <v>3742</v>
      </c>
      <c r="K29" s="1629"/>
      <c r="L29" s="2066"/>
      <c r="M29" s="1125"/>
    </row>
    <row r="30" spans="1:13" ht="14.25" customHeight="1" x14ac:dyDescent="0.2">
      <c r="A30" s="2064"/>
      <c r="B30" s="2065"/>
      <c r="C30" s="539">
        <v>0</v>
      </c>
      <c r="D30" s="1123"/>
      <c r="E30" s="539">
        <v>179</v>
      </c>
      <c r="F30" s="1123"/>
      <c r="G30" s="1204">
        <v>350</v>
      </c>
      <c r="H30" s="1123"/>
      <c r="I30" s="1548">
        <v>1210</v>
      </c>
      <c r="J30" s="536">
        <v>188</v>
      </c>
      <c r="K30" s="1629"/>
      <c r="L30" s="2066"/>
      <c r="M30" s="1125"/>
    </row>
    <row r="31" spans="1:13" ht="14.25" customHeight="1" x14ac:dyDescent="0.2">
      <c r="A31" s="2064"/>
      <c r="B31" s="2065"/>
      <c r="C31" s="539">
        <v>0</v>
      </c>
      <c r="D31" s="1123"/>
      <c r="E31" s="539">
        <v>350</v>
      </c>
      <c r="F31" s="1123"/>
      <c r="G31" s="1204">
        <v>350</v>
      </c>
      <c r="H31" s="1123"/>
      <c r="I31" s="1548">
        <v>2231</v>
      </c>
      <c r="J31" s="536">
        <f>19420-291+394</f>
        <v>19523</v>
      </c>
      <c r="K31" s="1629"/>
      <c r="L31" s="2066"/>
      <c r="M31" s="1125"/>
    </row>
    <row r="32" spans="1:13" ht="14.25" hidden="1" customHeight="1" x14ac:dyDescent="0.2">
      <c r="A32" s="2064"/>
      <c r="B32" s="2065"/>
      <c r="C32" s="539">
        <v>0</v>
      </c>
      <c r="D32" s="1123"/>
      <c r="E32" s="539">
        <v>11135</v>
      </c>
      <c r="F32" s="1123"/>
      <c r="G32" s="1204">
        <v>13350</v>
      </c>
      <c r="H32" s="1123"/>
      <c r="I32" s="1548">
        <v>2264</v>
      </c>
      <c r="J32" s="536">
        <v>0</v>
      </c>
      <c r="K32" s="1629"/>
      <c r="L32" s="2066"/>
      <c r="M32" s="1125"/>
    </row>
    <row r="33" spans="1:13" ht="14.25" hidden="1" customHeight="1" x14ac:dyDescent="0.2">
      <c r="A33" s="2064"/>
      <c r="B33" s="2065"/>
      <c r="C33" s="539">
        <v>0</v>
      </c>
      <c r="D33" s="1123"/>
      <c r="E33" s="539">
        <v>7935</v>
      </c>
      <c r="F33" s="1123"/>
      <c r="G33" s="1204">
        <v>11794</v>
      </c>
      <c r="H33" s="1123"/>
      <c r="I33" s="1548">
        <v>2279</v>
      </c>
      <c r="J33" s="536">
        <v>0</v>
      </c>
      <c r="K33" s="1629"/>
      <c r="L33" s="2066"/>
      <c r="M33" s="1126" t="s">
        <v>2512</v>
      </c>
    </row>
    <row r="34" spans="1:13" ht="14.25" customHeight="1" x14ac:dyDescent="0.2">
      <c r="A34" s="2064"/>
      <c r="B34" s="2065"/>
      <c r="C34" s="539">
        <v>0</v>
      </c>
      <c r="D34" s="1123"/>
      <c r="E34" s="539">
        <v>1600</v>
      </c>
      <c r="F34" s="1123"/>
      <c r="G34" s="1204">
        <v>3950</v>
      </c>
      <c r="H34" s="1123"/>
      <c r="I34" s="1548">
        <v>2314</v>
      </c>
      <c r="J34" s="536">
        <v>1600</v>
      </c>
      <c r="K34" s="1629"/>
      <c r="L34" s="2067"/>
      <c r="M34" s="1125"/>
    </row>
    <row r="35" spans="1:13" ht="13.5" customHeight="1" x14ac:dyDescent="0.2">
      <c r="A35" s="2073" t="s">
        <v>2513</v>
      </c>
      <c r="B35" s="2065" t="s">
        <v>2514</v>
      </c>
      <c r="C35" s="1123">
        <f>SUM(C36:C41)</f>
        <v>4041</v>
      </c>
      <c r="D35" s="1123">
        <f t="shared" ref="D35:H35" si="9">SUM(D36:D41)</f>
        <v>0</v>
      </c>
      <c r="E35" s="1123">
        <f t="shared" si="9"/>
        <v>3741</v>
      </c>
      <c r="F35" s="1123">
        <f t="shared" si="9"/>
        <v>0</v>
      </c>
      <c r="G35" s="1205">
        <f t="shared" si="9"/>
        <v>8790</v>
      </c>
      <c r="H35" s="1123">
        <f t="shared" si="9"/>
        <v>0</v>
      </c>
      <c r="I35" s="1543"/>
      <c r="J35" s="1629">
        <f t="shared" ref="J35:K35" si="10">SUM(J36:J41)</f>
        <v>4003</v>
      </c>
      <c r="K35" s="1629">
        <f t="shared" si="10"/>
        <v>0</v>
      </c>
      <c r="L35" s="2074" t="s">
        <v>2516</v>
      </c>
      <c r="M35" s="1126" t="s">
        <v>2515</v>
      </c>
    </row>
    <row r="36" spans="1:13" ht="13.5" customHeight="1" x14ac:dyDescent="0.2">
      <c r="A36" s="2073"/>
      <c r="B36" s="2065"/>
      <c r="C36" s="539">
        <v>177</v>
      </c>
      <c r="D36" s="539"/>
      <c r="E36" s="539">
        <v>177</v>
      </c>
      <c r="F36" s="539"/>
      <c r="G36" s="1204">
        <v>1500</v>
      </c>
      <c r="H36" s="539"/>
      <c r="I36" s="1548">
        <v>1150</v>
      </c>
      <c r="J36" s="536">
        <v>177</v>
      </c>
      <c r="K36" s="925"/>
      <c r="L36" s="2066"/>
      <c r="M36" s="1125"/>
    </row>
    <row r="37" spans="1:13" ht="13.5" customHeight="1" x14ac:dyDescent="0.2">
      <c r="A37" s="2073"/>
      <c r="B37" s="2065"/>
      <c r="C37" s="539">
        <v>9</v>
      </c>
      <c r="D37" s="539"/>
      <c r="E37" s="539">
        <v>9</v>
      </c>
      <c r="F37" s="539"/>
      <c r="G37" s="1204">
        <v>75</v>
      </c>
      <c r="H37" s="539"/>
      <c r="I37" s="1548">
        <v>1210</v>
      </c>
      <c r="J37" s="536">
        <v>9</v>
      </c>
      <c r="K37" s="925"/>
      <c r="L37" s="2066"/>
      <c r="M37" s="1125"/>
    </row>
    <row r="38" spans="1:13" ht="13.5" customHeight="1" x14ac:dyDescent="0.2">
      <c r="A38" s="2073"/>
      <c r="B38" s="2065"/>
      <c r="C38" s="539">
        <v>95</v>
      </c>
      <c r="D38" s="539"/>
      <c r="E38" s="539">
        <v>95</v>
      </c>
      <c r="F38" s="539"/>
      <c r="G38" s="1204">
        <v>200</v>
      </c>
      <c r="H38" s="539"/>
      <c r="I38" s="1548">
        <v>2231</v>
      </c>
      <c r="J38" s="536">
        <f>3353+262</f>
        <v>3615</v>
      </c>
      <c r="K38" s="925"/>
      <c r="L38" s="2066"/>
      <c r="M38" s="1125"/>
    </row>
    <row r="39" spans="1:13" ht="13.5" hidden="1" customHeight="1" x14ac:dyDescent="0.2">
      <c r="A39" s="2073"/>
      <c r="B39" s="2065"/>
      <c r="C39" s="539">
        <v>3258</v>
      </c>
      <c r="D39" s="539"/>
      <c r="E39" s="539">
        <v>3258</v>
      </c>
      <c r="F39" s="539"/>
      <c r="G39" s="1204">
        <v>4800</v>
      </c>
      <c r="H39" s="539"/>
      <c r="I39" s="1548">
        <v>2264</v>
      </c>
      <c r="J39" s="536">
        <v>0</v>
      </c>
      <c r="K39" s="925"/>
      <c r="L39" s="2066"/>
      <c r="M39" s="1125"/>
    </row>
    <row r="40" spans="1:13" ht="13.5" hidden="1" customHeight="1" x14ac:dyDescent="0.2">
      <c r="A40" s="2073"/>
      <c r="B40" s="2065"/>
      <c r="C40" s="539">
        <v>300</v>
      </c>
      <c r="D40" s="539"/>
      <c r="E40" s="539"/>
      <c r="F40" s="539"/>
      <c r="G40" s="1204">
        <v>1900</v>
      </c>
      <c r="H40" s="539"/>
      <c r="I40" s="1548">
        <v>2279</v>
      </c>
      <c r="J40" s="536">
        <v>0</v>
      </c>
      <c r="K40" s="925"/>
      <c r="L40" s="2066"/>
      <c r="M40" s="1125"/>
    </row>
    <row r="41" spans="1:13" ht="13.5" customHeight="1" x14ac:dyDescent="0.2">
      <c r="A41" s="2073"/>
      <c r="B41" s="2065"/>
      <c r="C41" s="539">
        <v>202</v>
      </c>
      <c r="D41" s="539"/>
      <c r="E41" s="539">
        <v>202</v>
      </c>
      <c r="F41" s="539"/>
      <c r="G41" s="1204">
        <v>315</v>
      </c>
      <c r="H41" s="539"/>
      <c r="I41" s="1548">
        <v>2314</v>
      </c>
      <c r="J41" s="536">
        <v>202</v>
      </c>
      <c r="K41" s="925"/>
      <c r="L41" s="2067"/>
      <c r="M41" s="1125"/>
    </row>
    <row r="42" spans="1:13" ht="20.25" customHeight="1" x14ac:dyDescent="0.2">
      <c r="A42" s="2064" t="s">
        <v>2517</v>
      </c>
      <c r="B42" s="2065" t="s">
        <v>2518</v>
      </c>
      <c r="C42" s="1123">
        <f>SUM(C43:C48)</f>
        <v>70669</v>
      </c>
      <c r="D42" s="1123">
        <f t="shared" ref="D42:H42" si="11">SUM(D43:D48)</f>
        <v>0</v>
      </c>
      <c r="E42" s="1123">
        <f t="shared" si="11"/>
        <v>70466</v>
      </c>
      <c r="F42" s="1123">
        <f t="shared" si="11"/>
        <v>0</v>
      </c>
      <c r="G42" s="1205">
        <f t="shared" si="11"/>
        <v>70319</v>
      </c>
      <c r="H42" s="1123">
        <f t="shared" si="11"/>
        <v>0</v>
      </c>
      <c r="I42" s="1548"/>
      <c r="J42" s="1629">
        <f t="shared" ref="J42:K42" si="12">SUM(J43:J48)</f>
        <v>70577</v>
      </c>
      <c r="K42" s="1629">
        <f t="shared" si="12"/>
        <v>0</v>
      </c>
      <c r="L42" s="2071" t="s">
        <v>2519</v>
      </c>
      <c r="M42" s="1125"/>
    </row>
    <row r="43" spans="1:13" ht="20.25" customHeight="1" x14ac:dyDescent="0.2">
      <c r="A43" s="2064"/>
      <c r="B43" s="2065"/>
      <c r="C43" s="539">
        <v>13379</v>
      </c>
      <c r="D43" s="539"/>
      <c r="E43" s="539">
        <v>13379</v>
      </c>
      <c r="F43" s="539"/>
      <c r="G43" s="1204">
        <v>11520</v>
      </c>
      <c r="H43" s="539"/>
      <c r="I43" s="1548">
        <v>1150</v>
      </c>
      <c r="J43" s="536">
        <v>11520</v>
      </c>
      <c r="K43" s="925"/>
      <c r="L43" s="2071"/>
      <c r="M43" s="1125"/>
    </row>
    <row r="44" spans="1:13" ht="20.25" customHeight="1" x14ac:dyDescent="0.2">
      <c r="A44" s="2064"/>
      <c r="B44" s="2065"/>
      <c r="C44" s="539">
        <v>669</v>
      </c>
      <c r="D44" s="539"/>
      <c r="E44" s="539">
        <v>668</v>
      </c>
      <c r="F44" s="539"/>
      <c r="G44" s="1204">
        <v>576</v>
      </c>
      <c r="H44" s="539"/>
      <c r="I44" s="1548">
        <v>1210</v>
      </c>
      <c r="J44" s="536">
        <v>576</v>
      </c>
      <c r="K44" s="925"/>
      <c r="L44" s="2071"/>
      <c r="M44" s="1125"/>
    </row>
    <row r="45" spans="1:13" ht="20.25" customHeight="1" x14ac:dyDescent="0.2">
      <c r="A45" s="2064"/>
      <c r="B45" s="2065"/>
      <c r="C45" s="539">
        <v>650</v>
      </c>
      <c r="D45" s="539"/>
      <c r="E45" s="539">
        <v>448</v>
      </c>
      <c r="F45" s="539"/>
      <c r="G45" s="1204">
        <v>400</v>
      </c>
      <c r="H45" s="539"/>
      <c r="I45" s="1548">
        <v>2231</v>
      </c>
      <c r="J45" s="536">
        <f>400+32067+23756+458</f>
        <v>56681</v>
      </c>
      <c r="K45" s="925"/>
      <c r="L45" s="2071"/>
      <c r="M45" s="1125"/>
    </row>
    <row r="46" spans="1:13" ht="20.25" hidden="1" customHeight="1" x14ac:dyDescent="0.2">
      <c r="A46" s="2064"/>
      <c r="B46" s="2065"/>
      <c r="C46" s="539">
        <v>31471</v>
      </c>
      <c r="D46" s="539"/>
      <c r="E46" s="539">
        <v>31471</v>
      </c>
      <c r="F46" s="539"/>
      <c r="G46" s="1204">
        <v>32067</v>
      </c>
      <c r="H46" s="539"/>
      <c r="I46" s="1548">
        <v>2264</v>
      </c>
      <c r="J46" s="536">
        <v>0</v>
      </c>
      <c r="K46" s="925"/>
      <c r="L46" s="2071"/>
      <c r="M46" s="1125"/>
    </row>
    <row r="47" spans="1:13" ht="20.25" hidden="1" customHeight="1" x14ac:dyDescent="0.2">
      <c r="A47" s="2064"/>
      <c r="B47" s="2065"/>
      <c r="C47" s="539">
        <v>22904</v>
      </c>
      <c r="D47" s="539"/>
      <c r="E47" s="539">
        <v>22904</v>
      </c>
      <c r="F47" s="539"/>
      <c r="G47" s="1204">
        <v>23756</v>
      </c>
      <c r="H47" s="539"/>
      <c r="I47" s="1548">
        <v>2279</v>
      </c>
      <c r="J47" s="536">
        <v>0</v>
      </c>
      <c r="K47" s="925"/>
      <c r="L47" s="2071"/>
      <c r="M47" s="1126" t="s">
        <v>2520</v>
      </c>
    </row>
    <row r="48" spans="1:13" ht="20.25" customHeight="1" x14ac:dyDescent="0.2">
      <c r="A48" s="2064"/>
      <c r="B48" s="2065"/>
      <c r="C48" s="539">
        <v>1596</v>
      </c>
      <c r="D48" s="539"/>
      <c r="E48" s="539">
        <v>1596</v>
      </c>
      <c r="F48" s="539"/>
      <c r="G48" s="1204">
        <v>2000</v>
      </c>
      <c r="H48" s="539"/>
      <c r="I48" s="1548">
        <v>2314</v>
      </c>
      <c r="J48" s="536">
        <v>1800</v>
      </c>
      <c r="K48" s="925"/>
      <c r="L48" s="2071"/>
      <c r="M48" s="1125"/>
    </row>
    <row r="49" spans="1:13" x14ac:dyDescent="0.2">
      <c r="A49" s="2064" t="s">
        <v>2521</v>
      </c>
      <c r="B49" s="2065" t="s">
        <v>2522</v>
      </c>
      <c r="C49" s="1123">
        <f>SUM(C50:C55)</f>
        <v>12000</v>
      </c>
      <c r="D49" s="1123">
        <f t="shared" ref="D49:H49" si="13">SUM(D50:D55)</f>
        <v>0</v>
      </c>
      <c r="E49" s="1123">
        <f t="shared" si="13"/>
        <v>12000</v>
      </c>
      <c r="F49" s="1123">
        <f t="shared" si="13"/>
        <v>0</v>
      </c>
      <c r="G49" s="1205">
        <f t="shared" si="13"/>
        <v>12000</v>
      </c>
      <c r="H49" s="1123">
        <f t="shared" si="13"/>
        <v>0</v>
      </c>
      <c r="I49" s="1548"/>
      <c r="J49" s="1629">
        <f t="shared" ref="J49:K49" si="14">SUM(J50:J55)</f>
        <v>12262</v>
      </c>
      <c r="K49" s="1629">
        <f t="shared" si="14"/>
        <v>0</v>
      </c>
      <c r="L49" s="2077" t="s">
        <v>2523</v>
      </c>
      <c r="M49" s="1125"/>
    </row>
    <row r="50" spans="1:13" ht="12.75" customHeight="1" x14ac:dyDescent="0.2">
      <c r="A50" s="2064"/>
      <c r="B50" s="2065"/>
      <c r="C50" s="539">
        <v>1142</v>
      </c>
      <c r="D50" s="539"/>
      <c r="E50" s="539">
        <v>1142</v>
      </c>
      <c r="F50" s="539"/>
      <c r="G50" s="1204">
        <v>1142</v>
      </c>
      <c r="H50" s="539"/>
      <c r="I50" s="1548">
        <v>1150</v>
      </c>
      <c r="J50" s="536">
        <v>1142</v>
      </c>
      <c r="K50" s="925"/>
      <c r="L50" s="2077"/>
      <c r="M50" s="1125"/>
    </row>
    <row r="51" spans="1:13" ht="12.75" customHeight="1" x14ac:dyDescent="0.2">
      <c r="A51" s="2064"/>
      <c r="B51" s="2065"/>
      <c r="C51" s="539">
        <v>58</v>
      </c>
      <c r="D51" s="539"/>
      <c r="E51" s="539">
        <v>58</v>
      </c>
      <c r="F51" s="539"/>
      <c r="G51" s="1204">
        <v>58</v>
      </c>
      <c r="H51" s="539"/>
      <c r="I51" s="1548">
        <v>1210</v>
      </c>
      <c r="J51" s="536">
        <v>58</v>
      </c>
      <c r="K51" s="925"/>
      <c r="L51" s="2077"/>
      <c r="M51" s="1125"/>
    </row>
    <row r="52" spans="1:13" ht="11.25" customHeight="1" x14ac:dyDescent="0.2">
      <c r="A52" s="2064"/>
      <c r="B52" s="2065"/>
      <c r="C52" s="539">
        <v>200</v>
      </c>
      <c r="D52" s="539"/>
      <c r="E52" s="539">
        <v>200</v>
      </c>
      <c r="F52" s="539"/>
      <c r="G52" s="1204">
        <v>200</v>
      </c>
      <c r="H52" s="539"/>
      <c r="I52" s="1548">
        <v>2231</v>
      </c>
      <c r="J52" s="536">
        <f>10600+262</f>
        <v>10862</v>
      </c>
      <c r="K52" s="925"/>
      <c r="L52" s="2077"/>
      <c r="M52" s="1125"/>
    </row>
    <row r="53" spans="1:13" ht="14.25" hidden="1" customHeight="1" x14ac:dyDescent="0.2">
      <c r="A53" s="2064"/>
      <c r="B53" s="2065"/>
      <c r="C53" s="539">
        <v>6500</v>
      </c>
      <c r="D53" s="539"/>
      <c r="E53" s="539">
        <v>6500</v>
      </c>
      <c r="F53" s="539"/>
      <c r="G53" s="1204">
        <v>6500</v>
      </c>
      <c r="H53" s="539"/>
      <c r="I53" s="1548">
        <v>2264</v>
      </c>
      <c r="J53" s="536">
        <v>0</v>
      </c>
      <c r="K53" s="925"/>
      <c r="L53" s="2077"/>
      <c r="M53" s="1125"/>
    </row>
    <row r="54" spans="1:13" ht="12.75" hidden="1" customHeight="1" x14ac:dyDescent="0.2">
      <c r="A54" s="2064"/>
      <c r="B54" s="2065"/>
      <c r="C54" s="539">
        <v>3900</v>
      </c>
      <c r="D54" s="539"/>
      <c r="E54" s="539">
        <v>3900</v>
      </c>
      <c r="F54" s="539"/>
      <c r="G54" s="1204">
        <v>3900</v>
      </c>
      <c r="H54" s="539"/>
      <c r="I54" s="1548">
        <v>2279</v>
      </c>
      <c r="J54" s="536">
        <v>0</v>
      </c>
      <c r="K54" s="925"/>
      <c r="L54" s="2077"/>
      <c r="M54" s="1125"/>
    </row>
    <row r="55" spans="1:13" ht="12.75" customHeight="1" x14ac:dyDescent="0.2">
      <c r="A55" s="2064"/>
      <c r="B55" s="2065"/>
      <c r="C55" s="539">
        <v>200</v>
      </c>
      <c r="D55" s="539"/>
      <c r="E55" s="539">
        <v>200</v>
      </c>
      <c r="F55" s="539"/>
      <c r="G55" s="1204">
        <v>200</v>
      </c>
      <c r="H55" s="539"/>
      <c r="I55" s="1548">
        <v>2314</v>
      </c>
      <c r="J55" s="536">
        <v>200</v>
      </c>
      <c r="K55" s="925"/>
      <c r="L55" s="2077"/>
      <c r="M55" s="1125"/>
    </row>
    <row r="56" spans="1:13" x14ac:dyDescent="0.2">
      <c r="A56" s="2064" t="s">
        <v>2524</v>
      </c>
      <c r="B56" s="2065" t="s">
        <v>2525</v>
      </c>
      <c r="C56" s="1123">
        <f>SUM(C57:C62)</f>
        <v>54864</v>
      </c>
      <c r="D56" s="1123">
        <f t="shared" ref="D56:H56" si="15">SUM(D57:D62)</f>
        <v>0</v>
      </c>
      <c r="E56" s="1123">
        <f t="shared" si="15"/>
        <v>54629</v>
      </c>
      <c r="F56" s="1123">
        <f t="shared" si="15"/>
        <v>0</v>
      </c>
      <c r="G56" s="1205">
        <f t="shared" si="15"/>
        <v>54165</v>
      </c>
      <c r="H56" s="1123">
        <f t="shared" si="15"/>
        <v>0</v>
      </c>
      <c r="I56" s="1548"/>
      <c r="J56" s="1629">
        <f t="shared" ref="J56:K56" si="16">SUM(J57:J62)</f>
        <v>54701</v>
      </c>
      <c r="K56" s="1629">
        <f t="shared" si="16"/>
        <v>0</v>
      </c>
      <c r="L56" s="2071" t="s">
        <v>2526</v>
      </c>
      <c r="M56" s="1125"/>
    </row>
    <row r="57" spans="1:13" ht="12.75" customHeight="1" x14ac:dyDescent="0.2">
      <c r="A57" s="2064"/>
      <c r="B57" s="2065"/>
      <c r="C57" s="539">
        <v>11413</v>
      </c>
      <c r="D57" s="539"/>
      <c r="E57" s="539">
        <v>11303</v>
      </c>
      <c r="F57" s="539"/>
      <c r="G57" s="1204">
        <v>11413</v>
      </c>
      <c r="H57" s="539"/>
      <c r="I57" s="1548">
        <v>1150</v>
      </c>
      <c r="J57" s="536">
        <v>11303</v>
      </c>
      <c r="K57" s="925"/>
      <c r="L57" s="2071"/>
      <c r="M57" s="1125"/>
    </row>
    <row r="58" spans="1:13" ht="12.75" customHeight="1" x14ac:dyDescent="0.2">
      <c r="A58" s="2064"/>
      <c r="B58" s="2065"/>
      <c r="C58" s="539">
        <v>581</v>
      </c>
      <c r="D58" s="539"/>
      <c r="E58" s="539">
        <v>581</v>
      </c>
      <c r="F58" s="539"/>
      <c r="G58" s="1204">
        <v>581</v>
      </c>
      <c r="H58" s="539"/>
      <c r="I58" s="1548">
        <v>1210</v>
      </c>
      <c r="J58" s="536">
        <v>566</v>
      </c>
      <c r="K58" s="925"/>
      <c r="L58" s="2071"/>
      <c r="M58" s="1125"/>
    </row>
    <row r="59" spans="1:13" ht="12.75" customHeight="1" x14ac:dyDescent="0.2">
      <c r="A59" s="2064"/>
      <c r="B59" s="2065"/>
      <c r="C59" s="539">
        <v>400</v>
      </c>
      <c r="D59" s="539"/>
      <c r="E59" s="539">
        <v>275</v>
      </c>
      <c r="F59" s="539"/>
      <c r="G59" s="1204">
        <v>400</v>
      </c>
      <c r="H59" s="539"/>
      <c r="I59" s="1548">
        <v>2231</v>
      </c>
      <c r="J59" s="536">
        <f>39682+786</f>
        <v>40468</v>
      </c>
      <c r="K59" s="925"/>
      <c r="L59" s="2071"/>
      <c r="M59" s="1125"/>
    </row>
    <row r="60" spans="1:13" ht="12.75" hidden="1" customHeight="1" x14ac:dyDescent="0.2">
      <c r="A60" s="2064"/>
      <c r="B60" s="2065"/>
      <c r="C60" s="539">
        <v>24724</v>
      </c>
      <c r="D60" s="539"/>
      <c r="E60" s="539">
        <v>24724</v>
      </c>
      <c r="F60" s="539"/>
      <c r="G60" s="1204">
        <v>24724</v>
      </c>
      <c r="H60" s="539"/>
      <c r="I60" s="1548">
        <v>2264</v>
      </c>
      <c r="J60" s="536">
        <v>0</v>
      </c>
      <c r="K60" s="925"/>
      <c r="L60" s="2071"/>
      <c r="M60" s="1125"/>
    </row>
    <row r="61" spans="1:13" ht="39" hidden="1" customHeight="1" x14ac:dyDescent="0.2">
      <c r="A61" s="2064"/>
      <c r="B61" s="2065"/>
      <c r="C61" s="539">
        <v>15382</v>
      </c>
      <c r="D61" s="539"/>
      <c r="E61" s="539">
        <v>15382</v>
      </c>
      <c r="F61" s="539"/>
      <c r="G61" s="1204">
        <v>14683</v>
      </c>
      <c r="H61" s="539"/>
      <c r="I61" s="1548">
        <v>2279</v>
      </c>
      <c r="J61" s="536">
        <v>0</v>
      </c>
      <c r="K61" s="925"/>
      <c r="L61" s="2071"/>
      <c r="M61" s="1126" t="s">
        <v>2527</v>
      </c>
    </row>
    <row r="62" spans="1:13" ht="12.75" customHeight="1" x14ac:dyDescent="0.2">
      <c r="A62" s="2064"/>
      <c r="B62" s="2065"/>
      <c r="C62" s="539">
        <v>2364</v>
      </c>
      <c r="D62" s="539"/>
      <c r="E62" s="539">
        <v>2364</v>
      </c>
      <c r="F62" s="539"/>
      <c r="G62" s="1204">
        <v>2364</v>
      </c>
      <c r="H62" s="539"/>
      <c r="I62" s="1548">
        <v>2314</v>
      </c>
      <c r="J62" s="536">
        <v>2364</v>
      </c>
      <c r="K62" s="925"/>
      <c r="L62" s="2071"/>
      <c r="M62" s="1125"/>
    </row>
    <row r="63" spans="1:13" ht="12" customHeight="1" x14ac:dyDescent="0.2">
      <c r="A63" s="1127" t="s">
        <v>2528</v>
      </c>
      <c r="B63" s="1622" t="s">
        <v>2529</v>
      </c>
      <c r="C63" s="1123">
        <f t="shared" ref="C63:H63" si="17">SUM(C64,C69,C75,C78)</f>
        <v>6485</v>
      </c>
      <c r="D63" s="1123">
        <f t="shared" si="17"/>
        <v>8887</v>
      </c>
      <c r="E63" s="1123">
        <f t="shared" si="17"/>
        <v>6285</v>
      </c>
      <c r="F63" s="1123">
        <f t="shared" si="17"/>
        <v>8348</v>
      </c>
      <c r="G63" s="1205">
        <f t="shared" si="17"/>
        <v>6485</v>
      </c>
      <c r="H63" s="1123">
        <f t="shared" si="17"/>
        <v>8940</v>
      </c>
      <c r="I63" s="1548"/>
      <c r="J63" s="1629">
        <f>SUM(J64,J69,J75,J78)</f>
        <v>6485</v>
      </c>
      <c r="K63" s="1629">
        <f>SUM(K64,K69,K75,K78)</f>
        <v>8340</v>
      </c>
      <c r="L63" s="1122"/>
      <c r="M63" s="1125"/>
    </row>
    <row r="64" spans="1:13" ht="15" customHeight="1" x14ac:dyDescent="0.2">
      <c r="A64" s="2064" t="s">
        <v>2530</v>
      </c>
      <c r="B64" s="2065" t="s">
        <v>2531</v>
      </c>
      <c r="C64" s="1123">
        <f>SUM(C65:C68)</f>
        <v>4005</v>
      </c>
      <c r="D64" s="1123">
        <f t="shared" ref="D64:H64" si="18">SUM(D65:D68)</f>
        <v>0</v>
      </c>
      <c r="E64" s="1123">
        <f t="shared" si="18"/>
        <v>4005</v>
      </c>
      <c r="F64" s="1123">
        <f t="shared" si="18"/>
        <v>0</v>
      </c>
      <c r="G64" s="1205">
        <f t="shared" si="18"/>
        <v>4005</v>
      </c>
      <c r="H64" s="1123">
        <f t="shared" si="18"/>
        <v>0</v>
      </c>
      <c r="I64" s="1548"/>
      <c r="J64" s="1629">
        <f t="shared" ref="J64:K64" si="19">SUM(J65:J68)</f>
        <v>4005</v>
      </c>
      <c r="K64" s="1629">
        <f t="shared" si="19"/>
        <v>0</v>
      </c>
      <c r="L64" s="2071" t="s">
        <v>2532</v>
      </c>
      <c r="M64" s="1125"/>
    </row>
    <row r="65" spans="1:13" ht="15" customHeight="1" x14ac:dyDescent="0.2">
      <c r="A65" s="2064"/>
      <c r="B65" s="2065"/>
      <c r="C65" s="539">
        <v>1200</v>
      </c>
      <c r="D65" s="539"/>
      <c r="E65" s="539">
        <v>1200</v>
      </c>
      <c r="F65" s="539"/>
      <c r="G65" s="1204">
        <v>1200</v>
      </c>
      <c r="H65" s="539"/>
      <c r="I65" s="1548">
        <v>1150</v>
      </c>
      <c r="J65" s="536">
        <v>1200</v>
      </c>
      <c r="K65" s="925"/>
      <c r="L65" s="2071"/>
      <c r="M65" s="2075" t="s">
        <v>2533</v>
      </c>
    </row>
    <row r="66" spans="1:13" ht="15" customHeight="1" x14ac:dyDescent="0.2">
      <c r="A66" s="2064"/>
      <c r="B66" s="2065"/>
      <c r="C66" s="539">
        <v>60</v>
      </c>
      <c r="D66" s="539"/>
      <c r="E66" s="539">
        <v>60</v>
      </c>
      <c r="F66" s="539"/>
      <c r="G66" s="1204">
        <v>60</v>
      </c>
      <c r="H66" s="539"/>
      <c r="I66" s="1548">
        <v>1210</v>
      </c>
      <c r="J66" s="536">
        <v>60</v>
      </c>
      <c r="K66" s="925"/>
      <c r="L66" s="2071"/>
      <c r="M66" s="2075"/>
    </row>
    <row r="67" spans="1:13" ht="15" customHeight="1" x14ac:dyDescent="0.2">
      <c r="A67" s="2064"/>
      <c r="B67" s="2065"/>
      <c r="C67" s="539">
        <v>2505</v>
      </c>
      <c r="D67" s="539"/>
      <c r="E67" s="539">
        <v>2505</v>
      </c>
      <c r="F67" s="539"/>
      <c r="G67" s="1204">
        <v>2505</v>
      </c>
      <c r="H67" s="539"/>
      <c r="I67" s="1548">
        <v>2231</v>
      </c>
      <c r="J67" s="536">
        <v>2505</v>
      </c>
      <c r="K67" s="925"/>
      <c r="L67" s="2071"/>
      <c r="M67" s="2075"/>
    </row>
    <row r="68" spans="1:13" ht="15" customHeight="1" x14ac:dyDescent="0.2">
      <c r="A68" s="2064"/>
      <c r="B68" s="2065"/>
      <c r="C68" s="539">
        <v>240</v>
      </c>
      <c r="D68" s="539"/>
      <c r="E68" s="539">
        <v>240</v>
      </c>
      <c r="F68" s="539"/>
      <c r="G68" s="1204">
        <v>240</v>
      </c>
      <c r="H68" s="539"/>
      <c r="I68" s="1548">
        <v>2314</v>
      </c>
      <c r="J68" s="536">
        <v>240</v>
      </c>
      <c r="K68" s="925"/>
      <c r="L68" s="2071"/>
      <c r="M68" s="2075"/>
    </row>
    <row r="69" spans="1:13" ht="15.75" customHeight="1" x14ac:dyDescent="0.2">
      <c r="A69" s="2064" t="s">
        <v>2534</v>
      </c>
      <c r="B69" s="2065" t="s">
        <v>2535</v>
      </c>
      <c r="C69" s="1123">
        <f t="shared" ref="C69:H69" si="20">SUM(C70:C74)</f>
        <v>1730</v>
      </c>
      <c r="D69" s="1123">
        <f t="shared" si="20"/>
        <v>7015</v>
      </c>
      <c r="E69" s="1123">
        <f t="shared" si="20"/>
        <v>1730</v>
      </c>
      <c r="F69" s="1123">
        <f t="shared" si="20"/>
        <v>6686</v>
      </c>
      <c r="G69" s="1205">
        <f t="shared" si="20"/>
        <v>1730</v>
      </c>
      <c r="H69" s="1123">
        <f t="shared" si="20"/>
        <v>6924</v>
      </c>
      <c r="I69" s="1548"/>
      <c r="J69" s="1629">
        <f>SUM(J70:J74)</f>
        <v>1730</v>
      </c>
      <c r="K69" s="1629">
        <f>SUM(K70:K74)</f>
        <v>6324</v>
      </c>
      <c r="L69" s="2071" t="s">
        <v>2536</v>
      </c>
      <c r="M69" s="2076" t="s">
        <v>2537</v>
      </c>
    </row>
    <row r="70" spans="1:13" ht="15.75" customHeight="1" x14ac:dyDescent="0.2">
      <c r="A70" s="2064"/>
      <c r="B70" s="2065"/>
      <c r="C70" s="539">
        <v>860</v>
      </c>
      <c r="D70" s="539">
        <v>2387</v>
      </c>
      <c r="E70" s="539">
        <v>860</v>
      </c>
      <c r="F70" s="539">
        <v>2387</v>
      </c>
      <c r="G70" s="1204">
        <v>860</v>
      </c>
      <c r="H70" s="539">
        <v>2387</v>
      </c>
      <c r="I70" s="1548">
        <v>1150</v>
      </c>
      <c r="J70" s="536">
        <v>860</v>
      </c>
      <c r="K70" s="925">
        <v>2387</v>
      </c>
      <c r="L70" s="2071"/>
      <c r="M70" s="2076"/>
    </row>
    <row r="71" spans="1:13" ht="15.75" customHeight="1" x14ac:dyDescent="0.2">
      <c r="A71" s="2064"/>
      <c r="B71" s="2065"/>
      <c r="C71" s="539">
        <v>43</v>
      </c>
      <c r="D71" s="539">
        <v>120</v>
      </c>
      <c r="E71" s="539">
        <v>43</v>
      </c>
      <c r="F71" s="539">
        <v>120</v>
      </c>
      <c r="G71" s="1204">
        <v>43</v>
      </c>
      <c r="H71" s="539">
        <v>120</v>
      </c>
      <c r="I71" s="1548">
        <v>1210</v>
      </c>
      <c r="J71" s="536">
        <v>43</v>
      </c>
      <c r="K71" s="925">
        <v>120</v>
      </c>
      <c r="L71" s="2071"/>
      <c r="M71" s="2076"/>
    </row>
    <row r="72" spans="1:13" ht="15.75" customHeight="1" x14ac:dyDescent="0.2">
      <c r="A72" s="2064"/>
      <c r="B72" s="2065"/>
      <c r="C72" s="539">
        <v>827</v>
      </c>
      <c r="D72" s="539">
        <v>4204</v>
      </c>
      <c r="E72" s="539">
        <v>827</v>
      </c>
      <c r="F72" s="539">
        <v>3875</v>
      </c>
      <c r="G72" s="1204">
        <v>827</v>
      </c>
      <c r="H72" s="539">
        <v>3737</v>
      </c>
      <c r="I72" s="1548">
        <v>2231</v>
      </c>
      <c r="J72" s="536">
        <v>827</v>
      </c>
      <c r="K72" s="925">
        <v>3137</v>
      </c>
      <c r="L72" s="2071"/>
      <c r="M72" s="2076"/>
    </row>
    <row r="73" spans="1:13" ht="15.75" customHeight="1" x14ac:dyDescent="0.2">
      <c r="A73" s="2064"/>
      <c r="B73" s="2065"/>
      <c r="C73" s="539">
        <v>0</v>
      </c>
      <c r="D73" s="539">
        <v>0</v>
      </c>
      <c r="E73" s="539">
        <v>0</v>
      </c>
      <c r="F73" s="539">
        <v>0</v>
      </c>
      <c r="G73" s="1204">
        <v>0</v>
      </c>
      <c r="H73" s="539">
        <v>350</v>
      </c>
      <c r="I73" s="1548">
        <v>2312</v>
      </c>
      <c r="J73" s="536">
        <v>0</v>
      </c>
      <c r="K73" s="925">
        <v>350</v>
      </c>
      <c r="L73" s="2071"/>
      <c r="M73" s="2076"/>
    </row>
    <row r="74" spans="1:13" ht="15.75" customHeight="1" x14ac:dyDescent="0.2">
      <c r="A74" s="2064"/>
      <c r="B74" s="2065"/>
      <c r="C74" s="539">
        <v>0</v>
      </c>
      <c r="D74" s="539">
        <v>304</v>
      </c>
      <c r="E74" s="539"/>
      <c r="F74" s="539">
        <v>304</v>
      </c>
      <c r="G74" s="1204">
        <v>0</v>
      </c>
      <c r="H74" s="539">
        <v>330</v>
      </c>
      <c r="I74" s="1548">
        <v>2314</v>
      </c>
      <c r="J74" s="536">
        <v>0</v>
      </c>
      <c r="K74" s="925">
        <v>330</v>
      </c>
      <c r="L74" s="2071"/>
      <c r="M74" s="2076"/>
    </row>
    <row r="75" spans="1:13" ht="13.5" customHeight="1" x14ac:dyDescent="0.2">
      <c r="A75" s="2064" t="s">
        <v>2538</v>
      </c>
      <c r="B75" s="2065" t="s">
        <v>2539</v>
      </c>
      <c r="C75" s="1123">
        <f>SUM(C76:C77)</f>
        <v>550</v>
      </c>
      <c r="D75" s="1123">
        <f t="shared" ref="D75:H75" si="21">SUM(D76:D77)</f>
        <v>0</v>
      </c>
      <c r="E75" s="1123">
        <f t="shared" si="21"/>
        <v>550</v>
      </c>
      <c r="F75" s="1123">
        <f t="shared" si="21"/>
        <v>0</v>
      </c>
      <c r="G75" s="1205">
        <f t="shared" si="21"/>
        <v>550</v>
      </c>
      <c r="H75" s="1123">
        <f t="shared" si="21"/>
        <v>0</v>
      </c>
      <c r="I75" s="1548"/>
      <c r="J75" s="1629">
        <f t="shared" ref="J75:K75" si="22">SUM(J76:J77)</f>
        <v>550</v>
      </c>
      <c r="K75" s="1629">
        <f t="shared" si="22"/>
        <v>0</v>
      </c>
      <c r="L75" s="2078" t="s">
        <v>2540</v>
      </c>
      <c r="M75" s="1125"/>
    </row>
    <row r="76" spans="1:13" ht="13.5" customHeight="1" x14ac:dyDescent="0.2">
      <c r="A76" s="2064"/>
      <c r="B76" s="2065"/>
      <c r="C76" s="539">
        <v>100</v>
      </c>
      <c r="D76" s="539"/>
      <c r="E76" s="539">
        <v>100</v>
      </c>
      <c r="F76" s="539"/>
      <c r="G76" s="1204">
        <v>100</v>
      </c>
      <c r="H76" s="539"/>
      <c r="I76" s="1548">
        <v>2312</v>
      </c>
      <c r="J76" s="536">
        <v>100</v>
      </c>
      <c r="K76" s="925"/>
      <c r="L76" s="2078"/>
      <c r="M76" s="1125"/>
    </row>
    <row r="77" spans="1:13" ht="13.5" customHeight="1" x14ac:dyDescent="0.2">
      <c r="A77" s="2064"/>
      <c r="B77" s="2065"/>
      <c r="C77" s="539">
        <v>450</v>
      </c>
      <c r="D77" s="539"/>
      <c r="E77" s="539">
        <v>450</v>
      </c>
      <c r="F77" s="539"/>
      <c r="G77" s="1204">
        <v>450</v>
      </c>
      <c r="H77" s="539"/>
      <c r="I77" s="1548">
        <v>2314</v>
      </c>
      <c r="J77" s="536">
        <v>450</v>
      </c>
      <c r="K77" s="925"/>
      <c r="L77" s="2078"/>
      <c r="M77" s="1125"/>
    </row>
    <row r="78" spans="1:13" ht="14.25" customHeight="1" x14ac:dyDescent="0.2">
      <c r="A78" s="2064" t="s">
        <v>2541</v>
      </c>
      <c r="B78" s="2065" t="s">
        <v>2542</v>
      </c>
      <c r="C78" s="1123">
        <f>SUM(C79:C82)</f>
        <v>200</v>
      </c>
      <c r="D78" s="1123">
        <f t="shared" ref="D78:H78" si="23">SUM(D79:D82)</f>
        <v>1872</v>
      </c>
      <c r="E78" s="1123">
        <f t="shared" si="23"/>
        <v>0</v>
      </c>
      <c r="F78" s="1123">
        <f t="shared" si="23"/>
        <v>1662</v>
      </c>
      <c r="G78" s="1205">
        <f t="shared" si="23"/>
        <v>200</v>
      </c>
      <c r="H78" s="1123">
        <f t="shared" si="23"/>
        <v>2016</v>
      </c>
      <c r="I78" s="1548"/>
      <c r="J78" s="1629">
        <f t="shared" ref="J78:K78" si="24">SUM(J79:J82)</f>
        <v>200</v>
      </c>
      <c r="K78" s="1629">
        <f t="shared" si="24"/>
        <v>2016</v>
      </c>
      <c r="L78" s="2071" t="s">
        <v>2543</v>
      </c>
      <c r="M78" s="2079" t="s">
        <v>2544</v>
      </c>
    </row>
    <row r="79" spans="1:13" ht="14.25" hidden="1" customHeight="1" x14ac:dyDescent="0.2">
      <c r="A79" s="2064"/>
      <c r="B79" s="2065"/>
      <c r="C79" s="539">
        <v>0</v>
      </c>
      <c r="D79" s="539">
        <v>200</v>
      </c>
      <c r="E79" s="539"/>
      <c r="F79" s="539"/>
      <c r="G79" s="1204">
        <v>0</v>
      </c>
      <c r="H79" s="539">
        <v>0</v>
      </c>
      <c r="I79" s="1548">
        <v>1150</v>
      </c>
      <c r="J79" s="536">
        <v>0</v>
      </c>
      <c r="K79" s="925"/>
      <c r="L79" s="2071"/>
      <c r="M79" s="2079"/>
    </row>
    <row r="80" spans="1:13" ht="14.25" hidden="1" customHeight="1" x14ac:dyDescent="0.2">
      <c r="A80" s="2064"/>
      <c r="B80" s="2065"/>
      <c r="C80" s="539">
        <v>0</v>
      </c>
      <c r="D80" s="539">
        <v>10</v>
      </c>
      <c r="E80" s="539"/>
      <c r="F80" s="539"/>
      <c r="G80" s="1204">
        <v>0</v>
      </c>
      <c r="H80" s="539">
        <v>0</v>
      </c>
      <c r="I80" s="1548">
        <v>1210</v>
      </c>
      <c r="J80" s="536">
        <v>0</v>
      </c>
      <c r="K80" s="925"/>
      <c r="L80" s="2071"/>
      <c r="M80" s="2079"/>
    </row>
    <row r="81" spans="1:13" ht="14.25" hidden="1" customHeight="1" x14ac:dyDescent="0.2">
      <c r="A81" s="2064"/>
      <c r="B81" s="2065"/>
      <c r="C81" s="539">
        <v>0</v>
      </c>
      <c r="D81" s="539">
        <v>300</v>
      </c>
      <c r="E81" s="539"/>
      <c r="F81" s="539">
        <v>300</v>
      </c>
      <c r="G81" s="1204">
        <v>0</v>
      </c>
      <c r="H81" s="539">
        <v>300</v>
      </c>
      <c r="I81" s="1548">
        <v>2269</v>
      </c>
      <c r="J81" s="536">
        <v>0</v>
      </c>
      <c r="K81" s="925">
        <v>0</v>
      </c>
      <c r="L81" s="2071"/>
      <c r="M81" s="2079"/>
    </row>
    <row r="82" spans="1:13" ht="14.25" customHeight="1" x14ac:dyDescent="0.2">
      <c r="A82" s="2064"/>
      <c r="B82" s="2065"/>
      <c r="C82" s="539">
        <v>200</v>
      </c>
      <c r="D82" s="539">
        <v>1362</v>
      </c>
      <c r="E82" s="539"/>
      <c r="F82" s="539">
        <v>1362</v>
      </c>
      <c r="G82" s="1204">
        <v>200</v>
      </c>
      <c r="H82" s="539">
        <v>1716</v>
      </c>
      <c r="I82" s="1548">
        <v>2231</v>
      </c>
      <c r="J82" s="536">
        <v>200</v>
      </c>
      <c r="K82" s="925">
        <v>2016</v>
      </c>
      <c r="L82" s="2071"/>
      <c r="M82" s="2079"/>
    </row>
    <row r="83" spans="1:13" ht="14.25" customHeight="1" x14ac:dyDescent="0.2">
      <c r="A83" s="1128" t="s">
        <v>2545</v>
      </c>
      <c r="B83" s="1622" t="s">
        <v>2546</v>
      </c>
      <c r="C83" s="1123">
        <f>SUM(C84,C87,C91,C97,C102,C108,C112)</f>
        <v>12302</v>
      </c>
      <c r="D83" s="1123">
        <f t="shared" ref="D83:H83" si="25">SUM(D84,D87,D91,D97,D102,D108,D112)</f>
        <v>4264</v>
      </c>
      <c r="E83" s="1123">
        <f t="shared" si="25"/>
        <v>12291</v>
      </c>
      <c r="F83" s="1123">
        <f t="shared" si="25"/>
        <v>4254</v>
      </c>
      <c r="G83" s="1205">
        <f t="shared" si="25"/>
        <v>12302</v>
      </c>
      <c r="H83" s="1123">
        <f t="shared" si="25"/>
        <v>4844</v>
      </c>
      <c r="I83" s="1548"/>
      <c r="J83" s="1629">
        <f t="shared" ref="J83:K83" si="26">SUM(J84,J87,J91,J97,J102,J108,J112)</f>
        <v>11510</v>
      </c>
      <c r="K83" s="1629">
        <f t="shared" si="26"/>
        <v>5216</v>
      </c>
      <c r="L83" s="1122"/>
      <c r="M83" s="1125"/>
    </row>
    <row r="84" spans="1:13" ht="16.5" customHeight="1" x14ac:dyDescent="0.2">
      <c r="A84" s="2064" t="s">
        <v>2547</v>
      </c>
      <c r="B84" s="2080" t="s">
        <v>2548</v>
      </c>
      <c r="C84" s="1123">
        <f>SUM(C85:C86)</f>
        <v>116</v>
      </c>
      <c r="D84" s="1123">
        <f t="shared" ref="D84:H84" si="27">SUM(D85:D86)</f>
        <v>0</v>
      </c>
      <c r="E84" s="1123">
        <f t="shared" si="27"/>
        <v>110</v>
      </c>
      <c r="F84" s="1123">
        <f t="shared" si="27"/>
        <v>0</v>
      </c>
      <c r="G84" s="1205">
        <f t="shared" si="27"/>
        <v>116</v>
      </c>
      <c r="H84" s="1123">
        <f t="shared" si="27"/>
        <v>0</v>
      </c>
      <c r="I84" s="1548"/>
      <c r="J84" s="1629">
        <f t="shared" ref="J84:K84" si="28">SUM(J85:J86)</f>
        <v>116</v>
      </c>
      <c r="K84" s="1629">
        <f t="shared" si="28"/>
        <v>0</v>
      </c>
      <c r="L84" s="2071" t="s">
        <v>2549</v>
      </c>
      <c r="M84" s="1129"/>
    </row>
    <row r="85" spans="1:13" ht="18" customHeight="1" x14ac:dyDescent="0.2">
      <c r="A85" s="2064"/>
      <c r="B85" s="2080"/>
      <c r="C85" s="539">
        <v>110</v>
      </c>
      <c r="D85" s="539"/>
      <c r="E85" s="539">
        <v>110</v>
      </c>
      <c r="F85" s="539"/>
      <c r="G85" s="1204">
        <v>110</v>
      </c>
      <c r="H85" s="539"/>
      <c r="I85" s="1548">
        <v>1150</v>
      </c>
      <c r="J85" s="536">
        <v>110</v>
      </c>
      <c r="K85" s="925"/>
      <c r="L85" s="2071"/>
      <c r="M85" s="1129"/>
    </row>
    <row r="86" spans="1:13" ht="21" customHeight="1" x14ac:dyDescent="0.2">
      <c r="A86" s="2064"/>
      <c r="B86" s="2080"/>
      <c r="C86" s="539">
        <v>6</v>
      </c>
      <c r="D86" s="539"/>
      <c r="E86" s="539"/>
      <c r="F86" s="539">
        <v>0</v>
      </c>
      <c r="G86" s="1204">
        <v>6</v>
      </c>
      <c r="H86" s="539"/>
      <c r="I86" s="1548">
        <v>1210</v>
      </c>
      <c r="J86" s="536">
        <v>6</v>
      </c>
      <c r="K86" s="925"/>
      <c r="L86" s="2071"/>
      <c r="M86" s="1129"/>
    </row>
    <row r="87" spans="1:13" ht="12.75" customHeight="1" x14ac:dyDescent="0.2">
      <c r="A87" s="2064" t="s">
        <v>2550</v>
      </c>
      <c r="B87" s="2065" t="s">
        <v>2551</v>
      </c>
      <c r="C87" s="1123">
        <f>SUM(C88:C90)</f>
        <v>200</v>
      </c>
      <c r="D87" s="1123">
        <f t="shared" ref="D87:H87" si="29">SUM(D88:D90)</f>
        <v>0</v>
      </c>
      <c r="E87" s="1123">
        <f t="shared" si="29"/>
        <v>195</v>
      </c>
      <c r="F87" s="1123">
        <f t="shared" si="29"/>
        <v>0</v>
      </c>
      <c r="G87" s="1205">
        <f t="shared" si="29"/>
        <v>200</v>
      </c>
      <c r="H87" s="1123">
        <f t="shared" si="29"/>
        <v>0</v>
      </c>
      <c r="I87" s="1548"/>
      <c r="J87" s="1629">
        <f t="shared" ref="J87:K87" si="30">SUM(J88:J90)</f>
        <v>200</v>
      </c>
      <c r="K87" s="1629">
        <f t="shared" si="30"/>
        <v>0</v>
      </c>
      <c r="L87" s="2081" t="s">
        <v>2552</v>
      </c>
      <c r="M87" s="1125"/>
    </row>
    <row r="88" spans="1:13" ht="13.5" customHeight="1" x14ac:dyDescent="0.2">
      <c r="A88" s="2064"/>
      <c r="B88" s="2065"/>
      <c r="C88" s="539">
        <v>95</v>
      </c>
      <c r="D88" s="539"/>
      <c r="E88" s="539">
        <v>95</v>
      </c>
      <c r="F88" s="539"/>
      <c r="G88" s="1204">
        <v>95</v>
      </c>
      <c r="H88" s="539"/>
      <c r="I88" s="1548">
        <v>1150</v>
      </c>
      <c r="J88" s="536">
        <v>95</v>
      </c>
      <c r="K88" s="925"/>
      <c r="L88" s="2081"/>
      <c r="M88" s="1125"/>
    </row>
    <row r="89" spans="1:13" ht="14.25" customHeight="1" x14ac:dyDescent="0.2">
      <c r="A89" s="2064"/>
      <c r="B89" s="2065"/>
      <c r="C89" s="539">
        <v>5</v>
      </c>
      <c r="D89" s="539"/>
      <c r="E89" s="539"/>
      <c r="F89" s="539">
        <v>0</v>
      </c>
      <c r="G89" s="1204">
        <v>5</v>
      </c>
      <c r="H89" s="539"/>
      <c r="I89" s="1548">
        <v>1210</v>
      </c>
      <c r="J89" s="536">
        <v>5</v>
      </c>
      <c r="K89" s="925"/>
      <c r="L89" s="2081"/>
      <c r="M89" s="1125"/>
    </row>
    <row r="90" spans="1:13" ht="12.75" customHeight="1" x14ac:dyDescent="0.2">
      <c r="A90" s="2064"/>
      <c r="B90" s="2065"/>
      <c r="C90" s="539">
        <v>100</v>
      </c>
      <c r="D90" s="539"/>
      <c r="E90" s="539">
        <v>100</v>
      </c>
      <c r="F90" s="539"/>
      <c r="G90" s="1204">
        <v>100</v>
      </c>
      <c r="H90" s="539"/>
      <c r="I90" s="1548">
        <v>2314</v>
      </c>
      <c r="J90" s="536">
        <v>100</v>
      </c>
      <c r="K90" s="925"/>
      <c r="L90" s="2081"/>
      <c r="M90" s="1125"/>
    </row>
    <row r="91" spans="1:13" x14ac:dyDescent="0.2">
      <c r="A91" s="2064" t="s">
        <v>2553</v>
      </c>
      <c r="B91" s="2065" t="s">
        <v>2554</v>
      </c>
      <c r="C91" s="1123">
        <f>SUM(C92:C96)</f>
        <v>2607</v>
      </c>
      <c r="D91" s="1123">
        <f t="shared" ref="D91:H91" si="31">SUM(D92:D96)</f>
        <v>0</v>
      </c>
      <c r="E91" s="1123">
        <f t="shared" si="31"/>
        <v>2607</v>
      </c>
      <c r="F91" s="1123">
        <f t="shared" si="31"/>
        <v>0</v>
      </c>
      <c r="G91" s="1205">
        <f t="shared" si="31"/>
        <v>2607</v>
      </c>
      <c r="H91" s="1123">
        <f t="shared" si="31"/>
        <v>0</v>
      </c>
      <c r="I91" s="1548"/>
      <c r="J91" s="1629">
        <f t="shared" ref="J91:K91" si="32">SUM(J92:J96)</f>
        <v>2607</v>
      </c>
      <c r="K91" s="1629">
        <f t="shared" si="32"/>
        <v>0</v>
      </c>
      <c r="L91" s="2071" t="s">
        <v>2555</v>
      </c>
      <c r="M91" s="1125"/>
    </row>
    <row r="92" spans="1:13" ht="12.75" customHeight="1" x14ac:dyDescent="0.2">
      <c r="A92" s="2064"/>
      <c r="B92" s="2065"/>
      <c r="C92" s="539">
        <v>600</v>
      </c>
      <c r="D92" s="539"/>
      <c r="E92" s="539">
        <v>600</v>
      </c>
      <c r="F92" s="539"/>
      <c r="G92" s="1204">
        <v>600</v>
      </c>
      <c r="H92" s="539"/>
      <c r="I92" s="1548">
        <v>1150</v>
      </c>
      <c r="J92" s="536">
        <v>600</v>
      </c>
      <c r="K92" s="925"/>
      <c r="L92" s="2071"/>
      <c r="M92" s="1125"/>
    </row>
    <row r="93" spans="1:13" ht="12.75" customHeight="1" x14ac:dyDescent="0.2">
      <c r="A93" s="2064"/>
      <c r="B93" s="2065"/>
      <c r="C93" s="539">
        <v>30</v>
      </c>
      <c r="D93" s="539"/>
      <c r="E93" s="539">
        <v>30</v>
      </c>
      <c r="F93" s="539"/>
      <c r="G93" s="1204">
        <v>30</v>
      </c>
      <c r="H93" s="539"/>
      <c r="I93" s="1548">
        <v>1210</v>
      </c>
      <c r="J93" s="536">
        <v>30</v>
      </c>
      <c r="K93" s="925"/>
      <c r="L93" s="2071"/>
      <c r="M93" s="1125"/>
    </row>
    <row r="94" spans="1:13" ht="12.75" hidden="1" customHeight="1" x14ac:dyDescent="0.2">
      <c r="A94" s="2064"/>
      <c r="B94" s="2065"/>
      <c r="C94" s="539">
        <v>1122</v>
      </c>
      <c r="D94" s="539"/>
      <c r="E94" s="539">
        <v>1122</v>
      </c>
      <c r="F94" s="539"/>
      <c r="G94" s="1204">
        <v>1122</v>
      </c>
      <c r="H94" s="539"/>
      <c r="I94" s="1548">
        <v>2264</v>
      </c>
      <c r="J94" s="536">
        <v>0</v>
      </c>
      <c r="K94" s="925"/>
      <c r="L94" s="2071"/>
      <c r="M94" s="1125"/>
    </row>
    <row r="95" spans="1:13" ht="12.75" customHeight="1" x14ac:dyDescent="0.2">
      <c r="A95" s="2064"/>
      <c r="B95" s="2065"/>
      <c r="C95" s="539">
        <v>705</v>
      </c>
      <c r="D95" s="539"/>
      <c r="E95" s="539">
        <v>705</v>
      </c>
      <c r="F95" s="539"/>
      <c r="G95" s="1204">
        <v>705</v>
      </c>
      <c r="H95" s="539"/>
      <c r="I95" s="1548">
        <v>2231</v>
      </c>
      <c r="J95" s="536">
        <v>1827</v>
      </c>
      <c r="K95" s="925"/>
      <c r="L95" s="2071"/>
      <c r="M95" s="1125"/>
    </row>
    <row r="96" spans="1:13" ht="12.75" customHeight="1" x14ac:dyDescent="0.2">
      <c r="A96" s="2064"/>
      <c r="B96" s="2065"/>
      <c r="C96" s="539">
        <v>150</v>
      </c>
      <c r="D96" s="539"/>
      <c r="E96" s="539">
        <v>150</v>
      </c>
      <c r="F96" s="539"/>
      <c r="G96" s="1204">
        <v>150</v>
      </c>
      <c r="H96" s="539"/>
      <c r="I96" s="1548">
        <v>2314</v>
      </c>
      <c r="J96" s="536">
        <v>150</v>
      </c>
      <c r="K96" s="925"/>
      <c r="L96" s="2071"/>
      <c r="M96" s="1125"/>
    </row>
    <row r="97" spans="1:47" ht="15" customHeight="1" x14ac:dyDescent="0.2">
      <c r="A97" s="2064" t="s">
        <v>2556</v>
      </c>
      <c r="B97" s="2065" t="s">
        <v>2542</v>
      </c>
      <c r="C97" s="1123">
        <f>SUM(C98:C101)</f>
        <v>200</v>
      </c>
      <c r="D97" s="1123">
        <f t="shared" ref="D97:H97" si="33">SUM(D98:D101)</f>
        <v>2080</v>
      </c>
      <c r="E97" s="1123">
        <f t="shared" si="33"/>
        <v>200</v>
      </c>
      <c r="F97" s="1123">
        <f t="shared" si="33"/>
        <v>1870</v>
      </c>
      <c r="G97" s="1205">
        <f t="shared" si="33"/>
        <v>200</v>
      </c>
      <c r="H97" s="1123">
        <f t="shared" si="33"/>
        <v>2240</v>
      </c>
      <c r="I97" s="1548"/>
      <c r="J97" s="1629">
        <f t="shared" ref="J97:K97" si="34">SUM(J98:J101)</f>
        <v>200</v>
      </c>
      <c r="K97" s="1629">
        <f t="shared" si="34"/>
        <v>2240</v>
      </c>
      <c r="L97" s="2071" t="s">
        <v>2543</v>
      </c>
      <c r="M97" s="2079" t="s">
        <v>2557</v>
      </c>
    </row>
    <row r="98" spans="1:47" ht="18.75" hidden="1" customHeight="1" x14ac:dyDescent="0.2">
      <c r="A98" s="2064"/>
      <c r="B98" s="2065"/>
      <c r="C98" s="539">
        <v>0</v>
      </c>
      <c r="D98" s="539">
        <v>200</v>
      </c>
      <c r="E98" s="539"/>
      <c r="F98" s="539">
        <v>0</v>
      </c>
      <c r="G98" s="1204">
        <v>0</v>
      </c>
      <c r="H98" s="539">
        <v>0</v>
      </c>
      <c r="I98" s="1548">
        <v>1150</v>
      </c>
      <c r="J98" s="536">
        <v>0</v>
      </c>
      <c r="K98" s="925"/>
      <c r="L98" s="2071"/>
      <c r="M98" s="2079"/>
    </row>
    <row r="99" spans="1:47" ht="15.75" hidden="1" customHeight="1" x14ac:dyDescent="0.2">
      <c r="A99" s="2064"/>
      <c r="B99" s="2065"/>
      <c r="C99" s="539">
        <v>0</v>
      </c>
      <c r="D99" s="539">
        <v>10</v>
      </c>
      <c r="E99" s="539"/>
      <c r="F99" s="539">
        <v>0</v>
      </c>
      <c r="G99" s="1204">
        <v>0</v>
      </c>
      <c r="H99" s="539">
        <v>0</v>
      </c>
      <c r="I99" s="1548">
        <v>1210</v>
      </c>
      <c r="J99" s="536">
        <v>0</v>
      </c>
      <c r="K99" s="925"/>
      <c r="L99" s="2071"/>
      <c r="M99" s="2079"/>
    </row>
    <row r="100" spans="1:47" ht="18" hidden="1" customHeight="1" x14ac:dyDescent="0.2">
      <c r="A100" s="2064"/>
      <c r="B100" s="2065"/>
      <c r="C100" s="539">
        <v>0</v>
      </c>
      <c r="D100" s="539">
        <v>300</v>
      </c>
      <c r="E100" s="539"/>
      <c r="F100" s="539">
        <v>300</v>
      </c>
      <c r="G100" s="1204">
        <v>0</v>
      </c>
      <c r="H100" s="539">
        <v>300</v>
      </c>
      <c r="I100" s="1548">
        <v>2269</v>
      </c>
      <c r="J100" s="536">
        <v>0</v>
      </c>
      <c r="K100" s="925"/>
      <c r="L100" s="2071"/>
      <c r="M100" s="2079"/>
    </row>
    <row r="101" spans="1:47" ht="17.25" customHeight="1" x14ac:dyDescent="0.2">
      <c r="A101" s="2064"/>
      <c r="B101" s="2065"/>
      <c r="C101" s="539">
        <v>200</v>
      </c>
      <c r="D101" s="539">
        <v>1570</v>
      </c>
      <c r="E101" s="539">
        <v>200</v>
      </c>
      <c r="F101" s="539">
        <v>1570</v>
      </c>
      <c r="G101" s="1204">
        <v>200</v>
      </c>
      <c r="H101" s="539">
        <v>1940</v>
      </c>
      <c r="I101" s="1548">
        <v>2231</v>
      </c>
      <c r="J101" s="536">
        <v>200</v>
      </c>
      <c r="K101" s="925">
        <v>2240</v>
      </c>
      <c r="L101" s="2071"/>
      <c r="M101" s="2079"/>
    </row>
    <row r="102" spans="1:47" x14ac:dyDescent="0.2">
      <c r="A102" s="2064" t="s">
        <v>2558</v>
      </c>
      <c r="B102" s="2065" t="s">
        <v>2559</v>
      </c>
      <c r="C102" s="1123">
        <f>SUM(C103:C107)</f>
        <v>2280</v>
      </c>
      <c r="D102" s="1123">
        <f t="shared" ref="D102:H102" si="35">SUM(D103:D107)</f>
        <v>0</v>
      </c>
      <c r="E102" s="1123">
        <f t="shared" si="35"/>
        <v>2280</v>
      </c>
      <c r="F102" s="1123">
        <f t="shared" si="35"/>
        <v>0</v>
      </c>
      <c r="G102" s="1205">
        <f t="shared" si="35"/>
        <v>2280</v>
      </c>
      <c r="H102" s="1123">
        <f t="shared" si="35"/>
        <v>0</v>
      </c>
      <c r="I102" s="1543"/>
      <c r="J102" s="1629">
        <f t="shared" ref="J102:K102" si="36">SUM(J103:J107)</f>
        <v>2280</v>
      </c>
      <c r="K102" s="1629">
        <f t="shared" si="36"/>
        <v>0</v>
      </c>
      <c r="L102" s="2071" t="s">
        <v>2560</v>
      </c>
      <c r="M102" s="1125"/>
    </row>
    <row r="103" spans="1:47" ht="12.75" customHeight="1" x14ac:dyDescent="0.2">
      <c r="A103" s="2064"/>
      <c r="B103" s="2065"/>
      <c r="C103" s="539">
        <v>666</v>
      </c>
      <c r="D103" s="539"/>
      <c r="E103" s="539">
        <v>666</v>
      </c>
      <c r="F103" s="539"/>
      <c r="G103" s="1204">
        <v>666</v>
      </c>
      <c r="H103" s="539"/>
      <c r="I103" s="1548">
        <v>1150</v>
      </c>
      <c r="J103" s="536">
        <v>666</v>
      </c>
      <c r="K103" s="925"/>
      <c r="L103" s="2071"/>
      <c r="M103" s="1125"/>
    </row>
    <row r="104" spans="1:47" ht="12.75" customHeight="1" x14ac:dyDescent="0.2">
      <c r="A104" s="2064"/>
      <c r="B104" s="2065"/>
      <c r="C104" s="539">
        <v>34</v>
      </c>
      <c r="D104" s="539"/>
      <c r="E104" s="539">
        <v>34</v>
      </c>
      <c r="F104" s="539"/>
      <c r="G104" s="1204">
        <v>34</v>
      </c>
      <c r="H104" s="539"/>
      <c r="I104" s="1548">
        <v>1210</v>
      </c>
      <c r="J104" s="536">
        <v>34</v>
      </c>
      <c r="K104" s="925"/>
      <c r="L104" s="2071"/>
      <c r="M104" s="1125"/>
    </row>
    <row r="105" spans="1:47" ht="12.75" hidden="1" customHeight="1" x14ac:dyDescent="0.2">
      <c r="A105" s="2064"/>
      <c r="B105" s="2065"/>
      <c r="C105" s="539">
        <v>674</v>
      </c>
      <c r="D105" s="539"/>
      <c r="E105" s="539">
        <v>674</v>
      </c>
      <c r="F105" s="539"/>
      <c r="G105" s="1204">
        <v>674</v>
      </c>
      <c r="H105" s="539"/>
      <c r="I105" s="1548">
        <v>2264</v>
      </c>
      <c r="J105" s="536">
        <v>0</v>
      </c>
      <c r="K105" s="925"/>
      <c r="L105" s="2071"/>
      <c r="M105" s="1125"/>
    </row>
    <row r="106" spans="1:47" ht="12.75" customHeight="1" x14ac:dyDescent="0.2">
      <c r="A106" s="2064"/>
      <c r="B106" s="2065"/>
      <c r="C106" s="539">
        <v>606</v>
      </c>
      <c r="D106" s="539"/>
      <c r="E106" s="539">
        <v>606</v>
      </c>
      <c r="F106" s="539"/>
      <c r="G106" s="1204">
        <v>606</v>
      </c>
      <c r="H106" s="539"/>
      <c r="I106" s="1548">
        <v>2231</v>
      </c>
      <c r="J106" s="536">
        <v>1280</v>
      </c>
      <c r="K106" s="925"/>
      <c r="L106" s="2071"/>
      <c r="M106" s="1125"/>
    </row>
    <row r="107" spans="1:47" ht="12.75" customHeight="1" x14ac:dyDescent="0.2">
      <c r="A107" s="2064"/>
      <c r="B107" s="2065"/>
      <c r="C107" s="539">
        <v>300</v>
      </c>
      <c r="D107" s="539"/>
      <c r="E107" s="539">
        <v>300</v>
      </c>
      <c r="F107" s="539"/>
      <c r="G107" s="1204">
        <v>300</v>
      </c>
      <c r="H107" s="539"/>
      <c r="I107" s="1548">
        <v>2314</v>
      </c>
      <c r="J107" s="536">
        <v>300</v>
      </c>
      <c r="K107" s="925"/>
      <c r="L107" s="2071"/>
      <c r="M107" s="1125"/>
    </row>
    <row r="108" spans="1:47" x14ac:dyDescent="0.2">
      <c r="A108" s="2064" t="s">
        <v>2561</v>
      </c>
      <c r="B108" s="2065" t="s">
        <v>2562</v>
      </c>
      <c r="C108" s="1123">
        <f>SUM(C109:C111)</f>
        <v>549</v>
      </c>
      <c r="D108" s="1123">
        <f t="shared" ref="D108:H108" si="37">SUM(D109:D111)</f>
        <v>0</v>
      </c>
      <c r="E108" s="1123">
        <f t="shared" si="37"/>
        <v>549</v>
      </c>
      <c r="F108" s="1123">
        <f t="shared" si="37"/>
        <v>0</v>
      </c>
      <c r="G108" s="1205">
        <f t="shared" si="37"/>
        <v>549</v>
      </c>
      <c r="H108" s="1123">
        <f t="shared" si="37"/>
        <v>0</v>
      </c>
      <c r="I108" s="1548"/>
      <c r="J108" s="1629">
        <f t="shared" ref="J108:K108" si="38">SUM(J109:J111)</f>
        <v>549</v>
      </c>
      <c r="K108" s="1629">
        <f t="shared" si="38"/>
        <v>0</v>
      </c>
      <c r="L108" s="2071" t="s">
        <v>2563</v>
      </c>
      <c r="M108" s="1125"/>
    </row>
    <row r="109" spans="1:47" ht="12.75" customHeight="1" x14ac:dyDescent="0.2">
      <c r="A109" s="2064"/>
      <c r="B109" s="2065"/>
      <c r="C109" s="539">
        <v>380</v>
      </c>
      <c r="D109" s="539"/>
      <c r="E109" s="539">
        <v>380</v>
      </c>
      <c r="F109" s="539"/>
      <c r="G109" s="1204">
        <v>380</v>
      </c>
      <c r="H109" s="539"/>
      <c r="I109" s="1548">
        <v>1150</v>
      </c>
      <c r="J109" s="536">
        <v>380</v>
      </c>
      <c r="K109" s="925"/>
      <c r="L109" s="2071"/>
      <c r="M109" s="1125"/>
    </row>
    <row r="110" spans="1:47" ht="12.75" customHeight="1" x14ac:dyDescent="0.2">
      <c r="A110" s="2064"/>
      <c r="B110" s="2065"/>
      <c r="C110" s="539">
        <v>19</v>
      </c>
      <c r="D110" s="539"/>
      <c r="E110" s="539">
        <v>19</v>
      </c>
      <c r="F110" s="539"/>
      <c r="G110" s="1204">
        <v>19</v>
      </c>
      <c r="H110" s="539"/>
      <c r="I110" s="1548">
        <v>1210</v>
      </c>
      <c r="J110" s="536">
        <v>19</v>
      </c>
      <c r="K110" s="925"/>
      <c r="L110" s="2071"/>
      <c r="M110" s="1125"/>
    </row>
    <row r="111" spans="1:47" ht="14.25" customHeight="1" x14ac:dyDescent="0.2">
      <c r="A111" s="2064"/>
      <c r="B111" s="2065"/>
      <c r="C111" s="539">
        <v>150</v>
      </c>
      <c r="D111" s="539"/>
      <c r="E111" s="539">
        <v>150</v>
      </c>
      <c r="F111" s="539"/>
      <c r="G111" s="1204">
        <v>150</v>
      </c>
      <c r="H111" s="539"/>
      <c r="I111" s="1548">
        <v>2314</v>
      </c>
      <c r="J111" s="536">
        <v>150</v>
      </c>
      <c r="K111" s="925"/>
      <c r="L111" s="2071"/>
      <c r="M111" s="1125"/>
    </row>
    <row r="112" spans="1:47" s="176" customFormat="1" ht="14.25" customHeight="1" x14ac:dyDescent="0.2">
      <c r="A112" s="2082" t="s">
        <v>2564</v>
      </c>
      <c r="B112" s="2083" t="s">
        <v>2565</v>
      </c>
      <c r="C112" s="1130">
        <f>SUM(C113:C116)</f>
        <v>6350</v>
      </c>
      <c r="D112" s="1130">
        <f t="shared" ref="D112:H112" si="39">SUM(D113:D116)</f>
        <v>2184</v>
      </c>
      <c r="E112" s="1130">
        <f t="shared" si="39"/>
        <v>6350</v>
      </c>
      <c r="F112" s="1130">
        <f t="shared" si="39"/>
        <v>2384</v>
      </c>
      <c r="G112" s="1206">
        <f t="shared" si="39"/>
        <v>6350</v>
      </c>
      <c r="H112" s="1130">
        <f t="shared" si="39"/>
        <v>2604</v>
      </c>
      <c r="I112" s="1632"/>
      <c r="J112" s="1630">
        <f t="shared" ref="J112" si="40">SUM(J113:J116)</f>
        <v>5558</v>
      </c>
      <c r="K112" s="1630">
        <f>SUM(K113:K116)</f>
        <v>2976</v>
      </c>
      <c r="L112" s="2071" t="s">
        <v>2566</v>
      </c>
      <c r="M112" s="2076" t="s">
        <v>2567</v>
      </c>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row>
    <row r="113" spans="1:47" s="176" customFormat="1" ht="14.25" customHeight="1" x14ac:dyDescent="0.2">
      <c r="A113" s="2082"/>
      <c r="B113" s="2083"/>
      <c r="C113" s="1131">
        <v>4900</v>
      </c>
      <c r="D113" s="1131">
        <v>1500</v>
      </c>
      <c r="E113" s="1131">
        <v>4900</v>
      </c>
      <c r="F113" s="1131">
        <v>1500</v>
      </c>
      <c r="G113" s="1207">
        <v>4900</v>
      </c>
      <c r="H113" s="1131">
        <v>1500</v>
      </c>
      <c r="I113" s="1632">
        <v>1150</v>
      </c>
      <c r="J113" s="536">
        <v>4000</v>
      </c>
      <c r="K113" s="925">
        <v>2400</v>
      </c>
      <c r="L113" s="2071"/>
      <c r="M113" s="207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row>
    <row r="114" spans="1:47" s="176" customFormat="1" ht="14.25" customHeight="1" x14ac:dyDescent="0.2">
      <c r="A114" s="2082"/>
      <c r="B114" s="2083"/>
      <c r="C114" s="201">
        <v>245</v>
      </c>
      <c r="D114" s="201">
        <v>75</v>
      </c>
      <c r="E114" s="201">
        <v>245</v>
      </c>
      <c r="F114" s="201">
        <v>75</v>
      </c>
      <c r="G114" s="691">
        <v>245</v>
      </c>
      <c r="H114" s="201">
        <v>75</v>
      </c>
      <c r="I114" s="1548">
        <v>1210</v>
      </c>
      <c r="J114" s="536">
        <v>200</v>
      </c>
      <c r="K114" s="536">
        <v>120</v>
      </c>
      <c r="L114" s="2071"/>
      <c r="M114" s="207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row>
    <row r="115" spans="1:47" s="176" customFormat="1" ht="14.25" customHeight="1" x14ac:dyDescent="0.2">
      <c r="A115" s="2082"/>
      <c r="B115" s="2083"/>
      <c r="C115" s="1132">
        <v>1005</v>
      </c>
      <c r="D115" s="1132">
        <v>609</v>
      </c>
      <c r="E115" s="1132">
        <v>1005</v>
      </c>
      <c r="F115" s="1132">
        <v>609</v>
      </c>
      <c r="G115" s="1208">
        <v>1005</v>
      </c>
      <c r="H115" s="1132">
        <v>929</v>
      </c>
      <c r="I115" s="1548">
        <v>2231</v>
      </c>
      <c r="J115" s="536">
        <v>1058</v>
      </c>
      <c r="K115" s="536">
        <v>456</v>
      </c>
      <c r="L115" s="2071"/>
      <c r="M115" s="207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row>
    <row r="116" spans="1:47" s="176" customFormat="1" ht="14.25" customHeight="1" x14ac:dyDescent="0.2">
      <c r="A116" s="2082"/>
      <c r="B116" s="2083"/>
      <c r="C116" s="539">
        <v>200</v>
      </c>
      <c r="D116" s="539">
        <v>0</v>
      </c>
      <c r="E116" s="539">
        <v>200</v>
      </c>
      <c r="F116" s="539">
        <v>200</v>
      </c>
      <c r="G116" s="1204">
        <v>200</v>
      </c>
      <c r="H116" s="539">
        <v>100</v>
      </c>
      <c r="I116" s="1548">
        <v>2314</v>
      </c>
      <c r="J116" s="536">
        <v>300</v>
      </c>
      <c r="K116" s="536"/>
      <c r="L116" s="2071"/>
      <c r="M116" s="207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row>
    <row r="117" spans="1:47" s="176" customFormat="1" ht="18" customHeight="1" x14ac:dyDescent="0.2">
      <c r="A117" s="1133" t="s">
        <v>2568</v>
      </c>
      <c r="B117" s="1622" t="s">
        <v>2569</v>
      </c>
      <c r="C117" s="1123">
        <f>SUM(C118,C124,C126,C128,C131)</f>
        <v>4515</v>
      </c>
      <c r="D117" s="1123">
        <f t="shared" ref="D117:H117" si="41">SUM(D118,D124,D126,D128,D131)</f>
        <v>7714</v>
      </c>
      <c r="E117" s="1123">
        <f t="shared" si="41"/>
        <v>4435</v>
      </c>
      <c r="F117" s="1123">
        <f t="shared" si="41"/>
        <v>6615</v>
      </c>
      <c r="G117" s="1205">
        <f t="shared" si="41"/>
        <v>3510</v>
      </c>
      <c r="H117" s="1123">
        <f t="shared" si="41"/>
        <v>6195</v>
      </c>
      <c r="I117" s="1548"/>
      <c r="J117" s="1629">
        <f t="shared" ref="J117:K117" si="42">SUM(J118,J124,J126,J128,J131)</f>
        <v>2344</v>
      </c>
      <c r="K117" s="1629">
        <f t="shared" si="42"/>
        <v>6195</v>
      </c>
      <c r="L117" s="1122"/>
      <c r="M117" s="1125"/>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row>
    <row r="118" spans="1:47" s="176" customFormat="1" ht="15.75" customHeight="1" x14ac:dyDescent="0.2">
      <c r="A118" s="2064" t="s">
        <v>2570</v>
      </c>
      <c r="B118" s="2065" t="s">
        <v>2571</v>
      </c>
      <c r="C118" s="1123">
        <f>SUM(C119:C123)</f>
        <v>2465</v>
      </c>
      <c r="D118" s="1123">
        <f t="shared" ref="D118:H118" si="43">SUM(D119:D123)</f>
        <v>5514</v>
      </c>
      <c r="E118" s="1123">
        <f t="shared" si="43"/>
        <v>2465</v>
      </c>
      <c r="F118" s="1123">
        <f t="shared" si="43"/>
        <v>4764</v>
      </c>
      <c r="G118" s="1205">
        <f t="shared" si="43"/>
        <v>3060</v>
      </c>
      <c r="H118" s="1123">
        <f t="shared" si="43"/>
        <v>5595</v>
      </c>
      <c r="I118" s="1548"/>
      <c r="J118" s="1629">
        <f t="shared" ref="J118:K118" si="44">SUM(J119:J123)</f>
        <v>1944</v>
      </c>
      <c r="K118" s="1629">
        <f t="shared" si="44"/>
        <v>5595</v>
      </c>
      <c r="L118" s="2084" t="s">
        <v>2572</v>
      </c>
      <c r="M118" s="2063" t="s">
        <v>2573</v>
      </c>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row>
    <row r="119" spans="1:47" s="176" customFormat="1" ht="15.75" customHeight="1" x14ac:dyDescent="0.2">
      <c r="A119" s="2064"/>
      <c r="B119" s="2065"/>
      <c r="C119" s="539">
        <v>0</v>
      </c>
      <c r="D119" s="539">
        <v>3180</v>
      </c>
      <c r="E119" s="539"/>
      <c r="F119" s="539">
        <v>3180</v>
      </c>
      <c r="G119" s="1204">
        <v>1200</v>
      </c>
      <c r="H119" s="539">
        <v>3042</v>
      </c>
      <c r="I119" s="1548">
        <v>1150</v>
      </c>
      <c r="J119" s="536">
        <v>0</v>
      </c>
      <c r="K119" s="925">
        <v>3180</v>
      </c>
      <c r="L119" s="2084"/>
      <c r="M119" s="2063"/>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row>
    <row r="120" spans="1:47" s="176" customFormat="1" ht="15.75" customHeight="1" x14ac:dyDescent="0.2">
      <c r="A120" s="2064"/>
      <c r="B120" s="2065"/>
      <c r="C120" s="539">
        <v>0</v>
      </c>
      <c r="D120" s="539">
        <v>159</v>
      </c>
      <c r="E120" s="539"/>
      <c r="F120" s="539">
        <v>159</v>
      </c>
      <c r="G120" s="1204">
        <v>60</v>
      </c>
      <c r="H120" s="539">
        <v>153</v>
      </c>
      <c r="I120" s="1548">
        <v>1210</v>
      </c>
      <c r="J120" s="536">
        <v>0</v>
      </c>
      <c r="K120" s="925">
        <v>159</v>
      </c>
      <c r="L120" s="2084"/>
      <c r="M120" s="2063"/>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row>
    <row r="121" spans="1:47" s="176" customFormat="1" ht="15.75" customHeight="1" x14ac:dyDescent="0.2">
      <c r="A121" s="2064"/>
      <c r="B121" s="2065"/>
      <c r="C121" s="539">
        <v>665</v>
      </c>
      <c r="D121" s="539">
        <v>125</v>
      </c>
      <c r="E121" s="539">
        <v>665</v>
      </c>
      <c r="F121" s="539">
        <v>125</v>
      </c>
      <c r="G121" s="1204">
        <v>500</v>
      </c>
      <c r="H121" s="539">
        <v>700</v>
      </c>
      <c r="I121" s="1548">
        <v>2231</v>
      </c>
      <c r="J121" s="536">
        <v>500</v>
      </c>
      <c r="K121" s="925">
        <v>700</v>
      </c>
      <c r="L121" s="2084"/>
      <c r="M121" s="2063"/>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row>
    <row r="122" spans="1:47" s="176" customFormat="1" ht="15.75" customHeight="1" x14ac:dyDescent="0.2">
      <c r="A122" s="2064"/>
      <c r="B122" s="2065"/>
      <c r="C122" s="539">
        <v>0</v>
      </c>
      <c r="D122" s="539">
        <v>300</v>
      </c>
      <c r="E122" s="539"/>
      <c r="F122" s="539">
        <v>300</v>
      </c>
      <c r="G122" s="1204">
        <v>0</v>
      </c>
      <c r="H122" s="539">
        <v>250</v>
      </c>
      <c r="I122" s="1548">
        <v>2312</v>
      </c>
      <c r="J122" s="536">
        <v>0</v>
      </c>
      <c r="K122" s="925">
        <v>250</v>
      </c>
      <c r="L122" s="2084"/>
      <c r="M122" s="2063"/>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row>
    <row r="123" spans="1:47" s="176" customFormat="1" ht="15.75" customHeight="1" x14ac:dyDescent="0.2">
      <c r="A123" s="2064"/>
      <c r="B123" s="2065"/>
      <c r="C123" s="539">
        <v>1800</v>
      </c>
      <c r="D123" s="539">
        <v>1750</v>
      </c>
      <c r="E123" s="539">
        <v>1800</v>
      </c>
      <c r="F123" s="539">
        <v>1000</v>
      </c>
      <c r="G123" s="1204">
        <v>1300</v>
      </c>
      <c r="H123" s="539">
        <v>1450</v>
      </c>
      <c r="I123" s="1548">
        <v>2314</v>
      </c>
      <c r="J123" s="536">
        <v>1444</v>
      </c>
      <c r="K123" s="925">
        <v>1306</v>
      </c>
      <c r="L123" s="2084"/>
      <c r="M123" s="2063"/>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row>
    <row r="124" spans="1:47" s="176" customFormat="1" ht="33" customHeight="1" x14ac:dyDescent="0.2">
      <c r="A124" s="2064" t="s">
        <v>2574</v>
      </c>
      <c r="B124" s="2065" t="s">
        <v>2575</v>
      </c>
      <c r="C124" s="1123">
        <f>SUM(C125)</f>
        <v>0</v>
      </c>
      <c r="D124" s="1123">
        <f t="shared" ref="D124:H124" si="45">SUM(D125)</f>
        <v>200</v>
      </c>
      <c r="E124" s="1123">
        <f t="shared" si="45"/>
        <v>0</v>
      </c>
      <c r="F124" s="1123">
        <f t="shared" si="45"/>
        <v>0</v>
      </c>
      <c r="G124" s="1205">
        <f t="shared" si="45"/>
        <v>200</v>
      </c>
      <c r="H124" s="1123">
        <f t="shared" si="45"/>
        <v>0</v>
      </c>
      <c r="I124" s="1548"/>
      <c r="J124" s="1629">
        <f t="shared" ref="J124:K124" si="46">SUM(J125)</f>
        <v>200</v>
      </c>
      <c r="K124" s="1629">
        <f t="shared" si="46"/>
        <v>0</v>
      </c>
      <c r="L124" s="2074" t="s">
        <v>2572</v>
      </c>
      <c r="M124" s="1125"/>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row>
    <row r="125" spans="1:47" s="176" customFormat="1" ht="33" customHeight="1" x14ac:dyDescent="0.2">
      <c r="A125" s="2064"/>
      <c r="B125" s="2065"/>
      <c r="C125" s="539">
        <v>0</v>
      </c>
      <c r="D125" s="539">
        <v>200</v>
      </c>
      <c r="E125" s="539"/>
      <c r="F125" s="539"/>
      <c r="G125" s="1204">
        <v>200</v>
      </c>
      <c r="H125" s="539">
        <v>0</v>
      </c>
      <c r="I125" s="1548">
        <v>2314</v>
      </c>
      <c r="J125" s="536">
        <v>200</v>
      </c>
      <c r="K125" s="925"/>
      <c r="L125" s="2067"/>
      <c r="M125" s="1125"/>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row>
    <row r="126" spans="1:47" s="176" customFormat="1" ht="32.25" customHeight="1" x14ac:dyDescent="0.2">
      <c r="A126" s="2064" t="s">
        <v>2576</v>
      </c>
      <c r="B126" s="2065" t="s">
        <v>2577</v>
      </c>
      <c r="C126" s="1123">
        <f>SUM(C127)</f>
        <v>0</v>
      </c>
      <c r="D126" s="1123">
        <f t="shared" ref="D126:H126" si="47">SUM(D127)</f>
        <v>200</v>
      </c>
      <c r="E126" s="1123">
        <f t="shared" si="47"/>
        <v>0</v>
      </c>
      <c r="F126" s="1123">
        <f t="shared" si="47"/>
        <v>200</v>
      </c>
      <c r="G126" s="1205">
        <f t="shared" si="47"/>
        <v>250</v>
      </c>
      <c r="H126" s="1123">
        <f t="shared" si="47"/>
        <v>0</v>
      </c>
      <c r="I126" s="1548"/>
      <c r="J126" s="1629">
        <f t="shared" ref="J126:K126" si="48">SUM(J127)</f>
        <v>200</v>
      </c>
      <c r="K126" s="1629">
        <f t="shared" si="48"/>
        <v>0</v>
      </c>
      <c r="L126" s="2071" t="s">
        <v>2578</v>
      </c>
      <c r="M126" s="1125"/>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row>
    <row r="127" spans="1:47" s="176" customFormat="1" ht="32.25" customHeight="1" x14ac:dyDescent="0.2">
      <c r="A127" s="2064"/>
      <c r="B127" s="2065"/>
      <c r="C127" s="539">
        <v>0</v>
      </c>
      <c r="D127" s="539">
        <v>200</v>
      </c>
      <c r="E127" s="539"/>
      <c r="F127" s="539">
        <v>200</v>
      </c>
      <c r="G127" s="1204">
        <v>250</v>
      </c>
      <c r="H127" s="539">
        <v>0</v>
      </c>
      <c r="I127" s="1548">
        <v>2314</v>
      </c>
      <c r="J127" s="536">
        <v>200</v>
      </c>
      <c r="K127" s="925"/>
      <c r="L127" s="2071"/>
      <c r="M127" s="1126" t="s">
        <v>2579</v>
      </c>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row>
    <row r="128" spans="1:47" s="176" customFormat="1" hidden="1" x14ac:dyDescent="0.2">
      <c r="A128" s="2064" t="s">
        <v>2580</v>
      </c>
      <c r="B128" s="2065" t="s">
        <v>2581</v>
      </c>
      <c r="C128" s="1123">
        <f>SUM(C129:C130)</f>
        <v>0</v>
      </c>
      <c r="D128" s="1123">
        <f t="shared" ref="D128:H128" si="49">SUM(D129:D130)</f>
        <v>800</v>
      </c>
      <c r="E128" s="1123">
        <f t="shared" si="49"/>
        <v>0</v>
      </c>
      <c r="F128" s="1123">
        <f t="shared" si="49"/>
        <v>800</v>
      </c>
      <c r="G128" s="1205">
        <f>SUM(G129:G130)</f>
        <v>0</v>
      </c>
      <c r="H128" s="1123">
        <f t="shared" si="49"/>
        <v>0</v>
      </c>
      <c r="I128" s="1548"/>
      <c r="J128" s="1629">
        <f t="shared" ref="J128:K128" si="50">SUM(J129:J130)</f>
        <v>0</v>
      </c>
      <c r="K128" s="1629">
        <f t="shared" si="50"/>
        <v>0</v>
      </c>
      <c r="L128" s="1122"/>
      <c r="M128" s="1125"/>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row>
    <row r="129" spans="1:47" s="176" customFormat="1" ht="12.75" hidden="1" customHeight="1" x14ac:dyDescent="0.2">
      <c r="A129" s="2064"/>
      <c r="B129" s="2065"/>
      <c r="C129" s="539">
        <v>0</v>
      </c>
      <c r="D129" s="539">
        <v>762</v>
      </c>
      <c r="E129" s="539"/>
      <c r="F129" s="539">
        <v>762</v>
      </c>
      <c r="G129" s="1204">
        <v>0</v>
      </c>
      <c r="H129" s="539">
        <v>0</v>
      </c>
      <c r="I129" s="1548">
        <v>1150</v>
      </c>
      <c r="J129" s="536">
        <v>0</v>
      </c>
      <c r="K129" s="925"/>
      <c r="L129" s="1122"/>
      <c r="M129" s="1125"/>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row>
    <row r="130" spans="1:47" s="176" customFormat="1" ht="12.75" hidden="1" customHeight="1" x14ac:dyDescent="0.2">
      <c r="A130" s="2064"/>
      <c r="B130" s="2065"/>
      <c r="C130" s="539">
        <v>0</v>
      </c>
      <c r="D130" s="539">
        <v>38</v>
      </c>
      <c r="E130" s="539"/>
      <c r="F130" s="539">
        <v>38</v>
      </c>
      <c r="G130" s="1204">
        <v>0</v>
      </c>
      <c r="H130" s="539">
        <v>0</v>
      </c>
      <c r="I130" s="1548">
        <v>1210</v>
      </c>
      <c r="J130" s="536">
        <v>0</v>
      </c>
      <c r="K130" s="925"/>
      <c r="L130" s="1122"/>
      <c r="M130" s="1125"/>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row>
    <row r="131" spans="1:47" s="176" customFormat="1" ht="24" customHeight="1" x14ac:dyDescent="0.2">
      <c r="A131" s="2064" t="s">
        <v>2582</v>
      </c>
      <c r="B131" s="2065" t="s">
        <v>2583</v>
      </c>
      <c r="C131" s="1123">
        <f>SUM(C132:C134)</f>
        <v>2050</v>
      </c>
      <c r="D131" s="1123">
        <f t="shared" ref="D131:H131" si="51">SUM(D132:D134)</f>
        <v>1000</v>
      </c>
      <c r="E131" s="1123">
        <f t="shared" si="51"/>
        <v>1970</v>
      </c>
      <c r="F131" s="1123">
        <f t="shared" si="51"/>
        <v>851</v>
      </c>
      <c r="G131" s="1205">
        <f t="shared" si="51"/>
        <v>0</v>
      </c>
      <c r="H131" s="1123">
        <f t="shared" si="51"/>
        <v>600</v>
      </c>
      <c r="I131" s="1548"/>
      <c r="J131" s="1629">
        <f t="shared" ref="J131:K131" si="52">SUM(J132:J134)</f>
        <v>0</v>
      </c>
      <c r="K131" s="1629">
        <f t="shared" si="52"/>
        <v>600</v>
      </c>
      <c r="L131" s="2071" t="s">
        <v>2584</v>
      </c>
      <c r="M131" s="1125"/>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row>
    <row r="132" spans="1:47" s="176" customFormat="1" ht="24" customHeight="1" x14ac:dyDescent="0.2">
      <c r="A132" s="2064"/>
      <c r="B132" s="2065"/>
      <c r="C132" s="539">
        <v>1500</v>
      </c>
      <c r="D132" s="539">
        <v>500</v>
      </c>
      <c r="E132" s="539">
        <v>1420</v>
      </c>
      <c r="F132" s="539">
        <v>351</v>
      </c>
      <c r="G132" s="1204">
        <v>0</v>
      </c>
      <c r="H132" s="539">
        <v>600</v>
      </c>
      <c r="I132" s="1139">
        <v>2231</v>
      </c>
      <c r="J132" s="536"/>
      <c r="K132" s="925">
        <v>600</v>
      </c>
      <c r="L132" s="2071"/>
      <c r="M132" s="1126" t="s">
        <v>2585</v>
      </c>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row>
    <row r="133" spans="1:47" s="176" customFormat="1" ht="12.75" hidden="1" customHeight="1" x14ac:dyDescent="0.2">
      <c r="A133" s="2064"/>
      <c r="B133" s="2065"/>
      <c r="C133" s="539">
        <v>550</v>
      </c>
      <c r="D133" s="539">
        <v>0</v>
      </c>
      <c r="E133" s="539">
        <v>550</v>
      </c>
      <c r="F133" s="539"/>
      <c r="G133" s="1204">
        <v>0</v>
      </c>
      <c r="H133" s="539">
        <v>0</v>
      </c>
      <c r="I133" s="1548">
        <v>2279</v>
      </c>
      <c r="J133" s="536"/>
      <c r="K133" s="925"/>
      <c r="L133" s="2071"/>
      <c r="M133" s="1125"/>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row>
    <row r="134" spans="1:47" s="176" customFormat="1" ht="12.75" hidden="1" customHeight="1" x14ac:dyDescent="0.2">
      <c r="A134" s="2064"/>
      <c r="B134" s="2065"/>
      <c r="C134" s="539">
        <v>0</v>
      </c>
      <c r="D134" s="539">
        <v>500</v>
      </c>
      <c r="E134" s="539"/>
      <c r="F134" s="539">
        <v>500</v>
      </c>
      <c r="G134" s="1204">
        <v>0</v>
      </c>
      <c r="H134" s="539">
        <v>0</v>
      </c>
      <c r="I134" s="1548">
        <v>2363</v>
      </c>
      <c r="J134" s="536"/>
      <c r="K134" s="925"/>
      <c r="L134" s="2071"/>
      <c r="M134" s="1125"/>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row>
    <row r="135" spans="1:47" s="176" customFormat="1" x14ac:dyDescent="0.2">
      <c r="A135" s="1133" t="s">
        <v>2586</v>
      </c>
      <c r="B135" s="1622" t="s">
        <v>2587</v>
      </c>
      <c r="C135" s="1123">
        <f>SUM(C136,C142,C147,C153,C159,C165,C167)</f>
        <v>61830</v>
      </c>
      <c r="D135" s="1123">
        <f t="shared" ref="D135:H135" si="53">SUM(D136,D142,D147,D153,D159,D165,D167)</f>
        <v>0</v>
      </c>
      <c r="E135" s="1123">
        <f t="shared" si="53"/>
        <v>55493</v>
      </c>
      <c r="F135" s="1123">
        <f t="shared" si="53"/>
        <v>0</v>
      </c>
      <c r="G135" s="1205">
        <f t="shared" si="53"/>
        <v>53886</v>
      </c>
      <c r="H135" s="1123">
        <f t="shared" si="53"/>
        <v>0</v>
      </c>
      <c r="I135" s="1548"/>
      <c r="J135" s="1629">
        <f t="shared" ref="J135:K135" si="54">SUM(J136,J142,J147,J153,J159,J165,J167)</f>
        <v>45427</v>
      </c>
      <c r="K135" s="1629">
        <f t="shared" si="54"/>
        <v>0</v>
      </c>
      <c r="L135" s="1122"/>
      <c r="M135" s="1125"/>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row>
    <row r="136" spans="1:47" s="176" customFormat="1" ht="17.25" customHeight="1" x14ac:dyDescent="0.2">
      <c r="A136" s="2064" t="s">
        <v>2588</v>
      </c>
      <c r="B136" s="2065" t="s">
        <v>2589</v>
      </c>
      <c r="C136" s="1123">
        <f>SUM(C137:C141)</f>
        <v>0</v>
      </c>
      <c r="D136" s="1123">
        <f t="shared" ref="D136:F136" si="55">SUM(D137:D141)</f>
        <v>0</v>
      </c>
      <c r="E136" s="1123">
        <f t="shared" si="55"/>
        <v>0</v>
      </c>
      <c r="F136" s="1123">
        <f t="shared" si="55"/>
        <v>0</v>
      </c>
      <c r="G136" s="1205">
        <f>SUM(G137:G141)</f>
        <v>48056</v>
      </c>
      <c r="H136" s="1123"/>
      <c r="I136" s="1548"/>
      <c r="J136" s="1629">
        <f t="shared" ref="J136:K136" si="56">SUM(J137:J141)</f>
        <v>39597</v>
      </c>
      <c r="K136" s="1629">
        <f t="shared" si="56"/>
        <v>0</v>
      </c>
      <c r="L136" s="2071" t="s">
        <v>2590</v>
      </c>
      <c r="M136" s="1125"/>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row>
    <row r="137" spans="1:47" s="176" customFormat="1" ht="17.25" customHeight="1" x14ac:dyDescent="0.2">
      <c r="A137" s="2064"/>
      <c r="B137" s="2065"/>
      <c r="C137" s="539">
        <v>0</v>
      </c>
      <c r="D137" s="1123"/>
      <c r="E137" s="1123"/>
      <c r="F137" s="1123"/>
      <c r="G137" s="1204">
        <v>8020</v>
      </c>
      <c r="H137" s="1123"/>
      <c r="I137" s="1548">
        <v>1150</v>
      </c>
      <c r="J137" s="536">
        <v>8020</v>
      </c>
      <c r="K137" s="536"/>
      <c r="L137" s="2071"/>
      <c r="M137" s="2075" t="s">
        <v>2591</v>
      </c>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row>
    <row r="138" spans="1:47" s="176" customFormat="1" ht="17.25" customHeight="1" x14ac:dyDescent="0.2">
      <c r="A138" s="2064"/>
      <c r="B138" s="2065"/>
      <c r="C138" s="539">
        <v>0</v>
      </c>
      <c r="D138" s="1123"/>
      <c r="E138" s="1123"/>
      <c r="F138" s="1123"/>
      <c r="G138" s="1204">
        <v>401</v>
      </c>
      <c r="H138" s="1123"/>
      <c r="I138" s="1548">
        <v>1210</v>
      </c>
      <c r="J138" s="536">
        <v>401</v>
      </c>
      <c r="K138" s="536"/>
      <c r="L138" s="2071"/>
      <c r="M138" s="2075"/>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row>
    <row r="139" spans="1:47" s="176" customFormat="1" ht="17.25" hidden="1" customHeight="1" x14ac:dyDescent="0.2">
      <c r="A139" s="2064"/>
      <c r="B139" s="2065"/>
      <c r="C139" s="539">
        <v>0</v>
      </c>
      <c r="D139" s="1123"/>
      <c r="E139" s="1123"/>
      <c r="F139" s="1123"/>
      <c r="G139" s="1204">
        <v>20900</v>
      </c>
      <c r="H139" s="1123"/>
      <c r="I139" s="1548">
        <v>2264</v>
      </c>
      <c r="J139" s="536">
        <v>0</v>
      </c>
      <c r="K139" s="536"/>
      <c r="L139" s="2071"/>
      <c r="M139" s="2075"/>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row>
    <row r="140" spans="1:47" s="176" customFormat="1" ht="17.25" customHeight="1" x14ac:dyDescent="0.2">
      <c r="A140" s="2064"/>
      <c r="B140" s="2065"/>
      <c r="C140" s="539">
        <v>0</v>
      </c>
      <c r="D140" s="1123"/>
      <c r="E140" s="1123"/>
      <c r="F140" s="1123"/>
      <c r="G140" s="1204">
        <v>17185</v>
      </c>
      <c r="H140" s="1123"/>
      <c r="I140" s="1548">
        <v>2231</v>
      </c>
      <c r="J140" s="536">
        <f>27727+1899</f>
        <v>29626</v>
      </c>
      <c r="K140" s="536"/>
      <c r="L140" s="2071"/>
      <c r="M140" s="2075"/>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row>
    <row r="141" spans="1:47" s="176" customFormat="1" ht="17.25" customHeight="1" x14ac:dyDescent="0.2">
      <c r="A141" s="2064"/>
      <c r="B141" s="2065"/>
      <c r="C141" s="539">
        <v>0</v>
      </c>
      <c r="D141" s="1123"/>
      <c r="E141" s="1123"/>
      <c r="F141" s="1123"/>
      <c r="G141" s="1204">
        <v>1550</v>
      </c>
      <c r="H141" s="1123"/>
      <c r="I141" s="1548">
        <v>2314</v>
      </c>
      <c r="J141" s="536">
        <v>1550</v>
      </c>
      <c r="K141" s="536"/>
      <c r="L141" s="2071"/>
      <c r="M141" s="2075"/>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row>
    <row r="142" spans="1:47" s="176" customFormat="1" hidden="1" x14ac:dyDescent="0.2">
      <c r="A142" s="2064" t="s">
        <v>2592</v>
      </c>
      <c r="B142" s="2065" t="s">
        <v>2593</v>
      </c>
      <c r="C142" s="1123">
        <f>SUM(C143:C146)</f>
        <v>12147</v>
      </c>
      <c r="D142" s="1123">
        <f t="shared" ref="D142:H142" si="57">SUM(D143:D146)</f>
        <v>0</v>
      </c>
      <c r="E142" s="1123">
        <f t="shared" si="57"/>
        <v>12144</v>
      </c>
      <c r="F142" s="1123">
        <f t="shared" si="57"/>
        <v>0</v>
      </c>
      <c r="G142" s="1205">
        <f t="shared" si="57"/>
        <v>0</v>
      </c>
      <c r="H142" s="1123">
        <f t="shared" si="57"/>
        <v>0</v>
      </c>
      <c r="I142" s="1548"/>
      <c r="J142" s="1629">
        <f t="shared" ref="J142:K142" si="58">SUM(J143:J146)</f>
        <v>0</v>
      </c>
      <c r="K142" s="1629">
        <f t="shared" si="58"/>
        <v>0</v>
      </c>
      <c r="L142" s="2071" t="s">
        <v>2594</v>
      </c>
      <c r="M142" s="1125"/>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row>
    <row r="143" spans="1:47" s="176" customFormat="1" ht="12.75" hidden="1" customHeight="1" x14ac:dyDescent="0.2">
      <c r="A143" s="2064"/>
      <c r="B143" s="2065"/>
      <c r="C143" s="539">
        <v>4189</v>
      </c>
      <c r="D143" s="539"/>
      <c r="E143" s="539">
        <v>4189</v>
      </c>
      <c r="F143" s="539"/>
      <c r="G143" s="1204">
        <v>0</v>
      </c>
      <c r="H143" s="539"/>
      <c r="I143" s="1548">
        <v>2264</v>
      </c>
      <c r="J143" s="536">
        <v>0</v>
      </c>
      <c r="K143" s="925"/>
      <c r="L143" s="2071"/>
      <c r="M143" s="1125"/>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row>
    <row r="144" spans="1:47" s="176" customFormat="1" ht="12.75" hidden="1" customHeight="1" x14ac:dyDescent="0.2">
      <c r="A144" s="2064"/>
      <c r="B144" s="2065"/>
      <c r="C144" s="539">
        <v>6715</v>
      </c>
      <c r="D144" s="539"/>
      <c r="E144" s="539">
        <v>6715</v>
      </c>
      <c r="F144" s="539"/>
      <c r="G144" s="1204">
        <v>0</v>
      </c>
      <c r="H144" s="539"/>
      <c r="I144" s="1548">
        <v>2279</v>
      </c>
      <c r="J144" s="536">
        <v>0</v>
      </c>
      <c r="K144" s="925"/>
      <c r="L144" s="2071"/>
      <c r="M144" s="1125"/>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row>
    <row r="145" spans="1:47" s="176" customFormat="1" ht="12.75" hidden="1" customHeight="1" x14ac:dyDescent="0.2">
      <c r="A145" s="2064"/>
      <c r="B145" s="2065"/>
      <c r="C145" s="539">
        <v>400</v>
      </c>
      <c r="D145" s="539"/>
      <c r="E145" s="539">
        <v>400</v>
      </c>
      <c r="F145" s="539"/>
      <c r="G145" s="1204">
        <v>0</v>
      </c>
      <c r="H145" s="539"/>
      <c r="I145" s="1548">
        <v>2312</v>
      </c>
      <c r="J145" s="536">
        <v>0</v>
      </c>
      <c r="K145" s="925"/>
      <c r="L145" s="2071"/>
      <c r="M145" s="1125"/>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row>
    <row r="146" spans="1:47" s="176" customFormat="1" ht="12.75" hidden="1" customHeight="1" x14ac:dyDescent="0.2">
      <c r="A146" s="2064"/>
      <c r="B146" s="2065"/>
      <c r="C146" s="539">
        <v>843</v>
      </c>
      <c r="D146" s="539"/>
      <c r="E146" s="539">
        <v>840</v>
      </c>
      <c r="F146" s="539"/>
      <c r="G146" s="1204">
        <v>0</v>
      </c>
      <c r="H146" s="539"/>
      <c r="I146" s="1548">
        <v>2314</v>
      </c>
      <c r="J146" s="536">
        <v>0</v>
      </c>
      <c r="K146" s="925"/>
      <c r="L146" s="2071"/>
      <c r="M146" s="1125"/>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row>
    <row r="147" spans="1:47" s="176" customFormat="1" hidden="1" x14ac:dyDescent="0.2">
      <c r="A147" s="2064" t="s">
        <v>2595</v>
      </c>
      <c r="B147" s="2065" t="s">
        <v>2596</v>
      </c>
      <c r="C147" s="1123">
        <f>SUM(C148:C152)</f>
        <v>8366</v>
      </c>
      <c r="D147" s="1123">
        <f t="shared" ref="D147:H147" si="59">SUM(D148:D152)</f>
        <v>0</v>
      </c>
      <c r="E147" s="1123">
        <f t="shared" si="59"/>
        <v>7819</v>
      </c>
      <c r="F147" s="1123">
        <f t="shared" si="59"/>
        <v>0</v>
      </c>
      <c r="G147" s="1205">
        <f t="shared" si="59"/>
        <v>0</v>
      </c>
      <c r="H147" s="1123">
        <f t="shared" si="59"/>
        <v>0</v>
      </c>
      <c r="I147" s="1548"/>
      <c r="J147" s="1629">
        <f t="shared" ref="J147:K147" si="60">SUM(J148:J152)</f>
        <v>0</v>
      </c>
      <c r="K147" s="1629">
        <f t="shared" si="60"/>
        <v>0</v>
      </c>
      <c r="L147" s="2071" t="s">
        <v>2597</v>
      </c>
      <c r="M147" s="1125"/>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row>
    <row r="148" spans="1:47" s="176" customFormat="1" ht="12.75" hidden="1" customHeight="1" x14ac:dyDescent="0.2">
      <c r="A148" s="2064"/>
      <c r="B148" s="2065"/>
      <c r="C148" s="539">
        <v>2429</v>
      </c>
      <c r="D148" s="539"/>
      <c r="E148" s="539">
        <v>2429</v>
      </c>
      <c r="F148" s="539"/>
      <c r="G148" s="1204">
        <v>0</v>
      </c>
      <c r="H148" s="539"/>
      <c r="I148" s="1548">
        <v>1150</v>
      </c>
      <c r="J148" s="536">
        <v>0</v>
      </c>
      <c r="K148" s="925"/>
      <c r="L148" s="2071"/>
      <c r="M148" s="1125"/>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c r="AS148" s="186"/>
      <c r="AT148" s="186"/>
      <c r="AU148" s="186"/>
    </row>
    <row r="149" spans="1:47" s="176" customFormat="1" ht="12.75" hidden="1" customHeight="1" x14ac:dyDescent="0.2">
      <c r="A149" s="2064"/>
      <c r="B149" s="2065"/>
      <c r="C149" s="539">
        <v>122</v>
      </c>
      <c r="D149" s="539"/>
      <c r="E149" s="539">
        <v>122</v>
      </c>
      <c r="F149" s="539"/>
      <c r="G149" s="1204">
        <v>0</v>
      </c>
      <c r="H149" s="539"/>
      <c r="I149" s="1548">
        <v>1210</v>
      </c>
      <c r="J149" s="536">
        <v>0</v>
      </c>
      <c r="K149" s="925"/>
      <c r="L149" s="2071"/>
      <c r="M149" s="1125"/>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row>
    <row r="150" spans="1:47" s="176" customFormat="1" ht="12.75" hidden="1" customHeight="1" x14ac:dyDescent="0.2">
      <c r="A150" s="2064"/>
      <c r="B150" s="2065"/>
      <c r="C150" s="539">
        <v>2160</v>
      </c>
      <c r="D150" s="539"/>
      <c r="E150" s="539">
        <v>2160</v>
      </c>
      <c r="F150" s="539"/>
      <c r="G150" s="1204">
        <v>0</v>
      </c>
      <c r="H150" s="539"/>
      <c r="I150" s="1548">
        <v>2264</v>
      </c>
      <c r="J150" s="536">
        <v>0</v>
      </c>
      <c r="K150" s="925"/>
      <c r="L150" s="2071"/>
      <c r="M150" s="1125"/>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186"/>
      <c r="AT150" s="186"/>
      <c r="AU150" s="186"/>
    </row>
    <row r="151" spans="1:47" s="176" customFormat="1" ht="12.75" hidden="1" customHeight="1" x14ac:dyDescent="0.2">
      <c r="A151" s="2064"/>
      <c r="B151" s="2065"/>
      <c r="C151" s="539">
        <v>3255</v>
      </c>
      <c r="D151" s="539"/>
      <c r="E151" s="539">
        <v>2708</v>
      </c>
      <c r="F151" s="539"/>
      <c r="G151" s="1204">
        <v>0</v>
      </c>
      <c r="H151" s="539"/>
      <c r="I151" s="1548">
        <v>2279</v>
      </c>
      <c r="J151" s="536">
        <v>0</v>
      </c>
      <c r="K151" s="925"/>
      <c r="L151" s="2071"/>
      <c r="M151" s="1125"/>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row>
    <row r="152" spans="1:47" s="176" customFormat="1" ht="12.75" hidden="1" customHeight="1" x14ac:dyDescent="0.2">
      <c r="A152" s="2064"/>
      <c r="B152" s="2065"/>
      <c r="C152" s="539">
        <v>400</v>
      </c>
      <c r="D152" s="539"/>
      <c r="E152" s="539">
        <v>400</v>
      </c>
      <c r="F152" s="539"/>
      <c r="G152" s="1204">
        <v>0</v>
      </c>
      <c r="H152" s="539"/>
      <c r="I152" s="1548">
        <v>2314</v>
      </c>
      <c r="J152" s="536">
        <v>0</v>
      </c>
      <c r="K152" s="925"/>
      <c r="L152" s="2071"/>
      <c r="M152" s="1125"/>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row>
    <row r="153" spans="1:47" s="176" customFormat="1" hidden="1" x14ac:dyDescent="0.2">
      <c r="A153" s="2073" t="s">
        <v>2598</v>
      </c>
      <c r="B153" s="2065" t="s">
        <v>2599</v>
      </c>
      <c r="C153" s="1123">
        <f>SUM(C154:C158)</f>
        <v>20245</v>
      </c>
      <c r="D153" s="1123">
        <f t="shared" ref="D153:H153" si="61">SUM(D154:D158)</f>
        <v>0</v>
      </c>
      <c r="E153" s="1123">
        <f t="shared" si="61"/>
        <v>14500</v>
      </c>
      <c r="F153" s="1123">
        <f t="shared" si="61"/>
        <v>0</v>
      </c>
      <c r="G153" s="1205">
        <f t="shared" si="61"/>
        <v>0</v>
      </c>
      <c r="H153" s="1123">
        <f t="shared" si="61"/>
        <v>0</v>
      </c>
      <c r="I153" s="1548"/>
      <c r="J153" s="1629">
        <f t="shared" ref="J153:K153" si="62">SUM(J154:J158)</f>
        <v>0</v>
      </c>
      <c r="K153" s="1629">
        <f t="shared" si="62"/>
        <v>0</v>
      </c>
      <c r="L153" s="2071" t="s">
        <v>2594</v>
      </c>
      <c r="M153" s="1125"/>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186"/>
      <c r="AU153" s="186"/>
    </row>
    <row r="154" spans="1:47" s="176" customFormat="1" ht="12.75" hidden="1" customHeight="1" x14ac:dyDescent="0.2">
      <c r="A154" s="2073"/>
      <c r="B154" s="2065"/>
      <c r="C154" s="539">
        <v>3000</v>
      </c>
      <c r="D154" s="539"/>
      <c r="E154" s="539">
        <v>3000</v>
      </c>
      <c r="F154" s="539"/>
      <c r="G154" s="1204">
        <v>0</v>
      </c>
      <c r="H154" s="539"/>
      <c r="I154" s="1548">
        <v>1150</v>
      </c>
      <c r="J154" s="536">
        <v>0</v>
      </c>
      <c r="K154" s="925"/>
      <c r="L154" s="2071"/>
      <c r="M154" s="1125"/>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186"/>
      <c r="AU154" s="186"/>
    </row>
    <row r="155" spans="1:47" s="176" customFormat="1" ht="12.75" hidden="1" customHeight="1" x14ac:dyDescent="0.2">
      <c r="A155" s="2073"/>
      <c r="B155" s="2065"/>
      <c r="C155" s="539">
        <v>150</v>
      </c>
      <c r="D155" s="539"/>
      <c r="E155" s="539">
        <v>150</v>
      </c>
      <c r="F155" s="539"/>
      <c r="G155" s="1204">
        <v>0</v>
      </c>
      <c r="H155" s="539"/>
      <c r="I155" s="1548">
        <v>1210</v>
      </c>
      <c r="J155" s="536">
        <v>0</v>
      </c>
      <c r="K155" s="925"/>
      <c r="L155" s="2071"/>
      <c r="M155" s="1125"/>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c r="AS155" s="186"/>
      <c r="AT155" s="186"/>
      <c r="AU155" s="186"/>
    </row>
    <row r="156" spans="1:47" s="176" customFormat="1" ht="12.75" hidden="1" customHeight="1" x14ac:dyDescent="0.2">
      <c r="A156" s="2073"/>
      <c r="B156" s="2065"/>
      <c r="C156" s="539">
        <v>11795</v>
      </c>
      <c r="D156" s="539"/>
      <c r="E156" s="539">
        <v>6050</v>
      </c>
      <c r="F156" s="539"/>
      <c r="G156" s="1204">
        <v>0</v>
      </c>
      <c r="H156" s="539"/>
      <c r="I156" s="1548">
        <v>2264</v>
      </c>
      <c r="J156" s="536">
        <v>0</v>
      </c>
      <c r="K156" s="925"/>
      <c r="L156" s="2071"/>
      <c r="M156" s="1125"/>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row>
    <row r="157" spans="1:47" s="176" customFormat="1" ht="12.75" hidden="1" customHeight="1" x14ac:dyDescent="0.2">
      <c r="A157" s="2073"/>
      <c r="B157" s="2065"/>
      <c r="C157" s="539">
        <v>4800</v>
      </c>
      <c r="D157" s="539"/>
      <c r="E157" s="539">
        <v>4800</v>
      </c>
      <c r="F157" s="539"/>
      <c r="G157" s="1204">
        <v>0</v>
      </c>
      <c r="H157" s="539"/>
      <c r="I157" s="1548">
        <v>2279</v>
      </c>
      <c r="J157" s="536">
        <v>0</v>
      </c>
      <c r="K157" s="925"/>
      <c r="L157" s="2071"/>
      <c r="M157" s="1125"/>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row>
    <row r="158" spans="1:47" s="176" customFormat="1" ht="12.75" hidden="1" customHeight="1" x14ac:dyDescent="0.2">
      <c r="A158" s="2073"/>
      <c r="B158" s="2065"/>
      <c r="C158" s="539">
        <v>500</v>
      </c>
      <c r="D158" s="539"/>
      <c r="E158" s="539">
        <v>500</v>
      </c>
      <c r="F158" s="539"/>
      <c r="G158" s="1204">
        <v>0</v>
      </c>
      <c r="H158" s="539"/>
      <c r="I158" s="1548">
        <v>2314</v>
      </c>
      <c r="J158" s="536">
        <v>0</v>
      </c>
      <c r="K158" s="925"/>
      <c r="L158" s="2071"/>
      <c r="M158" s="1125"/>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186"/>
    </row>
    <row r="159" spans="1:47" s="176" customFormat="1" ht="12.75" hidden="1" customHeight="1" x14ac:dyDescent="0.2">
      <c r="A159" s="2064" t="s">
        <v>2600</v>
      </c>
      <c r="B159" s="2065" t="s">
        <v>2601</v>
      </c>
      <c r="C159" s="1123">
        <f>SUM(C160:C164)</f>
        <v>8519</v>
      </c>
      <c r="D159" s="1123">
        <f t="shared" ref="D159:H159" si="63">SUM(D160:D164)</f>
        <v>0</v>
      </c>
      <c r="E159" s="1123">
        <f t="shared" si="63"/>
        <v>8506</v>
      </c>
      <c r="F159" s="1123">
        <f t="shared" si="63"/>
        <v>0</v>
      </c>
      <c r="G159" s="1205">
        <f t="shared" si="63"/>
        <v>0</v>
      </c>
      <c r="H159" s="1123">
        <f t="shared" si="63"/>
        <v>0</v>
      </c>
      <c r="I159" s="1548"/>
      <c r="J159" s="1629">
        <f t="shared" ref="J159:K159" si="64">SUM(J160:J164)</f>
        <v>0</v>
      </c>
      <c r="K159" s="1629">
        <f t="shared" si="64"/>
        <v>0</v>
      </c>
      <c r="L159" s="2071" t="s">
        <v>2594</v>
      </c>
      <c r="M159" s="1125"/>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c r="AS159" s="186"/>
      <c r="AT159" s="186"/>
      <c r="AU159" s="186"/>
    </row>
    <row r="160" spans="1:47" s="176" customFormat="1" ht="12.75" hidden="1" customHeight="1" x14ac:dyDescent="0.2">
      <c r="A160" s="2064"/>
      <c r="B160" s="2065"/>
      <c r="C160" s="539">
        <v>1509</v>
      </c>
      <c r="D160" s="539"/>
      <c r="E160" s="539">
        <v>1509</v>
      </c>
      <c r="F160" s="539"/>
      <c r="G160" s="1204">
        <v>0</v>
      </c>
      <c r="H160" s="539"/>
      <c r="I160" s="1548">
        <v>1150</v>
      </c>
      <c r="J160" s="536">
        <v>0</v>
      </c>
      <c r="K160" s="925"/>
      <c r="L160" s="2071"/>
      <c r="M160" s="1125"/>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c r="AS160" s="186"/>
      <c r="AT160" s="186"/>
      <c r="AU160" s="186"/>
    </row>
    <row r="161" spans="1:47" s="176" customFormat="1" ht="12.75" hidden="1" customHeight="1" x14ac:dyDescent="0.2">
      <c r="A161" s="2064"/>
      <c r="B161" s="2065"/>
      <c r="C161" s="539">
        <v>76</v>
      </c>
      <c r="D161" s="539"/>
      <c r="E161" s="539">
        <v>63</v>
      </c>
      <c r="F161" s="539"/>
      <c r="G161" s="1204">
        <v>0</v>
      </c>
      <c r="H161" s="539"/>
      <c r="I161" s="1548">
        <v>1210</v>
      </c>
      <c r="J161" s="536">
        <v>0</v>
      </c>
      <c r="K161" s="925"/>
      <c r="L161" s="2071"/>
      <c r="M161" s="1125"/>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c r="AS161" s="186"/>
      <c r="AT161" s="186"/>
      <c r="AU161" s="186"/>
    </row>
    <row r="162" spans="1:47" s="176" customFormat="1" ht="12.75" hidden="1" customHeight="1" x14ac:dyDescent="0.2">
      <c r="A162" s="2064"/>
      <c r="B162" s="2065"/>
      <c r="C162" s="539">
        <v>3400</v>
      </c>
      <c r="D162" s="539"/>
      <c r="E162" s="539">
        <v>3400</v>
      </c>
      <c r="F162" s="539"/>
      <c r="G162" s="1204">
        <v>0</v>
      </c>
      <c r="H162" s="539"/>
      <c r="I162" s="1548">
        <v>2264</v>
      </c>
      <c r="J162" s="536">
        <v>0</v>
      </c>
      <c r="K162" s="925"/>
      <c r="L162" s="2071"/>
      <c r="M162" s="1125"/>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c r="AS162" s="186"/>
      <c r="AT162" s="186"/>
      <c r="AU162" s="186"/>
    </row>
    <row r="163" spans="1:47" s="176" customFormat="1" ht="12.75" hidden="1" customHeight="1" x14ac:dyDescent="0.2">
      <c r="A163" s="2064"/>
      <c r="B163" s="2065"/>
      <c r="C163" s="539">
        <v>3334</v>
      </c>
      <c r="D163" s="539"/>
      <c r="E163" s="539">
        <v>3334</v>
      </c>
      <c r="F163" s="539"/>
      <c r="G163" s="1204">
        <v>0</v>
      </c>
      <c r="H163" s="539"/>
      <c r="I163" s="1548">
        <v>2279</v>
      </c>
      <c r="J163" s="536">
        <v>0</v>
      </c>
      <c r="K163" s="925"/>
      <c r="L163" s="2071"/>
      <c r="M163" s="1125"/>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c r="AS163" s="186"/>
      <c r="AT163" s="186"/>
      <c r="AU163" s="186"/>
    </row>
    <row r="164" spans="1:47" s="176" customFormat="1" ht="12.75" hidden="1" customHeight="1" x14ac:dyDescent="0.2">
      <c r="A164" s="2064"/>
      <c r="B164" s="2065"/>
      <c r="C164" s="539">
        <v>200</v>
      </c>
      <c r="D164" s="539"/>
      <c r="E164" s="539">
        <v>200</v>
      </c>
      <c r="F164" s="539"/>
      <c r="G164" s="1204">
        <v>0</v>
      </c>
      <c r="H164" s="539"/>
      <c r="I164" s="1548">
        <v>2314</v>
      </c>
      <c r="J164" s="536">
        <v>0</v>
      </c>
      <c r="K164" s="925"/>
      <c r="L164" s="2071"/>
      <c r="M164" s="1125"/>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row>
    <row r="165" spans="1:47" s="176" customFormat="1" ht="30.75" hidden="1" customHeight="1" x14ac:dyDescent="0.2">
      <c r="A165" s="2064" t="s">
        <v>2602</v>
      </c>
      <c r="B165" s="2065" t="s">
        <v>2603</v>
      </c>
      <c r="C165" s="1123">
        <f>SUM(C166)</f>
        <v>6723</v>
      </c>
      <c r="D165" s="1123">
        <f t="shared" ref="D165:H165" si="65">SUM(D166)</f>
        <v>0</v>
      </c>
      <c r="E165" s="1123">
        <f t="shared" si="65"/>
        <v>6694</v>
      </c>
      <c r="F165" s="1123">
        <f t="shared" si="65"/>
        <v>0</v>
      </c>
      <c r="G165" s="1205">
        <f t="shared" si="65"/>
        <v>0</v>
      </c>
      <c r="H165" s="1123">
        <f t="shared" si="65"/>
        <v>0</v>
      </c>
      <c r="I165" s="1548"/>
      <c r="J165" s="1629">
        <f t="shared" ref="J165:K165" si="66">SUM(J166)</f>
        <v>0</v>
      </c>
      <c r="K165" s="1629">
        <f t="shared" si="66"/>
        <v>0</v>
      </c>
      <c r="L165" s="2071" t="s">
        <v>2604</v>
      </c>
      <c r="M165" s="1125"/>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row>
    <row r="166" spans="1:47" s="176" customFormat="1" ht="30.75" hidden="1" customHeight="1" x14ac:dyDescent="0.2">
      <c r="A166" s="2064"/>
      <c r="B166" s="2065"/>
      <c r="C166" s="539">
        <v>6723</v>
      </c>
      <c r="D166" s="539"/>
      <c r="E166" s="539">
        <v>6694</v>
      </c>
      <c r="F166" s="539"/>
      <c r="G166" s="1204">
        <v>0</v>
      </c>
      <c r="H166" s="539"/>
      <c r="I166" s="1548">
        <v>2279</v>
      </c>
      <c r="J166" s="536">
        <v>0</v>
      </c>
      <c r="K166" s="925"/>
      <c r="L166" s="2071"/>
      <c r="M166" s="1125"/>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c r="AS166" s="186"/>
      <c r="AT166" s="186"/>
      <c r="AU166" s="186"/>
    </row>
    <row r="167" spans="1:47" s="176" customFormat="1" x14ac:dyDescent="0.2">
      <c r="A167" s="2064" t="s">
        <v>2592</v>
      </c>
      <c r="B167" s="2065" t="s">
        <v>2605</v>
      </c>
      <c r="C167" s="1123">
        <f>SUM(C168:C172)</f>
        <v>5830</v>
      </c>
      <c r="D167" s="1123">
        <f t="shared" ref="D167:H167" si="67">SUM(D168:D172)</f>
        <v>0</v>
      </c>
      <c r="E167" s="1123">
        <f t="shared" si="67"/>
        <v>5830</v>
      </c>
      <c r="F167" s="1123">
        <f t="shared" si="67"/>
        <v>0</v>
      </c>
      <c r="G167" s="1205">
        <f t="shared" si="67"/>
        <v>5830</v>
      </c>
      <c r="H167" s="1123">
        <f t="shared" si="67"/>
        <v>0</v>
      </c>
      <c r="I167" s="1548"/>
      <c r="J167" s="1629">
        <f t="shared" ref="J167:K167" si="68">SUM(J168:J172)</f>
        <v>5830</v>
      </c>
      <c r="K167" s="1629">
        <f t="shared" si="68"/>
        <v>0</v>
      </c>
      <c r="L167" s="2071" t="s">
        <v>2594</v>
      </c>
      <c r="M167" s="1125"/>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row>
    <row r="168" spans="1:47" s="176" customFormat="1" ht="12.75" customHeight="1" x14ac:dyDescent="0.2">
      <c r="A168" s="2064"/>
      <c r="B168" s="2065"/>
      <c r="C168" s="539">
        <v>1537</v>
      </c>
      <c r="D168" s="539"/>
      <c r="E168" s="539">
        <v>1537</v>
      </c>
      <c r="F168" s="539"/>
      <c r="G168" s="1204">
        <v>1537</v>
      </c>
      <c r="H168" s="539"/>
      <c r="I168" s="1548">
        <v>1150</v>
      </c>
      <c r="J168" s="536">
        <v>1537</v>
      </c>
      <c r="K168" s="925"/>
      <c r="L168" s="2071"/>
      <c r="M168" s="1125"/>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c r="AS168" s="186"/>
      <c r="AT168" s="186"/>
      <c r="AU168" s="186"/>
    </row>
    <row r="169" spans="1:47" s="176" customFormat="1" ht="12.75" customHeight="1" x14ac:dyDescent="0.2">
      <c r="A169" s="2064"/>
      <c r="B169" s="2065"/>
      <c r="C169" s="539">
        <v>77</v>
      </c>
      <c r="D169" s="539"/>
      <c r="E169" s="539">
        <v>77</v>
      </c>
      <c r="F169" s="539"/>
      <c r="G169" s="1204">
        <v>77</v>
      </c>
      <c r="H169" s="539"/>
      <c r="I169" s="1548">
        <v>1210</v>
      </c>
      <c r="J169" s="536">
        <v>77</v>
      </c>
      <c r="K169" s="925"/>
      <c r="L169" s="2071"/>
      <c r="M169" s="1125"/>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c r="AS169" s="186"/>
      <c r="AT169" s="186"/>
      <c r="AU169" s="186"/>
    </row>
    <row r="170" spans="1:47" s="176" customFormat="1" ht="12.75" hidden="1" customHeight="1" x14ac:dyDescent="0.2">
      <c r="A170" s="2064"/>
      <c r="B170" s="2065"/>
      <c r="C170" s="539">
        <v>1145</v>
      </c>
      <c r="D170" s="539"/>
      <c r="E170" s="539">
        <v>1145</v>
      </c>
      <c r="F170" s="539"/>
      <c r="G170" s="1204">
        <v>1145</v>
      </c>
      <c r="H170" s="539"/>
      <c r="I170" s="1548">
        <v>2264</v>
      </c>
      <c r="J170" s="536">
        <v>0</v>
      </c>
      <c r="K170" s="925"/>
      <c r="L170" s="2071"/>
      <c r="M170" s="1125"/>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c r="AS170" s="186"/>
      <c r="AT170" s="186"/>
      <c r="AU170" s="186"/>
    </row>
    <row r="171" spans="1:47" s="176" customFormat="1" ht="12.75" customHeight="1" x14ac:dyDescent="0.2">
      <c r="A171" s="2064"/>
      <c r="B171" s="2065"/>
      <c r="C171" s="539">
        <v>2747</v>
      </c>
      <c r="D171" s="539"/>
      <c r="E171" s="539">
        <v>2747</v>
      </c>
      <c r="F171" s="539"/>
      <c r="G171" s="1204">
        <v>2747</v>
      </c>
      <c r="H171" s="539"/>
      <c r="I171" s="1548">
        <v>2231</v>
      </c>
      <c r="J171" s="536">
        <v>3892</v>
      </c>
      <c r="K171" s="925"/>
      <c r="L171" s="2071"/>
      <c r="M171" s="1125"/>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row>
    <row r="172" spans="1:47" s="176" customFormat="1" ht="12.75" customHeight="1" x14ac:dyDescent="0.2">
      <c r="A172" s="2064"/>
      <c r="B172" s="2065"/>
      <c r="C172" s="539">
        <v>324</v>
      </c>
      <c r="D172" s="539"/>
      <c r="E172" s="539">
        <v>324</v>
      </c>
      <c r="F172" s="539"/>
      <c r="G172" s="1204">
        <v>324</v>
      </c>
      <c r="H172" s="539"/>
      <c r="I172" s="1548">
        <v>2314</v>
      </c>
      <c r="J172" s="536">
        <v>324</v>
      </c>
      <c r="K172" s="925"/>
      <c r="L172" s="2071"/>
      <c r="M172" s="1125"/>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row>
    <row r="173" spans="1:47" s="176" customFormat="1" ht="24.75" customHeight="1" x14ac:dyDescent="0.2">
      <c r="A173" s="1133" t="s">
        <v>2606</v>
      </c>
      <c r="B173" s="1622" t="s">
        <v>2607</v>
      </c>
      <c r="C173" s="1123">
        <f>SUM(C174,C176,C183,C189,C194,C196,C201,C209)</f>
        <v>50549</v>
      </c>
      <c r="D173" s="1123">
        <f t="shared" ref="D173:H173" si="69">SUM(D174,D176,D183,D189,D194,D196,D201,D209)</f>
        <v>0</v>
      </c>
      <c r="E173" s="1123">
        <f t="shared" si="69"/>
        <v>25481</v>
      </c>
      <c r="F173" s="1123">
        <f t="shared" si="69"/>
        <v>0</v>
      </c>
      <c r="G173" s="1205">
        <f t="shared" si="69"/>
        <v>27267</v>
      </c>
      <c r="H173" s="1123">
        <f t="shared" si="69"/>
        <v>0</v>
      </c>
      <c r="I173" s="1548"/>
      <c r="J173" s="1629">
        <f t="shared" ref="J173:K173" si="70">SUM(J174,J176,J183,J189,J194,J196,J201,J209)</f>
        <v>15918</v>
      </c>
      <c r="K173" s="1629">
        <f t="shared" si="70"/>
        <v>0</v>
      </c>
      <c r="L173" s="1122"/>
      <c r="M173" s="1125"/>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c r="AS173" s="186"/>
      <c r="AT173" s="186"/>
      <c r="AU173" s="186"/>
    </row>
    <row r="174" spans="1:47" s="176" customFormat="1" ht="24.75" customHeight="1" x14ac:dyDescent="0.2">
      <c r="A174" s="2064" t="s">
        <v>2608</v>
      </c>
      <c r="B174" s="2065" t="s">
        <v>2609</v>
      </c>
      <c r="C174" s="1123">
        <f>SUM(C175)</f>
        <v>876</v>
      </c>
      <c r="D174" s="1123">
        <f t="shared" ref="D174:H174" si="71">SUM(D175)</f>
        <v>0</v>
      </c>
      <c r="E174" s="1123">
        <f t="shared" si="71"/>
        <v>876</v>
      </c>
      <c r="F174" s="1123">
        <f t="shared" si="71"/>
        <v>0</v>
      </c>
      <c r="G174" s="1205">
        <f t="shared" si="71"/>
        <v>876</v>
      </c>
      <c r="H174" s="1123">
        <f t="shared" si="71"/>
        <v>0</v>
      </c>
      <c r="I174" s="1548"/>
      <c r="J174" s="1629">
        <f t="shared" ref="J174:K174" si="72">SUM(J175)</f>
        <v>876</v>
      </c>
      <c r="K174" s="1629">
        <f t="shared" si="72"/>
        <v>0</v>
      </c>
      <c r="L174" s="2085" t="s">
        <v>2610</v>
      </c>
      <c r="M174" s="1125"/>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c r="AS174" s="186"/>
      <c r="AT174" s="186"/>
      <c r="AU174" s="186"/>
    </row>
    <row r="175" spans="1:47" s="176" customFormat="1" ht="24.75" customHeight="1" x14ac:dyDescent="0.2">
      <c r="A175" s="2064"/>
      <c r="B175" s="2065"/>
      <c r="C175" s="539">
        <v>876</v>
      </c>
      <c r="D175" s="539"/>
      <c r="E175" s="539">
        <v>876</v>
      </c>
      <c r="F175" s="539"/>
      <c r="G175" s="1204">
        <v>876</v>
      </c>
      <c r="H175" s="539"/>
      <c r="I175" s="1548">
        <v>2231</v>
      </c>
      <c r="J175" s="536">
        <v>876</v>
      </c>
      <c r="K175" s="925"/>
      <c r="L175" s="2085"/>
      <c r="M175" s="1125"/>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c r="AS175" s="186"/>
      <c r="AT175" s="186"/>
      <c r="AU175" s="186"/>
    </row>
    <row r="176" spans="1:47" s="176" customFormat="1" hidden="1" x14ac:dyDescent="0.2">
      <c r="A176" s="2064" t="s">
        <v>2611</v>
      </c>
      <c r="B176" s="2065" t="s">
        <v>2509</v>
      </c>
      <c r="C176" s="1123">
        <f>SUM(C177:C182)</f>
        <v>25000</v>
      </c>
      <c r="D176" s="1123">
        <f t="shared" ref="D176:H176" si="73">SUM(D177:D182)</f>
        <v>0</v>
      </c>
      <c r="E176" s="1123">
        <f t="shared" si="73"/>
        <v>0</v>
      </c>
      <c r="F176" s="1123">
        <f t="shared" si="73"/>
        <v>0</v>
      </c>
      <c r="G176" s="1205">
        <f t="shared" si="73"/>
        <v>0</v>
      </c>
      <c r="H176" s="1123">
        <f t="shared" si="73"/>
        <v>0</v>
      </c>
      <c r="I176" s="1548"/>
      <c r="J176" s="1629">
        <f t="shared" ref="J176:K176" si="74">SUM(J177:J182)</f>
        <v>0</v>
      </c>
      <c r="K176" s="1629">
        <f t="shared" si="74"/>
        <v>0</v>
      </c>
      <c r="L176" s="1122"/>
      <c r="M176" s="2075" t="s">
        <v>2612</v>
      </c>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c r="AS176" s="186"/>
      <c r="AT176" s="186"/>
      <c r="AU176" s="186"/>
    </row>
    <row r="177" spans="1:47" s="176" customFormat="1" ht="12.75" hidden="1" customHeight="1" x14ac:dyDescent="0.2">
      <c r="A177" s="2064"/>
      <c r="B177" s="2065"/>
      <c r="C177" s="539">
        <v>3791</v>
      </c>
      <c r="D177" s="539"/>
      <c r="E177" s="539">
        <v>0</v>
      </c>
      <c r="F177" s="539"/>
      <c r="G177" s="1204">
        <v>0</v>
      </c>
      <c r="H177" s="539"/>
      <c r="I177" s="1548">
        <v>1150</v>
      </c>
      <c r="J177" s="536">
        <v>0</v>
      </c>
      <c r="K177" s="925"/>
      <c r="L177" s="1122"/>
      <c r="M177" s="2075"/>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c r="AS177" s="186"/>
      <c r="AT177" s="186"/>
      <c r="AU177" s="186"/>
    </row>
    <row r="178" spans="1:47" s="176" customFormat="1" ht="12.75" hidden="1" customHeight="1" x14ac:dyDescent="0.2">
      <c r="A178" s="2064"/>
      <c r="B178" s="2065"/>
      <c r="C178" s="539">
        <v>189</v>
      </c>
      <c r="D178" s="539"/>
      <c r="E178" s="539">
        <v>0</v>
      </c>
      <c r="F178" s="539"/>
      <c r="G178" s="1204">
        <v>0</v>
      </c>
      <c r="H178" s="539"/>
      <c r="I178" s="1548">
        <v>1210</v>
      </c>
      <c r="J178" s="536">
        <v>0</v>
      </c>
      <c r="K178" s="925"/>
      <c r="L178" s="1122"/>
      <c r="M178" s="2075"/>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row>
    <row r="179" spans="1:47" s="176" customFormat="1" ht="12.75" hidden="1" customHeight="1" x14ac:dyDescent="0.2">
      <c r="A179" s="2064"/>
      <c r="B179" s="2065"/>
      <c r="C179" s="539">
        <v>350</v>
      </c>
      <c r="D179" s="539"/>
      <c r="E179" s="539">
        <v>0</v>
      </c>
      <c r="F179" s="539"/>
      <c r="G179" s="1204">
        <v>0</v>
      </c>
      <c r="H179" s="539"/>
      <c r="I179" s="1548">
        <v>2262</v>
      </c>
      <c r="J179" s="536">
        <v>0</v>
      </c>
      <c r="K179" s="925"/>
      <c r="L179" s="1122"/>
      <c r="M179" s="2075"/>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c r="AS179" s="186"/>
      <c r="AT179" s="186"/>
      <c r="AU179" s="186"/>
    </row>
    <row r="180" spans="1:47" s="176" customFormat="1" ht="12.75" hidden="1" customHeight="1" x14ac:dyDescent="0.2">
      <c r="A180" s="2064"/>
      <c r="B180" s="2065"/>
      <c r="C180" s="539">
        <v>11135</v>
      </c>
      <c r="D180" s="539"/>
      <c r="E180" s="539">
        <v>0</v>
      </c>
      <c r="F180" s="539"/>
      <c r="G180" s="1204">
        <v>0</v>
      </c>
      <c r="H180" s="539"/>
      <c r="I180" s="1548">
        <v>2264</v>
      </c>
      <c r="J180" s="536">
        <v>0</v>
      </c>
      <c r="K180" s="925"/>
      <c r="L180" s="1122"/>
      <c r="M180" s="2075"/>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row>
    <row r="181" spans="1:47" s="176" customFormat="1" ht="12.75" hidden="1" customHeight="1" x14ac:dyDescent="0.2">
      <c r="A181" s="2064"/>
      <c r="B181" s="2065"/>
      <c r="C181" s="539">
        <v>7935</v>
      </c>
      <c r="D181" s="539"/>
      <c r="E181" s="539">
        <v>0</v>
      </c>
      <c r="F181" s="539"/>
      <c r="G181" s="1204">
        <v>0</v>
      </c>
      <c r="H181" s="539"/>
      <c r="I181" s="1548">
        <v>2279</v>
      </c>
      <c r="J181" s="536">
        <v>0</v>
      </c>
      <c r="K181" s="925"/>
      <c r="L181" s="1122"/>
      <c r="M181" s="2075"/>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c r="AS181" s="186"/>
      <c r="AT181" s="186"/>
      <c r="AU181" s="186"/>
    </row>
    <row r="182" spans="1:47" s="176" customFormat="1" ht="12.75" hidden="1" customHeight="1" x14ac:dyDescent="0.2">
      <c r="A182" s="2064"/>
      <c r="B182" s="2065"/>
      <c r="C182" s="539">
        <v>1600</v>
      </c>
      <c r="D182" s="539"/>
      <c r="E182" s="539">
        <v>0</v>
      </c>
      <c r="F182" s="539"/>
      <c r="G182" s="1204">
        <v>0</v>
      </c>
      <c r="H182" s="539"/>
      <c r="I182" s="1548">
        <v>2314</v>
      </c>
      <c r="J182" s="536">
        <v>0</v>
      </c>
      <c r="K182" s="925"/>
      <c r="L182" s="1122"/>
      <c r="M182" s="2075"/>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row>
    <row r="183" spans="1:47" s="176" customFormat="1" x14ac:dyDescent="0.2">
      <c r="A183" s="2064" t="s">
        <v>2611</v>
      </c>
      <c r="B183" s="2065" t="s">
        <v>2614</v>
      </c>
      <c r="C183" s="1123">
        <f>SUM(C184:C188)</f>
        <v>7928</v>
      </c>
      <c r="D183" s="1123">
        <f t="shared" ref="D183:H183" si="75">SUM(D184:D188)</f>
        <v>0</v>
      </c>
      <c r="E183" s="1123">
        <f t="shared" si="75"/>
        <v>7922</v>
      </c>
      <c r="F183" s="1123">
        <f t="shared" si="75"/>
        <v>0</v>
      </c>
      <c r="G183" s="1205">
        <f t="shared" si="75"/>
        <v>7928</v>
      </c>
      <c r="H183" s="1123">
        <f t="shared" si="75"/>
        <v>0</v>
      </c>
      <c r="I183" s="1548"/>
      <c r="J183" s="1629">
        <f t="shared" ref="J183:K183" si="76">SUM(J184:J188)</f>
        <v>7928</v>
      </c>
      <c r="K183" s="1629">
        <f t="shared" si="76"/>
        <v>0</v>
      </c>
      <c r="L183" s="2084" t="s">
        <v>2615</v>
      </c>
      <c r="M183" s="1125"/>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c r="AS183" s="186"/>
      <c r="AT183" s="186"/>
      <c r="AU183" s="186"/>
    </row>
    <row r="184" spans="1:47" s="176" customFormat="1" ht="12.75" customHeight="1" x14ac:dyDescent="0.2">
      <c r="A184" s="2064"/>
      <c r="B184" s="2065"/>
      <c r="C184" s="539">
        <v>650</v>
      </c>
      <c r="D184" s="539"/>
      <c r="E184" s="539">
        <v>650</v>
      </c>
      <c r="F184" s="539"/>
      <c r="G184" s="1204">
        <v>950</v>
      </c>
      <c r="H184" s="539"/>
      <c r="I184" s="1548">
        <v>1150</v>
      </c>
      <c r="J184" s="536">
        <v>950</v>
      </c>
      <c r="K184" s="925"/>
      <c r="L184" s="2084"/>
      <c r="M184" s="1125"/>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c r="AS184" s="186"/>
      <c r="AT184" s="186"/>
      <c r="AU184" s="186"/>
    </row>
    <row r="185" spans="1:47" s="176" customFormat="1" ht="12.75" customHeight="1" x14ac:dyDescent="0.2">
      <c r="A185" s="2064"/>
      <c r="B185" s="2065"/>
      <c r="C185" s="539">
        <v>33</v>
      </c>
      <c r="D185" s="539"/>
      <c r="E185" s="539">
        <v>27</v>
      </c>
      <c r="F185" s="539"/>
      <c r="G185" s="1204">
        <v>48</v>
      </c>
      <c r="H185" s="539"/>
      <c r="I185" s="1548">
        <v>1210</v>
      </c>
      <c r="J185" s="536">
        <v>48</v>
      </c>
      <c r="K185" s="925"/>
      <c r="L185" s="2084"/>
      <c r="M185" s="1125"/>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row>
    <row r="186" spans="1:47" s="176" customFormat="1" ht="12.75" customHeight="1" x14ac:dyDescent="0.2">
      <c r="A186" s="2064"/>
      <c r="B186" s="2065"/>
      <c r="C186" s="539">
        <v>2700</v>
      </c>
      <c r="D186" s="539"/>
      <c r="E186" s="539">
        <v>2700</v>
      </c>
      <c r="F186" s="539"/>
      <c r="G186" s="1204">
        <v>2700</v>
      </c>
      <c r="H186" s="539"/>
      <c r="I186" s="1548">
        <v>2231</v>
      </c>
      <c r="J186" s="536">
        <v>6930</v>
      </c>
      <c r="K186" s="925"/>
      <c r="L186" s="2084"/>
      <c r="M186" s="1125"/>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c r="AS186" s="186"/>
      <c r="AT186" s="186"/>
      <c r="AU186" s="186"/>
    </row>
    <row r="187" spans="1:47" s="176" customFormat="1" ht="12.75" hidden="1" customHeight="1" x14ac:dyDescent="0.2">
      <c r="A187" s="2064"/>
      <c r="B187" s="2065"/>
      <c r="C187" s="539">
        <v>345</v>
      </c>
      <c r="D187" s="539"/>
      <c r="E187" s="539">
        <v>345</v>
      </c>
      <c r="F187" s="539"/>
      <c r="G187" s="1204">
        <v>345</v>
      </c>
      <c r="H187" s="539"/>
      <c r="I187" s="1548">
        <v>2264</v>
      </c>
      <c r="J187" s="536">
        <v>0</v>
      </c>
      <c r="K187" s="925"/>
      <c r="L187" s="2084"/>
      <c r="M187" s="1125"/>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row>
    <row r="188" spans="1:47" s="176" customFormat="1" ht="12.75" hidden="1" customHeight="1" x14ac:dyDescent="0.2">
      <c r="A188" s="2064"/>
      <c r="B188" s="2065"/>
      <c r="C188" s="539">
        <v>4200</v>
      </c>
      <c r="D188" s="539"/>
      <c r="E188" s="539">
        <v>4200</v>
      </c>
      <c r="F188" s="539"/>
      <c r="G188" s="1204">
        <v>3885</v>
      </c>
      <c r="H188" s="539"/>
      <c r="I188" s="1548">
        <v>2279</v>
      </c>
      <c r="J188" s="536">
        <v>0</v>
      </c>
      <c r="K188" s="925"/>
      <c r="L188" s="2084"/>
      <c r="M188" s="1125"/>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row>
    <row r="189" spans="1:47" s="176" customFormat="1" ht="15" customHeight="1" x14ac:dyDescent="0.2">
      <c r="A189" s="2064" t="s">
        <v>2613</v>
      </c>
      <c r="B189" s="2065" t="s">
        <v>2617</v>
      </c>
      <c r="C189" s="1123">
        <f>SUM(C190:C193)</f>
        <v>2555</v>
      </c>
      <c r="D189" s="1123">
        <f t="shared" ref="D189:H189" si="77">SUM(D190:D193)</f>
        <v>0</v>
      </c>
      <c r="E189" s="1123">
        <f t="shared" si="77"/>
        <v>2525</v>
      </c>
      <c r="F189" s="1123">
        <f t="shared" si="77"/>
        <v>0</v>
      </c>
      <c r="G189" s="1205">
        <f t="shared" si="77"/>
        <v>2555</v>
      </c>
      <c r="H189" s="1123">
        <f t="shared" si="77"/>
        <v>0</v>
      </c>
      <c r="I189" s="1548"/>
      <c r="J189" s="1629">
        <f t="shared" ref="J189:K189" si="78">SUM(J190:J193)</f>
        <v>2437</v>
      </c>
      <c r="K189" s="1629">
        <f t="shared" si="78"/>
        <v>0</v>
      </c>
      <c r="L189" s="2084" t="s">
        <v>2618</v>
      </c>
      <c r="M189" s="1125"/>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c r="AS189" s="186"/>
      <c r="AT189" s="186"/>
      <c r="AU189" s="186"/>
    </row>
    <row r="190" spans="1:47" s="176" customFormat="1" ht="12.75" customHeight="1" x14ac:dyDescent="0.2">
      <c r="A190" s="2064"/>
      <c r="B190" s="2065"/>
      <c r="C190" s="539">
        <v>1349</v>
      </c>
      <c r="D190" s="539"/>
      <c r="E190" s="539">
        <v>1332</v>
      </c>
      <c r="F190" s="539"/>
      <c r="G190" s="1204">
        <v>1395</v>
      </c>
      <c r="H190" s="539"/>
      <c r="I190" s="1548">
        <v>1150</v>
      </c>
      <c r="J190" s="536">
        <v>1332</v>
      </c>
      <c r="K190" s="925"/>
      <c r="L190" s="2084"/>
      <c r="M190" s="1125"/>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row>
    <row r="191" spans="1:47" s="176" customFormat="1" ht="12.75" customHeight="1" x14ac:dyDescent="0.2">
      <c r="A191" s="2064"/>
      <c r="B191" s="2065"/>
      <c r="C191" s="539">
        <v>68</v>
      </c>
      <c r="D191" s="539"/>
      <c r="E191" s="539">
        <v>55</v>
      </c>
      <c r="F191" s="539"/>
      <c r="G191" s="1204">
        <v>85</v>
      </c>
      <c r="H191" s="539"/>
      <c r="I191" s="1548">
        <v>1210</v>
      </c>
      <c r="J191" s="536">
        <v>67</v>
      </c>
      <c r="K191" s="925"/>
      <c r="L191" s="2084"/>
      <c r="M191" s="1125"/>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row>
    <row r="192" spans="1:47" s="176" customFormat="1" ht="12.75" customHeight="1" x14ac:dyDescent="0.2">
      <c r="A192" s="2064"/>
      <c r="B192" s="2065"/>
      <c r="C192" s="539">
        <v>363</v>
      </c>
      <c r="D192" s="539"/>
      <c r="E192" s="539">
        <v>363</v>
      </c>
      <c r="F192" s="539"/>
      <c r="G192" s="1204">
        <v>400</v>
      </c>
      <c r="H192" s="539"/>
      <c r="I192" s="1548">
        <v>2231</v>
      </c>
      <c r="J192" s="536">
        <v>363</v>
      </c>
      <c r="K192" s="925"/>
      <c r="L192" s="2084"/>
      <c r="M192" s="1125"/>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c r="AS192" s="186"/>
      <c r="AT192" s="186"/>
      <c r="AU192" s="186"/>
    </row>
    <row r="193" spans="1:47" s="176" customFormat="1" ht="12.75" customHeight="1" x14ac:dyDescent="0.2">
      <c r="A193" s="2064"/>
      <c r="B193" s="2065"/>
      <c r="C193" s="539">
        <v>775</v>
      </c>
      <c r="D193" s="539"/>
      <c r="E193" s="539">
        <v>775</v>
      </c>
      <c r="F193" s="539"/>
      <c r="G193" s="1204">
        <v>675</v>
      </c>
      <c r="H193" s="539"/>
      <c r="I193" s="1548">
        <v>2314</v>
      </c>
      <c r="J193" s="536">
        <v>675</v>
      </c>
      <c r="K193" s="925"/>
      <c r="L193" s="2084"/>
      <c r="M193" s="1125"/>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row>
    <row r="194" spans="1:47" s="176" customFormat="1" ht="16.5" customHeight="1" x14ac:dyDescent="0.2">
      <c r="A194" s="2064" t="s">
        <v>2616</v>
      </c>
      <c r="B194" s="2065" t="s">
        <v>2620</v>
      </c>
      <c r="C194" s="1123">
        <f>SUM(C195)</f>
        <v>2000</v>
      </c>
      <c r="D194" s="1123">
        <f t="shared" ref="D194:H194" si="79">SUM(D195)</f>
        <v>0</v>
      </c>
      <c r="E194" s="1123">
        <f t="shared" si="79"/>
        <v>2000</v>
      </c>
      <c r="F194" s="1123">
        <f t="shared" si="79"/>
        <v>0</v>
      </c>
      <c r="G194" s="1205">
        <f t="shared" si="79"/>
        <v>2000</v>
      </c>
      <c r="H194" s="1123">
        <f t="shared" si="79"/>
        <v>0</v>
      </c>
      <c r="I194" s="1548"/>
      <c r="J194" s="1629">
        <f t="shared" ref="J194:K194" si="80">SUM(J195)</f>
        <v>2000</v>
      </c>
      <c r="K194" s="1629">
        <f t="shared" si="80"/>
        <v>0</v>
      </c>
      <c r="L194" s="2084" t="s">
        <v>2621</v>
      </c>
      <c r="M194" s="1125"/>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row>
    <row r="195" spans="1:47" s="176" customFormat="1" ht="15.75" customHeight="1" x14ac:dyDescent="0.2">
      <c r="A195" s="2064"/>
      <c r="B195" s="2065"/>
      <c r="C195" s="539">
        <v>2000</v>
      </c>
      <c r="D195" s="539"/>
      <c r="E195" s="539">
        <v>2000</v>
      </c>
      <c r="F195" s="539"/>
      <c r="G195" s="1204">
        <v>2000</v>
      </c>
      <c r="H195" s="539"/>
      <c r="I195" s="1548">
        <v>2231</v>
      </c>
      <c r="J195" s="536">
        <v>2000</v>
      </c>
      <c r="K195" s="925"/>
      <c r="L195" s="2084"/>
      <c r="M195" s="1125"/>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row>
    <row r="196" spans="1:47" s="176" customFormat="1" ht="12" customHeight="1" x14ac:dyDescent="0.2">
      <c r="A196" s="2064" t="s">
        <v>2619</v>
      </c>
      <c r="B196" s="2065" t="s">
        <v>2622</v>
      </c>
      <c r="C196" s="1123">
        <f>SUM(C197:C200)</f>
        <v>2415</v>
      </c>
      <c r="D196" s="1123">
        <f t="shared" ref="D196:H196" si="81">SUM(D197:D200)</f>
        <v>0</v>
      </c>
      <c r="E196" s="1123">
        <f t="shared" si="81"/>
        <v>2398</v>
      </c>
      <c r="F196" s="1123">
        <f t="shared" si="81"/>
        <v>0</v>
      </c>
      <c r="G196" s="1205">
        <f t="shared" si="81"/>
        <v>2415</v>
      </c>
      <c r="H196" s="1123">
        <f t="shared" si="81"/>
        <v>0</v>
      </c>
      <c r="I196" s="1548"/>
      <c r="J196" s="1629">
        <f t="shared" ref="J196:K196" si="82">SUM(J197:J200)</f>
        <v>2677</v>
      </c>
      <c r="K196" s="1629">
        <f t="shared" si="82"/>
        <v>0</v>
      </c>
      <c r="L196" s="2084" t="s">
        <v>2623</v>
      </c>
      <c r="M196" s="1125"/>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row>
    <row r="197" spans="1:47" s="176" customFormat="1" ht="15.75" customHeight="1" x14ac:dyDescent="0.2">
      <c r="A197" s="2064"/>
      <c r="B197" s="2065"/>
      <c r="C197" s="539">
        <v>762</v>
      </c>
      <c r="D197" s="539"/>
      <c r="E197" s="539">
        <v>762</v>
      </c>
      <c r="F197" s="539"/>
      <c r="G197" s="1204">
        <v>762</v>
      </c>
      <c r="H197" s="539"/>
      <c r="I197" s="1548">
        <v>1150</v>
      </c>
      <c r="J197" s="536">
        <v>762</v>
      </c>
      <c r="K197" s="925"/>
      <c r="L197" s="2084"/>
      <c r="M197" s="1125"/>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c r="AS197" s="186"/>
      <c r="AT197" s="186"/>
      <c r="AU197" s="186"/>
    </row>
    <row r="198" spans="1:47" s="176" customFormat="1" ht="12.75" customHeight="1" x14ac:dyDescent="0.2">
      <c r="A198" s="2064"/>
      <c r="B198" s="2065"/>
      <c r="C198" s="539">
        <v>39</v>
      </c>
      <c r="D198" s="539"/>
      <c r="E198" s="539">
        <v>22</v>
      </c>
      <c r="F198" s="539"/>
      <c r="G198" s="1204">
        <v>39</v>
      </c>
      <c r="H198" s="539"/>
      <c r="I198" s="1548">
        <v>1210</v>
      </c>
      <c r="J198" s="536">
        <v>39</v>
      </c>
      <c r="K198" s="925"/>
      <c r="L198" s="2084"/>
      <c r="M198" s="1125"/>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c r="AS198" s="186"/>
      <c r="AT198" s="186"/>
      <c r="AU198" s="186"/>
    </row>
    <row r="199" spans="1:47" s="176" customFormat="1" ht="12.75" customHeight="1" x14ac:dyDescent="0.2">
      <c r="A199" s="2064"/>
      <c r="B199" s="2065"/>
      <c r="C199" s="539">
        <v>1114</v>
      </c>
      <c r="D199" s="539"/>
      <c r="E199" s="539">
        <v>1114</v>
      </c>
      <c r="F199" s="539"/>
      <c r="G199" s="1204">
        <v>1114</v>
      </c>
      <c r="H199" s="539"/>
      <c r="I199" s="1548">
        <v>2231</v>
      </c>
      <c r="J199" s="536">
        <f>1114+262</f>
        <v>1376</v>
      </c>
      <c r="K199" s="925"/>
      <c r="L199" s="2084"/>
      <c r="M199" s="1125"/>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c r="AS199" s="186"/>
      <c r="AT199" s="186"/>
      <c r="AU199" s="186"/>
    </row>
    <row r="200" spans="1:47" s="176" customFormat="1" ht="12.75" customHeight="1" x14ac:dyDescent="0.2">
      <c r="A200" s="2064"/>
      <c r="B200" s="2065"/>
      <c r="C200" s="539">
        <v>500</v>
      </c>
      <c r="D200" s="539"/>
      <c r="E200" s="539">
        <v>500</v>
      </c>
      <c r="F200" s="539"/>
      <c r="G200" s="1204">
        <v>500</v>
      </c>
      <c r="H200" s="539"/>
      <c r="I200" s="1548">
        <v>2314</v>
      </c>
      <c r="J200" s="536">
        <v>500</v>
      </c>
      <c r="K200" s="925"/>
      <c r="L200" s="2084"/>
      <c r="M200" s="1125"/>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c r="AS200" s="186"/>
      <c r="AT200" s="186"/>
      <c r="AU200" s="186"/>
    </row>
    <row r="201" spans="1:47" s="176" customFormat="1" hidden="1" x14ac:dyDescent="0.2">
      <c r="A201" s="2064" t="s">
        <v>2624</v>
      </c>
      <c r="B201" s="2065" t="s">
        <v>2625</v>
      </c>
      <c r="C201" s="1123">
        <f t="shared" ref="C201:H201" si="83">SUM(C202:C208)</f>
        <v>9775</v>
      </c>
      <c r="D201" s="1123">
        <f t="shared" si="83"/>
        <v>0</v>
      </c>
      <c r="E201" s="1123">
        <f t="shared" si="83"/>
        <v>9760</v>
      </c>
      <c r="F201" s="1123">
        <f t="shared" si="83"/>
        <v>0</v>
      </c>
      <c r="G201" s="1205">
        <f t="shared" si="83"/>
        <v>0</v>
      </c>
      <c r="H201" s="1123">
        <f t="shared" si="83"/>
        <v>0</v>
      </c>
      <c r="I201" s="1548"/>
      <c r="J201" s="1629">
        <f>SUM(J202:J208)</f>
        <v>0</v>
      </c>
      <c r="K201" s="1629">
        <f>SUM(K202:K208)</f>
        <v>0</v>
      </c>
      <c r="L201" s="1122"/>
      <c r="M201" s="2075" t="s">
        <v>2626</v>
      </c>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c r="AS201" s="186"/>
      <c r="AT201" s="186"/>
      <c r="AU201" s="186"/>
    </row>
    <row r="202" spans="1:47" s="176" customFormat="1" ht="12.75" hidden="1" customHeight="1" x14ac:dyDescent="0.2">
      <c r="A202" s="2064"/>
      <c r="B202" s="2065"/>
      <c r="C202" s="539">
        <v>1940</v>
      </c>
      <c r="D202" s="539"/>
      <c r="E202" s="539">
        <v>1940</v>
      </c>
      <c r="F202" s="539"/>
      <c r="G202" s="1204">
        <v>0</v>
      </c>
      <c r="H202" s="539"/>
      <c r="I202" s="1548">
        <v>1150</v>
      </c>
      <c r="J202" s="536">
        <v>0</v>
      </c>
      <c r="K202" s="925"/>
      <c r="L202" s="1122"/>
      <c r="M202" s="2075"/>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c r="AS202" s="186"/>
      <c r="AT202" s="186"/>
      <c r="AU202" s="186"/>
    </row>
    <row r="203" spans="1:47" s="176" customFormat="1" ht="12.75" hidden="1" customHeight="1" x14ac:dyDescent="0.2">
      <c r="A203" s="2064"/>
      <c r="B203" s="2065"/>
      <c r="C203" s="539">
        <v>90</v>
      </c>
      <c r="D203" s="539"/>
      <c r="E203" s="539">
        <v>90</v>
      </c>
      <c r="F203" s="539"/>
      <c r="G203" s="1204">
        <v>0</v>
      </c>
      <c r="H203" s="539"/>
      <c r="I203" s="1548">
        <v>1210</v>
      </c>
      <c r="J203" s="536">
        <v>0</v>
      </c>
      <c r="K203" s="925"/>
      <c r="L203" s="1122"/>
      <c r="M203" s="2075"/>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c r="AS203" s="186"/>
      <c r="AT203" s="186"/>
      <c r="AU203" s="186"/>
    </row>
    <row r="204" spans="1:47" s="176" customFormat="1" ht="12.75" hidden="1" customHeight="1" x14ac:dyDescent="0.2">
      <c r="A204" s="2064"/>
      <c r="B204" s="2065"/>
      <c r="C204" s="539">
        <v>400</v>
      </c>
      <c r="D204" s="539"/>
      <c r="E204" s="539">
        <v>400</v>
      </c>
      <c r="F204" s="539"/>
      <c r="G204" s="1204">
        <v>0</v>
      </c>
      <c r="H204" s="539"/>
      <c r="I204" s="1548">
        <v>2262</v>
      </c>
      <c r="J204" s="536">
        <v>0</v>
      </c>
      <c r="K204" s="925"/>
      <c r="L204" s="1122"/>
      <c r="M204" s="2075"/>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c r="AS204" s="186"/>
      <c r="AT204" s="186"/>
      <c r="AU204" s="186"/>
    </row>
    <row r="205" spans="1:47" s="176" customFormat="1" ht="12.75" hidden="1" customHeight="1" x14ac:dyDescent="0.2">
      <c r="A205" s="2064"/>
      <c r="B205" s="2065"/>
      <c r="C205" s="539">
        <v>1647</v>
      </c>
      <c r="D205" s="539"/>
      <c r="E205" s="539">
        <v>1647</v>
      </c>
      <c r="F205" s="539"/>
      <c r="G205" s="1204">
        <v>0</v>
      </c>
      <c r="H205" s="539"/>
      <c r="I205" s="1548">
        <v>2264</v>
      </c>
      <c r="J205" s="536">
        <v>0</v>
      </c>
      <c r="K205" s="925"/>
      <c r="L205" s="1122"/>
      <c r="M205" s="2075"/>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c r="AS205" s="186"/>
      <c r="AT205" s="186"/>
      <c r="AU205" s="186"/>
    </row>
    <row r="206" spans="1:47" s="176" customFormat="1" ht="12.75" hidden="1" customHeight="1" x14ac:dyDescent="0.2">
      <c r="A206" s="2064"/>
      <c r="B206" s="2065"/>
      <c r="C206" s="539">
        <v>1800</v>
      </c>
      <c r="D206" s="539"/>
      <c r="E206" s="539">
        <v>1800</v>
      </c>
      <c r="F206" s="539"/>
      <c r="G206" s="1204">
        <v>0</v>
      </c>
      <c r="H206" s="539"/>
      <c r="I206" s="1548">
        <v>2279</v>
      </c>
      <c r="J206" s="536">
        <v>0</v>
      </c>
      <c r="K206" s="925"/>
      <c r="L206" s="1122"/>
      <c r="M206" s="2075"/>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c r="AS206" s="186"/>
      <c r="AT206" s="186"/>
      <c r="AU206" s="186"/>
    </row>
    <row r="207" spans="1:47" s="176" customFormat="1" ht="12.75" hidden="1" customHeight="1" x14ac:dyDescent="0.2">
      <c r="A207" s="2064"/>
      <c r="B207" s="2065"/>
      <c r="C207" s="539">
        <v>2898</v>
      </c>
      <c r="D207" s="539"/>
      <c r="E207" s="539">
        <v>2883</v>
      </c>
      <c r="F207" s="539"/>
      <c r="G207" s="1204">
        <v>0</v>
      </c>
      <c r="H207" s="539"/>
      <c r="I207" s="1548">
        <v>2314</v>
      </c>
      <c r="J207" s="536">
        <v>0</v>
      </c>
      <c r="K207" s="925"/>
      <c r="L207" s="1122"/>
      <c r="M207" s="2075"/>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c r="AS207" s="186"/>
      <c r="AT207" s="186"/>
      <c r="AU207" s="186"/>
    </row>
    <row r="208" spans="1:47" s="176" customFormat="1" ht="12.75" hidden="1" customHeight="1" x14ac:dyDescent="0.2">
      <c r="A208" s="2064"/>
      <c r="B208" s="2065"/>
      <c r="C208" s="539">
        <v>1000</v>
      </c>
      <c r="D208" s="539"/>
      <c r="E208" s="539">
        <v>1000</v>
      </c>
      <c r="F208" s="539"/>
      <c r="G208" s="1204">
        <v>0</v>
      </c>
      <c r="H208" s="539"/>
      <c r="I208" s="1548">
        <v>2363</v>
      </c>
      <c r="J208" s="536">
        <v>0</v>
      </c>
      <c r="K208" s="925"/>
      <c r="L208" s="1122"/>
      <c r="M208" s="2075"/>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c r="AS208" s="186"/>
      <c r="AT208" s="186"/>
      <c r="AU208" s="186"/>
    </row>
    <row r="209" spans="1:47" s="176" customFormat="1" hidden="1" x14ac:dyDescent="0.2">
      <c r="A209" s="2064" t="s">
        <v>2627</v>
      </c>
      <c r="B209" s="2065" t="s">
        <v>2628</v>
      </c>
      <c r="C209" s="1123">
        <f t="shared" ref="C209:F209" si="84">SUM(C210:C215)</f>
        <v>0</v>
      </c>
      <c r="D209" s="1123">
        <f t="shared" si="84"/>
        <v>0</v>
      </c>
      <c r="E209" s="1123">
        <f t="shared" si="84"/>
        <v>0</v>
      </c>
      <c r="F209" s="1123">
        <f t="shared" si="84"/>
        <v>0</v>
      </c>
      <c r="G209" s="1205">
        <f>SUM(G210:G215)</f>
        <v>11493</v>
      </c>
      <c r="H209" s="1123">
        <f>SUM(H210:H215)</f>
        <v>0</v>
      </c>
      <c r="I209" s="1548"/>
      <c r="J209" s="1629">
        <f t="shared" ref="J209:K209" si="85">SUM(J210:J215)</f>
        <v>0</v>
      </c>
      <c r="K209" s="1629">
        <f t="shared" si="85"/>
        <v>0</v>
      </c>
      <c r="L209" s="2084" t="s">
        <v>2618</v>
      </c>
      <c r="M209" s="1135" t="s">
        <v>2629</v>
      </c>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c r="AS209" s="186"/>
      <c r="AT209" s="186"/>
      <c r="AU209" s="186"/>
    </row>
    <row r="210" spans="1:47" s="176" customFormat="1" ht="21.75" hidden="1" customHeight="1" x14ac:dyDescent="0.2">
      <c r="A210" s="2064"/>
      <c r="B210" s="2065"/>
      <c r="C210" s="539">
        <v>0</v>
      </c>
      <c r="D210" s="539"/>
      <c r="E210" s="539"/>
      <c r="F210" s="539"/>
      <c r="G210" s="1204">
        <v>2050</v>
      </c>
      <c r="H210" s="539"/>
      <c r="I210" s="1548">
        <v>1150</v>
      </c>
      <c r="J210" s="536">
        <v>0</v>
      </c>
      <c r="K210" s="925"/>
      <c r="L210" s="2084"/>
      <c r="M210" s="1126" t="s">
        <v>2630</v>
      </c>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c r="AS210" s="186"/>
      <c r="AT210" s="186"/>
      <c r="AU210" s="186"/>
    </row>
    <row r="211" spans="1:47" s="176" customFormat="1" ht="13.5" hidden="1" customHeight="1" x14ac:dyDescent="0.2">
      <c r="A211" s="2064"/>
      <c r="B211" s="2065"/>
      <c r="C211" s="539">
        <v>0</v>
      </c>
      <c r="D211" s="539"/>
      <c r="E211" s="539"/>
      <c r="F211" s="539"/>
      <c r="G211" s="1204">
        <v>103</v>
      </c>
      <c r="H211" s="539"/>
      <c r="I211" s="1548">
        <v>1210</v>
      </c>
      <c r="J211" s="536">
        <v>0</v>
      </c>
      <c r="K211" s="925"/>
      <c r="L211" s="2084"/>
      <c r="M211" s="1125" t="s">
        <v>2631</v>
      </c>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c r="AS211" s="186"/>
      <c r="AT211" s="186"/>
      <c r="AU211" s="186"/>
    </row>
    <row r="212" spans="1:47" s="176" customFormat="1" ht="21.75" hidden="1" customHeight="1" x14ac:dyDescent="0.2">
      <c r="A212" s="2064"/>
      <c r="B212" s="2065"/>
      <c r="C212" s="539">
        <v>0</v>
      </c>
      <c r="D212" s="539"/>
      <c r="E212" s="539"/>
      <c r="F212" s="539"/>
      <c r="G212" s="1204">
        <v>2700</v>
      </c>
      <c r="H212" s="539"/>
      <c r="I212" s="1548">
        <v>2264</v>
      </c>
      <c r="J212" s="536">
        <v>0</v>
      </c>
      <c r="K212" s="925"/>
      <c r="L212" s="2084"/>
      <c r="M212" s="1126" t="s">
        <v>2632</v>
      </c>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c r="AS212" s="186"/>
      <c r="AT212" s="186"/>
      <c r="AU212" s="186"/>
    </row>
    <row r="213" spans="1:47" s="176" customFormat="1" ht="48.75" hidden="1" customHeight="1" x14ac:dyDescent="0.2">
      <c r="A213" s="2064"/>
      <c r="B213" s="2065"/>
      <c r="C213" s="539">
        <v>0</v>
      </c>
      <c r="D213" s="539"/>
      <c r="E213" s="539"/>
      <c r="F213" s="539"/>
      <c r="G213" s="1204">
        <v>1600</v>
      </c>
      <c r="H213" s="539"/>
      <c r="I213" s="1548">
        <v>2279</v>
      </c>
      <c r="J213" s="536">
        <v>0</v>
      </c>
      <c r="K213" s="925"/>
      <c r="L213" s="2084"/>
      <c r="M213" s="1126" t="s">
        <v>2633</v>
      </c>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c r="AS213" s="186"/>
      <c r="AT213" s="186"/>
      <c r="AU213" s="186"/>
    </row>
    <row r="214" spans="1:47" s="176" customFormat="1" ht="25.5" hidden="1" customHeight="1" x14ac:dyDescent="0.2">
      <c r="A214" s="2064"/>
      <c r="B214" s="2065"/>
      <c r="C214" s="539">
        <v>0</v>
      </c>
      <c r="D214" s="539"/>
      <c r="E214" s="539"/>
      <c r="F214" s="539"/>
      <c r="G214" s="1204">
        <v>240</v>
      </c>
      <c r="H214" s="539"/>
      <c r="I214" s="1548">
        <v>2314</v>
      </c>
      <c r="J214" s="536">
        <v>0</v>
      </c>
      <c r="K214" s="925"/>
      <c r="L214" s="2084"/>
      <c r="M214" s="1126" t="s">
        <v>2634</v>
      </c>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c r="AS214" s="186"/>
      <c r="AT214" s="186"/>
      <c r="AU214" s="186"/>
    </row>
    <row r="215" spans="1:47" s="176" customFormat="1" ht="51" hidden="1" customHeight="1" x14ac:dyDescent="0.2">
      <c r="A215" s="2064"/>
      <c r="B215" s="2065"/>
      <c r="C215" s="539">
        <v>0</v>
      </c>
      <c r="D215" s="539"/>
      <c r="E215" s="539"/>
      <c r="F215" s="539"/>
      <c r="G215" s="1204">
        <v>4800</v>
      </c>
      <c r="H215" s="539"/>
      <c r="I215" s="1548">
        <v>2363</v>
      </c>
      <c r="J215" s="536">
        <v>0</v>
      </c>
      <c r="K215" s="925"/>
      <c r="L215" s="2084"/>
      <c r="M215" s="1126" t="s">
        <v>2635</v>
      </c>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c r="AS215" s="186"/>
      <c r="AT215" s="186"/>
      <c r="AU215" s="186"/>
    </row>
    <row r="216" spans="1:47" s="176" customFormat="1" ht="24" x14ac:dyDescent="0.2">
      <c r="A216" s="1128" t="s">
        <v>2636</v>
      </c>
      <c r="B216" s="1622" t="s">
        <v>2637</v>
      </c>
      <c r="C216" s="1123">
        <f>SUM(C217,C228,C233,C237,C242)</f>
        <v>61382</v>
      </c>
      <c r="D216" s="1123">
        <f t="shared" ref="D216:H216" si="86">SUM(D217,D228,D233,D237,D242)</f>
        <v>0</v>
      </c>
      <c r="E216" s="1123">
        <f>SUM(E217,E228,E233,E237,E242)</f>
        <v>61422</v>
      </c>
      <c r="F216" s="1123">
        <f t="shared" si="86"/>
        <v>0</v>
      </c>
      <c r="G216" s="1205">
        <f t="shared" si="86"/>
        <v>61382</v>
      </c>
      <c r="H216" s="1123">
        <f t="shared" si="86"/>
        <v>0</v>
      </c>
      <c r="I216" s="1548"/>
      <c r="J216" s="1629">
        <f t="shared" ref="J216:K216" si="87">SUM(J217,J228,J233,J237,J242)</f>
        <v>61382</v>
      </c>
      <c r="K216" s="1629">
        <f t="shared" si="87"/>
        <v>0</v>
      </c>
      <c r="L216" s="1122"/>
      <c r="M216" s="1125"/>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c r="AS216" s="186"/>
      <c r="AT216" s="186"/>
      <c r="AU216" s="186"/>
    </row>
    <row r="217" spans="1:47" s="176" customFormat="1" ht="17.25" customHeight="1" x14ac:dyDescent="0.2">
      <c r="A217" s="2064" t="s">
        <v>2638</v>
      </c>
      <c r="B217" s="2065" t="s">
        <v>2639</v>
      </c>
      <c r="C217" s="1123">
        <f>SUM(C218:C227)</f>
        <v>22553</v>
      </c>
      <c r="D217" s="1123">
        <f t="shared" ref="D217:H217" si="88">SUM(D218:D227)</f>
        <v>0</v>
      </c>
      <c r="E217" s="1123">
        <f t="shared" si="88"/>
        <v>22593</v>
      </c>
      <c r="F217" s="1123">
        <f t="shared" si="88"/>
        <v>0</v>
      </c>
      <c r="G217" s="1205">
        <f t="shared" si="88"/>
        <v>22553</v>
      </c>
      <c r="H217" s="1123">
        <f t="shared" si="88"/>
        <v>0</v>
      </c>
      <c r="I217" s="1548"/>
      <c r="J217" s="1629">
        <f t="shared" ref="J217:K217" si="89">SUM(J218:J227)</f>
        <v>22553</v>
      </c>
      <c r="K217" s="1629">
        <f t="shared" si="89"/>
        <v>0</v>
      </c>
      <c r="L217" s="2084" t="s">
        <v>2640</v>
      </c>
      <c r="M217" s="1125"/>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c r="AS217" s="186"/>
      <c r="AT217" s="186"/>
      <c r="AU217" s="186"/>
    </row>
    <row r="218" spans="1:47" s="176" customFormat="1" ht="17.25" customHeight="1" x14ac:dyDescent="0.2">
      <c r="A218" s="2064"/>
      <c r="B218" s="2065"/>
      <c r="C218" s="539">
        <v>1352</v>
      </c>
      <c r="D218" s="539"/>
      <c r="E218" s="539">
        <v>1352</v>
      </c>
      <c r="F218" s="539"/>
      <c r="G218" s="1204">
        <v>1352</v>
      </c>
      <c r="H218" s="539"/>
      <c r="I218" s="1548">
        <v>1150</v>
      </c>
      <c r="J218" s="536">
        <v>1352</v>
      </c>
      <c r="K218" s="925"/>
      <c r="L218" s="2084"/>
      <c r="M218" s="1125"/>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c r="AS218" s="186"/>
      <c r="AT218" s="186"/>
      <c r="AU218" s="186"/>
    </row>
    <row r="219" spans="1:47" s="176" customFormat="1" ht="17.25" customHeight="1" x14ac:dyDescent="0.2">
      <c r="A219" s="2064"/>
      <c r="B219" s="2065"/>
      <c r="C219" s="539">
        <v>68</v>
      </c>
      <c r="D219" s="539"/>
      <c r="E219" s="539">
        <v>68</v>
      </c>
      <c r="F219" s="539"/>
      <c r="G219" s="1204">
        <v>68</v>
      </c>
      <c r="H219" s="539"/>
      <c r="I219" s="1548">
        <v>1210</v>
      </c>
      <c r="J219" s="536">
        <v>68</v>
      </c>
      <c r="K219" s="925"/>
      <c r="L219" s="2084"/>
      <c r="M219" s="1125"/>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c r="AS219" s="186"/>
      <c r="AT219" s="186"/>
      <c r="AU219" s="186"/>
    </row>
    <row r="220" spans="1:47" s="176" customFormat="1" ht="17.25" hidden="1" customHeight="1" x14ac:dyDescent="0.2">
      <c r="A220" s="2064"/>
      <c r="B220" s="2065"/>
      <c r="C220" s="539">
        <v>376</v>
      </c>
      <c r="D220" s="539"/>
      <c r="E220" s="539">
        <v>376</v>
      </c>
      <c r="F220" s="539"/>
      <c r="G220" s="1204">
        <v>376</v>
      </c>
      <c r="H220" s="539"/>
      <c r="I220" s="1548">
        <v>2261</v>
      </c>
      <c r="J220" s="536"/>
      <c r="K220" s="925"/>
      <c r="L220" s="2084"/>
      <c r="M220" s="1125"/>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c r="AS220" s="186"/>
      <c r="AT220" s="186"/>
      <c r="AU220" s="186"/>
    </row>
    <row r="221" spans="1:47" s="176" customFormat="1" ht="17.25" hidden="1" customHeight="1" x14ac:dyDescent="0.2">
      <c r="A221" s="2064"/>
      <c r="B221" s="2065"/>
      <c r="C221" s="539">
        <v>13338</v>
      </c>
      <c r="D221" s="539"/>
      <c r="E221" s="539">
        <v>13338</v>
      </c>
      <c r="F221" s="539"/>
      <c r="G221" s="1204">
        <v>13338</v>
      </c>
      <c r="H221" s="539"/>
      <c r="I221" s="1548">
        <v>2233</v>
      </c>
      <c r="J221" s="536"/>
      <c r="K221" s="925"/>
      <c r="L221" s="2084"/>
      <c r="M221" s="1125"/>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c r="AS221" s="186"/>
      <c r="AT221" s="186"/>
      <c r="AU221" s="186"/>
    </row>
    <row r="222" spans="1:47" s="176" customFormat="1" ht="17.25" customHeight="1" x14ac:dyDescent="0.2">
      <c r="A222" s="2064"/>
      <c r="B222" s="2065"/>
      <c r="C222" s="539">
        <v>3136</v>
      </c>
      <c r="D222" s="539"/>
      <c r="E222" s="539">
        <v>3176</v>
      </c>
      <c r="F222" s="539"/>
      <c r="G222" s="1204">
        <v>3136</v>
      </c>
      <c r="H222" s="539"/>
      <c r="I222" s="1139">
        <v>2231</v>
      </c>
      <c r="J222" s="536">
        <f>1006+376+13338+2130</f>
        <v>16850</v>
      </c>
      <c r="K222" s="925"/>
      <c r="L222" s="2084"/>
      <c r="M222" s="1125"/>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c r="AS222" s="186"/>
      <c r="AT222" s="186"/>
      <c r="AU222" s="186"/>
    </row>
    <row r="223" spans="1:47" s="176" customFormat="1" ht="17.25" hidden="1" customHeight="1" x14ac:dyDescent="0.2">
      <c r="A223" s="2064"/>
      <c r="B223" s="2065"/>
      <c r="C223" s="539"/>
      <c r="D223" s="539"/>
      <c r="E223" s="539"/>
      <c r="F223" s="539"/>
      <c r="G223" s="1204"/>
      <c r="H223" s="539"/>
      <c r="I223" s="1139">
        <v>2239</v>
      </c>
      <c r="J223" s="536"/>
      <c r="K223" s="925"/>
      <c r="L223" s="2084"/>
      <c r="M223" s="1125"/>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c r="AS223" s="186"/>
      <c r="AT223" s="186"/>
      <c r="AU223" s="186"/>
    </row>
    <row r="224" spans="1:47" s="176" customFormat="1" ht="17.25" customHeight="1" x14ac:dyDescent="0.2">
      <c r="A224" s="2064"/>
      <c r="B224" s="2065"/>
      <c r="C224" s="539">
        <v>870</v>
      </c>
      <c r="D224" s="539"/>
      <c r="E224" s="539">
        <v>870</v>
      </c>
      <c r="F224" s="539"/>
      <c r="G224" s="1204">
        <v>870</v>
      </c>
      <c r="H224" s="539"/>
      <c r="I224" s="1548">
        <v>2312</v>
      </c>
      <c r="J224" s="536">
        <v>870</v>
      </c>
      <c r="K224" s="925"/>
      <c r="L224" s="2084"/>
      <c r="M224" s="1125"/>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c r="AS224" s="186"/>
      <c r="AT224" s="186"/>
      <c r="AU224" s="186"/>
    </row>
    <row r="225" spans="1:47" s="176" customFormat="1" ht="17.25" customHeight="1" x14ac:dyDescent="0.2">
      <c r="A225" s="2064"/>
      <c r="B225" s="2065"/>
      <c r="C225" s="539">
        <v>1377</v>
      </c>
      <c r="D225" s="539"/>
      <c r="E225" s="539">
        <v>1377</v>
      </c>
      <c r="F225" s="539"/>
      <c r="G225" s="1204">
        <v>1377</v>
      </c>
      <c r="H225" s="539"/>
      <c r="I225" s="1548">
        <v>2314</v>
      </c>
      <c r="J225" s="536">
        <v>1377</v>
      </c>
      <c r="K225" s="925"/>
      <c r="L225" s="2084"/>
      <c r="M225" s="1125"/>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c r="AS225" s="186"/>
      <c r="AT225" s="186"/>
      <c r="AU225" s="186"/>
    </row>
    <row r="226" spans="1:47" s="176" customFormat="1" ht="17.25" customHeight="1" x14ac:dyDescent="0.2">
      <c r="A226" s="2064"/>
      <c r="B226" s="2065"/>
      <c r="C226" s="539">
        <v>1715</v>
      </c>
      <c r="D226" s="539"/>
      <c r="E226" s="539">
        <v>1715</v>
      </c>
      <c r="F226" s="539"/>
      <c r="G226" s="1204">
        <v>1715</v>
      </c>
      <c r="H226" s="539"/>
      <c r="I226" s="1548">
        <v>2363</v>
      </c>
      <c r="J226" s="536">
        <v>1715</v>
      </c>
      <c r="K226" s="925"/>
      <c r="L226" s="2084"/>
      <c r="M226" s="1125"/>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c r="AS226" s="186"/>
      <c r="AT226" s="186"/>
      <c r="AU226" s="186"/>
    </row>
    <row r="227" spans="1:47" s="176" customFormat="1" ht="17.25" customHeight="1" x14ac:dyDescent="0.2">
      <c r="A227" s="2064"/>
      <c r="B227" s="2065"/>
      <c r="C227" s="539">
        <v>321</v>
      </c>
      <c r="D227" s="539"/>
      <c r="E227" s="539">
        <v>321</v>
      </c>
      <c r="F227" s="539"/>
      <c r="G227" s="1204">
        <v>321</v>
      </c>
      <c r="H227" s="539"/>
      <c r="I227" s="1548">
        <v>2390</v>
      </c>
      <c r="J227" s="536">
        <v>321</v>
      </c>
      <c r="K227" s="925"/>
      <c r="L227" s="2084"/>
      <c r="M227" s="1125"/>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c r="AS227" s="186"/>
      <c r="AT227" s="186"/>
      <c r="AU227" s="186"/>
    </row>
    <row r="228" spans="1:47" s="176" customFormat="1" ht="15" customHeight="1" x14ac:dyDescent="0.2">
      <c r="A228" s="2064" t="s">
        <v>2641</v>
      </c>
      <c r="B228" s="2065" t="s">
        <v>2642</v>
      </c>
      <c r="C228" s="1123">
        <f>SUM(C229:C232)</f>
        <v>2486</v>
      </c>
      <c r="D228" s="1123">
        <f t="shared" ref="D228:H228" si="90">SUM(D229:D232)</f>
        <v>0</v>
      </c>
      <c r="E228" s="1123">
        <f t="shared" si="90"/>
        <v>2486</v>
      </c>
      <c r="F228" s="1123">
        <f t="shared" si="90"/>
        <v>0</v>
      </c>
      <c r="G228" s="1205">
        <f t="shared" si="90"/>
        <v>2486</v>
      </c>
      <c r="H228" s="1123">
        <f t="shared" si="90"/>
        <v>0</v>
      </c>
      <c r="I228" s="1548"/>
      <c r="J228" s="1629">
        <f t="shared" ref="J228:K228" si="91">SUM(J229:J232)</f>
        <v>2486</v>
      </c>
      <c r="K228" s="1629">
        <f t="shared" si="91"/>
        <v>0</v>
      </c>
      <c r="L228" s="2084" t="s">
        <v>2640</v>
      </c>
      <c r="M228" s="1125"/>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c r="AS228" s="186"/>
      <c r="AT228" s="186"/>
      <c r="AU228" s="186"/>
    </row>
    <row r="229" spans="1:47" s="176" customFormat="1" ht="15" customHeight="1" x14ac:dyDescent="0.2">
      <c r="A229" s="2064"/>
      <c r="B229" s="2065"/>
      <c r="C229" s="539">
        <v>1012</v>
      </c>
      <c r="D229" s="539"/>
      <c r="E229" s="539">
        <v>1012</v>
      </c>
      <c r="F229" s="539"/>
      <c r="G229" s="1204">
        <v>1012</v>
      </c>
      <c r="H229" s="539"/>
      <c r="I229" s="1548">
        <v>1150</v>
      </c>
      <c r="J229" s="536">
        <v>1012</v>
      </c>
      <c r="K229" s="925"/>
      <c r="L229" s="2084"/>
      <c r="M229" s="1125"/>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c r="AS229" s="186"/>
      <c r="AT229" s="186"/>
      <c r="AU229" s="186"/>
    </row>
    <row r="230" spans="1:47" s="176" customFormat="1" ht="15" customHeight="1" x14ac:dyDescent="0.2">
      <c r="A230" s="2064"/>
      <c r="B230" s="2065"/>
      <c r="C230" s="539">
        <v>51</v>
      </c>
      <c r="D230" s="539"/>
      <c r="E230" s="539">
        <v>51</v>
      </c>
      <c r="F230" s="539"/>
      <c r="G230" s="1204">
        <v>51</v>
      </c>
      <c r="H230" s="539"/>
      <c r="I230" s="1548">
        <v>1210</v>
      </c>
      <c r="J230" s="536">
        <v>51</v>
      </c>
      <c r="K230" s="925"/>
      <c r="L230" s="2084"/>
      <c r="M230" s="1125"/>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c r="AS230" s="186"/>
      <c r="AT230" s="186"/>
      <c r="AU230" s="186"/>
    </row>
    <row r="231" spans="1:47" s="176" customFormat="1" ht="15" customHeight="1" x14ac:dyDescent="0.2">
      <c r="A231" s="2064"/>
      <c r="B231" s="2065"/>
      <c r="C231" s="539">
        <v>1213</v>
      </c>
      <c r="D231" s="539"/>
      <c r="E231" s="539">
        <v>1213</v>
      </c>
      <c r="F231" s="539"/>
      <c r="G231" s="1204">
        <v>1213</v>
      </c>
      <c r="H231" s="539"/>
      <c r="I231" s="1548">
        <v>2314</v>
      </c>
      <c r="J231" s="536">
        <v>1213</v>
      </c>
      <c r="K231" s="925"/>
      <c r="L231" s="2084"/>
      <c r="M231" s="1125"/>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c r="AS231" s="186"/>
      <c r="AT231" s="186"/>
      <c r="AU231" s="186"/>
    </row>
    <row r="232" spans="1:47" s="176" customFormat="1" ht="15" customHeight="1" x14ac:dyDescent="0.2">
      <c r="A232" s="2064"/>
      <c r="B232" s="2065"/>
      <c r="C232" s="539">
        <v>210</v>
      </c>
      <c r="D232" s="539"/>
      <c r="E232" s="539">
        <v>210</v>
      </c>
      <c r="F232" s="539"/>
      <c r="G232" s="1204">
        <v>210</v>
      </c>
      <c r="H232" s="539"/>
      <c r="I232" s="1548">
        <v>2363</v>
      </c>
      <c r="J232" s="536">
        <v>210</v>
      </c>
      <c r="K232" s="925"/>
      <c r="L232" s="2084"/>
      <c r="M232" s="1125"/>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row>
    <row r="233" spans="1:47" s="176" customFormat="1" ht="15.75" customHeight="1" x14ac:dyDescent="0.2">
      <c r="A233" s="2064" t="s">
        <v>2643</v>
      </c>
      <c r="B233" s="2065" t="s">
        <v>2644</v>
      </c>
      <c r="C233" s="1123">
        <f>SUM(C234:C236)</f>
        <v>3459</v>
      </c>
      <c r="D233" s="1123">
        <f t="shared" ref="D233:H233" si="92">SUM(D234:D236)</f>
        <v>0</v>
      </c>
      <c r="E233" s="1123">
        <f t="shared" si="92"/>
        <v>3459</v>
      </c>
      <c r="F233" s="1123">
        <f t="shared" si="92"/>
        <v>0</v>
      </c>
      <c r="G233" s="1205">
        <f t="shared" si="92"/>
        <v>3459</v>
      </c>
      <c r="H233" s="1123">
        <f t="shared" si="92"/>
        <v>0</v>
      </c>
      <c r="I233" s="1548"/>
      <c r="J233" s="1629">
        <f t="shared" ref="J233:K233" si="93">SUM(J234:J236)</f>
        <v>3459</v>
      </c>
      <c r="K233" s="1629">
        <f t="shared" si="93"/>
        <v>0</v>
      </c>
      <c r="L233" s="2084" t="s">
        <v>2640</v>
      </c>
      <c r="M233" s="1125"/>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c r="AS233" s="186"/>
      <c r="AT233" s="186"/>
      <c r="AU233" s="186"/>
    </row>
    <row r="234" spans="1:47" s="176" customFormat="1" ht="15.75" customHeight="1" x14ac:dyDescent="0.2">
      <c r="A234" s="2064"/>
      <c r="B234" s="2065"/>
      <c r="C234" s="539">
        <v>2113</v>
      </c>
      <c r="D234" s="539"/>
      <c r="E234" s="539">
        <v>2113</v>
      </c>
      <c r="F234" s="539"/>
      <c r="G234" s="1204">
        <v>2113</v>
      </c>
      <c r="H234" s="539"/>
      <c r="I234" s="1548">
        <v>1150</v>
      </c>
      <c r="J234" s="536">
        <v>2113</v>
      </c>
      <c r="K234" s="925"/>
      <c r="L234" s="2084"/>
      <c r="M234" s="1125"/>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c r="AS234" s="186"/>
      <c r="AT234" s="186"/>
      <c r="AU234" s="186"/>
    </row>
    <row r="235" spans="1:47" s="176" customFormat="1" ht="15.75" customHeight="1" x14ac:dyDescent="0.2">
      <c r="A235" s="2064"/>
      <c r="B235" s="2065"/>
      <c r="C235" s="539">
        <v>106</v>
      </c>
      <c r="D235" s="539"/>
      <c r="E235" s="539">
        <v>106</v>
      </c>
      <c r="F235" s="539"/>
      <c r="G235" s="1204">
        <v>106</v>
      </c>
      <c r="H235" s="539"/>
      <c r="I235" s="1548">
        <v>1210</v>
      </c>
      <c r="J235" s="536">
        <v>106</v>
      </c>
      <c r="K235" s="925"/>
      <c r="L235" s="2084"/>
      <c r="M235" s="1125"/>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c r="AS235" s="186"/>
      <c r="AT235" s="186"/>
      <c r="AU235" s="186"/>
    </row>
    <row r="236" spans="1:47" s="176" customFormat="1" ht="15.75" customHeight="1" x14ac:dyDescent="0.2">
      <c r="A236" s="2064"/>
      <c r="B236" s="2065"/>
      <c r="C236" s="539">
        <v>1240</v>
      </c>
      <c r="D236" s="539"/>
      <c r="E236" s="539">
        <v>1240</v>
      </c>
      <c r="F236" s="539"/>
      <c r="G236" s="1204">
        <v>1240</v>
      </c>
      <c r="H236" s="539"/>
      <c r="I236" s="1548">
        <v>2314</v>
      </c>
      <c r="J236" s="536">
        <v>1240</v>
      </c>
      <c r="K236" s="925"/>
      <c r="L236" s="2084"/>
      <c r="M236" s="1125"/>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c r="AS236" s="186"/>
      <c r="AT236" s="186"/>
      <c r="AU236" s="186"/>
    </row>
    <row r="237" spans="1:47" s="176" customFormat="1" ht="14.25" customHeight="1" x14ac:dyDescent="0.2">
      <c r="A237" s="2064" t="s">
        <v>2645</v>
      </c>
      <c r="B237" s="2065" t="s">
        <v>2646</v>
      </c>
      <c r="C237" s="1123">
        <f>SUM(C238:C241)</f>
        <v>14955</v>
      </c>
      <c r="D237" s="1123">
        <f t="shared" ref="D237:H237" si="94">SUM(D238:D241)</f>
        <v>0</v>
      </c>
      <c r="E237" s="1123">
        <f t="shared" si="94"/>
        <v>14955</v>
      </c>
      <c r="F237" s="1123">
        <f t="shared" si="94"/>
        <v>0</v>
      </c>
      <c r="G237" s="1205">
        <f t="shared" si="94"/>
        <v>14955</v>
      </c>
      <c r="H237" s="1123">
        <f t="shared" si="94"/>
        <v>0</v>
      </c>
      <c r="I237" s="1548"/>
      <c r="J237" s="1629">
        <f t="shared" ref="J237:K237" si="95">SUM(J238:J241)</f>
        <v>14955</v>
      </c>
      <c r="K237" s="1629">
        <f t="shared" si="95"/>
        <v>0</v>
      </c>
      <c r="L237" s="2084" t="s">
        <v>2640</v>
      </c>
      <c r="M237" s="1125"/>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c r="AS237" s="186"/>
      <c r="AT237" s="186"/>
      <c r="AU237" s="186"/>
    </row>
    <row r="238" spans="1:47" s="176" customFormat="1" ht="14.25" customHeight="1" x14ac:dyDescent="0.2">
      <c r="A238" s="2064"/>
      <c r="B238" s="2065"/>
      <c r="C238" s="539">
        <v>1930</v>
      </c>
      <c r="D238" s="539"/>
      <c r="E238" s="539">
        <v>1930</v>
      </c>
      <c r="F238" s="539"/>
      <c r="G238" s="1204">
        <v>1930</v>
      </c>
      <c r="H238" s="539"/>
      <c r="I238" s="1548">
        <v>2121</v>
      </c>
      <c r="J238" s="536">
        <v>1930</v>
      </c>
      <c r="K238" s="925"/>
      <c r="L238" s="2084"/>
      <c r="M238" s="1125"/>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c r="AS238" s="186"/>
      <c r="AT238" s="186"/>
      <c r="AU238" s="186"/>
    </row>
    <row r="239" spans="1:47" s="176" customFormat="1" ht="14.25" customHeight="1" x14ac:dyDescent="0.2">
      <c r="A239" s="2064"/>
      <c r="B239" s="2065"/>
      <c r="C239" s="539">
        <v>410</v>
      </c>
      <c r="D239" s="539"/>
      <c r="E239" s="539">
        <v>410</v>
      </c>
      <c r="F239" s="539"/>
      <c r="G239" s="1204">
        <v>410</v>
      </c>
      <c r="H239" s="539"/>
      <c r="I239" s="1548">
        <v>2122</v>
      </c>
      <c r="J239" s="536">
        <v>410</v>
      </c>
      <c r="K239" s="925"/>
      <c r="L239" s="2084"/>
      <c r="M239" s="1125"/>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c r="AS239" s="186"/>
      <c r="AT239" s="186"/>
      <c r="AU239" s="186"/>
    </row>
    <row r="240" spans="1:47" s="176" customFormat="1" ht="14.25" hidden="1" customHeight="1" x14ac:dyDescent="0.2">
      <c r="A240" s="2064"/>
      <c r="B240" s="2065"/>
      <c r="C240" s="539">
        <v>6879</v>
      </c>
      <c r="D240" s="539"/>
      <c r="E240" s="539">
        <v>6879</v>
      </c>
      <c r="F240" s="539"/>
      <c r="G240" s="1204">
        <v>6879</v>
      </c>
      <c r="H240" s="539"/>
      <c r="I240" s="1548">
        <v>2233</v>
      </c>
      <c r="J240" s="536"/>
      <c r="K240" s="925"/>
      <c r="L240" s="2084"/>
      <c r="M240" s="1125"/>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c r="AS240" s="186"/>
      <c r="AT240" s="186"/>
      <c r="AU240" s="186"/>
    </row>
    <row r="241" spans="1:47" s="176" customFormat="1" ht="14.25" customHeight="1" x14ac:dyDescent="0.2">
      <c r="A241" s="2064"/>
      <c r="B241" s="2065"/>
      <c r="C241" s="539">
        <v>5736</v>
      </c>
      <c r="D241" s="539"/>
      <c r="E241" s="539">
        <v>5736</v>
      </c>
      <c r="F241" s="539"/>
      <c r="G241" s="1204">
        <v>5736</v>
      </c>
      <c r="H241" s="539"/>
      <c r="I241" s="1139">
        <v>2231</v>
      </c>
      <c r="J241" s="536">
        <f>5736+6879</f>
        <v>12615</v>
      </c>
      <c r="K241" s="925"/>
      <c r="L241" s="2084"/>
      <c r="M241" s="1125" t="s">
        <v>2647</v>
      </c>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c r="AS241" s="186"/>
      <c r="AT241" s="186"/>
      <c r="AU241" s="186"/>
    </row>
    <row r="242" spans="1:47" s="176" customFormat="1" ht="27.75" customHeight="1" x14ac:dyDescent="0.2">
      <c r="A242" s="2064" t="s">
        <v>2648</v>
      </c>
      <c r="B242" s="2065" t="s">
        <v>2649</v>
      </c>
      <c r="C242" s="1123">
        <f>SUM(C243)</f>
        <v>17929</v>
      </c>
      <c r="D242" s="1123">
        <f t="shared" ref="D242:H242" si="96">SUM(D243)</f>
        <v>0</v>
      </c>
      <c r="E242" s="1123">
        <f t="shared" si="96"/>
        <v>17929</v>
      </c>
      <c r="F242" s="1123">
        <f t="shared" si="96"/>
        <v>0</v>
      </c>
      <c r="G242" s="1205">
        <f t="shared" si="96"/>
        <v>17929</v>
      </c>
      <c r="H242" s="1123">
        <f t="shared" si="96"/>
        <v>0</v>
      </c>
      <c r="I242" s="1548"/>
      <c r="J242" s="1629">
        <f t="shared" ref="J242:K242" si="97">SUM(J243)</f>
        <v>17929</v>
      </c>
      <c r="K242" s="1629">
        <f t="shared" si="97"/>
        <v>0</v>
      </c>
      <c r="L242" s="2084" t="s">
        <v>2640</v>
      </c>
      <c r="M242" s="1125"/>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c r="AS242" s="186"/>
      <c r="AT242" s="186"/>
      <c r="AU242" s="186"/>
    </row>
    <row r="243" spans="1:47" s="176" customFormat="1" ht="28.5" customHeight="1" x14ac:dyDescent="0.2">
      <c r="A243" s="2064"/>
      <c r="B243" s="2065"/>
      <c r="C243" s="539">
        <v>17929</v>
      </c>
      <c r="D243" s="539"/>
      <c r="E243" s="539">
        <v>17929</v>
      </c>
      <c r="F243" s="539"/>
      <c r="G243" s="1204">
        <v>17929</v>
      </c>
      <c r="H243" s="539"/>
      <c r="I243" s="1548">
        <v>2361</v>
      </c>
      <c r="J243" s="536">
        <v>17929</v>
      </c>
      <c r="K243" s="925"/>
      <c r="L243" s="2084"/>
      <c r="M243" s="1125"/>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c r="AS243" s="186"/>
      <c r="AT243" s="186"/>
      <c r="AU243" s="186"/>
    </row>
    <row r="244" spans="1:47" s="176" customFormat="1" ht="19.5" customHeight="1" x14ac:dyDescent="0.2">
      <c r="A244" s="1127" t="s">
        <v>2650</v>
      </c>
      <c r="B244" s="1622" t="s">
        <v>2651</v>
      </c>
      <c r="C244" s="1123">
        <f>SUM(C245,C246,C247,C248,C251,C257)</f>
        <v>73371</v>
      </c>
      <c r="D244" s="1123">
        <f t="shared" ref="D244:H244" si="98">SUM(D245,D246,D247,D248,D251,D257)</f>
        <v>4000</v>
      </c>
      <c r="E244" s="1123">
        <f t="shared" si="98"/>
        <v>73121</v>
      </c>
      <c r="F244" s="1123">
        <f t="shared" si="98"/>
        <v>3200</v>
      </c>
      <c r="G244" s="1205">
        <f t="shared" si="98"/>
        <v>79647</v>
      </c>
      <c r="H244" s="1123">
        <f t="shared" si="98"/>
        <v>4150</v>
      </c>
      <c r="I244" s="1548"/>
      <c r="J244" s="1629">
        <f t="shared" ref="J244:K244" si="99">SUM(J245,J246,J247,J248,J251,J257)</f>
        <v>65850</v>
      </c>
      <c r="K244" s="1629">
        <f t="shared" si="99"/>
        <v>4000</v>
      </c>
      <c r="L244" s="1122"/>
      <c r="M244" s="1125"/>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c r="AS244" s="186"/>
      <c r="AT244" s="186"/>
      <c r="AU244" s="186"/>
    </row>
    <row r="245" spans="1:47" s="176" customFormat="1" ht="54.75" customHeight="1" x14ac:dyDescent="0.2">
      <c r="A245" s="1136" t="s">
        <v>2652</v>
      </c>
      <c r="B245" s="1623" t="s">
        <v>2653</v>
      </c>
      <c r="C245" s="1123">
        <v>5650</v>
      </c>
      <c r="D245" s="1123">
        <v>2800</v>
      </c>
      <c r="E245" s="1123">
        <v>5650</v>
      </c>
      <c r="F245" s="1123">
        <v>2000</v>
      </c>
      <c r="G245" s="1205">
        <v>5650</v>
      </c>
      <c r="H245" s="1123">
        <v>2800</v>
      </c>
      <c r="I245" s="1139">
        <v>2314</v>
      </c>
      <c r="J245" s="536">
        <v>5650</v>
      </c>
      <c r="K245" s="925">
        <v>2800</v>
      </c>
      <c r="L245" s="1138" t="s">
        <v>2654</v>
      </c>
      <c r="M245" s="1125"/>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c r="AS245" s="186"/>
      <c r="AT245" s="186"/>
      <c r="AU245" s="186"/>
    </row>
    <row r="246" spans="1:47" s="176" customFormat="1" ht="24.75" customHeight="1" x14ac:dyDescent="0.2">
      <c r="A246" s="1136" t="s">
        <v>2655</v>
      </c>
      <c r="B246" s="1624" t="s">
        <v>2656</v>
      </c>
      <c r="C246" s="1123">
        <v>4000</v>
      </c>
      <c r="D246" s="1123">
        <v>1200</v>
      </c>
      <c r="E246" s="1123">
        <v>4000</v>
      </c>
      <c r="F246" s="1123">
        <v>1200</v>
      </c>
      <c r="G246" s="1205">
        <v>4000</v>
      </c>
      <c r="H246" s="1123">
        <v>1350</v>
      </c>
      <c r="I246" s="1633">
        <v>2231</v>
      </c>
      <c r="J246" s="536">
        <v>4000</v>
      </c>
      <c r="K246" s="925">
        <v>1200</v>
      </c>
      <c r="L246" s="1138" t="s">
        <v>2657</v>
      </c>
      <c r="M246" s="1125"/>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c r="AS246" s="186"/>
      <c r="AT246" s="186"/>
      <c r="AU246" s="186"/>
    </row>
    <row r="247" spans="1:47" s="176" customFormat="1" ht="20.25" customHeight="1" x14ac:dyDescent="0.2">
      <c r="A247" s="1136" t="s">
        <v>2658</v>
      </c>
      <c r="B247" s="1624" t="s">
        <v>2659</v>
      </c>
      <c r="C247" s="1123">
        <v>700</v>
      </c>
      <c r="D247" s="1123">
        <v>0</v>
      </c>
      <c r="E247" s="1123">
        <v>450</v>
      </c>
      <c r="F247" s="1123"/>
      <c r="G247" s="1205">
        <v>700</v>
      </c>
      <c r="H247" s="1123"/>
      <c r="I247" s="1548">
        <v>2247</v>
      </c>
      <c r="J247" s="536">
        <v>500</v>
      </c>
      <c r="K247" s="925"/>
      <c r="L247" s="1138" t="s">
        <v>2657</v>
      </c>
      <c r="M247" s="1125"/>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c r="AS247" s="186"/>
      <c r="AT247" s="186"/>
      <c r="AU247" s="186"/>
    </row>
    <row r="248" spans="1:47" s="176" customFormat="1" ht="19.5" customHeight="1" x14ac:dyDescent="0.2">
      <c r="A248" s="2064" t="s">
        <v>2660</v>
      </c>
      <c r="B248" s="2065" t="s">
        <v>2661</v>
      </c>
      <c r="C248" s="1123">
        <f>SUM(C249:C250)</f>
        <v>700</v>
      </c>
      <c r="D248" s="1123">
        <f t="shared" ref="D248:H248" si="100">SUM(D249:D250)</f>
        <v>0</v>
      </c>
      <c r="E248" s="1123">
        <f t="shared" si="100"/>
        <v>700</v>
      </c>
      <c r="F248" s="1123">
        <f t="shared" si="100"/>
        <v>0</v>
      </c>
      <c r="G248" s="1205">
        <f t="shared" si="100"/>
        <v>700</v>
      </c>
      <c r="H248" s="1123">
        <f t="shared" si="100"/>
        <v>0</v>
      </c>
      <c r="I248" s="1548"/>
      <c r="J248" s="1629">
        <f t="shared" ref="J248:K248" si="101">SUM(J249:J250)</f>
        <v>700</v>
      </c>
      <c r="K248" s="1629">
        <f t="shared" si="101"/>
        <v>0</v>
      </c>
      <c r="L248" s="2084" t="s">
        <v>2657</v>
      </c>
      <c r="M248" s="1125"/>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row>
    <row r="249" spans="1:47" s="176" customFormat="1" ht="19.5" customHeight="1" x14ac:dyDescent="0.2">
      <c r="A249" s="2064"/>
      <c r="B249" s="2065"/>
      <c r="C249" s="539">
        <v>360</v>
      </c>
      <c r="D249" s="539"/>
      <c r="E249" s="539">
        <v>360</v>
      </c>
      <c r="F249" s="539"/>
      <c r="G249" s="1204">
        <v>360</v>
      </c>
      <c r="H249" s="539"/>
      <c r="I249" s="1548">
        <v>2223</v>
      </c>
      <c r="J249" s="536">
        <v>360</v>
      </c>
      <c r="K249" s="925"/>
      <c r="L249" s="2084"/>
      <c r="M249" s="1125"/>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c r="AS249" s="186"/>
      <c r="AT249" s="186"/>
      <c r="AU249" s="186"/>
    </row>
    <row r="250" spans="1:47" s="176" customFormat="1" ht="19.5" customHeight="1" x14ac:dyDescent="0.2">
      <c r="A250" s="2064"/>
      <c r="B250" s="2065"/>
      <c r="C250" s="539">
        <v>340</v>
      </c>
      <c r="D250" s="539"/>
      <c r="E250" s="539">
        <v>340</v>
      </c>
      <c r="F250" s="539"/>
      <c r="G250" s="1204">
        <v>340</v>
      </c>
      <c r="H250" s="539"/>
      <c r="I250" s="1139">
        <v>2231</v>
      </c>
      <c r="J250" s="536">
        <v>340</v>
      </c>
      <c r="K250" s="925"/>
      <c r="L250" s="2084"/>
      <c r="M250" s="1126" t="s">
        <v>2662</v>
      </c>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row>
    <row r="251" spans="1:47" s="176" customFormat="1" ht="16.5" customHeight="1" x14ac:dyDescent="0.2">
      <c r="A251" s="2064" t="s">
        <v>2663</v>
      </c>
      <c r="B251" s="2065" t="s">
        <v>2664</v>
      </c>
      <c r="C251" s="1123">
        <f>SUM(C254:C256)</f>
        <v>62321</v>
      </c>
      <c r="D251" s="1123">
        <f t="shared" ref="D251:H251" si="102">SUM(D254:D256)</f>
        <v>0</v>
      </c>
      <c r="E251" s="1123">
        <f t="shared" si="102"/>
        <v>62321</v>
      </c>
      <c r="F251" s="1123">
        <f t="shared" si="102"/>
        <v>0</v>
      </c>
      <c r="G251" s="1205">
        <f>SUM(G252:G256)</f>
        <v>62321</v>
      </c>
      <c r="H251" s="1123">
        <f t="shared" si="102"/>
        <v>0</v>
      </c>
      <c r="I251" s="1548"/>
      <c r="J251" s="1629">
        <f>SUM(J252:J256)</f>
        <v>55000</v>
      </c>
      <c r="K251" s="1629">
        <f t="shared" ref="K251" si="103">SUM(K254:K256)</f>
        <v>0</v>
      </c>
      <c r="L251" s="2084" t="s">
        <v>2654</v>
      </c>
      <c r="M251" s="1125"/>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row>
    <row r="252" spans="1:47" s="176" customFormat="1" ht="16.5" customHeight="1" x14ac:dyDescent="0.2">
      <c r="A252" s="2064"/>
      <c r="B252" s="2065"/>
      <c r="C252" s="539">
        <v>0</v>
      </c>
      <c r="D252" s="539"/>
      <c r="E252" s="539">
        <v>0</v>
      </c>
      <c r="F252" s="539"/>
      <c r="G252" s="1204">
        <v>1000</v>
      </c>
      <c r="H252" s="539"/>
      <c r="I252" s="1548">
        <v>1150</v>
      </c>
      <c r="J252" s="536">
        <v>1000</v>
      </c>
      <c r="K252" s="536"/>
      <c r="L252" s="2084"/>
      <c r="M252" s="1126" t="s">
        <v>2665</v>
      </c>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c r="AS252" s="186"/>
      <c r="AT252" s="186"/>
      <c r="AU252" s="186"/>
    </row>
    <row r="253" spans="1:47" s="176" customFormat="1" ht="16.5" customHeight="1" x14ac:dyDescent="0.2">
      <c r="A253" s="2064"/>
      <c r="B253" s="2065"/>
      <c r="C253" s="539">
        <v>0</v>
      </c>
      <c r="D253" s="539"/>
      <c r="E253" s="539">
        <v>0</v>
      </c>
      <c r="F253" s="539"/>
      <c r="G253" s="1204">
        <v>50</v>
      </c>
      <c r="H253" s="539"/>
      <c r="I253" s="1548">
        <v>1210</v>
      </c>
      <c r="J253" s="536">
        <v>50</v>
      </c>
      <c r="K253" s="536"/>
      <c r="L253" s="2084"/>
      <c r="M253" s="1125"/>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c r="AS253" s="186"/>
      <c r="AT253" s="186"/>
      <c r="AU253" s="186"/>
    </row>
    <row r="254" spans="1:47" s="176" customFormat="1" ht="16.5" customHeight="1" x14ac:dyDescent="0.2">
      <c r="A254" s="2064"/>
      <c r="B254" s="2065"/>
      <c r="C254" s="539">
        <v>44764</v>
      </c>
      <c r="D254" s="539"/>
      <c r="E254" s="539">
        <v>44764</v>
      </c>
      <c r="F254" s="539"/>
      <c r="G254" s="1204">
        <v>43393</v>
      </c>
      <c r="H254" s="539"/>
      <c r="I254" s="1548">
        <v>2239</v>
      </c>
      <c r="J254" s="536">
        <v>36073</v>
      </c>
      <c r="K254" s="925"/>
      <c r="L254" s="2084"/>
      <c r="M254" s="1125"/>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c r="AS254" s="186"/>
      <c r="AT254" s="186"/>
      <c r="AU254" s="186"/>
    </row>
    <row r="255" spans="1:47" s="176" customFormat="1" ht="16.5" customHeight="1" x14ac:dyDescent="0.2">
      <c r="A255" s="2064"/>
      <c r="B255" s="2065"/>
      <c r="C255" s="539">
        <v>8500</v>
      </c>
      <c r="D255" s="539"/>
      <c r="E255" s="539">
        <v>8500</v>
      </c>
      <c r="F255" s="539"/>
      <c r="G255" s="1204">
        <v>8820</v>
      </c>
      <c r="H255" s="539"/>
      <c r="I255" s="1139">
        <v>2231</v>
      </c>
      <c r="J255" s="536">
        <v>8820</v>
      </c>
      <c r="K255" s="925"/>
      <c r="L255" s="2084"/>
      <c r="M255" s="1125" t="s">
        <v>2666</v>
      </c>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c r="AS255" s="186"/>
      <c r="AT255" s="186"/>
      <c r="AU255" s="186"/>
    </row>
    <row r="256" spans="1:47" s="176" customFormat="1" ht="16.5" customHeight="1" x14ac:dyDescent="0.2">
      <c r="A256" s="2064"/>
      <c r="B256" s="2065"/>
      <c r="C256" s="539">
        <v>9057</v>
      </c>
      <c r="D256" s="539"/>
      <c r="E256" s="539">
        <v>9057</v>
      </c>
      <c r="F256" s="539"/>
      <c r="G256" s="1204">
        <v>9058</v>
      </c>
      <c r="H256" s="539"/>
      <c r="I256" s="1548">
        <v>2314</v>
      </c>
      <c r="J256" s="536">
        <v>9057</v>
      </c>
      <c r="K256" s="925"/>
      <c r="L256" s="2084"/>
      <c r="M256" s="1125"/>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c r="AS256" s="186"/>
      <c r="AT256" s="186"/>
      <c r="AU256" s="186"/>
    </row>
    <row r="257" spans="1:47" s="176" customFormat="1" ht="31.5" hidden="1" customHeight="1" x14ac:dyDescent="0.2">
      <c r="A257" s="2064" t="s">
        <v>2667</v>
      </c>
      <c r="B257" s="2065" t="s">
        <v>2668</v>
      </c>
      <c r="C257" s="1123">
        <f>SUM(C258)</f>
        <v>0</v>
      </c>
      <c r="D257" s="1123">
        <f t="shared" ref="D257:H257" si="104">SUM(D258)</f>
        <v>0</v>
      </c>
      <c r="E257" s="1123">
        <f t="shared" si="104"/>
        <v>0</v>
      </c>
      <c r="F257" s="1123">
        <f t="shared" si="104"/>
        <v>0</v>
      </c>
      <c r="G257" s="1205">
        <f t="shared" si="104"/>
        <v>6276</v>
      </c>
      <c r="H257" s="1123">
        <f t="shared" si="104"/>
        <v>0</v>
      </c>
      <c r="I257" s="1548"/>
      <c r="J257" s="1629">
        <f t="shared" ref="J257:K257" si="105">SUM(J258)</f>
        <v>0</v>
      </c>
      <c r="K257" s="1629">
        <f t="shared" si="105"/>
        <v>0</v>
      </c>
      <c r="L257" s="1122"/>
      <c r="M257" s="1125"/>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c r="AS257" s="186"/>
      <c r="AT257" s="186"/>
      <c r="AU257" s="186"/>
    </row>
    <row r="258" spans="1:47" s="176" customFormat="1" ht="60" hidden="1" x14ac:dyDescent="0.2">
      <c r="A258" s="2064"/>
      <c r="B258" s="2065"/>
      <c r="C258" s="539">
        <v>0</v>
      </c>
      <c r="D258" s="539"/>
      <c r="E258" s="539">
        <v>0</v>
      </c>
      <c r="F258" s="539"/>
      <c r="G258" s="1056">
        <v>6276</v>
      </c>
      <c r="H258" s="1034"/>
      <c r="I258" s="1139">
        <v>2231</v>
      </c>
      <c r="J258" s="536">
        <v>0</v>
      </c>
      <c r="K258" s="925"/>
      <c r="L258" s="1138" t="s">
        <v>2654</v>
      </c>
      <c r="M258" s="1126" t="s">
        <v>2669</v>
      </c>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c r="AS258" s="186"/>
      <c r="AT258" s="186"/>
      <c r="AU258" s="186"/>
    </row>
    <row r="259" spans="1:47" s="176" customFormat="1" hidden="1" x14ac:dyDescent="0.2">
      <c r="A259" s="1136"/>
      <c r="B259" s="200"/>
      <c r="C259" s="200"/>
      <c r="D259" s="200"/>
      <c r="E259" s="200"/>
      <c r="F259" s="200"/>
      <c r="G259" s="1137"/>
      <c r="H259" s="200"/>
      <c r="I259" s="1543"/>
      <c r="J259" s="536"/>
      <c r="K259" s="925"/>
      <c r="L259" s="1122"/>
      <c r="M259" s="1122"/>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c r="AS259" s="186"/>
      <c r="AT259" s="186"/>
      <c r="AU259" s="186"/>
    </row>
    <row r="260" spans="1:47" s="176" customFormat="1" hidden="1" x14ac:dyDescent="0.2">
      <c r="A260" s="200"/>
      <c r="B260" s="200"/>
      <c r="C260" s="200"/>
      <c r="D260" s="200"/>
      <c r="E260" s="200"/>
      <c r="F260" s="200"/>
      <c r="G260" s="1137"/>
      <c r="H260" s="200"/>
      <c r="I260" s="951"/>
      <c r="J260" s="536"/>
      <c r="K260" s="1122"/>
      <c r="L260" s="1122"/>
      <c r="M260" s="1122"/>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c r="AS260" s="186"/>
      <c r="AT260" s="186"/>
      <c r="AU260" s="186"/>
    </row>
    <row r="261" spans="1:47" s="176" customFormat="1" x14ac:dyDescent="0.2">
      <c r="A261" s="1634"/>
      <c r="B261" s="1634"/>
      <c r="C261" s="1634"/>
      <c r="D261" s="1634"/>
      <c r="E261" s="1634"/>
      <c r="F261" s="1634"/>
      <c r="G261" s="1635"/>
      <c r="H261" s="1634"/>
      <c r="I261" s="1117"/>
      <c r="J261" s="1636"/>
      <c r="K261" s="1637"/>
      <c r="L261" s="1637"/>
      <c r="M261" s="1637"/>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c r="AS261" s="186"/>
      <c r="AT261" s="186"/>
      <c r="AU261" s="186"/>
    </row>
    <row r="262" spans="1:47" s="176" customFormat="1" x14ac:dyDescent="0.2">
      <c r="A262" s="161" t="s">
        <v>400</v>
      </c>
      <c r="B262" s="169"/>
      <c r="C262" s="169"/>
      <c r="D262" s="169"/>
      <c r="E262" s="169"/>
      <c r="F262" s="169"/>
      <c r="G262" s="169"/>
      <c r="H262" s="169"/>
      <c r="I262" s="1625"/>
      <c r="J262" s="169"/>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c r="AS262" s="186"/>
      <c r="AT262" s="186"/>
      <c r="AU262" s="186"/>
    </row>
    <row r="263" spans="1:47" s="176" customFormat="1" x14ac:dyDescent="0.2">
      <c r="A263" s="161" t="s">
        <v>401</v>
      </c>
      <c r="B263" s="169"/>
      <c r="C263" s="169"/>
      <c r="D263" s="169"/>
      <c r="E263" s="169"/>
      <c r="F263" s="169"/>
      <c r="G263" s="169"/>
      <c r="H263" s="169"/>
      <c r="I263" s="1625"/>
      <c r="J263" s="169"/>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c r="AS263" s="186"/>
      <c r="AT263" s="186"/>
      <c r="AU263" s="186"/>
    </row>
    <row r="264" spans="1:47" s="176" customFormat="1" x14ac:dyDescent="0.2">
      <c r="A264" s="161"/>
      <c r="B264" s="169"/>
      <c r="C264" s="169"/>
      <c r="D264" s="169"/>
      <c r="E264" s="169"/>
      <c r="F264" s="169"/>
      <c r="G264" s="169"/>
      <c r="H264" s="169"/>
      <c r="I264" s="1625"/>
      <c r="J264" s="169"/>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c r="AS264" s="186"/>
      <c r="AT264" s="186"/>
      <c r="AU264" s="186"/>
    </row>
    <row r="265" spans="1:47" s="176" customFormat="1" x14ac:dyDescent="0.2">
      <c r="A265" s="2086" t="s">
        <v>2670</v>
      </c>
      <c r="B265" s="2086"/>
      <c r="C265" s="2086"/>
      <c r="D265" s="2086"/>
      <c r="E265" s="2086"/>
      <c r="F265" s="2086"/>
      <c r="G265" s="2086"/>
      <c r="H265" s="2086"/>
      <c r="I265" s="2086"/>
      <c r="J265" s="2086"/>
      <c r="K265" s="2086"/>
      <c r="L265" s="2086"/>
      <c r="M265" s="1140"/>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c r="AS265" s="186"/>
      <c r="AT265" s="186"/>
      <c r="AU265" s="186"/>
    </row>
    <row r="266" spans="1:47" s="176" customFormat="1" x14ac:dyDescent="0.2">
      <c r="A266" s="1035" t="s">
        <v>1981</v>
      </c>
      <c r="B266" s="1035"/>
      <c r="C266" s="1035"/>
      <c r="D266" s="1035"/>
      <c r="E266" s="1035"/>
      <c r="F266" s="1141"/>
      <c r="G266" s="1141"/>
      <c r="H266" s="1141"/>
      <c r="I266" s="1626"/>
      <c r="J266" s="1141"/>
      <c r="K266" s="1141"/>
      <c r="L266" s="1141"/>
      <c r="M266" s="1140"/>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c r="AS266" s="186"/>
      <c r="AT266" s="186"/>
      <c r="AU266" s="186"/>
    </row>
    <row r="267" spans="1:47" s="176" customFormat="1" ht="12" customHeight="1" x14ac:dyDescent="0.2">
      <c r="A267" s="1849" t="s">
        <v>2671</v>
      </c>
      <c r="B267" s="1849"/>
      <c r="C267" s="1849"/>
      <c r="D267" s="1849"/>
      <c r="E267" s="1849"/>
      <c r="F267" s="1849"/>
      <c r="G267" s="1849"/>
      <c r="H267" s="1849"/>
      <c r="I267" s="1849"/>
      <c r="J267" s="1849"/>
      <c r="K267" s="1849"/>
      <c r="L267" s="1849"/>
      <c r="M267" s="1140"/>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c r="AS267" s="186"/>
      <c r="AT267" s="186"/>
      <c r="AU267" s="186"/>
    </row>
    <row r="268" spans="1:47" s="176" customFormat="1" ht="12" customHeight="1" x14ac:dyDescent="0.2">
      <c r="A268" s="347" t="s">
        <v>2672</v>
      </c>
      <c r="B268" s="347"/>
      <c r="C268" s="347"/>
      <c r="D268" s="347"/>
      <c r="E268" s="1038"/>
      <c r="F268" s="1038"/>
      <c r="G268" s="1038"/>
      <c r="H268" s="1038"/>
      <c r="I268" s="308"/>
      <c r="J268" s="1038"/>
      <c r="K268" s="1038"/>
      <c r="L268" s="1038"/>
      <c r="M268" s="1140"/>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c r="AS268" s="186"/>
      <c r="AT268" s="186"/>
      <c r="AU268" s="186"/>
    </row>
    <row r="269" spans="1:47" s="176" customFormat="1" ht="12" customHeight="1" x14ac:dyDescent="0.2">
      <c r="A269" s="347" t="s">
        <v>2673</v>
      </c>
      <c r="B269" s="347"/>
      <c r="C269" s="347"/>
      <c r="D269" s="347"/>
      <c r="E269" s="1038"/>
      <c r="F269" s="1038"/>
      <c r="G269" s="1038"/>
      <c r="H269" s="1038"/>
      <c r="I269" s="308"/>
      <c r="J269" s="1038"/>
      <c r="K269" s="1038"/>
      <c r="L269" s="1038"/>
      <c r="M269" s="1140"/>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c r="AS269" s="186"/>
      <c r="AT269" s="186"/>
      <c r="AU269" s="186"/>
    </row>
    <row r="270" spans="1:47" s="288" customFormat="1" ht="12" customHeight="1" x14ac:dyDescent="0.2">
      <c r="A270" s="1849" t="s">
        <v>2674</v>
      </c>
      <c r="B270" s="1849"/>
      <c r="C270" s="1849"/>
      <c r="D270" s="1849"/>
      <c r="E270" s="1849"/>
      <c r="F270" s="1849"/>
      <c r="G270" s="1849"/>
      <c r="H270" s="1849"/>
      <c r="I270" s="1849"/>
      <c r="J270" s="1849"/>
      <c r="K270" s="1849"/>
      <c r="L270" s="1849"/>
      <c r="M270" s="1849"/>
    </row>
    <row r="271" spans="1:47" s="287" customFormat="1" ht="12" customHeight="1" x14ac:dyDescent="0.2">
      <c r="A271" s="1849" t="s">
        <v>2671</v>
      </c>
      <c r="B271" s="1849"/>
      <c r="C271" s="1849"/>
      <c r="D271" s="1849"/>
      <c r="E271" s="1849"/>
      <c r="F271" s="1849"/>
      <c r="G271" s="1849"/>
      <c r="H271" s="1849"/>
      <c r="I271" s="1849"/>
      <c r="J271" s="1849"/>
      <c r="K271" s="1849"/>
      <c r="L271" s="1849"/>
      <c r="M271" s="1038"/>
    </row>
    <row r="272" spans="1:47" s="287" customFormat="1" ht="12" customHeight="1" x14ac:dyDescent="0.2">
      <c r="A272" s="347" t="s">
        <v>2675</v>
      </c>
      <c r="B272" s="1038"/>
      <c r="C272" s="1038"/>
      <c r="D272" s="1038"/>
      <c r="E272" s="1038"/>
      <c r="F272" s="1038"/>
      <c r="G272" s="1038"/>
      <c r="H272" s="1038"/>
      <c r="I272" s="308"/>
      <c r="J272" s="1038"/>
      <c r="K272" s="1038"/>
      <c r="L272" s="1038"/>
      <c r="M272" s="1038"/>
    </row>
    <row r="273" spans="1:47" s="287" customFormat="1" ht="12" customHeight="1" x14ac:dyDescent="0.2">
      <c r="A273" s="347" t="s">
        <v>2676</v>
      </c>
      <c r="B273" s="1038"/>
      <c r="C273" s="1038"/>
      <c r="D273" s="1038"/>
      <c r="E273" s="1038"/>
      <c r="F273" s="1038"/>
      <c r="G273" s="1038"/>
      <c r="H273" s="1038"/>
      <c r="I273" s="308"/>
      <c r="J273" s="1038"/>
      <c r="K273" s="1038"/>
      <c r="L273" s="1038"/>
      <c r="M273" s="1038"/>
    </row>
    <row r="274" spans="1:47" s="318" customFormat="1" ht="12" customHeight="1" x14ac:dyDescent="0.25">
      <c r="A274" s="1849" t="s">
        <v>2677</v>
      </c>
      <c r="B274" s="1849"/>
      <c r="C274" s="1849"/>
      <c r="D274" s="1849"/>
      <c r="E274" s="1849"/>
      <c r="F274" s="1849"/>
      <c r="G274" s="1849"/>
      <c r="H274" s="1849"/>
      <c r="I274" s="1849"/>
      <c r="J274" s="1849"/>
      <c r="K274" s="1849"/>
      <c r="L274" s="1849"/>
      <c r="M274" s="1849"/>
      <c r="N274" s="1849"/>
      <c r="O274" s="1849"/>
    </row>
    <row r="275" spans="1:47" s="287" customFormat="1" ht="12" customHeight="1" x14ac:dyDescent="0.2">
      <c r="A275" s="1142" t="s">
        <v>2678</v>
      </c>
      <c r="B275" s="1038"/>
      <c r="C275" s="1038"/>
      <c r="D275" s="1038"/>
      <c r="E275" s="1038"/>
      <c r="F275" s="1038"/>
      <c r="G275" s="1038"/>
      <c r="H275" s="1038"/>
      <c r="I275" s="308"/>
      <c r="J275" s="1038"/>
      <c r="K275" s="1038"/>
      <c r="L275" s="1038"/>
      <c r="M275" s="1038"/>
    </row>
    <row r="276" spans="1:47" s="287" customFormat="1" ht="12" customHeight="1" x14ac:dyDescent="0.2">
      <c r="A276" s="1849" t="s">
        <v>2679</v>
      </c>
      <c r="B276" s="1849"/>
      <c r="C276" s="1849"/>
      <c r="D276" s="1849"/>
      <c r="E276" s="1849"/>
      <c r="F276" s="1849"/>
      <c r="G276" s="1849"/>
      <c r="H276" s="1849"/>
      <c r="I276" s="1849"/>
      <c r="J276" s="1849"/>
      <c r="K276" s="1849"/>
      <c r="L276" s="1849"/>
      <c r="M276" s="1038"/>
    </row>
    <row r="277" spans="1:47" s="176" customFormat="1" x14ac:dyDescent="0.2">
      <c r="A277" s="349" t="s">
        <v>2680</v>
      </c>
      <c r="B277" s="349"/>
      <c r="C277" s="349"/>
      <c r="D277" s="349"/>
      <c r="E277" s="349"/>
      <c r="F277" s="349"/>
      <c r="G277" s="347"/>
      <c r="H277" s="1038"/>
      <c r="I277" s="308"/>
      <c r="J277" s="1038"/>
      <c r="K277" s="1038"/>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c r="AS277" s="186"/>
      <c r="AT277" s="186"/>
      <c r="AU277" s="186"/>
    </row>
    <row r="278" spans="1:47" s="176" customFormat="1" x14ac:dyDescent="0.2">
      <c r="A278" s="347" t="s">
        <v>2681</v>
      </c>
      <c r="B278" s="347"/>
      <c r="C278" s="347"/>
      <c r="D278" s="347"/>
      <c r="E278" s="347"/>
      <c r="F278" s="347"/>
      <c r="G278" s="347"/>
      <c r="H278" s="1038"/>
      <c r="I278" s="308"/>
      <c r="J278" s="1038"/>
      <c r="K278" s="1038"/>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c r="AS278" s="186"/>
      <c r="AT278" s="186"/>
      <c r="AU278" s="186"/>
    </row>
    <row r="279" spans="1:47" s="176" customFormat="1" x14ac:dyDescent="0.2">
      <c r="A279" s="347" t="s">
        <v>2682</v>
      </c>
      <c r="B279" s="347"/>
      <c r="C279" s="347"/>
      <c r="D279" s="347"/>
      <c r="E279" s="347"/>
      <c r="F279" s="347"/>
      <c r="G279" s="347"/>
      <c r="H279" s="1038"/>
      <c r="I279" s="308"/>
      <c r="J279" s="1038"/>
      <c r="K279" s="1038"/>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c r="AS279" s="186"/>
      <c r="AT279" s="186"/>
      <c r="AU279" s="186"/>
    </row>
    <row r="280" spans="1:47" s="176" customFormat="1" x14ac:dyDescent="0.2">
      <c r="A280" s="347" t="s">
        <v>2683</v>
      </c>
      <c r="B280" s="347"/>
      <c r="C280" s="347"/>
      <c r="D280" s="347"/>
      <c r="E280" s="347"/>
      <c r="F280" s="347"/>
      <c r="G280" s="1038"/>
      <c r="H280" s="1038"/>
      <c r="I280" s="308"/>
      <c r="J280" s="1038"/>
      <c r="K280" s="1038"/>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c r="AS280" s="186"/>
      <c r="AT280" s="186"/>
      <c r="AU280" s="186"/>
    </row>
    <row r="281" spans="1:47" s="176" customFormat="1" x14ac:dyDescent="0.2">
      <c r="A281" s="347" t="s">
        <v>2684</v>
      </c>
      <c r="B281" s="347"/>
      <c r="C281" s="347"/>
      <c r="D281" s="347"/>
      <c r="E281" s="347"/>
      <c r="F281" s="347"/>
      <c r="G281" s="347"/>
      <c r="H281" s="347"/>
      <c r="I281" s="308"/>
      <c r="J281" s="1038"/>
      <c r="K281" s="1038"/>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c r="AS281" s="186"/>
      <c r="AT281" s="186"/>
      <c r="AU281" s="186"/>
    </row>
    <row r="282" spans="1:47" s="176" customFormat="1" x14ac:dyDescent="0.2">
      <c r="A282" s="347" t="s">
        <v>2685</v>
      </c>
      <c r="B282" s="347"/>
      <c r="C282" s="347"/>
      <c r="D282" s="347"/>
      <c r="E282" s="347"/>
      <c r="F282" s="347"/>
      <c r="G282" s="347"/>
      <c r="H282" s="347"/>
      <c r="I282" s="328"/>
      <c r="J282" s="347"/>
      <c r="K282" s="347"/>
      <c r="L282" s="442"/>
      <c r="M282" s="442"/>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c r="AS282" s="186"/>
      <c r="AT282" s="186"/>
      <c r="AU282" s="186"/>
    </row>
    <row r="283" spans="1:47" x14ac:dyDescent="0.2">
      <c r="A283" s="347" t="s">
        <v>2686</v>
      </c>
      <c r="B283" s="347"/>
      <c r="C283" s="347"/>
      <c r="D283" s="347"/>
      <c r="E283" s="347"/>
      <c r="F283" s="347"/>
      <c r="G283" s="347"/>
      <c r="H283" s="347"/>
      <c r="I283" s="328"/>
      <c r="J283" s="347"/>
      <c r="K283" s="347"/>
      <c r="L283" s="229"/>
      <c r="M283" s="229"/>
    </row>
    <row r="284" spans="1:47" x14ac:dyDescent="0.2">
      <c r="A284" s="347" t="s">
        <v>2687</v>
      </c>
      <c r="B284" s="347"/>
      <c r="C284" s="347"/>
      <c r="D284" s="347"/>
      <c r="E284" s="347"/>
      <c r="F284" s="347"/>
      <c r="G284" s="1038"/>
      <c r="H284" s="1038"/>
      <c r="I284" s="308"/>
      <c r="J284" s="1038"/>
      <c r="K284" s="1038"/>
      <c r="L284" s="229"/>
      <c r="M284" s="229"/>
    </row>
    <row r="285" spans="1:47" x14ac:dyDescent="0.2">
      <c r="A285" s="347" t="s">
        <v>2688</v>
      </c>
      <c r="B285" s="347"/>
      <c r="C285" s="347"/>
      <c r="D285" s="347"/>
      <c r="E285" s="347"/>
      <c r="F285" s="347"/>
      <c r="G285" s="1038"/>
      <c r="H285" s="1038"/>
      <c r="I285" s="308"/>
      <c r="J285" s="1038"/>
      <c r="K285" s="1038"/>
      <c r="L285" s="229"/>
      <c r="M285" s="229"/>
    </row>
    <row r="286" spans="1:47" x14ac:dyDescent="0.2">
      <c r="A286" s="347" t="s">
        <v>2689</v>
      </c>
      <c r="B286" s="347"/>
      <c r="C286" s="347"/>
      <c r="D286" s="347"/>
      <c r="E286" s="347"/>
      <c r="F286" s="347"/>
      <c r="G286" s="1038"/>
      <c r="H286" s="1038"/>
      <c r="I286" s="308"/>
      <c r="J286" s="1038"/>
      <c r="K286" s="1038"/>
      <c r="L286" s="229"/>
      <c r="M286" s="229"/>
    </row>
    <row r="287" spans="1:47" x14ac:dyDescent="0.2">
      <c r="A287" s="347" t="s">
        <v>2690</v>
      </c>
      <c r="B287" s="347"/>
      <c r="C287" s="347"/>
      <c r="D287" s="347"/>
      <c r="E287" s="347"/>
      <c r="F287" s="347"/>
      <c r="G287" s="347"/>
      <c r="H287" s="1038"/>
      <c r="I287" s="308"/>
      <c r="J287" s="1038"/>
      <c r="K287" s="1038"/>
      <c r="L287" s="229"/>
      <c r="M287" s="229"/>
    </row>
    <row r="288" spans="1:47" x14ac:dyDescent="0.2">
      <c r="A288" s="347" t="s">
        <v>2691</v>
      </c>
      <c r="B288" s="347"/>
      <c r="C288" s="347"/>
      <c r="D288" s="347"/>
      <c r="E288" s="347"/>
      <c r="F288" s="347"/>
      <c r="G288" s="347"/>
      <c r="H288" s="1038"/>
      <c r="I288" s="308"/>
      <c r="J288" s="1038"/>
      <c r="K288" s="1038"/>
      <c r="L288" s="229"/>
      <c r="M288" s="229"/>
    </row>
    <row r="289" spans="1:11" x14ac:dyDescent="0.2">
      <c r="A289" s="347" t="s">
        <v>2692</v>
      </c>
      <c r="B289" s="347"/>
      <c r="C289" s="347"/>
      <c r="D289" s="347"/>
      <c r="E289" s="347"/>
      <c r="F289" s="347"/>
      <c r="G289" s="347"/>
      <c r="H289" s="1038"/>
      <c r="I289" s="308"/>
      <c r="J289" s="1038"/>
      <c r="K289" s="1038"/>
    </row>
    <row r="290" spans="1:11" x14ac:dyDescent="0.2">
      <c r="A290" s="347" t="s">
        <v>2683</v>
      </c>
      <c r="B290" s="347"/>
      <c r="C290" s="347"/>
      <c r="D290" s="347"/>
      <c r="E290" s="347"/>
      <c r="F290" s="347"/>
      <c r="G290" s="1038"/>
      <c r="H290" s="1038"/>
      <c r="I290" s="308"/>
      <c r="J290" s="1038"/>
      <c r="K290" s="1038"/>
    </row>
    <row r="291" spans="1:11" x14ac:dyDescent="0.2">
      <c r="A291" s="347" t="s">
        <v>2693</v>
      </c>
      <c r="B291" s="347"/>
      <c r="C291" s="347"/>
      <c r="D291" s="347"/>
      <c r="E291" s="347"/>
      <c r="F291" s="347"/>
      <c r="G291" s="1038"/>
      <c r="H291" s="1038"/>
      <c r="I291" s="308"/>
      <c r="J291" s="1038"/>
      <c r="K291" s="1038"/>
    </row>
    <row r="292" spans="1:11" x14ac:dyDescent="0.2">
      <c r="A292" s="347" t="s">
        <v>2694</v>
      </c>
      <c r="B292" s="347"/>
      <c r="C292" s="347"/>
      <c r="D292" s="347"/>
      <c r="E292" s="347"/>
      <c r="F292" s="347"/>
      <c r="G292" s="1038"/>
      <c r="H292" s="1038"/>
      <c r="I292" s="308"/>
      <c r="J292" s="1038"/>
      <c r="K292" s="1038"/>
    </row>
    <row r="293" spans="1:11" x14ac:dyDescent="0.2">
      <c r="A293" s="347" t="s">
        <v>2683</v>
      </c>
      <c r="B293" s="347"/>
      <c r="C293" s="347"/>
      <c r="D293" s="347"/>
      <c r="E293" s="347"/>
      <c r="F293" s="347"/>
      <c r="G293" s="1038"/>
      <c r="H293" s="1038"/>
      <c r="I293" s="308"/>
      <c r="J293" s="1038"/>
      <c r="K293" s="1038"/>
    </row>
    <row r="294" spans="1:11" x14ac:dyDescent="0.2">
      <c r="A294" s="347" t="s">
        <v>1579</v>
      </c>
      <c r="B294" s="347"/>
      <c r="C294" s="347"/>
      <c r="D294" s="347"/>
      <c r="E294" s="347"/>
      <c r="F294" s="347"/>
      <c r="G294" s="1038"/>
      <c r="H294" s="1038"/>
      <c r="I294" s="308"/>
      <c r="J294" s="1038"/>
      <c r="K294" s="1038"/>
    </row>
    <row r="295" spans="1:11" x14ac:dyDescent="0.2">
      <c r="A295" s="347" t="s">
        <v>2695</v>
      </c>
      <c r="B295" s="347"/>
      <c r="C295" s="347"/>
      <c r="D295" s="347"/>
      <c r="E295" s="347"/>
      <c r="F295" s="347"/>
      <c r="G295" s="1038"/>
      <c r="H295" s="1038"/>
      <c r="I295" s="308"/>
      <c r="J295" s="1038"/>
      <c r="K295" s="1038"/>
    </row>
    <row r="296" spans="1:11" x14ac:dyDescent="0.2">
      <c r="A296" s="347" t="s">
        <v>1738</v>
      </c>
      <c r="B296" s="347"/>
      <c r="C296" s="347"/>
      <c r="D296" s="347"/>
      <c r="E296" s="347"/>
      <c r="F296" s="347"/>
      <c r="G296" s="1038"/>
      <c r="H296" s="1038"/>
      <c r="I296" s="308"/>
      <c r="J296" s="1038"/>
      <c r="K296" s="1038"/>
    </row>
    <row r="297" spans="1:11" x14ac:dyDescent="0.2">
      <c r="A297" s="347" t="s">
        <v>2696</v>
      </c>
      <c r="B297" s="347"/>
      <c r="C297" s="347"/>
      <c r="D297" s="347"/>
      <c r="E297" s="347"/>
      <c r="F297" s="347"/>
      <c r="G297" s="1038"/>
      <c r="H297" s="1038"/>
      <c r="I297" s="308"/>
      <c r="J297" s="1038"/>
      <c r="K297" s="1038"/>
    </row>
    <row r="298" spans="1:11" x14ac:dyDescent="0.2">
      <c r="A298" s="347" t="s">
        <v>2697</v>
      </c>
      <c r="B298" s="347"/>
      <c r="C298" s="347"/>
      <c r="D298" s="347"/>
      <c r="E298" s="347"/>
      <c r="F298" s="347"/>
      <c r="G298" s="1038"/>
      <c r="H298" s="1038"/>
      <c r="I298" s="308"/>
      <c r="J298" s="1038"/>
      <c r="K298" s="1038"/>
    </row>
    <row r="299" spans="1:11" x14ac:dyDescent="0.2">
      <c r="A299" s="347" t="s">
        <v>2683</v>
      </c>
      <c r="B299" s="347"/>
      <c r="C299" s="347"/>
      <c r="D299" s="347"/>
      <c r="E299" s="347"/>
      <c r="F299" s="347"/>
      <c r="G299" s="1038"/>
      <c r="H299" s="1038"/>
      <c r="I299" s="308"/>
      <c r="J299" s="1038"/>
      <c r="K299" s="1038"/>
    </row>
    <row r="300" spans="1:11" x14ac:dyDescent="0.2">
      <c r="A300" s="347" t="s">
        <v>2698</v>
      </c>
      <c r="B300" s="347"/>
      <c r="C300" s="347"/>
      <c r="D300" s="347"/>
      <c r="E300" s="347"/>
      <c r="F300" s="347"/>
      <c r="G300" s="1038"/>
      <c r="H300" s="1038"/>
      <c r="I300" s="308"/>
      <c r="J300" s="1038"/>
      <c r="K300" s="1038"/>
    </row>
    <row r="301" spans="1:11" x14ac:dyDescent="0.2">
      <c r="A301" s="347" t="s">
        <v>2699</v>
      </c>
      <c r="B301" s="347"/>
      <c r="C301" s="347"/>
      <c r="D301" s="347"/>
      <c r="E301" s="347"/>
      <c r="F301" s="347"/>
      <c r="G301" s="1038"/>
      <c r="H301" s="1038"/>
      <c r="I301" s="308"/>
      <c r="J301" s="1038"/>
      <c r="K301" s="1038"/>
    </row>
    <row r="302" spans="1:11" x14ac:dyDescent="0.2">
      <c r="A302" s="347" t="s">
        <v>2700</v>
      </c>
      <c r="B302" s="347"/>
      <c r="C302" s="347"/>
      <c r="D302" s="347"/>
      <c r="E302" s="347"/>
      <c r="F302" s="347"/>
      <c r="G302" s="1038"/>
      <c r="H302" s="1038"/>
      <c r="I302" s="308"/>
      <c r="J302" s="1038"/>
      <c r="K302" s="1038"/>
    </row>
    <row r="303" spans="1:11" x14ac:dyDescent="0.2">
      <c r="A303" s="347" t="s">
        <v>2701</v>
      </c>
      <c r="B303" s="347"/>
      <c r="C303" s="347"/>
      <c r="D303" s="347"/>
      <c r="E303" s="347"/>
      <c r="F303" s="347"/>
      <c r="G303" s="1038"/>
      <c r="H303" s="1038"/>
      <c r="I303" s="308"/>
      <c r="J303" s="1038"/>
      <c r="K303" s="1038"/>
    </row>
    <row r="304" spans="1:11" x14ac:dyDescent="0.2">
      <c r="A304" s="347" t="s">
        <v>2702</v>
      </c>
      <c r="B304" s="347"/>
      <c r="C304" s="347"/>
      <c r="D304" s="347"/>
      <c r="E304" s="347"/>
      <c r="F304" s="347"/>
      <c r="G304" s="1038"/>
      <c r="H304" s="1038"/>
      <c r="I304" s="308"/>
      <c r="J304" s="1038"/>
      <c r="K304" s="1038"/>
    </row>
    <row r="305" spans="1:17" x14ac:dyDescent="0.2">
      <c r="A305" s="347" t="s">
        <v>2703</v>
      </c>
      <c r="B305" s="347"/>
      <c r="C305" s="347"/>
      <c r="D305" s="347"/>
      <c r="E305" s="347"/>
      <c r="F305" s="347"/>
      <c r="G305" s="1038"/>
      <c r="H305" s="1038"/>
      <c r="I305" s="308"/>
      <c r="J305" s="1038"/>
      <c r="K305" s="1038"/>
    </row>
    <row r="306" spans="1:17" x14ac:dyDescent="0.2">
      <c r="A306" s="347" t="s">
        <v>2704</v>
      </c>
      <c r="B306" s="347"/>
      <c r="C306" s="347"/>
      <c r="D306" s="347"/>
      <c r="E306" s="347"/>
      <c r="F306" s="347"/>
      <c r="G306" s="1038"/>
      <c r="H306" s="1038"/>
      <c r="I306" s="308"/>
      <c r="J306" s="1038"/>
      <c r="K306" s="1038"/>
    </row>
    <row r="307" spans="1:17" x14ac:dyDescent="0.2">
      <c r="A307" s="347" t="s">
        <v>2705</v>
      </c>
      <c r="B307" s="347"/>
      <c r="C307" s="347"/>
      <c r="D307" s="347"/>
      <c r="E307" s="347"/>
      <c r="F307" s="347"/>
      <c r="G307" s="1038"/>
      <c r="H307" s="1038"/>
      <c r="I307" s="308"/>
      <c r="J307" s="1038"/>
      <c r="K307" s="1038"/>
    </row>
    <row r="308" spans="1:17" x14ac:dyDescent="0.2">
      <c r="A308" s="347" t="s">
        <v>2683</v>
      </c>
      <c r="B308" s="347"/>
      <c r="C308" s="347"/>
      <c r="D308" s="347"/>
      <c r="E308" s="347"/>
      <c r="F308" s="347"/>
      <c r="G308" s="1038"/>
      <c r="H308" s="1038"/>
      <c r="I308" s="308"/>
      <c r="J308" s="1038"/>
      <c r="K308" s="1038"/>
    </row>
    <row r="309" spans="1:17" x14ac:dyDescent="0.2">
      <c r="A309" s="347" t="s">
        <v>2706</v>
      </c>
      <c r="B309" s="347"/>
      <c r="C309" s="347"/>
      <c r="D309" s="347"/>
      <c r="E309" s="347"/>
      <c r="F309" s="347"/>
      <c r="G309" s="1038"/>
      <c r="H309" s="1038"/>
      <c r="I309" s="308"/>
      <c r="J309" s="1038"/>
      <c r="K309" s="1038"/>
    </row>
    <row r="310" spans="1:17" x14ac:dyDescent="0.2">
      <c r="A310" s="347" t="s">
        <v>2707</v>
      </c>
      <c r="B310" s="347"/>
      <c r="C310" s="347"/>
      <c r="D310" s="347"/>
      <c r="E310" s="347"/>
      <c r="F310" s="347"/>
      <c r="G310" s="1038"/>
      <c r="H310" s="1038"/>
      <c r="I310" s="308"/>
      <c r="J310" s="1038"/>
      <c r="K310" s="1038"/>
    </row>
    <row r="311" spans="1:17" x14ac:dyDescent="0.2">
      <c r="A311" s="347" t="s">
        <v>2683</v>
      </c>
      <c r="B311" s="347"/>
      <c r="C311" s="347"/>
      <c r="D311" s="347"/>
      <c r="E311" s="347"/>
      <c r="F311" s="347"/>
      <c r="G311" s="1038"/>
      <c r="H311" s="1038"/>
      <c r="I311" s="308"/>
      <c r="J311" s="1038"/>
      <c r="K311" s="1038"/>
    </row>
    <row r="312" spans="1:17" x14ac:dyDescent="0.2">
      <c r="A312" s="347" t="s">
        <v>2708</v>
      </c>
      <c r="B312" s="347"/>
      <c r="C312" s="347"/>
      <c r="D312" s="347"/>
      <c r="E312" s="347"/>
      <c r="F312" s="347"/>
      <c r="G312" s="1038"/>
      <c r="H312" s="1038"/>
      <c r="I312" s="308"/>
      <c r="J312" s="1038"/>
      <c r="K312" s="1038"/>
    </row>
    <row r="313" spans="1:17" x14ac:dyDescent="0.2">
      <c r="A313" s="349" t="s">
        <v>2709</v>
      </c>
      <c r="B313" s="347"/>
      <c r="C313" s="347"/>
      <c r="D313" s="347"/>
      <c r="E313" s="347"/>
      <c r="F313" s="347"/>
      <c r="G313" s="1038"/>
      <c r="H313" s="1038"/>
      <c r="I313" s="308"/>
      <c r="J313" s="1038"/>
    </row>
    <row r="314" spans="1:17" x14ac:dyDescent="0.2">
      <c r="A314" s="347" t="s">
        <v>2710</v>
      </c>
      <c r="B314" s="347"/>
      <c r="C314" s="347"/>
      <c r="D314" s="347"/>
      <c r="E314" s="347"/>
      <c r="F314" s="347"/>
      <c r="G314" s="1038"/>
      <c r="H314" s="1038"/>
      <c r="I314" s="308"/>
      <c r="J314" s="1038"/>
    </row>
    <row r="315" spans="1:17" x14ac:dyDescent="0.2">
      <c r="A315" s="347" t="s">
        <v>2711</v>
      </c>
      <c r="B315" s="347"/>
      <c r="C315" s="347"/>
      <c r="D315" s="347"/>
      <c r="E315" s="347"/>
      <c r="F315" s="347"/>
      <c r="G315" s="1038"/>
      <c r="H315" s="1038"/>
      <c r="I315" s="308"/>
      <c r="J315" s="1038"/>
    </row>
    <row r="316" spans="1:17" x14ac:dyDescent="0.2">
      <c r="A316" s="347" t="s">
        <v>2712</v>
      </c>
      <c r="B316" s="347"/>
      <c r="C316" s="347"/>
      <c r="D316" s="347"/>
      <c r="E316" s="347"/>
      <c r="F316" s="347"/>
      <c r="G316" s="1038"/>
      <c r="H316" s="1038"/>
      <c r="I316" s="308"/>
      <c r="J316" s="1038"/>
    </row>
    <row r="317" spans="1:17" x14ac:dyDescent="0.2">
      <c r="A317" s="347" t="s">
        <v>2713</v>
      </c>
      <c r="B317" s="347"/>
      <c r="C317" s="347"/>
      <c r="D317" s="347"/>
      <c r="E317" s="347"/>
      <c r="F317" s="347"/>
      <c r="G317" s="1038"/>
      <c r="H317" s="1038"/>
      <c r="I317" s="308"/>
      <c r="J317" s="1038"/>
    </row>
    <row r="318" spans="1:17" x14ac:dyDescent="0.2">
      <c r="A318" s="347" t="s">
        <v>2714</v>
      </c>
      <c r="B318" s="347"/>
      <c r="C318" s="347"/>
      <c r="D318" s="347"/>
      <c r="E318" s="347"/>
      <c r="F318" s="347"/>
      <c r="G318" s="1038"/>
      <c r="H318" s="1038"/>
      <c r="I318" s="308"/>
      <c r="J318" s="1038"/>
    </row>
    <row r="319" spans="1:17" x14ac:dyDescent="0.2">
      <c r="A319" s="347" t="s">
        <v>2715</v>
      </c>
      <c r="B319" s="347"/>
      <c r="C319" s="347"/>
      <c r="D319" s="347"/>
      <c r="E319" s="347"/>
      <c r="F319" s="347"/>
      <c r="G319" s="1038"/>
      <c r="H319" s="1038"/>
      <c r="I319" s="308"/>
      <c r="J319" s="1038"/>
    </row>
    <row r="320" spans="1:17" ht="25.5" customHeight="1" x14ac:dyDescent="0.2">
      <c r="A320" s="1849" t="s">
        <v>2716</v>
      </c>
      <c r="B320" s="1849"/>
      <c r="C320" s="1849"/>
      <c r="D320" s="1849"/>
      <c r="E320" s="1849"/>
      <c r="F320" s="1849"/>
      <c r="G320" s="1849"/>
      <c r="H320" s="1849"/>
      <c r="I320" s="1849"/>
      <c r="J320" s="1849"/>
      <c r="K320" s="1849"/>
      <c r="L320" s="1849"/>
      <c r="M320" s="1849"/>
      <c r="N320" s="1849"/>
      <c r="O320" s="1849"/>
      <c r="P320" s="1849"/>
      <c r="Q320" s="1849"/>
    </row>
    <row r="321" spans="1:10" x14ac:dyDescent="0.2">
      <c r="A321" s="347" t="s">
        <v>2717</v>
      </c>
      <c r="B321" s="347"/>
      <c r="C321" s="347"/>
      <c r="D321" s="347"/>
      <c r="E321" s="347"/>
      <c r="F321" s="347"/>
      <c r="G321" s="1038"/>
      <c r="H321" s="1038"/>
      <c r="I321" s="308"/>
      <c r="J321" s="1038"/>
    </row>
    <row r="322" spans="1:10" x14ac:dyDescent="0.2">
      <c r="A322" s="347" t="s">
        <v>2718</v>
      </c>
      <c r="B322" s="347"/>
      <c r="C322" s="347"/>
      <c r="D322" s="347"/>
      <c r="E322" s="347"/>
      <c r="F322" s="347"/>
      <c r="G322" s="1038"/>
      <c r="H322" s="1038"/>
      <c r="I322" s="308"/>
      <c r="J322" s="1038"/>
    </row>
    <row r="323" spans="1:10" x14ac:dyDescent="0.2">
      <c r="A323" s="347" t="s">
        <v>2719</v>
      </c>
      <c r="B323" s="347"/>
      <c r="C323" s="347"/>
      <c r="D323" s="347"/>
      <c r="E323" s="347"/>
      <c r="F323" s="347"/>
      <c r="G323" s="1038"/>
      <c r="H323" s="1038"/>
      <c r="I323" s="308"/>
      <c r="J323" s="1038"/>
    </row>
    <row r="324" spans="1:10" x14ac:dyDescent="0.2">
      <c r="A324" s="347" t="s">
        <v>2720</v>
      </c>
      <c r="B324" s="347"/>
      <c r="C324" s="347"/>
      <c r="D324" s="347"/>
      <c r="E324" s="347"/>
      <c r="F324" s="347"/>
      <c r="G324" s="1038"/>
      <c r="H324" s="1038"/>
      <c r="I324" s="308"/>
      <c r="J324" s="1038"/>
    </row>
    <row r="325" spans="1:10" x14ac:dyDescent="0.2">
      <c r="A325" s="347" t="s">
        <v>2721</v>
      </c>
      <c r="B325" s="347"/>
      <c r="C325" s="347"/>
      <c r="D325" s="347"/>
      <c r="E325" s="347"/>
      <c r="F325" s="347"/>
      <c r="G325" s="1038"/>
      <c r="H325" s="1038"/>
      <c r="I325" s="308"/>
      <c r="J325" s="1038"/>
    </row>
    <row r="328" spans="1:10" x14ac:dyDescent="0.2">
      <c r="A328" s="229"/>
      <c r="B328" s="229"/>
      <c r="C328" s="229"/>
      <c r="D328" s="229"/>
      <c r="E328" s="229"/>
      <c r="F328" s="229"/>
      <c r="G328" s="229"/>
      <c r="H328" s="229"/>
      <c r="I328" s="1627"/>
    </row>
    <row r="329" spans="1:10" x14ac:dyDescent="0.2">
      <c r="A329" s="229"/>
      <c r="B329" s="229"/>
      <c r="C329" s="229"/>
      <c r="D329" s="229"/>
      <c r="E329" s="229"/>
      <c r="F329" s="229"/>
      <c r="G329" s="229"/>
      <c r="H329" s="229"/>
      <c r="I329" s="1627"/>
    </row>
    <row r="330" spans="1:10" x14ac:dyDescent="0.2">
      <c r="A330" s="229"/>
      <c r="B330" s="229"/>
      <c r="C330" s="229"/>
      <c r="D330" s="229"/>
      <c r="E330" s="229"/>
      <c r="F330" s="229"/>
      <c r="G330" s="229"/>
      <c r="H330" s="229"/>
      <c r="I330" s="1627"/>
    </row>
  </sheetData>
  <sheetProtection algorithmName="SHA-512" hashValue="ePnDI+q14aGA9wNbS9EDZ4kASSOa3RfQUhnilti1pCG44NL7A00GQoVMFAhw4NhPpQ72urNo5e6hSd8J/TDqsg==" saltValue="aaGgiEA5PhrsI75pZrTJmw==" spinCount="100000" sheet="1" objects="1" scenarios="1"/>
  <mergeCells count="169">
    <mergeCell ref="A320:Q320"/>
    <mergeCell ref="A274:O274"/>
    <mergeCell ref="A267:L267"/>
    <mergeCell ref="A270:M270"/>
    <mergeCell ref="A271:L271"/>
    <mergeCell ref="A276:L276"/>
    <mergeCell ref="A251:A256"/>
    <mergeCell ref="B251:B256"/>
    <mergeCell ref="L251:L256"/>
    <mergeCell ref="A257:A258"/>
    <mergeCell ref="B257:B258"/>
    <mergeCell ref="A265:L265"/>
    <mergeCell ref="A242:A243"/>
    <mergeCell ref="B242:B243"/>
    <mergeCell ref="L242:L243"/>
    <mergeCell ref="A248:A250"/>
    <mergeCell ref="B248:B250"/>
    <mergeCell ref="L248:L250"/>
    <mergeCell ref="A233:A236"/>
    <mergeCell ref="B233:B236"/>
    <mergeCell ref="L233:L236"/>
    <mergeCell ref="A237:A241"/>
    <mergeCell ref="B237:B241"/>
    <mergeCell ref="L237:L241"/>
    <mergeCell ref="A217:A227"/>
    <mergeCell ref="B217:B227"/>
    <mergeCell ref="L217:L227"/>
    <mergeCell ref="A228:A232"/>
    <mergeCell ref="B228:B232"/>
    <mergeCell ref="L228:L232"/>
    <mergeCell ref="A201:A208"/>
    <mergeCell ref="B201:B208"/>
    <mergeCell ref="M201:M208"/>
    <mergeCell ref="A209:A215"/>
    <mergeCell ref="B209:B215"/>
    <mergeCell ref="L209:L215"/>
    <mergeCell ref="A194:A195"/>
    <mergeCell ref="B194:B195"/>
    <mergeCell ref="L194:L195"/>
    <mergeCell ref="A196:A200"/>
    <mergeCell ref="B196:B200"/>
    <mergeCell ref="L196:L200"/>
    <mergeCell ref="A183:A188"/>
    <mergeCell ref="B183:B188"/>
    <mergeCell ref="L183:L188"/>
    <mergeCell ref="A189:A193"/>
    <mergeCell ref="B189:B193"/>
    <mergeCell ref="L189:L193"/>
    <mergeCell ref="A174:A175"/>
    <mergeCell ref="B174:B175"/>
    <mergeCell ref="L174:L175"/>
    <mergeCell ref="A176:A182"/>
    <mergeCell ref="B176:B182"/>
    <mergeCell ref="M176:M182"/>
    <mergeCell ref="A165:A166"/>
    <mergeCell ref="B165:B166"/>
    <mergeCell ref="L165:L166"/>
    <mergeCell ref="A167:A172"/>
    <mergeCell ref="B167:B172"/>
    <mergeCell ref="L167:L172"/>
    <mergeCell ref="A153:A158"/>
    <mergeCell ref="B153:B158"/>
    <mergeCell ref="L153:L158"/>
    <mergeCell ref="A159:A164"/>
    <mergeCell ref="B159:B164"/>
    <mergeCell ref="L159:L164"/>
    <mergeCell ref="M137:M141"/>
    <mergeCell ref="A142:A146"/>
    <mergeCell ref="B142:B146"/>
    <mergeCell ref="L142:L146"/>
    <mergeCell ref="A147:A152"/>
    <mergeCell ref="B147:B152"/>
    <mergeCell ref="L147:L152"/>
    <mergeCell ref="A131:A134"/>
    <mergeCell ref="B131:B134"/>
    <mergeCell ref="L131:L134"/>
    <mergeCell ref="A136:A141"/>
    <mergeCell ref="B136:B141"/>
    <mergeCell ref="L136:L141"/>
    <mergeCell ref="A124:A125"/>
    <mergeCell ref="B124:B125"/>
    <mergeCell ref="A126:A127"/>
    <mergeCell ref="B126:B127"/>
    <mergeCell ref="L126:L127"/>
    <mergeCell ref="A128:A130"/>
    <mergeCell ref="B128:B130"/>
    <mergeCell ref="L124:L125"/>
    <mergeCell ref="A112:A116"/>
    <mergeCell ref="B112:B116"/>
    <mergeCell ref="L112:L116"/>
    <mergeCell ref="M112:M116"/>
    <mergeCell ref="A118:A123"/>
    <mergeCell ref="B118:B123"/>
    <mergeCell ref="L118:L123"/>
    <mergeCell ref="M118:M123"/>
    <mergeCell ref="M97:M101"/>
    <mergeCell ref="A102:A107"/>
    <mergeCell ref="B102:B107"/>
    <mergeCell ref="L102:L107"/>
    <mergeCell ref="A108:A111"/>
    <mergeCell ref="B108:B111"/>
    <mergeCell ref="L108:L111"/>
    <mergeCell ref="A91:A96"/>
    <mergeCell ref="B91:B96"/>
    <mergeCell ref="L91:L96"/>
    <mergeCell ref="A97:A101"/>
    <mergeCell ref="B97:B101"/>
    <mergeCell ref="L97:L101"/>
    <mergeCell ref="M78:M82"/>
    <mergeCell ref="A84:A86"/>
    <mergeCell ref="B84:B86"/>
    <mergeCell ref="L84:L86"/>
    <mergeCell ref="A87:A90"/>
    <mergeCell ref="B87:B90"/>
    <mergeCell ref="L87:L90"/>
    <mergeCell ref="A75:A77"/>
    <mergeCell ref="B75:B77"/>
    <mergeCell ref="L75:L77"/>
    <mergeCell ref="A78:A82"/>
    <mergeCell ref="B78:B82"/>
    <mergeCell ref="L78:L82"/>
    <mergeCell ref="A64:A68"/>
    <mergeCell ref="B64:B68"/>
    <mergeCell ref="L64:L68"/>
    <mergeCell ref="M65:M68"/>
    <mergeCell ref="A69:A74"/>
    <mergeCell ref="B69:B74"/>
    <mergeCell ref="L69:L74"/>
    <mergeCell ref="M69:M74"/>
    <mergeCell ref="A49:A55"/>
    <mergeCell ref="B49:B55"/>
    <mergeCell ref="L49:L55"/>
    <mergeCell ref="A56:A62"/>
    <mergeCell ref="B56:B62"/>
    <mergeCell ref="L56:L62"/>
    <mergeCell ref="A35:A41"/>
    <mergeCell ref="B35:B41"/>
    <mergeCell ref="A42:A48"/>
    <mergeCell ref="B42:B48"/>
    <mergeCell ref="L42:L48"/>
    <mergeCell ref="A18:A26"/>
    <mergeCell ref="B18:B26"/>
    <mergeCell ref="L18:L26"/>
    <mergeCell ref="L35:L41"/>
    <mergeCell ref="M18:M26"/>
    <mergeCell ref="A28:A34"/>
    <mergeCell ref="B28:B34"/>
    <mergeCell ref="L28:L34"/>
    <mergeCell ref="L8:L9"/>
    <mergeCell ref="M8:M9"/>
    <mergeCell ref="A10:B10"/>
    <mergeCell ref="A11:A17"/>
    <mergeCell ref="B11:B17"/>
    <mergeCell ref="L11:L17"/>
    <mergeCell ref="M11:M17"/>
    <mergeCell ref="C7:K7"/>
    <mergeCell ref="A8:A9"/>
    <mergeCell ref="B8:B9"/>
    <mergeCell ref="C8:D8"/>
    <mergeCell ref="E8:F8"/>
    <mergeCell ref="G8:H8"/>
    <mergeCell ref="I8:I9"/>
    <mergeCell ref="J8:K8"/>
    <mergeCell ref="C1:K1"/>
    <mergeCell ref="C2:K2"/>
    <mergeCell ref="A5:B5"/>
    <mergeCell ref="C5:K5"/>
    <mergeCell ref="C6:K6"/>
    <mergeCell ref="A3:L3"/>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26.pielikums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47"/>
  <sheetViews>
    <sheetView view="pageLayout" zoomScaleNormal="100" workbookViewId="0">
      <selection activeCell="M1" sqref="M1"/>
    </sheetView>
  </sheetViews>
  <sheetFormatPr defaultColWidth="9.140625" defaultRowHeight="12" x14ac:dyDescent="0.2"/>
  <cols>
    <col min="1" max="1" width="4.85546875" style="244" customWidth="1"/>
    <col min="2" max="2" width="28.28515625" style="244" customWidth="1"/>
    <col min="3" max="3" width="10.42578125" style="244" customWidth="1"/>
    <col min="4" max="4" width="10.7109375" style="244" hidden="1" customWidth="1"/>
    <col min="5" max="5" width="9.5703125" style="244" hidden="1" customWidth="1"/>
    <col min="6" max="6" width="10.7109375" style="244" hidden="1" customWidth="1"/>
    <col min="7" max="7" width="9.5703125" style="244" hidden="1" customWidth="1"/>
    <col min="8" max="8" width="10.7109375" style="244" hidden="1" customWidth="1"/>
    <col min="9" max="9" width="9.5703125" style="244" hidden="1" customWidth="1"/>
    <col min="10" max="10" width="11.140625" style="244" customWidth="1"/>
    <col min="11" max="11" width="10.7109375" style="244" bestFit="1" customWidth="1"/>
    <col min="12" max="12" width="9.5703125" style="244" bestFit="1" customWidth="1"/>
    <col min="13" max="13" width="22.85546875" style="263" customWidth="1"/>
    <col min="14" max="14" width="17" style="244" hidden="1" customWidth="1"/>
    <col min="15" max="16384" width="9.140625" style="244"/>
  </cols>
  <sheetData>
    <row r="1" spans="1:16" ht="12.75" customHeight="1" x14ac:dyDescent="0.2">
      <c r="A1" s="1045" t="s">
        <v>117</v>
      </c>
      <c r="B1" s="432"/>
      <c r="C1" s="1538" t="s">
        <v>2722</v>
      </c>
      <c r="D1" s="1538"/>
      <c r="E1" s="1538"/>
      <c r="F1" s="1538"/>
      <c r="G1" s="1538"/>
      <c r="H1" s="1538"/>
      <c r="I1" s="1538"/>
      <c r="J1" s="1538"/>
      <c r="K1" s="1538"/>
      <c r="L1" s="1538"/>
      <c r="M1" s="1640"/>
      <c r="N1" s="1048"/>
    </row>
    <row r="2" spans="1:16" ht="12.75" customHeight="1" x14ac:dyDescent="0.2">
      <c r="A2" s="367" t="s">
        <v>515</v>
      </c>
      <c r="B2" s="551"/>
      <c r="C2" s="1520">
        <v>90000056408</v>
      </c>
      <c r="D2" s="1520"/>
      <c r="E2" s="1520"/>
      <c r="F2" s="1520"/>
      <c r="G2" s="1520"/>
      <c r="H2" s="1520"/>
      <c r="I2" s="1520"/>
      <c r="J2" s="1520"/>
      <c r="K2" s="1520"/>
      <c r="L2" s="1520"/>
      <c r="M2" s="405"/>
      <c r="N2" s="386"/>
    </row>
    <row r="3" spans="1:16" ht="15.75" x14ac:dyDescent="0.25">
      <c r="A3" s="1945" t="s">
        <v>516</v>
      </c>
      <c r="B3" s="1945"/>
      <c r="C3" s="1945"/>
      <c r="D3" s="1945"/>
      <c r="E3" s="1945"/>
      <c r="F3" s="1945"/>
      <c r="G3" s="1945"/>
      <c r="H3" s="1945"/>
      <c r="I3" s="1945"/>
      <c r="J3" s="1945"/>
      <c r="K3" s="1945"/>
      <c r="L3" s="1945"/>
      <c r="M3" s="1596"/>
      <c r="N3" s="1044"/>
      <c r="O3" s="444"/>
      <c r="P3" s="444"/>
    </row>
    <row r="4" spans="1:16" ht="15.75" x14ac:dyDescent="0.25">
      <c r="A4" s="1044"/>
      <c r="B4" s="1044"/>
      <c r="C4" s="1521"/>
      <c r="D4" s="1044"/>
      <c r="E4" s="1044"/>
      <c r="F4" s="1044"/>
      <c r="G4" s="1044"/>
      <c r="H4" s="1044"/>
      <c r="I4" s="1044"/>
      <c r="J4" s="1044"/>
      <c r="K4" s="1044"/>
      <c r="L4" s="1044"/>
      <c r="M4" s="1596"/>
      <c r="N4" s="1044"/>
      <c r="O4" s="444"/>
      <c r="P4" s="444"/>
    </row>
    <row r="5" spans="1:16" ht="12.75" customHeight="1" x14ac:dyDescent="0.25">
      <c r="A5" s="1946" t="s">
        <v>121</v>
      </c>
      <c r="B5" s="1946"/>
      <c r="C5" s="1552" t="s">
        <v>2723</v>
      </c>
      <c r="D5" s="1552"/>
      <c r="E5" s="1552"/>
      <c r="F5" s="1552"/>
      <c r="G5" s="1552"/>
      <c r="H5" s="1552"/>
      <c r="I5" s="1552"/>
      <c r="J5" s="1552"/>
      <c r="K5" s="1552"/>
      <c r="L5" s="1552"/>
      <c r="M5" s="609"/>
      <c r="N5" s="1048"/>
    </row>
    <row r="6" spans="1:16" ht="12.75" customHeight="1" x14ac:dyDescent="0.2">
      <c r="A6" s="367" t="s">
        <v>123</v>
      </c>
      <c r="B6" s="367"/>
      <c r="C6" s="678" t="s">
        <v>2500</v>
      </c>
      <c r="D6" s="678"/>
      <c r="E6" s="678"/>
      <c r="F6" s="678"/>
      <c r="G6" s="678"/>
      <c r="H6" s="678"/>
      <c r="I6" s="678"/>
      <c r="J6" s="678"/>
      <c r="K6" s="678"/>
      <c r="L6" s="678"/>
      <c r="M6" s="609"/>
      <c r="N6" s="1048"/>
    </row>
    <row r="7" spans="1:16" ht="12.75" customHeight="1" x14ac:dyDescent="0.2">
      <c r="A7" s="558" t="s">
        <v>125</v>
      </c>
      <c r="B7" s="558"/>
      <c r="C7" s="649" t="s">
        <v>1854</v>
      </c>
      <c r="D7" s="649"/>
      <c r="E7" s="649"/>
      <c r="F7" s="649"/>
      <c r="G7" s="649"/>
      <c r="H7" s="649"/>
      <c r="I7" s="649"/>
      <c r="J7" s="649"/>
      <c r="K7" s="649"/>
      <c r="L7" s="649"/>
      <c r="M7" s="1638"/>
      <c r="N7" s="572"/>
    </row>
    <row r="8" spans="1:16" ht="27.75" customHeight="1" x14ac:dyDescent="0.2">
      <c r="A8" s="1864" t="s">
        <v>1</v>
      </c>
      <c r="B8" s="1870" t="s">
        <v>127</v>
      </c>
      <c r="C8" s="1994"/>
      <c r="D8" s="1864" t="s">
        <v>520</v>
      </c>
      <c r="E8" s="1864"/>
      <c r="F8" s="1864" t="s">
        <v>521</v>
      </c>
      <c r="G8" s="1864"/>
      <c r="H8" s="1864" t="s">
        <v>522</v>
      </c>
      <c r="I8" s="1864"/>
      <c r="J8" s="1864" t="s">
        <v>129</v>
      </c>
      <c r="K8" s="1864" t="s">
        <v>3357</v>
      </c>
      <c r="L8" s="1864"/>
      <c r="M8" s="1864" t="s">
        <v>11</v>
      </c>
      <c r="N8" s="1864" t="s">
        <v>131</v>
      </c>
    </row>
    <row r="9" spans="1:16" ht="24" x14ac:dyDescent="0.2">
      <c r="A9" s="1864"/>
      <c r="B9" s="1871"/>
      <c r="C9" s="1995"/>
      <c r="D9" s="1050" t="s">
        <v>524</v>
      </c>
      <c r="E9" s="1050" t="s">
        <v>525</v>
      </c>
      <c r="F9" s="1050" t="s">
        <v>524</v>
      </c>
      <c r="G9" s="1050" t="s">
        <v>525</v>
      </c>
      <c r="H9" s="1050" t="s">
        <v>524</v>
      </c>
      <c r="I9" s="1050" t="s">
        <v>525</v>
      </c>
      <c r="J9" s="1864"/>
      <c r="K9" s="1050" t="s">
        <v>524</v>
      </c>
      <c r="L9" s="1050" t="s">
        <v>525</v>
      </c>
      <c r="M9" s="1864"/>
      <c r="N9" s="1864"/>
    </row>
    <row r="10" spans="1:16" ht="12" customHeight="1" x14ac:dyDescent="0.2">
      <c r="A10" s="1807" t="s">
        <v>526</v>
      </c>
      <c r="B10" s="1808"/>
      <c r="C10" s="1809"/>
      <c r="D10" s="253">
        <f>D11+D17+D23+D28+D34</f>
        <v>8896</v>
      </c>
      <c r="E10" s="253">
        <f t="shared" ref="E10:G10" si="0">E11+E17+E23+E28+E34</f>
        <v>1255</v>
      </c>
      <c r="F10" s="253">
        <f t="shared" si="0"/>
        <v>8896</v>
      </c>
      <c r="G10" s="253">
        <f t="shared" si="0"/>
        <v>1255</v>
      </c>
      <c r="H10" s="253">
        <f>H11+H17+H23+H28+H41</f>
        <v>8896</v>
      </c>
      <c r="I10" s="253">
        <f>I28</f>
        <v>1270</v>
      </c>
      <c r="J10" s="1143"/>
      <c r="K10" s="253">
        <f>K11+K17+K23+K28+K41+K34</f>
        <v>7929</v>
      </c>
      <c r="L10" s="253">
        <f>L11+L17+L23+L28+L41+L34</f>
        <v>2137</v>
      </c>
      <c r="M10" s="450"/>
      <c r="N10" s="253"/>
    </row>
    <row r="11" spans="1:16" ht="16.5" customHeight="1" x14ac:dyDescent="0.2">
      <c r="A11" s="1795" t="s">
        <v>1122</v>
      </c>
      <c r="B11" s="1799" t="s">
        <v>2724</v>
      </c>
      <c r="C11" s="1800"/>
      <c r="D11" s="624">
        <f>SUM(D12:D16)</f>
        <v>2108</v>
      </c>
      <c r="E11" s="624">
        <f t="shared" ref="E11:I11" si="1">E12+E13+E14+E15+E16</f>
        <v>0</v>
      </c>
      <c r="F11" s="624">
        <f t="shared" si="1"/>
        <v>2108</v>
      </c>
      <c r="G11" s="624">
        <f t="shared" si="1"/>
        <v>0</v>
      </c>
      <c r="H11" s="624">
        <f t="shared" si="1"/>
        <v>2040</v>
      </c>
      <c r="I11" s="624">
        <f t="shared" si="1"/>
        <v>0</v>
      </c>
      <c r="J11" s="254"/>
      <c r="K11" s="624">
        <f>SUM(K12:K16)</f>
        <v>2040</v>
      </c>
      <c r="L11" s="1144"/>
      <c r="M11" s="1554"/>
      <c r="N11" s="1145"/>
    </row>
    <row r="12" spans="1:16" ht="16.5" customHeight="1" x14ac:dyDescent="0.2">
      <c r="A12" s="1863"/>
      <c r="B12" s="1889"/>
      <c r="C12" s="1890"/>
      <c r="D12" s="541">
        <v>620</v>
      </c>
      <c r="E12" s="541"/>
      <c r="F12" s="541">
        <v>620</v>
      </c>
      <c r="G12" s="541"/>
      <c r="H12" s="541">
        <v>800</v>
      </c>
      <c r="I12" s="541"/>
      <c r="J12" s="625">
        <v>1150</v>
      </c>
      <c r="K12" s="541">
        <v>800</v>
      </c>
      <c r="L12" s="1144"/>
      <c r="M12" s="1969" t="s">
        <v>2725</v>
      </c>
      <c r="N12" s="541" t="s">
        <v>2726</v>
      </c>
    </row>
    <row r="13" spans="1:16" ht="16.5" customHeight="1" x14ac:dyDescent="0.2">
      <c r="A13" s="1863"/>
      <c r="B13" s="1889"/>
      <c r="C13" s="1890"/>
      <c r="D13" s="541">
        <v>31</v>
      </c>
      <c r="E13" s="541"/>
      <c r="F13" s="541">
        <v>31</v>
      </c>
      <c r="G13" s="541"/>
      <c r="H13" s="541">
        <v>40</v>
      </c>
      <c r="I13" s="541"/>
      <c r="J13" s="625">
        <v>1210</v>
      </c>
      <c r="K13" s="541">
        <v>40</v>
      </c>
      <c r="L13" s="1144"/>
      <c r="M13" s="1969"/>
      <c r="N13" s="1146" t="s">
        <v>2727</v>
      </c>
    </row>
    <row r="14" spans="1:16" ht="16.5" customHeight="1" x14ac:dyDescent="0.2">
      <c r="A14" s="1863"/>
      <c r="B14" s="1889"/>
      <c r="C14" s="1890"/>
      <c r="D14" s="541">
        <v>200</v>
      </c>
      <c r="E14" s="541"/>
      <c r="F14" s="541">
        <v>200</v>
      </c>
      <c r="G14" s="541"/>
      <c r="H14" s="541">
        <v>250</v>
      </c>
      <c r="I14" s="541"/>
      <c r="J14" s="625">
        <v>2231</v>
      </c>
      <c r="K14" s="541">
        <v>250</v>
      </c>
      <c r="L14" s="1144"/>
      <c r="M14" s="1969"/>
      <c r="N14" s="541" t="s">
        <v>2728</v>
      </c>
    </row>
    <row r="15" spans="1:16" ht="16.5" customHeight="1" x14ac:dyDescent="0.2">
      <c r="A15" s="1863"/>
      <c r="B15" s="1889"/>
      <c r="C15" s="1890"/>
      <c r="D15" s="541">
        <v>1207</v>
      </c>
      <c r="E15" s="541"/>
      <c r="F15" s="541">
        <v>1207</v>
      </c>
      <c r="G15" s="541"/>
      <c r="H15" s="541">
        <v>900</v>
      </c>
      <c r="I15" s="541"/>
      <c r="J15" s="625">
        <v>2314</v>
      </c>
      <c r="K15" s="541">
        <v>900</v>
      </c>
      <c r="L15" s="1144"/>
      <c r="M15" s="1969"/>
      <c r="N15" s="541" t="s">
        <v>2729</v>
      </c>
    </row>
    <row r="16" spans="1:16" ht="16.5" customHeight="1" x14ac:dyDescent="0.2">
      <c r="A16" s="1796"/>
      <c r="B16" s="1801"/>
      <c r="C16" s="1802"/>
      <c r="D16" s="541">
        <v>50</v>
      </c>
      <c r="E16" s="541"/>
      <c r="F16" s="541">
        <v>50</v>
      </c>
      <c r="G16" s="541"/>
      <c r="H16" s="541">
        <v>50</v>
      </c>
      <c r="I16" s="541"/>
      <c r="J16" s="625">
        <v>2352</v>
      </c>
      <c r="K16" s="541">
        <v>50</v>
      </c>
      <c r="L16" s="1144"/>
      <c r="M16" s="1969"/>
      <c r="N16" s="541" t="s">
        <v>2730</v>
      </c>
    </row>
    <row r="17" spans="1:14" ht="15.75" customHeight="1" x14ac:dyDescent="0.2">
      <c r="A17" s="1795" t="s">
        <v>1129</v>
      </c>
      <c r="B17" s="1799" t="s">
        <v>2731</v>
      </c>
      <c r="C17" s="1800"/>
      <c r="D17" s="624">
        <f>SUM(D18:D22)</f>
        <v>2468</v>
      </c>
      <c r="E17" s="624">
        <f t="shared" ref="E17:I17" si="2">SUM(E18:E22)</f>
        <v>0</v>
      </c>
      <c r="F17" s="624">
        <f t="shared" si="2"/>
        <v>2468</v>
      </c>
      <c r="G17" s="624">
        <f t="shared" si="2"/>
        <v>0</v>
      </c>
      <c r="H17" s="624">
        <f t="shared" si="2"/>
        <v>2540</v>
      </c>
      <c r="I17" s="624">
        <f t="shared" si="2"/>
        <v>0</v>
      </c>
      <c r="J17" s="254"/>
      <c r="K17" s="624">
        <f>SUM(K18:K22)</f>
        <v>2540</v>
      </c>
      <c r="L17" s="1144"/>
      <c r="M17" s="1554"/>
      <c r="N17" s="1145"/>
    </row>
    <row r="18" spans="1:14" ht="15.75" customHeight="1" x14ac:dyDescent="0.2">
      <c r="A18" s="1863"/>
      <c r="B18" s="1889"/>
      <c r="C18" s="1890"/>
      <c r="D18" s="541">
        <v>1712</v>
      </c>
      <c r="E18" s="541"/>
      <c r="F18" s="541">
        <v>1712</v>
      </c>
      <c r="G18" s="541"/>
      <c r="H18" s="541">
        <v>1800</v>
      </c>
      <c r="I18" s="541"/>
      <c r="J18" s="625">
        <v>1150</v>
      </c>
      <c r="K18" s="541">
        <v>1800</v>
      </c>
      <c r="L18" s="1144"/>
      <c r="M18" s="1969" t="s">
        <v>2732</v>
      </c>
      <c r="N18" s="541" t="s">
        <v>2733</v>
      </c>
    </row>
    <row r="19" spans="1:14" ht="15.75" customHeight="1" x14ac:dyDescent="0.2">
      <c r="A19" s="1863"/>
      <c r="B19" s="1889"/>
      <c r="C19" s="1890"/>
      <c r="D19" s="541">
        <v>86</v>
      </c>
      <c r="E19" s="541"/>
      <c r="F19" s="541">
        <v>86</v>
      </c>
      <c r="G19" s="541"/>
      <c r="H19" s="541">
        <v>90</v>
      </c>
      <c r="I19" s="541"/>
      <c r="J19" s="625">
        <v>1210</v>
      </c>
      <c r="K19" s="541">
        <v>90</v>
      </c>
      <c r="L19" s="1144"/>
      <c r="M19" s="1969"/>
      <c r="N19" s="1146" t="s">
        <v>2727</v>
      </c>
    </row>
    <row r="20" spans="1:14" ht="15.75" customHeight="1" x14ac:dyDescent="0.2">
      <c r="A20" s="1863"/>
      <c r="B20" s="1889"/>
      <c r="C20" s="1890"/>
      <c r="D20" s="541">
        <v>500</v>
      </c>
      <c r="E20" s="541"/>
      <c r="F20" s="541">
        <v>500</v>
      </c>
      <c r="G20" s="541"/>
      <c r="H20" s="541">
        <v>500</v>
      </c>
      <c r="I20" s="541"/>
      <c r="J20" s="625">
        <v>2231</v>
      </c>
      <c r="K20" s="541">
        <v>500</v>
      </c>
      <c r="L20" s="1144"/>
      <c r="M20" s="1969"/>
      <c r="N20" s="541" t="s">
        <v>2734</v>
      </c>
    </row>
    <row r="21" spans="1:14" ht="15.75" customHeight="1" x14ac:dyDescent="0.2">
      <c r="A21" s="1863"/>
      <c r="B21" s="1889"/>
      <c r="C21" s="1890"/>
      <c r="D21" s="541">
        <v>120</v>
      </c>
      <c r="E21" s="541"/>
      <c r="F21" s="541">
        <v>120</v>
      </c>
      <c r="G21" s="541"/>
      <c r="H21" s="541">
        <v>100</v>
      </c>
      <c r="I21" s="541"/>
      <c r="J21" s="625">
        <v>2314</v>
      </c>
      <c r="K21" s="541">
        <v>100</v>
      </c>
      <c r="L21" s="1144"/>
      <c r="M21" s="1969"/>
      <c r="N21" s="254" t="s">
        <v>2735</v>
      </c>
    </row>
    <row r="22" spans="1:14" ht="15.75" customHeight="1" x14ac:dyDescent="0.2">
      <c r="A22" s="1796"/>
      <c r="B22" s="1801"/>
      <c r="C22" s="1802"/>
      <c r="D22" s="541">
        <v>50</v>
      </c>
      <c r="E22" s="541"/>
      <c r="F22" s="541">
        <v>50</v>
      </c>
      <c r="G22" s="541"/>
      <c r="H22" s="541">
        <v>50</v>
      </c>
      <c r="I22" s="541"/>
      <c r="J22" s="625">
        <v>2352</v>
      </c>
      <c r="K22" s="541">
        <v>50</v>
      </c>
      <c r="L22" s="1144"/>
      <c r="M22" s="1969"/>
      <c r="N22" s="1144" t="s">
        <v>2730</v>
      </c>
    </row>
    <row r="23" spans="1:14" ht="16.5" customHeight="1" x14ac:dyDescent="0.2">
      <c r="A23" s="1795" t="s">
        <v>1131</v>
      </c>
      <c r="B23" s="1799" t="s">
        <v>2736</v>
      </c>
      <c r="C23" s="1800"/>
      <c r="D23" s="624">
        <f>SUM(D24:D27)</f>
        <v>1132</v>
      </c>
      <c r="E23" s="624">
        <f t="shared" ref="E23:I23" si="3">SUM(E24:E27)</f>
        <v>0</v>
      </c>
      <c r="F23" s="624">
        <f t="shared" si="3"/>
        <v>1132</v>
      </c>
      <c r="G23" s="624">
        <f t="shared" si="3"/>
        <v>0</v>
      </c>
      <c r="H23" s="624">
        <f>SUM(H24:H27)</f>
        <v>1450</v>
      </c>
      <c r="I23" s="624">
        <f t="shared" si="3"/>
        <v>0</v>
      </c>
      <c r="J23" s="254"/>
      <c r="K23" s="624">
        <f t="shared" ref="K23:L23" si="4">SUM(K24:K27)</f>
        <v>1350</v>
      </c>
      <c r="L23" s="1144">
        <f t="shared" si="4"/>
        <v>0</v>
      </c>
      <c r="M23" s="1554"/>
      <c r="N23" s="1147"/>
    </row>
    <row r="24" spans="1:14" s="367" customFormat="1" ht="16.5" customHeight="1" x14ac:dyDescent="0.2">
      <c r="A24" s="1863"/>
      <c r="B24" s="1889"/>
      <c r="C24" s="1890"/>
      <c r="D24" s="541">
        <v>792</v>
      </c>
      <c r="E24" s="541"/>
      <c r="F24" s="541">
        <v>792</v>
      </c>
      <c r="G24" s="541"/>
      <c r="H24" s="541">
        <v>1000</v>
      </c>
      <c r="I24" s="541"/>
      <c r="J24" s="625">
        <v>1150</v>
      </c>
      <c r="K24" s="541">
        <v>1000</v>
      </c>
      <c r="L24" s="1144"/>
      <c r="M24" s="1969" t="s">
        <v>2725</v>
      </c>
      <c r="N24" s="541" t="s">
        <v>2737</v>
      </c>
    </row>
    <row r="25" spans="1:14" s="367" customFormat="1" ht="16.5" customHeight="1" x14ac:dyDescent="0.2">
      <c r="A25" s="1863"/>
      <c r="B25" s="1889"/>
      <c r="C25" s="1890"/>
      <c r="D25" s="541">
        <v>40</v>
      </c>
      <c r="E25" s="541"/>
      <c r="F25" s="541">
        <v>40</v>
      </c>
      <c r="G25" s="541"/>
      <c r="H25" s="541">
        <v>50</v>
      </c>
      <c r="I25" s="541"/>
      <c r="J25" s="625">
        <v>1210</v>
      </c>
      <c r="K25" s="541">
        <v>50</v>
      </c>
      <c r="L25" s="1144"/>
      <c r="M25" s="1969"/>
      <c r="N25" s="1146" t="s">
        <v>2727</v>
      </c>
    </row>
    <row r="26" spans="1:14" s="367" customFormat="1" ht="16.5" customHeight="1" x14ac:dyDescent="0.2">
      <c r="A26" s="1863"/>
      <c r="B26" s="1889"/>
      <c r="C26" s="1890"/>
      <c r="D26" s="541">
        <v>200</v>
      </c>
      <c r="E26" s="541"/>
      <c r="F26" s="541">
        <v>200</v>
      </c>
      <c r="G26" s="541"/>
      <c r="H26" s="541">
        <v>250</v>
      </c>
      <c r="I26" s="541"/>
      <c r="J26" s="625">
        <v>2231</v>
      </c>
      <c r="K26" s="541">
        <v>200</v>
      </c>
      <c r="L26" s="1144"/>
      <c r="M26" s="1969"/>
      <c r="N26" s="541" t="s">
        <v>2738</v>
      </c>
    </row>
    <row r="27" spans="1:14" s="367" customFormat="1" ht="16.5" customHeight="1" x14ac:dyDescent="0.2">
      <c r="A27" s="1796"/>
      <c r="B27" s="1801"/>
      <c r="C27" s="1802"/>
      <c r="D27" s="1144">
        <v>100</v>
      </c>
      <c r="E27" s="1144"/>
      <c r="F27" s="1144">
        <v>100</v>
      </c>
      <c r="G27" s="1144"/>
      <c r="H27" s="541">
        <v>150</v>
      </c>
      <c r="I27" s="1144"/>
      <c r="J27" s="625">
        <v>2314</v>
      </c>
      <c r="K27" s="541">
        <v>100</v>
      </c>
      <c r="L27" s="1144"/>
      <c r="M27" s="1969"/>
      <c r="N27" s="254" t="s">
        <v>2739</v>
      </c>
    </row>
    <row r="28" spans="1:14" s="367" customFormat="1" ht="15.75" customHeight="1" x14ac:dyDescent="0.2">
      <c r="A28" s="1885" t="s">
        <v>1137</v>
      </c>
      <c r="B28" s="1799" t="s">
        <v>2740</v>
      </c>
      <c r="C28" s="1800"/>
      <c r="D28" s="1148">
        <f>SUM(D29:D33)</f>
        <v>1390</v>
      </c>
      <c r="E28" s="1148">
        <f t="shared" ref="E28:I28" si="5">SUM(E29:E33)</f>
        <v>1255</v>
      </c>
      <c r="F28" s="1148">
        <f t="shared" si="5"/>
        <v>1390</v>
      </c>
      <c r="G28" s="1148">
        <f t="shared" si="5"/>
        <v>1255</v>
      </c>
      <c r="H28" s="1148">
        <f>SUM(H29:H33)</f>
        <v>2080</v>
      </c>
      <c r="I28" s="1148">
        <f t="shared" si="5"/>
        <v>1270</v>
      </c>
      <c r="J28" s="1149"/>
      <c r="K28" s="624">
        <f>SUM(K29:K33)</f>
        <v>1213</v>
      </c>
      <c r="L28" s="1148">
        <f t="shared" ref="L28" si="6">SUM(L29:L33)</f>
        <v>2137</v>
      </c>
      <c r="M28" s="1554"/>
      <c r="N28" s="541" t="s">
        <v>2741</v>
      </c>
    </row>
    <row r="29" spans="1:14" s="367" customFormat="1" ht="15.75" customHeight="1" x14ac:dyDescent="0.2">
      <c r="A29" s="1888"/>
      <c r="B29" s="1889"/>
      <c r="C29" s="1890"/>
      <c r="D29" s="541">
        <v>1133</v>
      </c>
      <c r="E29" s="541">
        <v>1133</v>
      </c>
      <c r="F29" s="541">
        <v>1133</v>
      </c>
      <c r="G29" s="541">
        <v>1133</v>
      </c>
      <c r="H29" s="1150">
        <v>1600</v>
      </c>
      <c r="I29" s="541">
        <v>1133</v>
      </c>
      <c r="J29" s="625">
        <v>1150</v>
      </c>
      <c r="K29" s="541">
        <v>1133</v>
      </c>
      <c r="L29" s="1144">
        <v>1600</v>
      </c>
      <c r="M29" s="1969" t="s">
        <v>2742</v>
      </c>
      <c r="N29" s="541" t="s">
        <v>2743</v>
      </c>
    </row>
    <row r="30" spans="1:14" s="367" customFormat="1" ht="15.75" customHeight="1" x14ac:dyDescent="0.2">
      <c r="A30" s="1888"/>
      <c r="B30" s="1889"/>
      <c r="C30" s="1890"/>
      <c r="D30" s="272">
        <v>57</v>
      </c>
      <c r="E30" s="272">
        <v>57</v>
      </c>
      <c r="F30" s="272">
        <v>57</v>
      </c>
      <c r="G30" s="272">
        <v>57</v>
      </c>
      <c r="H30" s="741">
        <v>80</v>
      </c>
      <c r="I30" s="741">
        <v>57</v>
      </c>
      <c r="J30" s="625">
        <v>1210</v>
      </c>
      <c r="K30" s="541"/>
      <c r="L30" s="741">
        <v>137</v>
      </c>
      <c r="M30" s="1969"/>
      <c r="N30" s="1146" t="s">
        <v>2727</v>
      </c>
    </row>
    <row r="31" spans="1:14" s="367" customFormat="1" ht="15.75" customHeight="1" x14ac:dyDescent="0.2">
      <c r="A31" s="1888"/>
      <c r="B31" s="1889"/>
      <c r="C31" s="1890"/>
      <c r="D31" s="541">
        <v>44</v>
      </c>
      <c r="E31" s="541"/>
      <c r="F31" s="541">
        <v>44</v>
      </c>
      <c r="G31" s="541"/>
      <c r="H31" s="541">
        <v>192</v>
      </c>
      <c r="I31" s="541"/>
      <c r="J31" s="625">
        <v>2239</v>
      </c>
      <c r="K31" s="541"/>
      <c r="L31" s="1144">
        <v>192</v>
      </c>
      <c r="M31" s="1969"/>
      <c r="N31" s="541" t="s">
        <v>2744</v>
      </c>
    </row>
    <row r="32" spans="1:14" s="367" customFormat="1" ht="15.75" customHeight="1" x14ac:dyDescent="0.2">
      <c r="A32" s="1888"/>
      <c r="B32" s="1889"/>
      <c r="C32" s="1890"/>
      <c r="D32" s="541">
        <v>86</v>
      </c>
      <c r="E32" s="541"/>
      <c r="F32" s="541">
        <v>86</v>
      </c>
      <c r="G32" s="541"/>
      <c r="H32" s="541">
        <v>108</v>
      </c>
      <c r="I32" s="541"/>
      <c r="J32" s="625">
        <v>2314</v>
      </c>
      <c r="K32" s="541"/>
      <c r="L32" s="1144">
        <v>108</v>
      </c>
      <c r="M32" s="1969"/>
      <c r="N32" s="617" t="s">
        <v>2745</v>
      </c>
    </row>
    <row r="33" spans="1:14" s="367" customFormat="1" ht="15.75" customHeight="1" x14ac:dyDescent="0.2">
      <c r="A33" s="1886"/>
      <c r="B33" s="1801"/>
      <c r="C33" s="1802"/>
      <c r="D33" s="541">
        <v>70</v>
      </c>
      <c r="E33" s="541">
        <v>65</v>
      </c>
      <c r="F33" s="541">
        <v>70</v>
      </c>
      <c r="G33" s="541">
        <v>65</v>
      </c>
      <c r="H33" s="541">
        <v>100</v>
      </c>
      <c r="I33" s="541">
        <v>80</v>
      </c>
      <c r="J33" s="625">
        <v>2352</v>
      </c>
      <c r="K33" s="541">
        <v>80</v>
      </c>
      <c r="L33" s="541">
        <v>100</v>
      </c>
      <c r="M33" s="1969"/>
      <c r="N33" s="617" t="s">
        <v>2746</v>
      </c>
    </row>
    <row r="34" spans="1:14" s="367" customFormat="1" ht="18" hidden="1" customHeight="1" x14ac:dyDescent="0.2">
      <c r="A34" s="1795" t="s">
        <v>1141</v>
      </c>
      <c r="B34" s="1799" t="s">
        <v>2747</v>
      </c>
      <c r="C34" s="1800"/>
      <c r="D34" s="404">
        <f>SUM(D35:D40)</f>
        <v>1798</v>
      </c>
      <c r="E34" s="404">
        <f>SUM(E41:E45)</f>
        <v>0</v>
      </c>
      <c r="F34" s="404">
        <f>SUM(F35:F40)</f>
        <v>1798</v>
      </c>
      <c r="G34" s="404">
        <f>SUM(G41:G45)</f>
        <v>0</v>
      </c>
      <c r="H34" s="404">
        <f>SUM(H40:H40)</f>
        <v>0</v>
      </c>
      <c r="I34" s="404">
        <f>SUM(I41:I45)</f>
        <v>0</v>
      </c>
      <c r="J34" s="601"/>
      <c r="K34" s="404">
        <f>SUM(K35:K40)</f>
        <v>0</v>
      </c>
      <c r="L34" s="1144"/>
      <c r="M34" s="1526"/>
      <c r="N34" s="1151" t="s">
        <v>2748</v>
      </c>
    </row>
    <row r="35" spans="1:14" s="367" customFormat="1" ht="18" hidden="1" customHeight="1" x14ac:dyDescent="0.2">
      <c r="A35" s="1863"/>
      <c r="B35" s="1889"/>
      <c r="C35" s="1890"/>
      <c r="D35" s="541">
        <v>1060</v>
      </c>
      <c r="E35" s="404"/>
      <c r="F35" s="541">
        <v>1060</v>
      </c>
      <c r="G35" s="404"/>
      <c r="H35" s="404"/>
      <c r="I35" s="404"/>
      <c r="J35" s="625">
        <v>1150</v>
      </c>
      <c r="K35" s="541">
        <v>0</v>
      </c>
      <c r="L35" s="1144"/>
      <c r="M35" s="1969" t="s">
        <v>2749</v>
      </c>
      <c r="N35" s="617" t="s">
        <v>2750</v>
      </c>
    </row>
    <row r="36" spans="1:14" s="367" customFormat="1" ht="18" hidden="1" customHeight="1" x14ac:dyDescent="0.2">
      <c r="A36" s="1863"/>
      <c r="B36" s="1889"/>
      <c r="C36" s="1890"/>
      <c r="D36" s="272">
        <v>53</v>
      </c>
      <c r="E36" s="404"/>
      <c r="F36" s="272">
        <v>53</v>
      </c>
      <c r="G36" s="404"/>
      <c r="H36" s="404"/>
      <c r="I36" s="404"/>
      <c r="J36" s="625">
        <v>1210</v>
      </c>
      <c r="K36" s="541">
        <v>0</v>
      </c>
      <c r="L36" s="1144"/>
      <c r="M36" s="1969"/>
      <c r="N36" s="1146" t="s">
        <v>2727</v>
      </c>
    </row>
    <row r="37" spans="1:14" s="367" customFormat="1" ht="18" hidden="1" customHeight="1" x14ac:dyDescent="0.2">
      <c r="A37" s="1863"/>
      <c r="B37" s="1889"/>
      <c r="C37" s="1890"/>
      <c r="D37" s="741">
        <v>200</v>
      </c>
      <c r="E37" s="404"/>
      <c r="F37" s="741">
        <v>200</v>
      </c>
      <c r="G37" s="404"/>
      <c r="H37" s="404"/>
      <c r="I37" s="404"/>
      <c r="J37" s="625">
        <v>2231</v>
      </c>
      <c r="K37" s="541">
        <v>0</v>
      </c>
      <c r="L37" s="1144"/>
      <c r="M37" s="1969"/>
      <c r="N37" s="541" t="s">
        <v>2738</v>
      </c>
    </row>
    <row r="38" spans="1:14" s="367" customFormat="1" ht="18" hidden="1" customHeight="1" x14ac:dyDescent="0.2">
      <c r="A38" s="1863"/>
      <c r="B38" s="1889"/>
      <c r="C38" s="1890"/>
      <c r="D38" s="741">
        <v>45</v>
      </c>
      <c r="E38" s="404"/>
      <c r="F38" s="741">
        <v>45</v>
      </c>
      <c r="G38" s="404"/>
      <c r="H38" s="404"/>
      <c r="I38" s="404"/>
      <c r="J38" s="625">
        <v>2231</v>
      </c>
      <c r="K38" s="541">
        <v>0</v>
      </c>
      <c r="L38" s="1144"/>
      <c r="M38" s="1969"/>
      <c r="N38" s="617" t="s">
        <v>2751</v>
      </c>
    </row>
    <row r="39" spans="1:14" s="367" customFormat="1" ht="18" hidden="1" customHeight="1" x14ac:dyDescent="0.2">
      <c r="A39" s="1863"/>
      <c r="B39" s="1889"/>
      <c r="C39" s="1890"/>
      <c r="D39" s="741">
        <v>300</v>
      </c>
      <c r="E39" s="404"/>
      <c r="F39" s="741">
        <v>300</v>
      </c>
      <c r="G39" s="404"/>
      <c r="H39" s="404"/>
      <c r="I39" s="404"/>
      <c r="J39" s="625">
        <v>2314</v>
      </c>
      <c r="K39" s="541">
        <v>0</v>
      </c>
      <c r="L39" s="1144"/>
      <c r="M39" s="1969"/>
      <c r="N39" s="617" t="s">
        <v>2752</v>
      </c>
    </row>
    <row r="40" spans="1:14" s="367" customFormat="1" ht="18" hidden="1" customHeight="1" x14ac:dyDescent="0.2">
      <c r="A40" s="1796"/>
      <c r="B40" s="1801"/>
      <c r="C40" s="1802"/>
      <c r="D40" s="741">
        <v>140</v>
      </c>
      <c r="E40" s="404"/>
      <c r="F40" s="741">
        <v>140</v>
      </c>
      <c r="G40" s="404"/>
      <c r="H40" s="404"/>
      <c r="I40" s="404"/>
      <c r="J40" s="625">
        <v>2352</v>
      </c>
      <c r="K40" s="541">
        <v>0</v>
      </c>
      <c r="L40" s="1144"/>
      <c r="M40" s="1969"/>
      <c r="N40" s="1047" t="s">
        <v>2753</v>
      </c>
    </row>
    <row r="41" spans="1:14" s="367" customFormat="1" ht="19.5" customHeight="1" x14ac:dyDescent="0.2">
      <c r="A41" s="1795">
        <v>5</v>
      </c>
      <c r="B41" s="1799" t="s">
        <v>2754</v>
      </c>
      <c r="C41" s="1800"/>
      <c r="D41" s="624"/>
      <c r="E41" s="404"/>
      <c r="F41" s="624"/>
      <c r="G41" s="404"/>
      <c r="H41" s="624">
        <f>SUM(H42:H45)</f>
        <v>786</v>
      </c>
      <c r="I41" s="624"/>
      <c r="J41" s="1152"/>
      <c r="K41" s="624">
        <f>SUM(K42:K45)</f>
        <v>786</v>
      </c>
      <c r="L41" s="1144"/>
      <c r="M41" s="1526"/>
      <c r="N41" s="1151" t="s">
        <v>2755</v>
      </c>
    </row>
    <row r="42" spans="1:14" s="367" customFormat="1" ht="19.5" customHeight="1" x14ac:dyDescent="0.2">
      <c r="A42" s="1863"/>
      <c r="B42" s="1889"/>
      <c r="C42" s="1890"/>
      <c r="D42" s="541"/>
      <c r="E42" s="272"/>
      <c r="F42" s="541"/>
      <c r="G42" s="272"/>
      <c r="H42" s="541">
        <v>500</v>
      </c>
      <c r="I42" s="541"/>
      <c r="J42" s="625">
        <v>1150</v>
      </c>
      <c r="K42" s="541">
        <v>500</v>
      </c>
      <c r="L42" s="1144"/>
      <c r="M42" s="1969" t="s">
        <v>2749</v>
      </c>
      <c r="N42" s="617" t="s">
        <v>2756</v>
      </c>
    </row>
    <row r="43" spans="1:14" s="367" customFormat="1" ht="19.5" customHeight="1" x14ac:dyDescent="0.2">
      <c r="A43" s="1863"/>
      <c r="B43" s="1889"/>
      <c r="C43" s="1890"/>
      <c r="D43" s="272"/>
      <c r="E43" s="272"/>
      <c r="F43" s="272"/>
      <c r="G43" s="272"/>
      <c r="H43" s="541">
        <v>25</v>
      </c>
      <c r="I43" s="541"/>
      <c r="J43" s="625">
        <v>1210</v>
      </c>
      <c r="K43" s="541">
        <v>25</v>
      </c>
      <c r="L43" s="1144"/>
      <c r="M43" s="1969"/>
      <c r="N43" s="1146" t="s">
        <v>2727</v>
      </c>
    </row>
    <row r="44" spans="1:14" s="367" customFormat="1" ht="19.5" customHeight="1" x14ac:dyDescent="0.2">
      <c r="A44" s="1863"/>
      <c r="B44" s="1889"/>
      <c r="C44" s="1890"/>
      <c r="D44" s="741"/>
      <c r="E44" s="1153"/>
      <c r="F44" s="741"/>
      <c r="G44" s="1153"/>
      <c r="H44" s="541">
        <v>200</v>
      </c>
      <c r="I44" s="741"/>
      <c r="J44" s="625">
        <v>2231</v>
      </c>
      <c r="K44" s="541">
        <v>200</v>
      </c>
      <c r="L44" s="1153"/>
      <c r="M44" s="1969"/>
      <c r="N44" s="541" t="s">
        <v>2738</v>
      </c>
    </row>
    <row r="45" spans="1:14" s="367" customFormat="1" ht="19.5" customHeight="1" x14ac:dyDescent="0.2">
      <c r="A45" s="1796"/>
      <c r="B45" s="1801"/>
      <c r="C45" s="1802"/>
      <c r="D45" s="741"/>
      <c r="E45" s="1153"/>
      <c r="F45" s="741"/>
      <c r="G45" s="1153"/>
      <c r="H45" s="541">
        <v>61</v>
      </c>
      <c r="I45" s="741"/>
      <c r="J45" s="625">
        <v>2314</v>
      </c>
      <c r="K45" s="541">
        <v>61</v>
      </c>
      <c r="L45" s="1153"/>
      <c r="M45" s="1969"/>
      <c r="N45" s="617" t="s">
        <v>2752</v>
      </c>
    </row>
    <row r="46" spans="1:14" s="367" customFormat="1" x14ac:dyDescent="0.2">
      <c r="A46" s="662"/>
      <c r="B46" s="662"/>
      <c r="C46" s="662"/>
      <c r="D46" s="456"/>
      <c r="E46" s="613"/>
      <c r="F46" s="456"/>
      <c r="G46" s="613"/>
      <c r="H46" s="387"/>
      <c r="I46" s="456"/>
      <c r="J46" s="629"/>
      <c r="K46" s="387"/>
      <c r="L46" s="613"/>
      <c r="M46" s="608"/>
      <c r="N46" s="1043"/>
    </row>
    <row r="47" spans="1:14" s="367" customFormat="1" ht="15.75" x14ac:dyDescent="0.25">
      <c r="A47" s="1946" t="s">
        <v>121</v>
      </c>
      <c r="B47" s="1946"/>
      <c r="C47" s="680" t="s">
        <v>2757</v>
      </c>
      <c r="D47" s="680"/>
      <c r="E47" s="680"/>
      <c r="F47" s="680"/>
      <c r="G47" s="680"/>
      <c r="H47" s="680"/>
      <c r="I47" s="680"/>
      <c r="J47" s="680"/>
      <c r="K47" s="680"/>
      <c r="L47" s="680"/>
      <c r="M47" s="1494"/>
      <c r="N47" s="679"/>
    </row>
    <row r="48" spans="1:14" s="367" customFormat="1" x14ac:dyDescent="0.2">
      <c r="A48" s="244" t="s">
        <v>123</v>
      </c>
      <c r="B48" s="244"/>
      <c r="C48" s="1585" t="s">
        <v>2500</v>
      </c>
      <c r="D48" s="1585"/>
      <c r="E48" s="1585"/>
      <c r="F48" s="1585"/>
      <c r="G48" s="1585"/>
      <c r="H48" s="1585"/>
      <c r="I48" s="1585"/>
      <c r="J48" s="1585"/>
      <c r="K48" s="1585"/>
      <c r="L48" s="1585"/>
      <c r="M48" s="1494"/>
      <c r="N48" s="679"/>
    </row>
    <row r="49" spans="1:14" s="367" customFormat="1" x14ac:dyDescent="0.2">
      <c r="A49" s="558" t="s">
        <v>125</v>
      </c>
      <c r="B49" s="558"/>
      <c r="C49" s="649" t="s">
        <v>1854</v>
      </c>
      <c r="D49" s="649"/>
      <c r="E49" s="649"/>
      <c r="F49" s="649"/>
      <c r="G49" s="649"/>
      <c r="H49" s="649"/>
      <c r="I49" s="649"/>
      <c r="J49" s="649"/>
      <c r="K49" s="649"/>
      <c r="L49" s="649"/>
      <c r="M49" s="1639"/>
      <c r="N49" s="1154"/>
    </row>
    <row r="50" spans="1:14" s="367" customFormat="1" ht="27.75" customHeight="1" x14ac:dyDescent="0.2">
      <c r="A50" s="1864" t="s">
        <v>1</v>
      </c>
      <c r="B50" s="1870" t="s">
        <v>127</v>
      </c>
      <c r="C50" s="1994"/>
      <c r="D50" s="1864" t="s">
        <v>520</v>
      </c>
      <c r="E50" s="1864"/>
      <c r="F50" s="1864" t="s">
        <v>521</v>
      </c>
      <c r="G50" s="1864"/>
      <c r="H50" s="1864" t="s">
        <v>522</v>
      </c>
      <c r="I50" s="1864"/>
      <c r="J50" s="1864" t="s">
        <v>129</v>
      </c>
      <c r="K50" s="1864" t="s">
        <v>3357</v>
      </c>
      <c r="L50" s="1864"/>
      <c r="M50" s="1864" t="s">
        <v>11</v>
      </c>
      <c r="N50" s="1864" t="s">
        <v>131</v>
      </c>
    </row>
    <row r="51" spans="1:14" s="367" customFormat="1" ht="33" customHeight="1" x14ac:dyDescent="0.2">
      <c r="A51" s="1864"/>
      <c r="B51" s="1871"/>
      <c r="C51" s="1995"/>
      <c r="D51" s="1050" t="s">
        <v>524</v>
      </c>
      <c r="E51" s="1050" t="s">
        <v>525</v>
      </c>
      <c r="F51" s="1050" t="s">
        <v>524</v>
      </c>
      <c r="G51" s="1050" t="s">
        <v>525</v>
      </c>
      <c r="H51" s="1050" t="s">
        <v>524</v>
      </c>
      <c r="I51" s="1050" t="s">
        <v>525</v>
      </c>
      <c r="J51" s="1864"/>
      <c r="K51" s="1050" t="s">
        <v>524</v>
      </c>
      <c r="L51" s="1050" t="s">
        <v>525</v>
      </c>
      <c r="M51" s="1864"/>
      <c r="N51" s="1864"/>
    </row>
    <row r="52" spans="1:14" s="367" customFormat="1" ht="12.75" customHeight="1" x14ac:dyDescent="0.2">
      <c r="A52" s="1807" t="s">
        <v>526</v>
      </c>
      <c r="B52" s="1808"/>
      <c r="C52" s="1809"/>
      <c r="D52" s="253" t="e">
        <f>D53+D60+D62+D67+D72+#REF!+D82+D86</f>
        <v>#REF!</v>
      </c>
      <c r="E52" s="253" t="e">
        <f>E53+E60+E62+E67+E72+#REF!+E82+E91</f>
        <v>#REF!</v>
      </c>
      <c r="F52" s="253" t="e">
        <f>F53+F60+F62+F67+F72+#REF!+F82+F86</f>
        <v>#REF!</v>
      </c>
      <c r="G52" s="253" t="e">
        <f>G53+G60+G62+G67+G72+#REF!+G82+G91</f>
        <v>#REF!</v>
      </c>
      <c r="H52" s="253" t="e">
        <f>H53+H60+H62+H67+H72+#REF!+H82+H90</f>
        <v>#REF!</v>
      </c>
      <c r="I52" s="253" t="e">
        <f>I53+I60+I62+I67+I72+#REF!+I82+I91</f>
        <v>#REF!</v>
      </c>
      <c r="J52" s="1143"/>
      <c r="K52" s="253">
        <f>K53+K60+K62+K67+K72+K82+K90+K77</f>
        <v>4409</v>
      </c>
      <c r="L52" s="253">
        <f>L53+L60+L62+L67+L72+L82+L90+L77</f>
        <v>0</v>
      </c>
      <c r="M52" s="450"/>
      <c r="N52" s="1146" t="s">
        <v>2758</v>
      </c>
    </row>
    <row r="53" spans="1:14" s="367" customFormat="1" ht="16.5" customHeight="1" x14ac:dyDescent="0.2">
      <c r="A53" s="1987" t="s">
        <v>2759</v>
      </c>
      <c r="B53" s="2088" t="s">
        <v>2559</v>
      </c>
      <c r="C53" s="1872"/>
      <c r="D53" s="253">
        <f>SUM(D54:D59)</f>
        <v>1059</v>
      </c>
      <c r="E53" s="253">
        <f t="shared" ref="E53:I53" si="7">SUM(E54:E59)</f>
        <v>0</v>
      </c>
      <c r="F53" s="253">
        <f t="shared" si="7"/>
        <v>1059</v>
      </c>
      <c r="G53" s="253">
        <f t="shared" si="7"/>
        <v>0</v>
      </c>
      <c r="H53" s="253">
        <f>SUM(H54:H59)</f>
        <v>1059</v>
      </c>
      <c r="I53" s="253">
        <f t="shared" si="7"/>
        <v>0</v>
      </c>
      <c r="J53" s="1156"/>
      <c r="K53" s="253">
        <f>SUM(K54:K59)</f>
        <v>1059</v>
      </c>
      <c r="L53" s="253">
        <f>SUM(L54:L59)</f>
        <v>0</v>
      </c>
      <c r="M53" s="1551"/>
      <c r="N53" s="1157"/>
    </row>
    <row r="54" spans="1:14" s="367" customFormat="1" ht="16.5" customHeight="1" x14ac:dyDescent="0.2">
      <c r="A54" s="2055"/>
      <c r="B54" s="2089"/>
      <c r="C54" s="1875"/>
      <c r="D54" s="1146">
        <v>627</v>
      </c>
      <c r="E54" s="1146"/>
      <c r="F54" s="1146">
        <v>627</v>
      </c>
      <c r="G54" s="1146"/>
      <c r="H54" s="1146">
        <v>627</v>
      </c>
      <c r="I54" s="1146"/>
      <c r="J54" s="625">
        <v>1150</v>
      </c>
      <c r="K54" s="1146">
        <v>627</v>
      </c>
      <c r="L54" s="1146"/>
      <c r="M54" s="2087" t="s">
        <v>2760</v>
      </c>
      <c r="N54" s="541" t="s">
        <v>2761</v>
      </c>
    </row>
    <row r="55" spans="1:14" s="367" customFormat="1" ht="16.5" customHeight="1" x14ac:dyDescent="0.2">
      <c r="A55" s="2055"/>
      <c r="B55" s="2089"/>
      <c r="C55" s="1875"/>
      <c r="D55" s="1146">
        <v>32</v>
      </c>
      <c r="E55" s="1146"/>
      <c r="F55" s="1146">
        <v>32</v>
      </c>
      <c r="G55" s="1146"/>
      <c r="H55" s="1146">
        <v>32</v>
      </c>
      <c r="I55" s="1146"/>
      <c r="J55" s="625">
        <v>1210</v>
      </c>
      <c r="K55" s="1146">
        <v>32</v>
      </c>
      <c r="L55" s="1146"/>
      <c r="M55" s="2087"/>
      <c r="N55" s="1146" t="s">
        <v>2727</v>
      </c>
    </row>
    <row r="56" spans="1:14" s="367" customFormat="1" ht="16.5" hidden="1" customHeight="1" x14ac:dyDescent="0.2">
      <c r="A56" s="2055"/>
      <c r="B56" s="2089"/>
      <c r="C56" s="1875"/>
      <c r="D56" s="1146">
        <v>50</v>
      </c>
      <c r="E56" s="1146"/>
      <c r="F56" s="1146">
        <v>50</v>
      </c>
      <c r="G56" s="1146"/>
      <c r="H56" s="1146">
        <v>50</v>
      </c>
      <c r="I56" s="1146"/>
      <c r="J56" s="625">
        <v>2264</v>
      </c>
      <c r="K56" s="1146">
        <v>0</v>
      </c>
      <c r="L56" s="1146"/>
      <c r="M56" s="2087"/>
      <c r="N56" s="254" t="s">
        <v>2762</v>
      </c>
    </row>
    <row r="57" spans="1:14" s="367" customFormat="1" ht="16.5" hidden="1" customHeight="1" x14ac:dyDescent="0.2">
      <c r="A57" s="2055"/>
      <c r="B57" s="2089"/>
      <c r="C57" s="1875"/>
      <c r="D57" s="1146">
        <v>100</v>
      </c>
      <c r="E57" s="1146"/>
      <c r="F57" s="1146">
        <v>100</v>
      </c>
      <c r="G57" s="1146"/>
      <c r="H57" s="1146">
        <v>100</v>
      </c>
      <c r="I57" s="1146"/>
      <c r="J57" s="625">
        <v>2269</v>
      </c>
      <c r="K57" s="1146">
        <v>0</v>
      </c>
      <c r="L57" s="1146"/>
      <c r="M57" s="2087"/>
      <c r="N57" s="254" t="s">
        <v>2763</v>
      </c>
    </row>
    <row r="58" spans="1:14" s="367" customFormat="1" ht="16.5" customHeight="1" x14ac:dyDescent="0.2">
      <c r="A58" s="2055"/>
      <c r="B58" s="2089"/>
      <c r="C58" s="1875"/>
      <c r="D58" s="1146">
        <v>100</v>
      </c>
      <c r="E58" s="1146"/>
      <c r="F58" s="1146">
        <v>100</v>
      </c>
      <c r="G58" s="1146"/>
      <c r="H58" s="1146">
        <v>100</v>
      </c>
      <c r="I58" s="1146"/>
      <c r="J58" s="625">
        <v>2231</v>
      </c>
      <c r="K58" s="1146">
        <f>100+150</f>
        <v>250</v>
      </c>
      <c r="L58" s="1146"/>
      <c r="M58" s="2087"/>
      <c r="N58" s="1159" t="s">
        <v>2764</v>
      </c>
    </row>
    <row r="59" spans="1:14" s="367" customFormat="1" ht="16.5" customHeight="1" x14ac:dyDescent="0.2">
      <c r="A59" s="1988"/>
      <c r="B59" s="2090"/>
      <c r="C59" s="1873"/>
      <c r="D59" s="1146">
        <v>150</v>
      </c>
      <c r="E59" s="1146"/>
      <c r="F59" s="1146">
        <v>150</v>
      </c>
      <c r="G59" s="1146"/>
      <c r="H59" s="1146">
        <v>150</v>
      </c>
      <c r="I59" s="1146"/>
      <c r="J59" s="625">
        <v>2314</v>
      </c>
      <c r="K59" s="1146">
        <v>150</v>
      </c>
      <c r="L59" s="1146"/>
      <c r="M59" s="2087"/>
      <c r="N59" s="1160" t="s">
        <v>2765</v>
      </c>
    </row>
    <row r="60" spans="1:14" s="367" customFormat="1" ht="15.75" customHeight="1" x14ac:dyDescent="0.2">
      <c r="A60" s="1987" t="s">
        <v>1129</v>
      </c>
      <c r="B60" s="2088" t="s">
        <v>2766</v>
      </c>
      <c r="C60" s="1872"/>
      <c r="D60" s="253">
        <f>SUM(D61)</f>
        <v>100</v>
      </c>
      <c r="E60" s="253">
        <f t="shared" ref="E60:I60" si="8">SUM(E61)</f>
        <v>0</v>
      </c>
      <c r="F60" s="253">
        <f t="shared" si="8"/>
        <v>100</v>
      </c>
      <c r="G60" s="253">
        <f t="shared" si="8"/>
        <v>0</v>
      </c>
      <c r="H60" s="253">
        <f t="shared" si="8"/>
        <v>120</v>
      </c>
      <c r="I60" s="253">
        <f t="shared" si="8"/>
        <v>0</v>
      </c>
      <c r="J60" s="1143"/>
      <c r="K60" s="253">
        <f>K61</f>
        <v>120</v>
      </c>
      <c r="L60" s="253">
        <f>L61</f>
        <v>0</v>
      </c>
      <c r="M60" s="1551"/>
      <c r="N60" s="1161" t="s">
        <v>2767</v>
      </c>
    </row>
    <row r="61" spans="1:14" s="367" customFormat="1" ht="45" customHeight="1" x14ac:dyDescent="0.2">
      <c r="A61" s="1988"/>
      <c r="B61" s="2090"/>
      <c r="C61" s="1873"/>
      <c r="D61" s="1146">
        <v>100</v>
      </c>
      <c r="E61" s="1146"/>
      <c r="F61" s="1146">
        <v>100</v>
      </c>
      <c r="G61" s="1146"/>
      <c r="H61" s="1146">
        <v>120</v>
      </c>
      <c r="I61" s="1146"/>
      <c r="J61" s="625">
        <v>2314</v>
      </c>
      <c r="K61" s="1146">
        <v>120</v>
      </c>
      <c r="L61" s="1146"/>
      <c r="M61" s="1551" t="s">
        <v>2768</v>
      </c>
      <c r="N61" s="541" t="s">
        <v>2769</v>
      </c>
    </row>
    <row r="62" spans="1:14" s="367" customFormat="1" ht="16.5" customHeight="1" x14ac:dyDescent="0.2">
      <c r="A62" s="1987" t="s">
        <v>1131</v>
      </c>
      <c r="B62" s="2088" t="s">
        <v>2770</v>
      </c>
      <c r="C62" s="1872"/>
      <c r="D62" s="253">
        <f>SUM(D63:D66)</f>
        <v>510</v>
      </c>
      <c r="E62" s="253">
        <f t="shared" ref="E62:I62" si="9">SUM(E63:E66)</f>
        <v>0</v>
      </c>
      <c r="F62" s="253">
        <f t="shared" si="9"/>
        <v>510</v>
      </c>
      <c r="G62" s="253">
        <f t="shared" si="9"/>
        <v>0</v>
      </c>
      <c r="H62" s="253">
        <f t="shared" si="9"/>
        <v>514</v>
      </c>
      <c r="I62" s="253">
        <f t="shared" si="9"/>
        <v>0</v>
      </c>
      <c r="J62" s="1156"/>
      <c r="K62" s="253">
        <f>SUM(K63:K66)</f>
        <v>514</v>
      </c>
      <c r="L62" s="253">
        <f>SUM(L63:L66)</f>
        <v>0</v>
      </c>
      <c r="M62" s="1551"/>
      <c r="N62" s="1157"/>
    </row>
    <row r="63" spans="1:14" s="367" customFormat="1" ht="16.5" customHeight="1" x14ac:dyDescent="0.2">
      <c r="A63" s="2055"/>
      <c r="B63" s="2089"/>
      <c r="C63" s="1875"/>
      <c r="D63" s="1146">
        <v>171</v>
      </c>
      <c r="E63" s="1146"/>
      <c r="F63" s="1146">
        <v>171</v>
      </c>
      <c r="G63" s="1146"/>
      <c r="H63" s="1146">
        <v>180</v>
      </c>
      <c r="I63" s="1146"/>
      <c r="J63" s="625">
        <v>1150</v>
      </c>
      <c r="K63" s="1146">
        <v>180</v>
      </c>
      <c r="L63" s="1146"/>
      <c r="M63" s="2087" t="s">
        <v>2771</v>
      </c>
      <c r="N63" s="1146" t="s">
        <v>2772</v>
      </c>
    </row>
    <row r="64" spans="1:14" s="367" customFormat="1" ht="16.5" customHeight="1" x14ac:dyDescent="0.2">
      <c r="A64" s="2055"/>
      <c r="B64" s="2089"/>
      <c r="C64" s="1875"/>
      <c r="D64" s="1146">
        <v>9</v>
      </c>
      <c r="E64" s="1146"/>
      <c r="F64" s="1146">
        <v>9</v>
      </c>
      <c r="G64" s="1146"/>
      <c r="H64" s="1146">
        <v>9</v>
      </c>
      <c r="I64" s="1146"/>
      <c r="J64" s="625">
        <v>1210</v>
      </c>
      <c r="K64" s="1146">
        <v>9</v>
      </c>
      <c r="L64" s="1146"/>
      <c r="M64" s="2087"/>
      <c r="N64" s="1146" t="s">
        <v>2727</v>
      </c>
    </row>
    <row r="65" spans="1:14" s="367" customFormat="1" ht="16.5" customHeight="1" x14ac:dyDescent="0.2">
      <c r="A65" s="2055"/>
      <c r="B65" s="2089"/>
      <c r="C65" s="1875"/>
      <c r="D65" s="1146">
        <v>100</v>
      </c>
      <c r="E65" s="1146"/>
      <c r="F65" s="1146">
        <v>100</v>
      </c>
      <c r="G65" s="1146"/>
      <c r="H65" s="1146">
        <v>125</v>
      </c>
      <c r="I65" s="1146"/>
      <c r="J65" s="625">
        <v>2231</v>
      </c>
      <c r="K65" s="1146">
        <v>125</v>
      </c>
      <c r="L65" s="1146"/>
      <c r="M65" s="2087"/>
      <c r="N65" s="1146" t="s">
        <v>2773</v>
      </c>
    </row>
    <row r="66" spans="1:14" s="367" customFormat="1" ht="16.5" customHeight="1" x14ac:dyDescent="0.2">
      <c r="A66" s="1988"/>
      <c r="B66" s="2090"/>
      <c r="C66" s="1873"/>
      <c r="D66" s="1146">
        <v>230</v>
      </c>
      <c r="E66" s="1146"/>
      <c r="F66" s="1146">
        <v>230</v>
      </c>
      <c r="G66" s="1146"/>
      <c r="H66" s="1146">
        <v>200</v>
      </c>
      <c r="I66" s="1146"/>
      <c r="J66" s="625">
        <v>2314</v>
      </c>
      <c r="K66" s="1146">
        <v>200</v>
      </c>
      <c r="L66" s="1146"/>
      <c r="M66" s="2087"/>
      <c r="N66" s="541" t="s">
        <v>2774</v>
      </c>
    </row>
    <row r="67" spans="1:14" s="367" customFormat="1" ht="14.25" customHeight="1" x14ac:dyDescent="0.2">
      <c r="A67" s="1987" t="s">
        <v>1137</v>
      </c>
      <c r="B67" s="2088" t="s">
        <v>2775</v>
      </c>
      <c r="C67" s="1872"/>
      <c r="D67" s="253">
        <f>SUM(D68:D71)</f>
        <v>500</v>
      </c>
      <c r="E67" s="253">
        <f t="shared" ref="E67:I67" si="10">SUM(E68:E71)</f>
        <v>0</v>
      </c>
      <c r="F67" s="253">
        <f t="shared" si="10"/>
        <v>500</v>
      </c>
      <c r="G67" s="253">
        <f t="shared" si="10"/>
        <v>0</v>
      </c>
      <c r="H67" s="253">
        <f t="shared" si="10"/>
        <v>500</v>
      </c>
      <c r="I67" s="253">
        <f t="shared" si="10"/>
        <v>0</v>
      </c>
      <c r="J67" s="1143"/>
      <c r="K67" s="253">
        <f>SUM(K68:K71)</f>
        <v>500</v>
      </c>
      <c r="L67" s="253">
        <f>SUM(L68:L71)</f>
        <v>0</v>
      </c>
      <c r="M67" s="1551"/>
      <c r="N67" s="1157"/>
    </row>
    <row r="68" spans="1:14" s="367" customFormat="1" ht="14.25" customHeight="1" x14ac:dyDescent="0.2">
      <c r="A68" s="2055"/>
      <c r="B68" s="2089"/>
      <c r="C68" s="1875"/>
      <c r="D68" s="1146">
        <v>333</v>
      </c>
      <c r="E68" s="1146"/>
      <c r="F68" s="1146">
        <v>333</v>
      </c>
      <c r="G68" s="1146"/>
      <c r="H68" s="1146">
        <v>330</v>
      </c>
      <c r="I68" s="1146"/>
      <c r="J68" s="625">
        <v>1150</v>
      </c>
      <c r="K68" s="1146">
        <v>330</v>
      </c>
      <c r="L68" s="1146"/>
      <c r="M68" s="2087" t="s">
        <v>2732</v>
      </c>
      <c r="N68" s="541" t="s">
        <v>2776</v>
      </c>
    </row>
    <row r="69" spans="1:14" s="367" customFormat="1" ht="14.25" customHeight="1" x14ac:dyDescent="0.2">
      <c r="A69" s="2055"/>
      <c r="B69" s="2089"/>
      <c r="C69" s="1875"/>
      <c r="D69" s="1146">
        <v>17</v>
      </c>
      <c r="E69" s="1146"/>
      <c r="F69" s="1146">
        <v>17</v>
      </c>
      <c r="G69" s="1146"/>
      <c r="H69" s="1146">
        <v>17</v>
      </c>
      <c r="I69" s="1146"/>
      <c r="J69" s="625">
        <v>1210</v>
      </c>
      <c r="K69" s="1146">
        <v>17</v>
      </c>
      <c r="L69" s="1146"/>
      <c r="M69" s="2087"/>
      <c r="N69" s="1146" t="s">
        <v>2727</v>
      </c>
    </row>
    <row r="70" spans="1:14" s="367" customFormat="1" ht="14.25" customHeight="1" x14ac:dyDescent="0.2">
      <c r="A70" s="2055"/>
      <c r="B70" s="2089"/>
      <c r="C70" s="1875"/>
      <c r="D70" s="1146">
        <v>100</v>
      </c>
      <c r="E70" s="1146"/>
      <c r="F70" s="1146">
        <v>100</v>
      </c>
      <c r="G70" s="1146"/>
      <c r="H70" s="1146">
        <v>98</v>
      </c>
      <c r="I70" s="1146"/>
      <c r="J70" s="625">
        <v>2231</v>
      </c>
      <c r="K70" s="1146">
        <v>98</v>
      </c>
      <c r="L70" s="1146"/>
      <c r="M70" s="2087"/>
      <c r="N70" s="1162" t="s">
        <v>2763</v>
      </c>
    </row>
    <row r="71" spans="1:14" s="367" customFormat="1" ht="14.25" customHeight="1" x14ac:dyDescent="0.2">
      <c r="A71" s="1988"/>
      <c r="B71" s="2090"/>
      <c r="C71" s="1873"/>
      <c r="D71" s="1146">
        <v>50</v>
      </c>
      <c r="E71" s="1146"/>
      <c r="F71" s="1146">
        <v>50</v>
      </c>
      <c r="G71" s="1146"/>
      <c r="H71" s="1146">
        <v>55</v>
      </c>
      <c r="I71" s="1146"/>
      <c r="J71" s="625">
        <v>2314</v>
      </c>
      <c r="K71" s="1146">
        <v>55</v>
      </c>
      <c r="L71" s="1146"/>
      <c r="M71" s="2087"/>
      <c r="N71" s="1146" t="s">
        <v>2777</v>
      </c>
    </row>
    <row r="72" spans="1:14" s="367" customFormat="1" ht="18.75" customHeight="1" x14ac:dyDescent="0.2">
      <c r="A72" s="1987" t="s">
        <v>1141</v>
      </c>
      <c r="B72" s="2088" t="s">
        <v>2778</v>
      </c>
      <c r="C72" s="1872"/>
      <c r="D72" s="253">
        <f>SUM(D73:D76)</f>
        <v>310</v>
      </c>
      <c r="E72" s="253">
        <f t="shared" ref="E72:I72" si="11">SUM(E73:E76)</f>
        <v>0</v>
      </c>
      <c r="F72" s="253">
        <f t="shared" si="11"/>
        <v>310</v>
      </c>
      <c r="G72" s="253">
        <f t="shared" si="11"/>
        <v>0</v>
      </c>
      <c r="H72" s="253">
        <f t="shared" si="11"/>
        <v>319</v>
      </c>
      <c r="I72" s="253">
        <f t="shared" si="11"/>
        <v>0</v>
      </c>
      <c r="J72" s="1156"/>
      <c r="K72" s="253">
        <f>SUM(K73:K76)</f>
        <v>319</v>
      </c>
      <c r="L72" s="253">
        <f>SUM(L73:L76)</f>
        <v>0</v>
      </c>
      <c r="M72" s="1551"/>
      <c r="N72" s="1157"/>
    </row>
    <row r="73" spans="1:14" s="367" customFormat="1" ht="18.75" customHeight="1" x14ac:dyDescent="0.2">
      <c r="A73" s="2055"/>
      <c r="B73" s="2089"/>
      <c r="C73" s="1875"/>
      <c r="D73" s="1146">
        <v>171</v>
      </c>
      <c r="E73" s="1146"/>
      <c r="F73" s="1146">
        <v>171</v>
      </c>
      <c r="G73" s="1146"/>
      <c r="H73" s="1146">
        <v>180</v>
      </c>
      <c r="I73" s="1146"/>
      <c r="J73" s="625">
        <v>1150</v>
      </c>
      <c r="K73" s="1146">
        <v>180</v>
      </c>
      <c r="L73" s="1146"/>
      <c r="M73" s="2087" t="s">
        <v>2779</v>
      </c>
      <c r="N73" s="1163" t="s">
        <v>2780</v>
      </c>
    </row>
    <row r="74" spans="1:14" s="367" customFormat="1" ht="18.75" customHeight="1" x14ac:dyDescent="0.2">
      <c r="A74" s="2055"/>
      <c r="B74" s="2089"/>
      <c r="C74" s="1875"/>
      <c r="D74" s="1146">
        <v>9</v>
      </c>
      <c r="E74" s="1146"/>
      <c r="F74" s="1146">
        <v>9</v>
      </c>
      <c r="G74" s="1146"/>
      <c r="H74" s="1146">
        <v>9</v>
      </c>
      <c r="I74" s="1146"/>
      <c r="J74" s="625">
        <v>1210</v>
      </c>
      <c r="K74" s="1146">
        <v>9</v>
      </c>
      <c r="L74" s="1146"/>
      <c r="M74" s="2087"/>
      <c r="N74" s="1146" t="s">
        <v>2727</v>
      </c>
    </row>
    <row r="75" spans="1:14" s="367" customFormat="1" ht="18.75" customHeight="1" x14ac:dyDescent="0.2">
      <c r="A75" s="2055"/>
      <c r="B75" s="2089"/>
      <c r="C75" s="1875"/>
      <c r="D75" s="1146">
        <v>40</v>
      </c>
      <c r="E75" s="1146"/>
      <c r="F75" s="1146">
        <v>40</v>
      </c>
      <c r="G75" s="1146"/>
      <c r="H75" s="1146">
        <v>40</v>
      </c>
      <c r="I75" s="1146"/>
      <c r="J75" s="625">
        <v>2231</v>
      </c>
      <c r="K75" s="1146">
        <v>40</v>
      </c>
      <c r="L75" s="1146"/>
      <c r="M75" s="2087"/>
      <c r="N75" s="1162" t="s">
        <v>2781</v>
      </c>
    </row>
    <row r="76" spans="1:14" s="367" customFormat="1" ht="18.75" customHeight="1" x14ac:dyDescent="0.2">
      <c r="A76" s="1988"/>
      <c r="B76" s="2090"/>
      <c r="C76" s="1873"/>
      <c r="D76" s="1146">
        <v>90</v>
      </c>
      <c r="E76" s="1146"/>
      <c r="F76" s="1146">
        <v>90</v>
      </c>
      <c r="G76" s="1146"/>
      <c r="H76" s="1146">
        <v>90</v>
      </c>
      <c r="I76" s="1146"/>
      <c r="J76" s="625">
        <v>2314</v>
      </c>
      <c r="K76" s="1146">
        <v>90</v>
      </c>
      <c r="L76" s="1146"/>
      <c r="M76" s="2087"/>
      <c r="N76" s="541" t="s">
        <v>2782</v>
      </c>
    </row>
    <row r="77" spans="1:14" s="367" customFormat="1" ht="15.75" customHeight="1" x14ac:dyDescent="0.2">
      <c r="A77" s="1987" t="s">
        <v>1144</v>
      </c>
      <c r="B77" s="2088" t="s">
        <v>2783</v>
      </c>
      <c r="C77" s="1872"/>
      <c r="D77" s="253">
        <f>SUM(D78:D81)</f>
        <v>0</v>
      </c>
      <c r="E77" s="253">
        <f t="shared" ref="E77:L77" si="12">SUM(E78:E81)</f>
        <v>0</v>
      </c>
      <c r="F77" s="253">
        <f t="shared" si="12"/>
        <v>0</v>
      </c>
      <c r="G77" s="253">
        <f t="shared" si="12"/>
        <v>0</v>
      </c>
      <c r="H77" s="253">
        <f t="shared" si="12"/>
        <v>0</v>
      </c>
      <c r="I77" s="253">
        <f t="shared" si="12"/>
        <v>0</v>
      </c>
      <c r="J77" s="253"/>
      <c r="K77" s="253">
        <f>SUM(K78:K81)</f>
        <v>974</v>
      </c>
      <c r="L77" s="253">
        <f t="shared" si="12"/>
        <v>0</v>
      </c>
      <c r="M77" s="1551"/>
      <c r="N77" s="1157"/>
    </row>
    <row r="78" spans="1:14" s="367" customFormat="1" ht="15.75" customHeight="1" x14ac:dyDescent="0.2">
      <c r="A78" s="2055"/>
      <c r="B78" s="2089"/>
      <c r="C78" s="1875"/>
      <c r="D78" s="1146"/>
      <c r="E78" s="1146"/>
      <c r="F78" s="1146"/>
      <c r="G78" s="1146"/>
      <c r="H78" s="1146"/>
      <c r="I78" s="1146"/>
      <c r="J78" s="625">
        <v>1150</v>
      </c>
      <c r="K78" s="1146">
        <v>406</v>
      </c>
      <c r="L78" s="1146"/>
      <c r="M78" s="2091" t="s">
        <v>2784</v>
      </c>
      <c r="N78" s="541" t="s">
        <v>2785</v>
      </c>
    </row>
    <row r="79" spans="1:14" s="367" customFormat="1" ht="15.75" customHeight="1" x14ac:dyDescent="0.2">
      <c r="A79" s="2055"/>
      <c r="B79" s="2089"/>
      <c r="C79" s="1875"/>
      <c r="D79" s="1146"/>
      <c r="E79" s="1146"/>
      <c r="F79" s="1146"/>
      <c r="G79" s="1146"/>
      <c r="H79" s="1146"/>
      <c r="I79" s="1146"/>
      <c r="J79" s="625">
        <v>1210</v>
      </c>
      <c r="K79" s="1146">
        <v>21</v>
      </c>
      <c r="L79" s="1146"/>
      <c r="M79" s="2092"/>
      <c r="N79" s="1146" t="s">
        <v>2727</v>
      </c>
    </row>
    <row r="80" spans="1:14" s="367" customFormat="1" ht="15.75" customHeight="1" x14ac:dyDescent="0.2">
      <c r="A80" s="2055"/>
      <c r="B80" s="2089"/>
      <c r="C80" s="1875"/>
      <c r="D80" s="1146"/>
      <c r="E80" s="1146"/>
      <c r="F80" s="1146"/>
      <c r="G80" s="1146"/>
      <c r="H80" s="1146"/>
      <c r="I80" s="1146"/>
      <c r="J80" s="625">
        <v>2311</v>
      </c>
      <c r="K80" s="1146">
        <v>70</v>
      </c>
      <c r="L80" s="1146"/>
      <c r="M80" s="2092"/>
      <c r="N80" s="541" t="s">
        <v>2786</v>
      </c>
    </row>
    <row r="81" spans="1:14" s="367" customFormat="1" ht="15.75" customHeight="1" x14ac:dyDescent="0.2">
      <c r="A81" s="1988"/>
      <c r="B81" s="2090"/>
      <c r="C81" s="1873"/>
      <c r="D81" s="1146"/>
      <c r="E81" s="1146"/>
      <c r="F81" s="1146"/>
      <c r="G81" s="1146"/>
      <c r="H81" s="1146"/>
      <c r="I81" s="1146"/>
      <c r="J81" s="625">
        <v>2314</v>
      </c>
      <c r="K81" s="1146">
        <v>477</v>
      </c>
      <c r="L81" s="1146"/>
      <c r="M81" s="2093"/>
      <c r="N81" s="541" t="s">
        <v>2787</v>
      </c>
    </row>
    <row r="82" spans="1:14" s="367" customFormat="1" ht="15" customHeight="1" x14ac:dyDescent="0.2">
      <c r="A82" s="1987" t="s">
        <v>2788</v>
      </c>
      <c r="B82" s="2088" t="s">
        <v>2789</v>
      </c>
      <c r="C82" s="1872"/>
      <c r="D82" s="253">
        <f>SUM(D83:D85)</f>
        <v>528</v>
      </c>
      <c r="E82" s="253">
        <f t="shared" ref="E82:I82" si="13">SUM(E83:E85)</f>
        <v>0</v>
      </c>
      <c r="F82" s="253">
        <f t="shared" si="13"/>
        <v>528</v>
      </c>
      <c r="G82" s="253">
        <f t="shared" si="13"/>
        <v>0</v>
      </c>
      <c r="H82" s="253">
        <f t="shared" si="13"/>
        <v>528</v>
      </c>
      <c r="I82" s="253">
        <f t="shared" si="13"/>
        <v>0</v>
      </c>
      <c r="J82" s="1156"/>
      <c r="K82" s="253">
        <f>SUM(K83:K85)</f>
        <v>528</v>
      </c>
      <c r="L82" s="253">
        <f>SUM(L83:L85)</f>
        <v>0</v>
      </c>
      <c r="M82" s="1551"/>
      <c r="N82" s="1157"/>
    </row>
    <row r="83" spans="1:14" s="367" customFormat="1" ht="18.75" customHeight="1" x14ac:dyDescent="0.2">
      <c r="A83" s="2055"/>
      <c r="B83" s="2089"/>
      <c r="C83" s="1875"/>
      <c r="D83" s="1146">
        <v>360</v>
      </c>
      <c r="E83" s="1146"/>
      <c r="F83" s="1146">
        <v>360</v>
      </c>
      <c r="G83" s="1146"/>
      <c r="H83" s="1146">
        <v>360</v>
      </c>
      <c r="I83" s="1146"/>
      <c r="J83" s="625">
        <v>1150</v>
      </c>
      <c r="K83" s="1146">
        <v>360</v>
      </c>
      <c r="L83" s="1146"/>
      <c r="M83" s="2087" t="s">
        <v>2784</v>
      </c>
      <c r="N83" s="541" t="s">
        <v>2790</v>
      </c>
    </row>
    <row r="84" spans="1:14" s="367" customFormat="1" ht="18.75" customHeight="1" x14ac:dyDescent="0.2">
      <c r="A84" s="2055"/>
      <c r="B84" s="2089"/>
      <c r="C84" s="1875"/>
      <c r="D84" s="1146">
        <v>18</v>
      </c>
      <c r="E84" s="1146"/>
      <c r="F84" s="1146">
        <v>18</v>
      </c>
      <c r="G84" s="1146"/>
      <c r="H84" s="1146">
        <v>18</v>
      </c>
      <c r="I84" s="1146"/>
      <c r="J84" s="625">
        <v>1210</v>
      </c>
      <c r="K84" s="1146">
        <v>18</v>
      </c>
      <c r="L84" s="1146"/>
      <c r="M84" s="2087"/>
      <c r="N84" s="1146" t="s">
        <v>2727</v>
      </c>
    </row>
    <row r="85" spans="1:14" s="367" customFormat="1" ht="18.75" customHeight="1" x14ac:dyDescent="0.2">
      <c r="A85" s="1988"/>
      <c r="B85" s="2090"/>
      <c r="C85" s="1873"/>
      <c r="D85" s="1146">
        <v>150</v>
      </c>
      <c r="E85" s="1146"/>
      <c r="F85" s="1146">
        <v>150</v>
      </c>
      <c r="G85" s="1146"/>
      <c r="H85" s="1146">
        <v>150</v>
      </c>
      <c r="I85" s="1146"/>
      <c r="J85" s="625">
        <v>2314</v>
      </c>
      <c r="K85" s="1146">
        <v>150</v>
      </c>
      <c r="L85" s="1146"/>
      <c r="M85" s="2087"/>
      <c r="N85" s="1163" t="s">
        <v>2791</v>
      </c>
    </row>
    <row r="86" spans="1:14" s="367" customFormat="1" ht="36" hidden="1" x14ac:dyDescent="0.2">
      <c r="A86" s="1155" t="s">
        <v>2792</v>
      </c>
      <c r="B86" s="1155" t="s">
        <v>2793</v>
      </c>
      <c r="C86" s="1155"/>
      <c r="D86" s="253">
        <f>SUM(D87:D89)</f>
        <v>400</v>
      </c>
      <c r="E86" s="253">
        <f>SUM(E91:E93)</f>
        <v>0</v>
      </c>
      <c r="F86" s="253">
        <f>SUM(F87:F89)</f>
        <v>400</v>
      </c>
      <c r="G86" s="253">
        <f>SUM(G91:G93)</f>
        <v>0</v>
      </c>
      <c r="H86" s="253"/>
      <c r="I86" s="253">
        <f>SUM(I91:I93)</f>
        <v>0</v>
      </c>
      <c r="J86" s="1156"/>
      <c r="K86" s="397"/>
      <c r="L86" s="1146"/>
      <c r="M86" s="1551"/>
      <c r="N86" s="1146" t="s">
        <v>2794</v>
      </c>
    </row>
    <row r="87" spans="1:14" s="367" customFormat="1" ht="24" hidden="1" x14ac:dyDescent="0.2">
      <c r="A87" s="1155"/>
      <c r="B87" s="1155"/>
      <c r="C87" s="1155"/>
      <c r="D87" s="1146">
        <v>285</v>
      </c>
      <c r="E87" s="1146"/>
      <c r="F87" s="1146">
        <v>285</v>
      </c>
      <c r="G87" s="1146"/>
      <c r="H87" s="1146"/>
      <c r="I87" s="1146"/>
      <c r="J87" s="625">
        <v>1150</v>
      </c>
      <c r="K87" s="1146">
        <v>0</v>
      </c>
      <c r="L87" s="1146"/>
      <c r="M87" s="2087" t="s">
        <v>2795</v>
      </c>
      <c r="N87" s="1146" t="s">
        <v>2796</v>
      </c>
    </row>
    <row r="88" spans="1:14" s="367" customFormat="1" hidden="1" x14ac:dyDescent="0.2">
      <c r="A88" s="1155"/>
      <c r="B88" s="1155"/>
      <c r="C88" s="1155"/>
      <c r="D88" s="1146">
        <v>15</v>
      </c>
      <c r="E88" s="1146"/>
      <c r="F88" s="1146">
        <v>15</v>
      </c>
      <c r="G88" s="1146"/>
      <c r="H88" s="1146"/>
      <c r="I88" s="1146"/>
      <c r="J88" s="625">
        <v>1210</v>
      </c>
      <c r="K88" s="1146">
        <v>0</v>
      </c>
      <c r="L88" s="1146"/>
      <c r="M88" s="2087"/>
      <c r="N88" s="1146" t="s">
        <v>2727</v>
      </c>
    </row>
    <row r="89" spans="1:14" s="367" customFormat="1" ht="60" hidden="1" x14ac:dyDescent="0.2">
      <c r="A89" s="1155"/>
      <c r="B89" s="1155"/>
      <c r="C89" s="1155"/>
      <c r="D89" s="1146">
        <v>100</v>
      </c>
      <c r="E89" s="1146"/>
      <c r="F89" s="1146">
        <v>100</v>
      </c>
      <c r="G89" s="1146"/>
      <c r="H89" s="1146"/>
      <c r="I89" s="1146"/>
      <c r="J89" s="625">
        <v>2314</v>
      </c>
      <c r="K89" s="1146">
        <v>0</v>
      </c>
      <c r="L89" s="1146"/>
      <c r="M89" s="2087"/>
      <c r="N89" s="541" t="s">
        <v>2797</v>
      </c>
    </row>
    <row r="90" spans="1:14" s="367" customFormat="1" ht="16.5" customHeight="1" x14ac:dyDescent="0.2">
      <c r="A90" s="1987">
        <v>8</v>
      </c>
      <c r="B90" s="2088" t="s">
        <v>2799</v>
      </c>
      <c r="C90" s="1872"/>
      <c r="D90" s="253"/>
      <c r="E90" s="253"/>
      <c r="F90" s="253"/>
      <c r="G90" s="253"/>
      <c r="H90" s="253">
        <f>SUM(H91:H94)</f>
        <v>395</v>
      </c>
      <c r="I90" s="253"/>
      <c r="J90" s="1156"/>
      <c r="K90" s="253">
        <f>SUM(K91:K94)</f>
        <v>395</v>
      </c>
      <c r="L90" s="253">
        <f>SUM(L91:L94)</f>
        <v>0</v>
      </c>
      <c r="M90" s="1551"/>
      <c r="N90" s="1146" t="s">
        <v>2800</v>
      </c>
    </row>
    <row r="91" spans="1:14" s="367" customFormat="1" ht="16.5" customHeight="1" x14ac:dyDescent="0.2">
      <c r="A91" s="2055"/>
      <c r="B91" s="2089"/>
      <c r="C91" s="1875"/>
      <c r="D91" s="253"/>
      <c r="E91" s="253"/>
      <c r="F91" s="253"/>
      <c r="G91" s="253"/>
      <c r="H91" s="1146">
        <v>250</v>
      </c>
      <c r="I91" s="253"/>
      <c r="J91" s="625">
        <v>1150</v>
      </c>
      <c r="K91" s="1146">
        <v>250</v>
      </c>
      <c r="L91" s="1146"/>
      <c r="M91" s="2091" t="s">
        <v>2795</v>
      </c>
      <c r="N91" s="1146" t="s">
        <v>2801</v>
      </c>
    </row>
    <row r="92" spans="1:14" s="367" customFormat="1" ht="16.5" customHeight="1" x14ac:dyDescent="0.2">
      <c r="A92" s="2055"/>
      <c r="B92" s="2089"/>
      <c r="C92" s="1875"/>
      <c r="D92" s="1146"/>
      <c r="E92" s="1146"/>
      <c r="F92" s="1146"/>
      <c r="G92" s="1146"/>
      <c r="H92" s="1146">
        <v>13</v>
      </c>
      <c r="I92" s="1146"/>
      <c r="J92" s="625">
        <v>1210</v>
      </c>
      <c r="K92" s="1146">
        <v>13</v>
      </c>
      <c r="L92" s="1146"/>
      <c r="M92" s="2092"/>
      <c r="N92" s="1146" t="s">
        <v>2727</v>
      </c>
    </row>
    <row r="93" spans="1:14" s="367" customFormat="1" ht="16.5" customHeight="1" x14ac:dyDescent="0.2">
      <c r="A93" s="2055"/>
      <c r="B93" s="2089"/>
      <c r="C93" s="1875"/>
      <c r="D93" s="1146"/>
      <c r="E93" s="1146"/>
      <c r="F93" s="1146"/>
      <c r="G93" s="1146"/>
      <c r="H93" s="1146">
        <v>92</v>
      </c>
      <c r="I93" s="1146"/>
      <c r="J93" s="625">
        <v>2231</v>
      </c>
      <c r="K93" s="1146">
        <v>92</v>
      </c>
      <c r="L93" s="1146"/>
      <c r="M93" s="2092"/>
      <c r="N93" s="1162" t="s">
        <v>2802</v>
      </c>
    </row>
    <row r="94" spans="1:14" s="367" customFormat="1" ht="16.5" customHeight="1" x14ac:dyDescent="0.2">
      <c r="A94" s="1988"/>
      <c r="B94" s="2090"/>
      <c r="C94" s="1873"/>
      <c r="D94" s="1146"/>
      <c r="E94" s="1146"/>
      <c r="F94" s="1146"/>
      <c r="G94" s="1146"/>
      <c r="H94" s="1146">
        <v>40</v>
      </c>
      <c r="I94" s="1146"/>
      <c r="J94" s="625">
        <v>2314</v>
      </c>
      <c r="K94" s="1146">
        <v>40</v>
      </c>
      <c r="L94" s="1146"/>
      <c r="M94" s="2093"/>
      <c r="N94" s="541" t="s">
        <v>2803</v>
      </c>
    </row>
    <row r="95" spans="1:14" s="367" customFormat="1" x14ac:dyDescent="0.2">
      <c r="A95" s="1164"/>
      <c r="B95" s="1164"/>
      <c r="C95" s="1164"/>
      <c r="D95" s="1165"/>
      <c r="E95" s="1165"/>
      <c r="F95" s="1165"/>
      <c r="G95" s="1165"/>
      <c r="H95" s="1165"/>
      <c r="I95" s="1165"/>
      <c r="J95" s="1166"/>
      <c r="K95" s="1165"/>
      <c r="L95" s="1165"/>
      <c r="M95" s="1619"/>
      <c r="N95" s="1167"/>
    </row>
    <row r="96" spans="1:14" s="367" customFormat="1" ht="15.75" x14ac:dyDescent="0.25">
      <c r="A96" s="1946" t="s">
        <v>121</v>
      </c>
      <c r="B96" s="1946"/>
      <c r="C96" s="680" t="s">
        <v>2722</v>
      </c>
      <c r="D96" s="680"/>
      <c r="E96" s="680"/>
      <c r="F96" s="680"/>
      <c r="G96" s="680"/>
      <c r="H96" s="680"/>
      <c r="I96" s="680"/>
      <c r="J96" s="680"/>
      <c r="K96" s="680"/>
      <c r="L96" s="680"/>
      <c r="M96" s="1494"/>
      <c r="N96" s="679"/>
    </row>
    <row r="97" spans="1:14" s="367" customFormat="1" x14ac:dyDescent="0.2">
      <c r="A97" s="244" t="s">
        <v>123</v>
      </c>
      <c r="B97" s="244"/>
      <c r="C97" s="1585" t="s">
        <v>2500</v>
      </c>
      <c r="D97" s="1585"/>
      <c r="E97" s="1585"/>
      <c r="F97" s="1585"/>
      <c r="G97" s="1585"/>
      <c r="H97" s="1585"/>
      <c r="I97" s="1585"/>
      <c r="J97" s="1585"/>
      <c r="K97" s="1585"/>
      <c r="L97" s="1585"/>
      <c r="M97" s="1494"/>
      <c r="N97" s="679"/>
    </row>
    <row r="98" spans="1:14" s="367" customFormat="1" ht="14.25" customHeight="1" x14ac:dyDescent="0.2">
      <c r="A98" s="558" t="s">
        <v>125</v>
      </c>
      <c r="B98" s="558"/>
      <c r="C98" s="649" t="s">
        <v>1854</v>
      </c>
      <c r="D98" s="649"/>
      <c r="E98" s="649"/>
      <c r="F98" s="649"/>
      <c r="G98" s="649"/>
      <c r="H98" s="649"/>
      <c r="I98" s="649"/>
      <c r="J98" s="649"/>
      <c r="K98" s="649"/>
      <c r="L98" s="649"/>
      <c r="M98" s="1639"/>
      <c r="N98" s="1154"/>
    </row>
    <row r="99" spans="1:14" s="367" customFormat="1" ht="22.5" customHeight="1" x14ac:dyDescent="0.2">
      <c r="A99" s="1864" t="s">
        <v>1</v>
      </c>
      <c r="B99" s="1870" t="s">
        <v>127</v>
      </c>
      <c r="C99" s="1994"/>
      <c r="D99" s="1864" t="s">
        <v>520</v>
      </c>
      <c r="E99" s="1864"/>
      <c r="F99" s="1864" t="s">
        <v>521</v>
      </c>
      <c r="G99" s="1864"/>
      <c r="H99" s="1864" t="s">
        <v>522</v>
      </c>
      <c r="I99" s="1864"/>
      <c r="J99" s="1864" t="s">
        <v>129</v>
      </c>
      <c r="K99" s="1864" t="s">
        <v>3357</v>
      </c>
      <c r="L99" s="1864"/>
      <c r="M99" s="1864" t="s">
        <v>11</v>
      </c>
      <c r="N99" s="1864" t="s">
        <v>131</v>
      </c>
    </row>
    <row r="100" spans="1:14" s="367" customFormat="1" ht="24" x14ac:dyDescent="0.2">
      <c r="A100" s="1864"/>
      <c r="B100" s="1871"/>
      <c r="C100" s="1995"/>
      <c r="D100" s="1050" t="s">
        <v>524</v>
      </c>
      <c r="E100" s="1050" t="s">
        <v>525</v>
      </c>
      <c r="F100" s="1050" t="s">
        <v>524</v>
      </c>
      <c r="G100" s="1050" t="s">
        <v>525</v>
      </c>
      <c r="H100" s="1050" t="s">
        <v>524</v>
      </c>
      <c r="I100" s="1050" t="s">
        <v>525</v>
      </c>
      <c r="J100" s="1864"/>
      <c r="K100" s="1050" t="s">
        <v>524</v>
      </c>
      <c r="L100" s="1050" t="s">
        <v>525</v>
      </c>
      <c r="M100" s="1864"/>
      <c r="N100" s="1864"/>
    </row>
    <row r="101" spans="1:14" s="367" customFormat="1" ht="12" customHeight="1" x14ac:dyDescent="0.2">
      <c r="A101" s="1807" t="s">
        <v>526</v>
      </c>
      <c r="B101" s="1808"/>
      <c r="C101" s="1809"/>
      <c r="D101" s="253">
        <f>D102+D107+D111+D116+D118+D123+D128+D131+D133+D135+D139+D153</f>
        <v>19774</v>
      </c>
      <c r="E101" s="253">
        <f>E102+E107+E111+E116+E118+E123+E128+E131+E133+E135+E139+E153</f>
        <v>0</v>
      </c>
      <c r="F101" s="253">
        <f>F102+F107+F111+F116+F118+F123+F128+F131+F133+F135+F139+F153</f>
        <v>19774</v>
      </c>
      <c r="G101" s="253">
        <f>G102+G107+G111+G116+G118+G123+G128+G131+G133+G135+G139+G153</f>
        <v>0</v>
      </c>
      <c r="H101" s="253">
        <f>H102+H107+H111+H116+H118+H123+H128+H131+H133+H135+H146+H150+H153</f>
        <v>12540</v>
      </c>
      <c r="I101" s="253">
        <f>I102+I107+I111+I116+I118+I123+I128+I131+I133+I135+I139+I153</f>
        <v>0</v>
      </c>
      <c r="J101" s="1143"/>
      <c r="K101" s="253">
        <f>K102+K107+K111+K116+K118+K123+K128+K131+K133+K135+K146+K150+K153</f>
        <v>8475</v>
      </c>
      <c r="L101" s="253">
        <f t="shared" ref="L101" si="14">L102+L107+L111+L116+L118+L123+L128+L131+L133+L135+L146+L150+L153</f>
        <v>0</v>
      </c>
      <c r="M101" s="450"/>
      <c r="N101" s="253"/>
    </row>
    <row r="102" spans="1:14" s="367" customFormat="1" ht="17.25" customHeight="1" x14ac:dyDescent="0.2">
      <c r="A102" s="1795" t="s">
        <v>1122</v>
      </c>
      <c r="B102" s="1799" t="s">
        <v>2731</v>
      </c>
      <c r="C102" s="1800"/>
      <c r="D102" s="624">
        <f>SUM(D103:D106)</f>
        <v>700</v>
      </c>
      <c r="E102" s="624">
        <f t="shared" ref="E102:I102" si="15">SUM(E103:E106)</f>
        <v>0</v>
      </c>
      <c r="F102" s="624">
        <f t="shared" si="15"/>
        <v>700</v>
      </c>
      <c r="G102" s="624">
        <f t="shared" si="15"/>
        <v>0</v>
      </c>
      <c r="H102" s="624">
        <f t="shared" si="15"/>
        <v>700</v>
      </c>
      <c r="I102" s="624">
        <f t="shared" si="15"/>
        <v>0</v>
      </c>
      <c r="J102" s="254"/>
      <c r="K102" s="253">
        <f>SUM(K103:K106)</f>
        <v>700</v>
      </c>
      <c r="L102" s="253"/>
      <c r="M102" s="450"/>
      <c r="N102" s="1157"/>
    </row>
    <row r="103" spans="1:14" s="367" customFormat="1" ht="17.25" customHeight="1" x14ac:dyDescent="0.2">
      <c r="A103" s="1863"/>
      <c r="B103" s="1889"/>
      <c r="C103" s="1890"/>
      <c r="D103" s="1146">
        <v>333</v>
      </c>
      <c r="E103" s="1146"/>
      <c r="F103" s="1146">
        <v>333</v>
      </c>
      <c r="G103" s="1146"/>
      <c r="H103" s="1146">
        <v>333</v>
      </c>
      <c r="I103" s="1146"/>
      <c r="J103" s="625">
        <v>1150</v>
      </c>
      <c r="K103" s="1146">
        <v>333</v>
      </c>
      <c r="L103" s="1146"/>
      <c r="M103" s="2087" t="s">
        <v>2732</v>
      </c>
      <c r="N103" s="254" t="s">
        <v>2804</v>
      </c>
    </row>
    <row r="104" spans="1:14" s="367" customFormat="1" ht="17.25" customHeight="1" x14ac:dyDescent="0.2">
      <c r="A104" s="1863"/>
      <c r="B104" s="1889"/>
      <c r="C104" s="1890"/>
      <c r="D104" s="1146">
        <v>17</v>
      </c>
      <c r="E104" s="1146"/>
      <c r="F104" s="1146">
        <v>17</v>
      </c>
      <c r="G104" s="1146"/>
      <c r="H104" s="1146">
        <v>17</v>
      </c>
      <c r="I104" s="1146"/>
      <c r="J104" s="625">
        <v>1210</v>
      </c>
      <c r="K104" s="1146">
        <v>17</v>
      </c>
      <c r="L104" s="1146"/>
      <c r="M104" s="2087"/>
      <c r="N104" s="1146" t="s">
        <v>2727</v>
      </c>
    </row>
    <row r="105" spans="1:14" s="367" customFormat="1" ht="17.25" customHeight="1" x14ac:dyDescent="0.2">
      <c r="A105" s="1863"/>
      <c r="B105" s="1889"/>
      <c r="C105" s="1890"/>
      <c r="D105" s="1146">
        <v>50</v>
      </c>
      <c r="E105" s="1146"/>
      <c r="F105" s="1146">
        <v>50</v>
      </c>
      <c r="G105" s="1146"/>
      <c r="H105" s="1146">
        <v>50</v>
      </c>
      <c r="I105" s="1146"/>
      <c r="J105" s="625">
        <v>2231</v>
      </c>
      <c r="K105" s="1146">
        <v>50</v>
      </c>
      <c r="L105" s="1146"/>
      <c r="M105" s="2087"/>
      <c r="N105" s="254" t="s">
        <v>2805</v>
      </c>
    </row>
    <row r="106" spans="1:14" s="367" customFormat="1" ht="17.25" customHeight="1" x14ac:dyDescent="0.2">
      <c r="A106" s="1796"/>
      <c r="B106" s="1801"/>
      <c r="C106" s="1802"/>
      <c r="D106" s="1146">
        <v>300</v>
      </c>
      <c r="E106" s="1146"/>
      <c r="F106" s="1146">
        <v>300</v>
      </c>
      <c r="G106" s="1146"/>
      <c r="H106" s="1146">
        <v>300</v>
      </c>
      <c r="I106" s="1146"/>
      <c r="J106" s="625">
        <v>2314</v>
      </c>
      <c r="K106" s="1146">
        <v>300</v>
      </c>
      <c r="L106" s="1146"/>
      <c r="M106" s="2087"/>
      <c r="N106" s="1156" t="s">
        <v>2806</v>
      </c>
    </row>
    <row r="107" spans="1:14" s="367" customFormat="1" ht="15.75" customHeight="1" x14ac:dyDescent="0.2">
      <c r="A107" s="1987" t="s">
        <v>1129</v>
      </c>
      <c r="B107" s="2088" t="s">
        <v>2807</v>
      </c>
      <c r="C107" s="1872"/>
      <c r="D107" s="253">
        <f t="shared" ref="D107:I107" si="16">SUM(D108:D110)</f>
        <v>11598</v>
      </c>
      <c r="E107" s="253">
        <f t="shared" si="16"/>
        <v>0</v>
      </c>
      <c r="F107" s="253">
        <f t="shared" si="16"/>
        <v>11598</v>
      </c>
      <c r="G107" s="253">
        <f t="shared" si="16"/>
        <v>0</v>
      </c>
      <c r="H107" s="253">
        <f>SUM(H108:H110)</f>
        <v>720</v>
      </c>
      <c r="I107" s="253">
        <f t="shared" si="16"/>
        <v>0</v>
      </c>
      <c r="J107" s="1156"/>
      <c r="K107" s="253">
        <f>SUM(K108:K110)</f>
        <v>720</v>
      </c>
      <c r="L107" s="253">
        <f t="shared" ref="L107" si="17">SUM(L108:L110)</f>
        <v>0</v>
      </c>
      <c r="M107" s="1551"/>
      <c r="N107" s="1146" t="s">
        <v>2808</v>
      </c>
    </row>
    <row r="108" spans="1:14" s="367" customFormat="1" ht="24.75" customHeight="1" x14ac:dyDescent="0.2">
      <c r="A108" s="2055"/>
      <c r="B108" s="2089"/>
      <c r="C108" s="1875"/>
      <c r="D108" s="1146">
        <v>6354</v>
      </c>
      <c r="E108" s="1146"/>
      <c r="F108" s="1146">
        <v>6354</v>
      </c>
      <c r="G108" s="1146"/>
      <c r="H108" s="1146">
        <v>161</v>
      </c>
      <c r="I108" s="1146"/>
      <c r="J108" s="625">
        <v>1150</v>
      </c>
      <c r="K108" s="1146">
        <v>161</v>
      </c>
      <c r="L108" s="1146"/>
      <c r="M108" s="2087" t="s">
        <v>2809</v>
      </c>
      <c r="N108" s="1146" t="s">
        <v>2810</v>
      </c>
    </row>
    <row r="109" spans="1:14" s="367" customFormat="1" ht="24.75" customHeight="1" x14ac:dyDescent="0.2">
      <c r="A109" s="2055"/>
      <c r="B109" s="2089"/>
      <c r="C109" s="1875"/>
      <c r="D109" s="1146">
        <v>297</v>
      </c>
      <c r="E109" s="1146"/>
      <c r="F109" s="1146">
        <v>297</v>
      </c>
      <c r="G109" s="1146"/>
      <c r="H109" s="1146">
        <v>9</v>
      </c>
      <c r="I109" s="1146"/>
      <c r="J109" s="625">
        <v>1210</v>
      </c>
      <c r="K109" s="1146">
        <v>9</v>
      </c>
      <c r="L109" s="1146"/>
      <c r="M109" s="2087"/>
      <c r="N109" s="1146" t="s">
        <v>2727</v>
      </c>
    </row>
    <row r="110" spans="1:14" s="367" customFormat="1" ht="24.75" customHeight="1" x14ac:dyDescent="0.2">
      <c r="A110" s="1988"/>
      <c r="B110" s="2090"/>
      <c r="C110" s="1873"/>
      <c r="D110" s="1146">
        <v>4947</v>
      </c>
      <c r="E110" s="1146"/>
      <c r="F110" s="1146">
        <v>4947</v>
      </c>
      <c r="G110" s="1146"/>
      <c r="H110" s="1146">
        <v>550</v>
      </c>
      <c r="I110" s="1146"/>
      <c r="J110" s="625">
        <v>2314</v>
      </c>
      <c r="K110" s="1146">
        <v>550</v>
      </c>
      <c r="L110" s="1146"/>
      <c r="M110" s="2087"/>
      <c r="N110" s="1146" t="s">
        <v>2811</v>
      </c>
    </row>
    <row r="111" spans="1:14" s="367" customFormat="1" ht="18.75" customHeight="1" x14ac:dyDescent="0.2">
      <c r="A111" s="1987" t="s">
        <v>2812</v>
      </c>
      <c r="B111" s="1799" t="s">
        <v>2813</v>
      </c>
      <c r="C111" s="1800"/>
      <c r="D111" s="253">
        <f>SUM(D112:D115)</f>
        <v>547</v>
      </c>
      <c r="E111" s="253">
        <f t="shared" ref="E111:I111" si="18">SUM(E112:E115)</f>
        <v>0</v>
      </c>
      <c r="F111" s="253">
        <f t="shared" si="18"/>
        <v>547</v>
      </c>
      <c r="G111" s="253">
        <f t="shared" si="18"/>
        <v>0</v>
      </c>
      <c r="H111" s="253">
        <f>SUM(H112:H115)</f>
        <v>547</v>
      </c>
      <c r="I111" s="253">
        <f t="shared" si="18"/>
        <v>0</v>
      </c>
      <c r="J111" s="1156"/>
      <c r="K111" s="253">
        <f>SUM(K112:K115)</f>
        <v>505</v>
      </c>
      <c r="L111" s="253">
        <f t="shared" ref="L111" si="19">SUM(L112:L115)</f>
        <v>0</v>
      </c>
      <c r="M111" s="1551"/>
      <c r="N111" s="1157"/>
    </row>
    <row r="112" spans="1:14" s="367" customFormat="1" ht="18.75" customHeight="1" x14ac:dyDescent="0.2">
      <c r="A112" s="2055"/>
      <c r="B112" s="1889"/>
      <c r="C112" s="1890"/>
      <c r="D112" s="541">
        <v>340</v>
      </c>
      <c r="E112" s="541"/>
      <c r="F112" s="541">
        <v>340</v>
      </c>
      <c r="G112" s="541"/>
      <c r="H112" s="541">
        <v>340</v>
      </c>
      <c r="I112" s="541"/>
      <c r="J112" s="625">
        <v>1150</v>
      </c>
      <c r="K112" s="541">
        <v>300</v>
      </c>
      <c r="L112" s="1144"/>
      <c r="M112" s="1969" t="s">
        <v>2814</v>
      </c>
      <c r="N112" s="1047" t="s">
        <v>2815</v>
      </c>
    </row>
    <row r="113" spans="1:14" s="367" customFormat="1" ht="18.75" customHeight="1" x14ac:dyDescent="0.2">
      <c r="A113" s="2055"/>
      <c r="B113" s="1889"/>
      <c r="C113" s="1890"/>
      <c r="D113" s="541">
        <v>17</v>
      </c>
      <c r="E113" s="541"/>
      <c r="F113" s="541">
        <v>17</v>
      </c>
      <c r="G113" s="541"/>
      <c r="H113" s="541">
        <v>17</v>
      </c>
      <c r="I113" s="541"/>
      <c r="J113" s="625">
        <v>1210</v>
      </c>
      <c r="K113" s="541">
        <v>15</v>
      </c>
      <c r="L113" s="1144"/>
      <c r="M113" s="1969"/>
      <c r="N113" s="1146" t="s">
        <v>2727</v>
      </c>
    </row>
    <row r="114" spans="1:14" s="367" customFormat="1" ht="18.75" customHeight="1" x14ac:dyDescent="0.2">
      <c r="A114" s="2055"/>
      <c r="B114" s="1889"/>
      <c r="C114" s="1890"/>
      <c r="D114" s="541">
        <v>20</v>
      </c>
      <c r="E114" s="541"/>
      <c r="F114" s="541">
        <v>20</v>
      </c>
      <c r="G114" s="541"/>
      <c r="H114" s="541">
        <v>20</v>
      </c>
      <c r="I114" s="541"/>
      <c r="J114" s="625">
        <v>2311</v>
      </c>
      <c r="K114" s="541">
        <v>20</v>
      </c>
      <c r="L114" s="1144"/>
      <c r="M114" s="1969"/>
      <c r="N114" s="617" t="s">
        <v>2816</v>
      </c>
    </row>
    <row r="115" spans="1:14" s="367" customFormat="1" ht="18.75" customHeight="1" x14ac:dyDescent="0.2">
      <c r="A115" s="1988"/>
      <c r="B115" s="1801"/>
      <c r="C115" s="1802"/>
      <c r="D115" s="541">
        <v>170</v>
      </c>
      <c r="E115" s="541"/>
      <c r="F115" s="541">
        <v>170</v>
      </c>
      <c r="G115" s="541"/>
      <c r="H115" s="541">
        <v>170</v>
      </c>
      <c r="I115" s="541"/>
      <c r="J115" s="625">
        <v>2314</v>
      </c>
      <c r="K115" s="541">
        <v>170</v>
      </c>
      <c r="L115" s="1144"/>
      <c r="M115" s="1969"/>
      <c r="N115" s="1156" t="s">
        <v>2817</v>
      </c>
    </row>
    <row r="116" spans="1:14" s="367" customFormat="1" ht="22.5" customHeight="1" x14ac:dyDescent="0.2">
      <c r="A116" s="1987" t="s">
        <v>1137</v>
      </c>
      <c r="B116" s="1799" t="s">
        <v>2818</v>
      </c>
      <c r="C116" s="1800"/>
      <c r="D116" s="253">
        <f>SUM(D117)</f>
        <v>434</v>
      </c>
      <c r="E116" s="253">
        <f t="shared" ref="E116:I116" si="20">SUM(E117)</f>
        <v>0</v>
      </c>
      <c r="F116" s="253">
        <f t="shared" si="20"/>
        <v>434</v>
      </c>
      <c r="G116" s="253">
        <f t="shared" si="20"/>
        <v>0</v>
      </c>
      <c r="H116" s="253">
        <f>SUM(H117)</f>
        <v>434</v>
      </c>
      <c r="I116" s="253">
        <f t="shared" si="20"/>
        <v>0</v>
      </c>
      <c r="J116" s="1156"/>
      <c r="K116" s="253">
        <f t="shared" ref="K116" si="21">SUM(K117)</f>
        <v>434</v>
      </c>
      <c r="L116" s="253">
        <f>SUM(L117)</f>
        <v>0</v>
      </c>
      <c r="M116" s="1551"/>
      <c r="N116" s="1157"/>
    </row>
    <row r="117" spans="1:14" s="367" customFormat="1" ht="45" customHeight="1" x14ac:dyDescent="0.2">
      <c r="A117" s="1988"/>
      <c r="B117" s="1801"/>
      <c r="C117" s="1802"/>
      <c r="D117" s="1146">
        <v>434</v>
      </c>
      <c r="E117" s="1146"/>
      <c r="F117" s="1146">
        <v>434</v>
      </c>
      <c r="G117" s="1146"/>
      <c r="H117" s="1146">
        <v>434</v>
      </c>
      <c r="I117" s="1146"/>
      <c r="J117" s="625">
        <v>2314</v>
      </c>
      <c r="K117" s="1146">
        <v>434</v>
      </c>
      <c r="L117" s="1146"/>
      <c r="M117" s="1526" t="s">
        <v>2819</v>
      </c>
      <c r="N117" s="1146" t="s">
        <v>2820</v>
      </c>
    </row>
    <row r="118" spans="1:14" s="367" customFormat="1" ht="21" customHeight="1" x14ac:dyDescent="0.2">
      <c r="A118" s="1987" t="s">
        <v>1141</v>
      </c>
      <c r="B118" s="2088" t="s">
        <v>2821</v>
      </c>
      <c r="C118" s="1872"/>
      <c r="D118" s="253">
        <f>SUM(D119:D122)</f>
        <v>1851</v>
      </c>
      <c r="E118" s="253">
        <f t="shared" ref="E118:I118" si="22">SUM(E119:E122)</f>
        <v>0</v>
      </c>
      <c r="F118" s="253">
        <f t="shared" si="22"/>
        <v>1851</v>
      </c>
      <c r="G118" s="253">
        <f t="shared" si="22"/>
        <v>0</v>
      </c>
      <c r="H118" s="253">
        <f>SUM(H119:H122)</f>
        <v>1165</v>
      </c>
      <c r="I118" s="253">
        <f t="shared" si="22"/>
        <v>0</v>
      </c>
      <c r="J118" s="1156"/>
      <c r="K118" s="253">
        <f>SUM(K119:K122)</f>
        <v>930</v>
      </c>
      <c r="L118" s="253">
        <f t="shared" ref="L118" si="23">SUM(L119:L122)</f>
        <v>0</v>
      </c>
      <c r="M118" s="1551"/>
      <c r="N118" s="1146" t="s">
        <v>2822</v>
      </c>
    </row>
    <row r="119" spans="1:14" s="367" customFormat="1" ht="21" customHeight="1" x14ac:dyDescent="0.2">
      <c r="A119" s="2055"/>
      <c r="B119" s="2089"/>
      <c r="C119" s="1875"/>
      <c r="D119" s="1146">
        <v>458</v>
      </c>
      <c r="E119" s="1146"/>
      <c r="F119" s="1146">
        <v>458</v>
      </c>
      <c r="G119" s="253"/>
      <c r="H119" s="1146">
        <v>161</v>
      </c>
      <c r="I119" s="253"/>
      <c r="J119" s="625">
        <v>1150</v>
      </c>
      <c r="K119" s="1146">
        <v>161</v>
      </c>
      <c r="L119" s="1146"/>
      <c r="M119" s="1815" t="s">
        <v>2824</v>
      </c>
      <c r="N119" s="1146" t="s">
        <v>2823</v>
      </c>
    </row>
    <row r="120" spans="1:14" s="367" customFormat="1" ht="21" customHeight="1" x14ac:dyDescent="0.2">
      <c r="A120" s="2055"/>
      <c r="B120" s="2089"/>
      <c r="C120" s="1875"/>
      <c r="D120" s="1146">
        <v>23</v>
      </c>
      <c r="E120" s="1146"/>
      <c r="F120" s="1146">
        <v>23</v>
      </c>
      <c r="G120" s="253"/>
      <c r="H120" s="1146">
        <v>9</v>
      </c>
      <c r="I120" s="253"/>
      <c r="J120" s="625">
        <v>1210</v>
      </c>
      <c r="K120" s="1146">
        <v>9</v>
      </c>
      <c r="L120" s="1146"/>
      <c r="M120" s="1887"/>
      <c r="N120" s="1146" t="s">
        <v>2727</v>
      </c>
    </row>
    <row r="121" spans="1:14" s="367" customFormat="1" ht="21" customHeight="1" x14ac:dyDescent="0.2">
      <c r="A121" s="2055"/>
      <c r="B121" s="2089"/>
      <c r="C121" s="1875"/>
      <c r="D121" s="1146">
        <v>1270</v>
      </c>
      <c r="E121" s="1146"/>
      <c r="F121" s="1146">
        <v>1270</v>
      </c>
      <c r="G121" s="1146"/>
      <c r="H121" s="1146">
        <v>835</v>
      </c>
      <c r="I121" s="1146"/>
      <c r="J121" s="625">
        <v>2231</v>
      </c>
      <c r="K121" s="1146">
        <v>700</v>
      </c>
      <c r="L121" s="1146"/>
      <c r="M121" s="1887"/>
      <c r="N121" s="1156" t="s">
        <v>2825</v>
      </c>
    </row>
    <row r="122" spans="1:14" ht="21" customHeight="1" x14ac:dyDescent="0.2">
      <c r="A122" s="1988"/>
      <c r="B122" s="2090"/>
      <c r="C122" s="1873"/>
      <c r="D122" s="1146">
        <v>100</v>
      </c>
      <c r="E122" s="1146"/>
      <c r="F122" s="1146">
        <v>100</v>
      </c>
      <c r="G122" s="1146"/>
      <c r="H122" s="1146">
        <v>160</v>
      </c>
      <c r="I122" s="1146"/>
      <c r="J122" s="625">
        <v>2314</v>
      </c>
      <c r="K122" s="1146">
        <v>60</v>
      </c>
      <c r="L122" s="1146"/>
      <c r="M122" s="1816"/>
      <c r="N122" s="1156" t="s">
        <v>2826</v>
      </c>
    </row>
    <row r="123" spans="1:14" ht="21.75" customHeight="1" x14ac:dyDescent="0.2">
      <c r="A123" s="1987" t="s">
        <v>1144</v>
      </c>
      <c r="B123" s="2088" t="s">
        <v>2827</v>
      </c>
      <c r="C123" s="1872"/>
      <c r="D123" s="253">
        <f>SUM(D124:D127)</f>
        <v>802</v>
      </c>
      <c r="E123" s="253">
        <f t="shared" ref="E123:I123" si="24">SUM(E124:E127)</f>
        <v>0</v>
      </c>
      <c r="F123" s="253">
        <f t="shared" si="24"/>
        <v>802</v>
      </c>
      <c r="G123" s="253">
        <f t="shared" si="24"/>
        <v>0</v>
      </c>
      <c r="H123" s="253">
        <f>SUM(H124:H127)</f>
        <v>1553</v>
      </c>
      <c r="I123" s="253">
        <f t="shared" si="24"/>
        <v>0</v>
      </c>
      <c r="J123" s="1156"/>
      <c r="K123" s="253">
        <f t="shared" ref="K123:L123" si="25">SUM(K124:K127)</f>
        <v>934</v>
      </c>
      <c r="L123" s="253">
        <f t="shared" si="25"/>
        <v>0</v>
      </c>
      <c r="M123" s="1551"/>
      <c r="N123" s="1156" t="s">
        <v>2828</v>
      </c>
    </row>
    <row r="124" spans="1:14" ht="21.75" customHeight="1" x14ac:dyDescent="0.2">
      <c r="A124" s="2055"/>
      <c r="B124" s="2089"/>
      <c r="C124" s="1875"/>
      <c r="D124" s="1146">
        <v>200</v>
      </c>
      <c r="E124" s="1146"/>
      <c r="F124" s="1146">
        <v>200</v>
      </c>
      <c r="G124" s="1146"/>
      <c r="H124" s="1146">
        <v>789</v>
      </c>
      <c r="I124" s="1146"/>
      <c r="J124" s="625">
        <v>1150</v>
      </c>
      <c r="K124" s="1146">
        <v>200</v>
      </c>
      <c r="L124" s="1146"/>
      <c r="M124" s="2087" t="s">
        <v>2829</v>
      </c>
      <c r="N124" s="1156" t="s">
        <v>2830</v>
      </c>
    </row>
    <row r="125" spans="1:14" ht="21.75" customHeight="1" x14ac:dyDescent="0.2">
      <c r="A125" s="2055"/>
      <c r="B125" s="2089"/>
      <c r="C125" s="1875"/>
      <c r="D125" s="1146">
        <v>10</v>
      </c>
      <c r="E125" s="1146"/>
      <c r="F125" s="1146">
        <v>10</v>
      </c>
      <c r="G125" s="1146"/>
      <c r="H125" s="1146">
        <v>40</v>
      </c>
      <c r="I125" s="1146"/>
      <c r="J125" s="625">
        <v>1210</v>
      </c>
      <c r="K125" s="1146">
        <v>10</v>
      </c>
      <c r="L125" s="1146"/>
      <c r="M125" s="2087"/>
      <c r="N125" s="1146" t="s">
        <v>2727</v>
      </c>
    </row>
    <row r="126" spans="1:14" ht="21.75" customHeight="1" x14ac:dyDescent="0.2">
      <c r="A126" s="2055"/>
      <c r="B126" s="2089"/>
      <c r="C126" s="1875"/>
      <c r="D126" s="1146">
        <v>392</v>
      </c>
      <c r="E126" s="1146"/>
      <c r="F126" s="1146">
        <v>392</v>
      </c>
      <c r="G126" s="1146"/>
      <c r="H126" s="1146">
        <v>444</v>
      </c>
      <c r="I126" s="1146"/>
      <c r="J126" s="625">
        <v>2231</v>
      </c>
      <c r="K126" s="1146">
        <v>444</v>
      </c>
      <c r="L126" s="1146"/>
      <c r="M126" s="2087"/>
      <c r="N126" s="1047" t="s">
        <v>2831</v>
      </c>
    </row>
    <row r="127" spans="1:14" ht="21.75" customHeight="1" x14ac:dyDescent="0.2">
      <c r="A127" s="1988"/>
      <c r="B127" s="2090"/>
      <c r="C127" s="1873"/>
      <c r="D127" s="1146">
        <v>200</v>
      </c>
      <c r="E127" s="1146"/>
      <c r="F127" s="1146">
        <v>200</v>
      </c>
      <c r="G127" s="1146"/>
      <c r="H127" s="1146">
        <v>280</v>
      </c>
      <c r="I127" s="1146"/>
      <c r="J127" s="625">
        <v>2314</v>
      </c>
      <c r="K127" s="1146">
        <v>280</v>
      </c>
      <c r="L127" s="1146"/>
      <c r="M127" s="2087"/>
      <c r="N127" s="1146" t="s">
        <v>2832</v>
      </c>
    </row>
    <row r="128" spans="1:14" ht="21.75" customHeight="1" x14ac:dyDescent="0.2">
      <c r="A128" s="1987" t="s">
        <v>2788</v>
      </c>
      <c r="B128" s="2088" t="s">
        <v>2833</v>
      </c>
      <c r="C128" s="1872"/>
      <c r="D128" s="253">
        <f>SUM(D129:D130)</f>
        <v>1450</v>
      </c>
      <c r="E128" s="253">
        <f t="shared" ref="E128:I128" si="26">SUM(E129:E130)</f>
        <v>0</v>
      </c>
      <c r="F128" s="253">
        <f t="shared" si="26"/>
        <v>1450</v>
      </c>
      <c r="G128" s="253">
        <f t="shared" si="26"/>
        <v>0</v>
      </c>
      <c r="H128" s="253">
        <f>SUM(H129:H130)</f>
        <v>1450</v>
      </c>
      <c r="I128" s="253">
        <f t="shared" si="26"/>
        <v>0</v>
      </c>
      <c r="J128" s="1156"/>
      <c r="K128" s="253">
        <f t="shared" ref="K128:L128" si="27">SUM(K129:K130)</f>
        <v>1450</v>
      </c>
      <c r="L128" s="253">
        <f t="shared" si="27"/>
        <v>0</v>
      </c>
      <c r="M128" s="1551"/>
      <c r="N128" s="1157"/>
    </row>
    <row r="129" spans="1:14" ht="21.75" customHeight="1" x14ac:dyDescent="0.2">
      <c r="A129" s="2055"/>
      <c r="B129" s="2089"/>
      <c r="C129" s="1875"/>
      <c r="D129" s="1146">
        <v>550</v>
      </c>
      <c r="E129" s="1146"/>
      <c r="F129" s="1146">
        <v>550</v>
      </c>
      <c r="G129" s="1146"/>
      <c r="H129" s="1146">
        <v>550</v>
      </c>
      <c r="I129" s="1146"/>
      <c r="J129" s="625">
        <v>5234</v>
      </c>
      <c r="K129" s="1146">
        <v>550</v>
      </c>
      <c r="L129" s="1146"/>
      <c r="M129" s="1969" t="s">
        <v>2834</v>
      </c>
      <c r="N129" s="1156" t="s">
        <v>2835</v>
      </c>
    </row>
    <row r="130" spans="1:14" ht="21.75" customHeight="1" x14ac:dyDescent="0.2">
      <c r="A130" s="1988"/>
      <c r="B130" s="2090"/>
      <c r="C130" s="1873"/>
      <c r="D130" s="1146">
        <v>900</v>
      </c>
      <c r="E130" s="1146"/>
      <c r="F130" s="1146">
        <v>900</v>
      </c>
      <c r="G130" s="1146"/>
      <c r="H130" s="1146">
        <v>900</v>
      </c>
      <c r="I130" s="1146"/>
      <c r="J130" s="625">
        <v>5236</v>
      </c>
      <c r="K130" s="1146">
        <v>900</v>
      </c>
      <c r="L130" s="1146"/>
      <c r="M130" s="1969"/>
      <c r="N130" s="1156" t="s">
        <v>2836</v>
      </c>
    </row>
    <row r="131" spans="1:14" ht="21.75" customHeight="1" x14ac:dyDescent="0.2">
      <c r="A131" s="1987" t="s">
        <v>2792</v>
      </c>
      <c r="B131" s="1799" t="s">
        <v>2837</v>
      </c>
      <c r="C131" s="1800"/>
      <c r="D131" s="253">
        <f>SUM(D132)</f>
        <v>600</v>
      </c>
      <c r="E131" s="253">
        <f t="shared" ref="E131:I131" si="28">SUM(E132)</f>
        <v>0</v>
      </c>
      <c r="F131" s="253">
        <f t="shared" si="28"/>
        <v>600</v>
      </c>
      <c r="G131" s="253">
        <f t="shared" si="28"/>
        <v>0</v>
      </c>
      <c r="H131" s="253">
        <f>SUM(H132)</f>
        <v>600</v>
      </c>
      <c r="I131" s="253">
        <f t="shared" si="28"/>
        <v>0</v>
      </c>
      <c r="J131" s="1156"/>
      <c r="K131" s="253">
        <f t="shared" ref="K131:L131" si="29">SUM(K132)</f>
        <v>600</v>
      </c>
      <c r="L131" s="253">
        <f t="shared" si="29"/>
        <v>0</v>
      </c>
      <c r="M131" s="1551"/>
      <c r="N131" s="1157"/>
    </row>
    <row r="132" spans="1:14" ht="36.75" customHeight="1" x14ac:dyDescent="0.2">
      <c r="A132" s="1988"/>
      <c r="B132" s="1801"/>
      <c r="C132" s="1802"/>
      <c r="D132" s="1146">
        <v>600</v>
      </c>
      <c r="E132" s="1146"/>
      <c r="F132" s="1146">
        <v>600</v>
      </c>
      <c r="G132" s="1146"/>
      <c r="H132" s="1146">
        <v>600</v>
      </c>
      <c r="I132" s="1146"/>
      <c r="J132" s="625">
        <v>2232</v>
      </c>
      <c r="K132" s="1146">
        <v>600</v>
      </c>
      <c r="L132" s="1146"/>
      <c r="M132" s="1526" t="s">
        <v>2834</v>
      </c>
      <c r="N132" s="1156" t="s">
        <v>2838</v>
      </c>
    </row>
    <row r="133" spans="1:14" ht="15.75" customHeight="1" x14ac:dyDescent="0.2">
      <c r="A133" s="1987" t="s">
        <v>2798</v>
      </c>
      <c r="B133" s="2088" t="s">
        <v>2839</v>
      </c>
      <c r="C133" s="1872"/>
      <c r="D133" s="253">
        <f>SUM(D134)</f>
        <v>100</v>
      </c>
      <c r="E133" s="253">
        <f t="shared" ref="E133:L133" si="30">SUM(E134)</f>
        <v>0</v>
      </c>
      <c r="F133" s="253">
        <f t="shared" si="30"/>
        <v>100</v>
      </c>
      <c r="G133" s="253">
        <f t="shared" si="30"/>
        <v>0</v>
      </c>
      <c r="H133" s="253">
        <f t="shared" si="30"/>
        <v>100</v>
      </c>
      <c r="I133" s="253">
        <f t="shared" si="30"/>
        <v>0</v>
      </c>
      <c r="J133" s="1156"/>
      <c r="K133" s="253">
        <f>SUM(K134)</f>
        <v>100</v>
      </c>
      <c r="L133" s="253">
        <f t="shared" si="30"/>
        <v>0</v>
      </c>
      <c r="M133" s="1526"/>
      <c r="N133" s="1146"/>
    </row>
    <row r="134" spans="1:14" ht="45.75" customHeight="1" x14ac:dyDescent="0.2">
      <c r="A134" s="1988"/>
      <c r="B134" s="2090"/>
      <c r="C134" s="1873"/>
      <c r="D134" s="1146">
        <v>100</v>
      </c>
      <c r="E134" s="1146"/>
      <c r="F134" s="1146">
        <v>100</v>
      </c>
      <c r="G134" s="1146"/>
      <c r="H134" s="1146">
        <v>100</v>
      </c>
      <c r="I134" s="1146"/>
      <c r="J134" s="625">
        <v>2239</v>
      </c>
      <c r="K134" s="1146">
        <v>100</v>
      </c>
      <c r="L134" s="1146"/>
      <c r="M134" s="1526" t="s">
        <v>2840</v>
      </c>
      <c r="N134" s="1146"/>
    </row>
    <row r="135" spans="1:14" ht="17.25" customHeight="1" x14ac:dyDescent="0.2">
      <c r="A135" s="1987" t="s">
        <v>2841</v>
      </c>
      <c r="B135" s="1799" t="s">
        <v>2842</v>
      </c>
      <c r="C135" s="1800"/>
      <c r="D135" s="253">
        <f>SUM(D136:D138)</f>
        <v>1150</v>
      </c>
      <c r="E135" s="253">
        <f t="shared" ref="E135:I135" si="31">SUM(E136:E138)</f>
        <v>0</v>
      </c>
      <c r="F135" s="253">
        <f t="shared" si="31"/>
        <v>1150</v>
      </c>
      <c r="G135" s="253">
        <f t="shared" si="31"/>
        <v>0</v>
      </c>
      <c r="H135" s="253">
        <f>SUM(H136:H138)</f>
        <v>1144</v>
      </c>
      <c r="I135" s="253">
        <f t="shared" si="31"/>
        <v>0</v>
      </c>
      <c r="J135" s="1156"/>
      <c r="K135" s="253">
        <f t="shared" ref="K135:L135" si="32">SUM(K136:K138)</f>
        <v>1144</v>
      </c>
      <c r="L135" s="253">
        <f t="shared" si="32"/>
        <v>0</v>
      </c>
      <c r="M135" s="1551"/>
      <c r="N135" s="1146"/>
    </row>
    <row r="136" spans="1:14" ht="17.25" customHeight="1" x14ac:dyDescent="0.2">
      <c r="A136" s="2055"/>
      <c r="B136" s="1889"/>
      <c r="C136" s="1890"/>
      <c r="D136" s="1146">
        <v>142</v>
      </c>
      <c r="E136" s="1146"/>
      <c r="F136" s="1146">
        <v>142</v>
      </c>
      <c r="G136" s="1146"/>
      <c r="H136" s="1146">
        <v>142</v>
      </c>
      <c r="I136" s="1146"/>
      <c r="J136" s="625">
        <v>1150</v>
      </c>
      <c r="K136" s="1146">
        <v>142</v>
      </c>
      <c r="L136" s="1146"/>
      <c r="M136" s="1815" t="s">
        <v>2843</v>
      </c>
      <c r="N136" s="1156" t="s">
        <v>2844</v>
      </c>
    </row>
    <row r="137" spans="1:14" ht="17.25" customHeight="1" x14ac:dyDescent="0.2">
      <c r="A137" s="2055"/>
      <c r="B137" s="1889"/>
      <c r="C137" s="1890"/>
      <c r="D137" s="1146">
        <v>8</v>
      </c>
      <c r="E137" s="1146"/>
      <c r="F137" s="1146">
        <v>8</v>
      </c>
      <c r="G137" s="1146"/>
      <c r="H137" s="1146">
        <v>8</v>
      </c>
      <c r="I137" s="1146"/>
      <c r="J137" s="625">
        <v>1210</v>
      </c>
      <c r="K137" s="1146">
        <v>8</v>
      </c>
      <c r="L137" s="1146"/>
      <c r="M137" s="1887"/>
      <c r="N137" s="1146" t="s">
        <v>2727</v>
      </c>
    </row>
    <row r="138" spans="1:14" ht="17.25" customHeight="1" x14ac:dyDescent="0.2">
      <c r="A138" s="1988"/>
      <c r="B138" s="1801"/>
      <c r="C138" s="1802"/>
      <c r="D138" s="1146">
        <v>1000</v>
      </c>
      <c r="E138" s="1146"/>
      <c r="F138" s="1146">
        <v>1000</v>
      </c>
      <c r="G138" s="1146"/>
      <c r="H138" s="1146">
        <v>994</v>
      </c>
      <c r="I138" s="1146"/>
      <c r="J138" s="625">
        <v>2314</v>
      </c>
      <c r="K138" s="1146">
        <v>994</v>
      </c>
      <c r="L138" s="1146"/>
      <c r="M138" s="1816"/>
      <c r="N138" s="1168" t="s">
        <v>2845</v>
      </c>
    </row>
    <row r="139" spans="1:14" ht="30.75" hidden="1" customHeight="1" x14ac:dyDescent="0.2">
      <c r="A139" s="1155" t="s">
        <v>2846</v>
      </c>
      <c r="B139" s="617" t="s">
        <v>2847</v>
      </c>
      <c r="C139" s="617"/>
      <c r="D139" s="253">
        <f>SUM(D140:D141)</f>
        <v>542</v>
      </c>
      <c r="E139" s="253">
        <f t="shared" ref="E139:I139" si="33">SUM(E140:E141)</f>
        <v>0</v>
      </c>
      <c r="F139" s="253">
        <f t="shared" si="33"/>
        <v>542</v>
      </c>
      <c r="G139" s="253">
        <f t="shared" si="33"/>
        <v>0</v>
      </c>
      <c r="H139" s="253">
        <f t="shared" si="33"/>
        <v>0</v>
      </c>
      <c r="I139" s="253">
        <f t="shared" si="33"/>
        <v>0</v>
      </c>
      <c r="J139" s="1156"/>
      <c r="K139" s="1146"/>
      <c r="L139" s="1146"/>
      <c r="M139" s="1551"/>
      <c r="N139" s="1146" t="s">
        <v>2848</v>
      </c>
    </row>
    <row r="140" spans="1:14" ht="60" hidden="1" x14ac:dyDescent="0.2">
      <c r="A140" s="1155"/>
      <c r="B140" s="254"/>
      <c r="C140" s="254"/>
      <c r="D140" s="1146">
        <v>272</v>
      </c>
      <c r="E140" s="1146"/>
      <c r="F140" s="1146">
        <v>272</v>
      </c>
      <c r="G140" s="1146"/>
      <c r="H140" s="1146"/>
      <c r="I140" s="1146"/>
      <c r="J140" s="625">
        <v>2279</v>
      </c>
      <c r="K140" s="1146">
        <v>0</v>
      </c>
      <c r="L140" s="1146"/>
      <c r="M140" s="1969" t="s">
        <v>2849</v>
      </c>
      <c r="N140" s="1146" t="s">
        <v>2850</v>
      </c>
    </row>
    <row r="141" spans="1:14" hidden="1" x14ac:dyDescent="0.2">
      <c r="A141" s="1155"/>
      <c r="B141" s="1158"/>
      <c r="C141" s="1158"/>
      <c r="D141" s="1146">
        <v>270</v>
      </c>
      <c r="E141" s="1146"/>
      <c r="F141" s="1146">
        <v>270</v>
      </c>
      <c r="G141" s="1146"/>
      <c r="H141" s="1146"/>
      <c r="I141" s="1146"/>
      <c r="J141" s="625">
        <v>2314</v>
      </c>
      <c r="K141" s="1146">
        <v>0</v>
      </c>
      <c r="L141" s="1146"/>
      <c r="M141" s="1969"/>
      <c r="N141" s="1146"/>
    </row>
    <row r="142" spans="1:14" ht="24" hidden="1" x14ac:dyDescent="0.2">
      <c r="A142" s="1155" t="s">
        <v>2851</v>
      </c>
      <c r="B142" s="1155" t="s">
        <v>2852</v>
      </c>
      <c r="C142" s="1155"/>
      <c r="D142" s="253">
        <f>SUM(D143:D145)</f>
        <v>727</v>
      </c>
      <c r="E142" s="253">
        <f t="shared" ref="E142:I142" si="34">SUM(E143:E145)</f>
        <v>0</v>
      </c>
      <c r="F142" s="253">
        <f t="shared" si="34"/>
        <v>727</v>
      </c>
      <c r="G142" s="253">
        <f t="shared" si="34"/>
        <v>0</v>
      </c>
      <c r="H142" s="253">
        <f t="shared" si="34"/>
        <v>0</v>
      </c>
      <c r="I142" s="253">
        <f t="shared" si="34"/>
        <v>0</v>
      </c>
      <c r="J142" s="1156"/>
      <c r="K142" s="1146">
        <v>0</v>
      </c>
      <c r="L142" s="1146"/>
      <c r="M142" s="1551"/>
      <c r="N142" s="1146" t="s">
        <v>2853</v>
      </c>
    </row>
    <row r="143" spans="1:14" ht="29.1" hidden="1" customHeight="1" x14ac:dyDescent="0.2">
      <c r="A143" s="1155"/>
      <c r="B143" s="1158"/>
      <c r="C143" s="1158"/>
      <c r="D143" s="1146">
        <v>305</v>
      </c>
      <c r="E143" s="1146"/>
      <c r="F143" s="1146">
        <v>305</v>
      </c>
      <c r="G143" s="1146"/>
      <c r="H143" s="1146"/>
      <c r="I143" s="1146"/>
      <c r="J143" s="625">
        <v>1150</v>
      </c>
      <c r="K143" s="1146">
        <v>0</v>
      </c>
      <c r="L143" s="1146"/>
      <c r="M143" s="2087" t="s">
        <v>2854</v>
      </c>
      <c r="N143" s="1146"/>
    </row>
    <row r="144" spans="1:14" ht="29.1" hidden="1" customHeight="1" x14ac:dyDescent="0.2">
      <c r="A144" s="1155"/>
      <c r="B144" s="1158"/>
      <c r="C144" s="1158"/>
      <c r="D144" s="1146">
        <v>16</v>
      </c>
      <c r="E144" s="1146"/>
      <c r="F144" s="1146">
        <v>16</v>
      </c>
      <c r="G144" s="1146"/>
      <c r="H144" s="1146"/>
      <c r="I144" s="1146"/>
      <c r="J144" s="625">
        <v>1210</v>
      </c>
      <c r="K144" s="1146">
        <v>0</v>
      </c>
      <c r="L144" s="1146"/>
      <c r="M144" s="2087"/>
      <c r="N144" s="1146"/>
    </row>
    <row r="145" spans="1:14" ht="29.1" hidden="1" customHeight="1" x14ac:dyDescent="0.2">
      <c r="A145" s="1155"/>
      <c r="B145" s="1158"/>
      <c r="C145" s="1158"/>
      <c r="D145" s="1146">
        <v>406</v>
      </c>
      <c r="E145" s="1146"/>
      <c r="F145" s="1146">
        <v>406</v>
      </c>
      <c r="G145" s="1146"/>
      <c r="H145" s="1146"/>
      <c r="I145" s="1146"/>
      <c r="J145" s="625">
        <v>2314</v>
      </c>
      <c r="K145" s="1146">
        <v>0</v>
      </c>
      <c r="L145" s="1146"/>
      <c r="M145" s="2087"/>
      <c r="N145" s="1146"/>
    </row>
    <row r="146" spans="1:14" ht="19.5" customHeight="1" x14ac:dyDescent="0.2">
      <c r="A146" s="1987" t="s">
        <v>2855</v>
      </c>
      <c r="B146" s="2088" t="s">
        <v>2856</v>
      </c>
      <c r="C146" s="1872"/>
      <c r="D146" s="253">
        <f>SUM(D147:D149)</f>
        <v>0</v>
      </c>
      <c r="E146" s="253">
        <f t="shared" ref="E146:I146" si="35">SUM(E147:E149)</f>
        <v>0</v>
      </c>
      <c r="F146" s="253">
        <f t="shared" si="35"/>
        <v>0</v>
      </c>
      <c r="G146" s="253">
        <f t="shared" si="35"/>
        <v>0</v>
      </c>
      <c r="H146" s="253">
        <f>SUM(H147:H149)</f>
        <v>539</v>
      </c>
      <c r="I146" s="253">
        <f t="shared" si="35"/>
        <v>0</v>
      </c>
      <c r="J146" s="1156"/>
      <c r="K146" s="253">
        <f t="shared" ref="K146:L146" si="36">SUM(K147:K149)</f>
        <v>539</v>
      </c>
      <c r="L146" s="253">
        <f t="shared" si="36"/>
        <v>0</v>
      </c>
      <c r="M146" s="1551"/>
      <c r="N146" s="1146" t="s">
        <v>2857</v>
      </c>
    </row>
    <row r="147" spans="1:14" ht="24.75" customHeight="1" x14ac:dyDescent="0.2">
      <c r="A147" s="2055"/>
      <c r="B147" s="2089"/>
      <c r="C147" s="1875"/>
      <c r="D147" s="1146"/>
      <c r="E147" s="1146"/>
      <c r="F147" s="1146"/>
      <c r="G147" s="1146"/>
      <c r="H147" s="1146">
        <v>420</v>
      </c>
      <c r="I147" s="1146"/>
      <c r="J147" s="625">
        <v>1150</v>
      </c>
      <c r="K147" s="1146">
        <v>420</v>
      </c>
      <c r="L147" s="1146"/>
      <c r="M147" s="2087" t="s">
        <v>2858</v>
      </c>
      <c r="N147" s="1146" t="s">
        <v>2859</v>
      </c>
    </row>
    <row r="148" spans="1:14" ht="24.75" customHeight="1" x14ac:dyDescent="0.2">
      <c r="A148" s="2055"/>
      <c r="B148" s="2089"/>
      <c r="C148" s="1875"/>
      <c r="D148" s="1146"/>
      <c r="E148" s="1146"/>
      <c r="F148" s="1146"/>
      <c r="G148" s="1146"/>
      <c r="H148" s="1146">
        <v>21</v>
      </c>
      <c r="I148" s="1146"/>
      <c r="J148" s="625">
        <v>1210</v>
      </c>
      <c r="K148" s="1146">
        <v>21</v>
      </c>
      <c r="L148" s="1146"/>
      <c r="M148" s="2087"/>
      <c r="N148" s="1146" t="s">
        <v>2727</v>
      </c>
    </row>
    <row r="149" spans="1:14" ht="24.75" customHeight="1" x14ac:dyDescent="0.2">
      <c r="A149" s="1988"/>
      <c r="B149" s="2090"/>
      <c r="C149" s="1873"/>
      <c r="D149" s="1146"/>
      <c r="E149" s="1146"/>
      <c r="F149" s="1146"/>
      <c r="G149" s="1146"/>
      <c r="H149" s="1146">
        <v>98</v>
      </c>
      <c r="I149" s="1146"/>
      <c r="J149" s="625">
        <v>2314</v>
      </c>
      <c r="K149" s="1146">
        <v>98</v>
      </c>
      <c r="L149" s="1146"/>
      <c r="M149" s="2087"/>
      <c r="N149" s="1146" t="s">
        <v>2860</v>
      </c>
    </row>
    <row r="150" spans="1:14" ht="15.75" customHeight="1" x14ac:dyDescent="0.2">
      <c r="A150" s="1987" t="s">
        <v>2861</v>
      </c>
      <c r="B150" s="2088" t="s">
        <v>2862</v>
      </c>
      <c r="C150" s="1872"/>
      <c r="D150" s="1146"/>
      <c r="E150" s="1146"/>
      <c r="F150" s="1146"/>
      <c r="G150" s="1146"/>
      <c r="H150" s="253">
        <f>SUM(H151:H152)</f>
        <v>419</v>
      </c>
      <c r="I150" s="1146"/>
      <c r="J150" s="1156"/>
      <c r="K150" s="253">
        <f>SUM(K151:K152)</f>
        <v>419</v>
      </c>
      <c r="L150" s="253">
        <f t="shared" ref="L150" si="37">SUM(L151:L152)</f>
        <v>0</v>
      </c>
      <c r="M150" s="2091" t="s">
        <v>2863</v>
      </c>
      <c r="N150" s="1146" t="s">
        <v>2864</v>
      </c>
    </row>
    <row r="151" spans="1:14" ht="15.75" customHeight="1" x14ac:dyDescent="0.2">
      <c r="A151" s="2055"/>
      <c r="B151" s="2089"/>
      <c r="C151" s="1875"/>
      <c r="D151" s="1146"/>
      <c r="E151" s="1146"/>
      <c r="F151" s="1146"/>
      <c r="G151" s="1146"/>
      <c r="H151" s="1146">
        <v>399</v>
      </c>
      <c r="I151" s="1146"/>
      <c r="J151" s="625">
        <v>1150</v>
      </c>
      <c r="K151" s="1146">
        <v>399</v>
      </c>
      <c r="L151" s="1146"/>
      <c r="M151" s="2092"/>
      <c r="N151" s="1146" t="s">
        <v>2865</v>
      </c>
    </row>
    <row r="152" spans="1:14" ht="15.75" customHeight="1" x14ac:dyDescent="0.2">
      <c r="A152" s="1988"/>
      <c r="B152" s="2090"/>
      <c r="C152" s="1873"/>
      <c r="D152" s="1146"/>
      <c r="E152" s="1146"/>
      <c r="F152" s="1146"/>
      <c r="G152" s="1146"/>
      <c r="H152" s="1146">
        <v>20</v>
      </c>
      <c r="I152" s="1146"/>
      <c r="J152" s="625">
        <v>1210</v>
      </c>
      <c r="K152" s="1146">
        <v>20</v>
      </c>
      <c r="L152" s="1146"/>
      <c r="M152" s="2093"/>
      <c r="N152" s="1146" t="s">
        <v>2727</v>
      </c>
    </row>
    <row r="153" spans="1:14" ht="60" hidden="1" x14ac:dyDescent="0.2">
      <c r="A153" s="1155" t="s">
        <v>2866</v>
      </c>
      <c r="B153" s="1155" t="s">
        <v>2867</v>
      </c>
      <c r="C153" s="1155"/>
      <c r="D153" s="253"/>
      <c r="E153" s="253"/>
      <c r="F153" s="253"/>
      <c r="G153" s="253"/>
      <c r="H153" s="253">
        <f>SUM(H154:H157)</f>
        <v>3169</v>
      </c>
      <c r="I153" s="253"/>
      <c r="J153" s="1156"/>
      <c r="K153" s="253">
        <f t="shared" ref="K153:L153" si="38">SUM(K154:K157)</f>
        <v>0</v>
      </c>
      <c r="L153" s="253">
        <f t="shared" si="38"/>
        <v>0</v>
      </c>
      <c r="M153" s="1641"/>
      <c r="N153" s="1146" t="s">
        <v>2868</v>
      </c>
    </row>
    <row r="154" spans="1:14" ht="216" hidden="1" x14ac:dyDescent="0.2">
      <c r="A154" s="1155"/>
      <c r="B154" s="1158"/>
      <c r="C154" s="1158"/>
      <c r="D154" s="1146"/>
      <c r="E154" s="1146"/>
      <c r="F154" s="1146"/>
      <c r="G154" s="1146"/>
      <c r="H154" s="1146">
        <v>986</v>
      </c>
      <c r="I154" s="1146"/>
      <c r="J154" s="625">
        <v>1150</v>
      </c>
      <c r="K154" s="1169">
        <v>0</v>
      </c>
      <c r="L154" s="1169"/>
      <c r="M154" s="2087" t="s">
        <v>2869</v>
      </c>
      <c r="N154" s="1146" t="s">
        <v>2870</v>
      </c>
    </row>
    <row r="155" spans="1:14" hidden="1" x14ac:dyDescent="0.2">
      <c r="A155" s="1155"/>
      <c r="B155" s="1158"/>
      <c r="C155" s="1158"/>
      <c r="D155" s="1146"/>
      <c r="E155" s="1146"/>
      <c r="F155" s="1146"/>
      <c r="G155" s="1146"/>
      <c r="H155" s="1146">
        <v>50</v>
      </c>
      <c r="I155" s="1146"/>
      <c r="J155" s="625">
        <v>1210</v>
      </c>
      <c r="K155" s="1169">
        <v>0</v>
      </c>
      <c r="L155" s="1169"/>
      <c r="M155" s="2087"/>
      <c r="N155" s="1146" t="s">
        <v>2727</v>
      </c>
    </row>
    <row r="156" spans="1:14" ht="48" hidden="1" x14ac:dyDescent="0.2">
      <c r="A156" s="1155"/>
      <c r="B156" s="1158"/>
      <c r="C156" s="1158"/>
      <c r="D156" s="1146"/>
      <c r="E156" s="1146"/>
      <c r="F156" s="1146"/>
      <c r="G156" s="1146"/>
      <c r="H156" s="1146">
        <v>1056</v>
      </c>
      <c r="I156" s="1146"/>
      <c r="J156" s="625">
        <v>2231</v>
      </c>
      <c r="K156" s="1169">
        <v>0</v>
      </c>
      <c r="L156" s="1169"/>
      <c r="M156" s="2087"/>
      <c r="N156" s="1146" t="s">
        <v>2871</v>
      </c>
    </row>
    <row r="157" spans="1:14" ht="192" hidden="1" x14ac:dyDescent="0.2">
      <c r="A157" s="1155"/>
      <c r="B157" s="1158"/>
      <c r="C157" s="1158"/>
      <c r="D157" s="1146"/>
      <c r="E157" s="1146"/>
      <c r="F157" s="1146"/>
      <c r="G157" s="1146"/>
      <c r="H157" s="1146">
        <v>1077</v>
      </c>
      <c r="I157" s="1146"/>
      <c r="J157" s="625">
        <v>2314</v>
      </c>
      <c r="K157" s="1169">
        <v>0</v>
      </c>
      <c r="L157" s="1169"/>
      <c r="M157" s="2087"/>
      <c r="N157" s="1146" t="s">
        <v>2872</v>
      </c>
    </row>
    <row r="158" spans="1:14" x14ac:dyDescent="0.2">
      <c r="A158" s="1049"/>
      <c r="B158" s="460"/>
      <c r="C158" s="460"/>
      <c r="D158" s="357"/>
      <c r="E158" s="357"/>
      <c r="F158" s="357"/>
      <c r="G158" s="357"/>
      <c r="H158" s="357"/>
      <c r="I158" s="357"/>
      <c r="J158" s="629"/>
      <c r="K158" s="357"/>
      <c r="L158" s="357"/>
      <c r="M158" s="737"/>
      <c r="N158" s="357"/>
    </row>
    <row r="159" spans="1:14" ht="15.75" x14ac:dyDescent="0.25">
      <c r="A159" s="1793" t="s">
        <v>121</v>
      </c>
      <c r="B159" s="1793"/>
      <c r="C159" s="1642" t="s">
        <v>2873</v>
      </c>
      <c r="D159" s="1642"/>
      <c r="E159" s="1642"/>
      <c r="F159" s="1642"/>
      <c r="G159" s="1642"/>
      <c r="H159" s="1642"/>
      <c r="I159" s="1642"/>
      <c r="J159" s="1642"/>
      <c r="K159" s="1642"/>
      <c r="L159" s="1642"/>
      <c r="M159" s="1494"/>
      <c r="N159" s="679"/>
    </row>
    <row r="160" spans="1:14" x14ac:dyDescent="0.2">
      <c r="A160" s="244" t="s">
        <v>123</v>
      </c>
      <c r="C160" s="1585" t="s">
        <v>2500</v>
      </c>
      <c r="D160" s="1585"/>
      <c r="E160" s="1585"/>
      <c r="F160" s="1585"/>
      <c r="G160" s="1585"/>
      <c r="H160" s="1585"/>
      <c r="I160" s="1585"/>
      <c r="J160" s="1585"/>
      <c r="K160" s="1585"/>
      <c r="L160" s="1585"/>
      <c r="M160" s="1494"/>
      <c r="N160" s="679"/>
    </row>
    <row r="161" spans="1:14" x14ac:dyDescent="0.2">
      <c r="A161" s="558" t="s">
        <v>125</v>
      </c>
      <c r="B161" s="558"/>
      <c r="C161" s="649" t="s">
        <v>1854</v>
      </c>
      <c r="D161" s="649"/>
      <c r="E161" s="649"/>
      <c r="F161" s="649"/>
      <c r="G161" s="649"/>
      <c r="H161" s="649"/>
      <c r="I161" s="649"/>
      <c r="J161" s="649"/>
      <c r="K161" s="649"/>
      <c r="L161" s="649"/>
      <c r="M161" s="1639"/>
      <c r="N161" s="1154"/>
    </row>
    <row r="162" spans="1:14" ht="27" customHeight="1" x14ac:dyDescent="0.2">
      <c r="A162" s="1864" t="s">
        <v>1</v>
      </c>
      <c r="B162" s="1870" t="s">
        <v>127</v>
      </c>
      <c r="C162" s="1994"/>
      <c r="D162" s="1864" t="s">
        <v>520</v>
      </c>
      <c r="E162" s="1864"/>
      <c r="F162" s="1864" t="s">
        <v>521</v>
      </c>
      <c r="G162" s="1864"/>
      <c r="H162" s="1864" t="s">
        <v>522</v>
      </c>
      <c r="I162" s="1864"/>
      <c r="J162" s="1864" t="s">
        <v>129</v>
      </c>
      <c r="K162" s="1864" t="s">
        <v>3357</v>
      </c>
      <c r="L162" s="1864"/>
      <c r="M162" s="1864" t="s">
        <v>11</v>
      </c>
      <c r="N162" s="1864" t="s">
        <v>131</v>
      </c>
    </row>
    <row r="163" spans="1:14" ht="24" x14ac:dyDescent="0.2">
      <c r="A163" s="1864"/>
      <c r="B163" s="1871"/>
      <c r="C163" s="1995"/>
      <c r="D163" s="1050" t="s">
        <v>524</v>
      </c>
      <c r="E163" s="1050" t="s">
        <v>525</v>
      </c>
      <c r="F163" s="1050" t="s">
        <v>524</v>
      </c>
      <c r="G163" s="1050" t="s">
        <v>525</v>
      </c>
      <c r="H163" s="1050" t="s">
        <v>524</v>
      </c>
      <c r="I163" s="1050" t="s">
        <v>525</v>
      </c>
      <c r="J163" s="1864"/>
      <c r="K163" s="1050" t="s">
        <v>524</v>
      </c>
      <c r="L163" s="1050" t="s">
        <v>525</v>
      </c>
      <c r="M163" s="1864"/>
      <c r="N163" s="1864"/>
    </row>
    <row r="164" spans="1:14" ht="12" customHeight="1" x14ac:dyDescent="0.2">
      <c r="A164" s="1807" t="s">
        <v>526</v>
      </c>
      <c r="B164" s="1808"/>
      <c r="C164" s="1809"/>
      <c r="D164" s="253">
        <f>SUM(D165+D170+D175+D180+D185+D187+D192)</f>
        <v>7582</v>
      </c>
      <c r="E164" s="253">
        <f>SUM(E165+E170+E175+E180+E185+E187+E192)</f>
        <v>0</v>
      </c>
      <c r="F164" s="253">
        <f>SUM(F165+F170+F175+F180+F185+F187+F192)</f>
        <v>7582</v>
      </c>
      <c r="G164" s="253">
        <f>SUM(G165+G170+G175+G180+G185+G187+G192)</f>
        <v>0</v>
      </c>
      <c r="H164" s="253">
        <f>SUM(H165+H170+H175+H180+H187+H192)</f>
        <v>7778</v>
      </c>
      <c r="I164" s="253">
        <f>SUM(I165+I170+I175+I180+I185+I187+I192)</f>
        <v>0</v>
      </c>
      <c r="J164" s="1143"/>
      <c r="K164" s="253">
        <f>SUM(K165+K170+K175+K180+K187+K192)</f>
        <v>6748</v>
      </c>
      <c r="L164" s="253">
        <f>SUM(L165:L195)</f>
        <v>0</v>
      </c>
      <c r="M164" s="450"/>
      <c r="N164" s="253"/>
    </row>
    <row r="165" spans="1:14" ht="18" customHeight="1" x14ac:dyDescent="0.2">
      <c r="A165" s="1795" t="s">
        <v>1122</v>
      </c>
      <c r="B165" s="1799" t="s">
        <v>2874</v>
      </c>
      <c r="C165" s="1800"/>
      <c r="D165" s="624">
        <f t="shared" ref="D165:I165" si="39">SUM(D166:D169)</f>
        <v>440</v>
      </c>
      <c r="E165" s="624">
        <f t="shared" si="39"/>
        <v>0</v>
      </c>
      <c r="F165" s="624">
        <f t="shared" si="39"/>
        <v>440</v>
      </c>
      <c r="G165" s="624">
        <f t="shared" si="39"/>
        <v>0</v>
      </c>
      <c r="H165" s="624">
        <f>SUM(H166:H169)</f>
        <v>494</v>
      </c>
      <c r="I165" s="624">
        <f t="shared" si="39"/>
        <v>0</v>
      </c>
      <c r="J165" s="254"/>
      <c r="K165" s="624">
        <f>SUM(K166:K169)</f>
        <v>444</v>
      </c>
      <c r="L165" s="1144"/>
      <c r="M165" s="1554"/>
      <c r="N165" s="1162" t="s">
        <v>2875</v>
      </c>
    </row>
    <row r="166" spans="1:14" ht="18" customHeight="1" x14ac:dyDescent="0.2">
      <c r="A166" s="1863"/>
      <c r="B166" s="1889"/>
      <c r="C166" s="1890"/>
      <c r="D166" s="541">
        <v>304</v>
      </c>
      <c r="E166" s="541"/>
      <c r="F166" s="541">
        <v>304</v>
      </c>
      <c r="G166" s="541"/>
      <c r="H166" s="541">
        <v>280</v>
      </c>
      <c r="I166" s="541"/>
      <c r="J166" s="625">
        <v>1150</v>
      </c>
      <c r="K166" s="541">
        <v>280</v>
      </c>
      <c r="L166" s="1144"/>
      <c r="M166" s="1969" t="s">
        <v>2876</v>
      </c>
      <c r="N166" s="541" t="s">
        <v>2877</v>
      </c>
    </row>
    <row r="167" spans="1:14" ht="18" customHeight="1" x14ac:dyDescent="0.2">
      <c r="A167" s="1863"/>
      <c r="B167" s="1889"/>
      <c r="C167" s="1890"/>
      <c r="D167" s="1146">
        <v>16</v>
      </c>
      <c r="E167" s="1146"/>
      <c r="F167" s="1146">
        <v>16</v>
      </c>
      <c r="G167" s="1146"/>
      <c r="H167" s="1146">
        <v>14</v>
      </c>
      <c r="I167" s="1146"/>
      <c r="J167" s="625">
        <v>1210</v>
      </c>
      <c r="K167" s="1146">
        <v>14</v>
      </c>
      <c r="L167" s="1146"/>
      <c r="M167" s="1969"/>
      <c r="N167" s="1146" t="s">
        <v>2727</v>
      </c>
    </row>
    <row r="168" spans="1:14" ht="18" customHeight="1" x14ac:dyDescent="0.2">
      <c r="A168" s="1863"/>
      <c r="B168" s="1889"/>
      <c r="C168" s="1890"/>
      <c r="D168" s="1146"/>
      <c r="E168" s="1146"/>
      <c r="F168" s="1146"/>
      <c r="G168" s="1146"/>
      <c r="H168" s="1146">
        <v>80</v>
      </c>
      <c r="I168" s="1146"/>
      <c r="J168" s="625">
        <v>2231</v>
      </c>
      <c r="K168" s="1146">
        <v>50</v>
      </c>
      <c r="L168" s="1146"/>
      <c r="M168" s="1969"/>
      <c r="N168" s="1146" t="s">
        <v>2878</v>
      </c>
    </row>
    <row r="169" spans="1:14" ht="18" customHeight="1" x14ac:dyDescent="0.2">
      <c r="A169" s="1796"/>
      <c r="B169" s="1801"/>
      <c r="C169" s="1802"/>
      <c r="D169" s="1146">
        <v>120</v>
      </c>
      <c r="E169" s="1146"/>
      <c r="F169" s="1146">
        <v>120</v>
      </c>
      <c r="G169" s="1146"/>
      <c r="H169" s="1146">
        <v>120</v>
      </c>
      <c r="I169" s="1146"/>
      <c r="J169" s="625">
        <v>2314</v>
      </c>
      <c r="K169" s="1146">
        <v>100</v>
      </c>
      <c r="L169" s="1146"/>
      <c r="M169" s="1969"/>
      <c r="N169" s="1146" t="s">
        <v>2879</v>
      </c>
    </row>
    <row r="170" spans="1:14" ht="18" customHeight="1" x14ac:dyDescent="0.2">
      <c r="A170" s="1987" t="s">
        <v>1129</v>
      </c>
      <c r="B170" s="2088" t="s">
        <v>2880</v>
      </c>
      <c r="C170" s="1872"/>
      <c r="D170" s="253">
        <f>SUM(D171:D174)</f>
        <v>600</v>
      </c>
      <c r="E170" s="253">
        <f t="shared" ref="E170:K170" si="40">SUM(E171:E174)</f>
        <v>0</v>
      </c>
      <c r="F170" s="253">
        <f t="shared" si="40"/>
        <v>600</v>
      </c>
      <c r="G170" s="253">
        <f t="shared" si="40"/>
        <v>0</v>
      </c>
      <c r="H170" s="253">
        <f t="shared" si="40"/>
        <v>632</v>
      </c>
      <c r="I170" s="253">
        <f t="shared" si="40"/>
        <v>0</v>
      </c>
      <c r="J170" s="625"/>
      <c r="K170" s="253">
        <f t="shared" si="40"/>
        <v>602</v>
      </c>
      <c r="L170" s="1146"/>
      <c r="M170" s="1551"/>
      <c r="N170" s="1157"/>
    </row>
    <row r="171" spans="1:14" ht="18" customHeight="1" x14ac:dyDescent="0.2">
      <c r="A171" s="2055"/>
      <c r="B171" s="2089"/>
      <c r="C171" s="1875"/>
      <c r="D171" s="1146">
        <v>285</v>
      </c>
      <c r="E171" s="1146"/>
      <c r="F171" s="1146">
        <v>285</v>
      </c>
      <c r="G171" s="1146"/>
      <c r="H171" s="1146">
        <v>240</v>
      </c>
      <c r="I171" s="1146"/>
      <c r="J171" s="625">
        <v>1150</v>
      </c>
      <c r="K171" s="1146">
        <v>240</v>
      </c>
      <c r="L171" s="1146"/>
      <c r="M171" s="1969" t="s">
        <v>2881</v>
      </c>
      <c r="N171" s="1146" t="s">
        <v>2882</v>
      </c>
    </row>
    <row r="172" spans="1:14" ht="18" customHeight="1" x14ac:dyDescent="0.2">
      <c r="A172" s="2055"/>
      <c r="B172" s="2089"/>
      <c r="C172" s="1875"/>
      <c r="D172" s="1146">
        <v>15</v>
      </c>
      <c r="E172" s="1146"/>
      <c r="F172" s="1146">
        <v>15</v>
      </c>
      <c r="G172" s="1146"/>
      <c r="H172" s="1146">
        <v>12</v>
      </c>
      <c r="I172" s="1146"/>
      <c r="J172" s="625">
        <v>1210</v>
      </c>
      <c r="K172" s="1146">
        <v>12</v>
      </c>
      <c r="L172" s="1146"/>
      <c r="M172" s="1969"/>
      <c r="N172" s="1146" t="s">
        <v>2727</v>
      </c>
    </row>
    <row r="173" spans="1:14" ht="18" customHeight="1" x14ac:dyDescent="0.2">
      <c r="A173" s="2055"/>
      <c r="B173" s="2089"/>
      <c r="C173" s="1875"/>
      <c r="D173" s="1146"/>
      <c r="E173" s="1146"/>
      <c r="F173" s="1146"/>
      <c r="G173" s="1146"/>
      <c r="H173" s="1146">
        <v>80</v>
      </c>
      <c r="I173" s="1146"/>
      <c r="J173" s="625">
        <v>2231</v>
      </c>
      <c r="K173" s="1146">
        <v>50</v>
      </c>
      <c r="L173" s="1146"/>
      <c r="M173" s="1969"/>
      <c r="N173" s="1146" t="s">
        <v>2878</v>
      </c>
    </row>
    <row r="174" spans="1:14" ht="18" customHeight="1" x14ac:dyDescent="0.2">
      <c r="A174" s="1988"/>
      <c r="B174" s="2090"/>
      <c r="C174" s="1873"/>
      <c r="D174" s="1146">
        <v>300</v>
      </c>
      <c r="E174" s="1146"/>
      <c r="F174" s="1146">
        <v>300</v>
      </c>
      <c r="G174" s="1146"/>
      <c r="H174" s="1146">
        <v>300</v>
      </c>
      <c r="I174" s="1146"/>
      <c r="J174" s="625">
        <v>2314</v>
      </c>
      <c r="K174" s="1146">
        <v>300</v>
      </c>
      <c r="L174" s="1146"/>
      <c r="M174" s="1969"/>
      <c r="N174" s="1146" t="s">
        <v>2883</v>
      </c>
    </row>
    <row r="175" spans="1:14" ht="17.25" customHeight="1" x14ac:dyDescent="0.2">
      <c r="A175" s="1795" t="s">
        <v>2812</v>
      </c>
      <c r="B175" s="1799" t="s">
        <v>2884</v>
      </c>
      <c r="C175" s="1800"/>
      <c r="D175" s="253">
        <f>SUM(D176:D179)</f>
        <v>3550</v>
      </c>
      <c r="E175" s="253">
        <f t="shared" ref="E175:K175" si="41">SUM(E176:E179)</f>
        <v>0</v>
      </c>
      <c r="F175" s="253">
        <f t="shared" si="41"/>
        <v>3550</v>
      </c>
      <c r="G175" s="253">
        <f t="shared" si="41"/>
        <v>0</v>
      </c>
      <c r="H175" s="253">
        <f t="shared" si="41"/>
        <v>3550</v>
      </c>
      <c r="I175" s="253">
        <f t="shared" si="41"/>
        <v>0</v>
      </c>
      <c r="J175" s="1156"/>
      <c r="K175" s="253">
        <f t="shared" si="41"/>
        <v>3550</v>
      </c>
      <c r="L175" s="1146"/>
      <c r="M175" s="1551"/>
      <c r="N175" s="1157"/>
    </row>
    <row r="176" spans="1:14" ht="17.25" customHeight="1" x14ac:dyDescent="0.2">
      <c r="A176" s="1863"/>
      <c r="B176" s="1889"/>
      <c r="C176" s="1890"/>
      <c r="D176" s="1146">
        <v>1047</v>
      </c>
      <c r="E176" s="1146"/>
      <c r="F176" s="1146">
        <v>1047</v>
      </c>
      <c r="G176" s="1146"/>
      <c r="H176" s="1146">
        <v>1047</v>
      </c>
      <c r="I176" s="1146"/>
      <c r="J176" s="625">
        <v>1150</v>
      </c>
      <c r="K176" s="1146">
        <v>1047</v>
      </c>
      <c r="L176" s="1146"/>
      <c r="M176" s="1969" t="s">
        <v>2876</v>
      </c>
      <c r="N176" s="1155" t="s">
        <v>2885</v>
      </c>
    </row>
    <row r="177" spans="1:14" ht="17.25" customHeight="1" x14ac:dyDescent="0.2">
      <c r="A177" s="1863"/>
      <c r="B177" s="1889"/>
      <c r="C177" s="1890"/>
      <c r="D177" s="1146">
        <v>53</v>
      </c>
      <c r="E177" s="1146"/>
      <c r="F177" s="1146">
        <v>53</v>
      </c>
      <c r="G177" s="1146"/>
      <c r="H177" s="1146">
        <v>53</v>
      </c>
      <c r="I177" s="1146"/>
      <c r="J177" s="625">
        <v>1210</v>
      </c>
      <c r="K177" s="1146">
        <v>53</v>
      </c>
      <c r="L177" s="1146"/>
      <c r="M177" s="1969"/>
      <c r="N177" s="1146" t="s">
        <v>2727</v>
      </c>
    </row>
    <row r="178" spans="1:14" ht="17.25" customHeight="1" x14ac:dyDescent="0.2">
      <c r="A178" s="1863"/>
      <c r="B178" s="1889"/>
      <c r="C178" s="1890"/>
      <c r="D178" s="1146">
        <v>650</v>
      </c>
      <c r="E178" s="1146"/>
      <c r="F178" s="1146">
        <v>650</v>
      </c>
      <c r="G178" s="1146"/>
      <c r="H178" s="1146">
        <v>650</v>
      </c>
      <c r="I178" s="1146"/>
      <c r="J178" s="625">
        <v>2314</v>
      </c>
      <c r="K178" s="1146">
        <v>650</v>
      </c>
      <c r="L178" s="1146"/>
      <c r="M178" s="1969"/>
      <c r="N178" s="1156" t="s">
        <v>2886</v>
      </c>
    </row>
    <row r="179" spans="1:14" ht="17.25" customHeight="1" x14ac:dyDescent="0.2">
      <c r="A179" s="1796"/>
      <c r="B179" s="1801"/>
      <c r="C179" s="1802"/>
      <c r="D179" s="541">
        <v>1800</v>
      </c>
      <c r="E179" s="541"/>
      <c r="F179" s="541">
        <v>1800</v>
      </c>
      <c r="G179" s="541"/>
      <c r="H179" s="541">
        <v>1800</v>
      </c>
      <c r="I179" s="541"/>
      <c r="J179" s="625">
        <v>6422</v>
      </c>
      <c r="K179" s="1146">
        <v>1800</v>
      </c>
      <c r="L179" s="1146"/>
      <c r="M179" s="1969"/>
      <c r="N179" s="254" t="s">
        <v>2887</v>
      </c>
    </row>
    <row r="180" spans="1:14" ht="15.75" customHeight="1" x14ac:dyDescent="0.2">
      <c r="A180" s="1987" t="s">
        <v>1137</v>
      </c>
      <c r="B180" s="2088" t="s">
        <v>2539</v>
      </c>
      <c r="C180" s="1872"/>
      <c r="D180" s="253">
        <f>SUM(D181:D184)</f>
        <v>526</v>
      </c>
      <c r="E180" s="253">
        <f t="shared" ref="E180:K180" si="42">SUM(E181:E184)</f>
        <v>0</v>
      </c>
      <c r="F180" s="253">
        <f t="shared" si="42"/>
        <v>526</v>
      </c>
      <c r="G180" s="253">
        <f t="shared" si="42"/>
        <v>0</v>
      </c>
      <c r="H180" s="253">
        <f t="shared" si="42"/>
        <v>1271</v>
      </c>
      <c r="I180" s="253">
        <f t="shared" si="42"/>
        <v>0</v>
      </c>
      <c r="J180" s="1156"/>
      <c r="K180" s="253">
        <f t="shared" si="42"/>
        <v>971</v>
      </c>
      <c r="L180" s="1146"/>
      <c r="M180" s="1551"/>
      <c r="N180" s="1146" t="s">
        <v>2888</v>
      </c>
    </row>
    <row r="181" spans="1:14" ht="15.75" customHeight="1" x14ac:dyDescent="0.2">
      <c r="A181" s="2055"/>
      <c r="B181" s="2089"/>
      <c r="C181" s="1875"/>
      <c r="D181" s="1146">
        <v>160</v>
      </c>
      <c r="E181" s="1146"/>
      <c r="F181" s="1146">
        <v>160</v>
      </c>
      <c r="G181" s="1146"/>
      <c r="H181" s="1146">
        <v>182</v>
      </c>
      <c r="I181" s="1146"/>
      <c r="J181" s="625">
        <v>1150</v>
      </c>
      <c r="K181" s="1146">
        <v>182</v>
      </c>
      <c r="L181" s="1146"/>
      <c r="M181" s="1969" t="s">
        <v>2889</v>
      </c>
      <c r="N181" s="1146" t="s">
        <v>2890</v>
      </c>
    </row>
    <row r="182" spans="1:14" ht="15.75" customHeight="1" x14ac:dyDescent="0.2">
      <c r="A182" s="2055"/>
      <c r="B182" s="2089"/>
      <c r="C182" s="1875"/>
      <c r="D182" s="1170">
        <v>8</v>
      </c>
      <c r="E182" s="1146"/>
      <c r="F182" s="1146">
        <v>8</v>
      </c>
      <c r="G182" s="1146"/>
      <c r="H182" s="1146">
        <v>9</v>
      </c>
      <c r="I182" s="1146"/>
      <c r="J182" s="625">
        <v>1210</v>
      </c>
      <c r="K182" s="1146">
        <v>9</v>
      </c>
      <c r="L182" s="1146"/>
      <c r="M182" s="1969"/>
      <c r="N182" s="1146" t="s">
        <v>2727</v>
      </c>
    </row>
    <row r="183" spans="1:14" ht="15.75" customHeight="1" x14ac:dyDescent="0.2">
      <c r="A183" s="2055"/>
      <c r="B183" s="2089"/>
      <c r="C183" s="1875"/>
      <c r="D183" s="1170"/>
      <c r="E183" s="1146"/>
      <c r="F183" s="1146"/>
      <c r="G183" s="1146"/>
      <c r="H183" s="1146">
        <v>480</v>
      </c>
      <c r="I183" s="1146"/>
      <c r="J183" s="625">
        <v>2231</v>
      </c>
      <c r="K183" s="1146">
        <v>300</v>
      </c>
      <c r="L183" s="1146"/>
      <c r="M183" s="1969"/>
      <c r="N183" s="1146" t="s">
        <v>2891</v>
      </c>
    </row>
    <row r="184" spans="1:14" ht="15.75" customHeight="1" x14ac:dyDescent="0.2">
      <c r="A184" s="1988"/>
      <c r="B184" s="2090"/>
      <c r="C184" s="1873"/>
      <c r="D184" s="1146">
        <v>358</v>
      </c>
      <c r="E184" s="1146"/>
      <c r="F184" s="1146">
        <v>358</v>
      </c>
      <c r="G184" s="1146"/>
      <c r="H184" s="1146">
        <v>600</v>
      </c>
      <c r="I184" s="1146"/>
      <c r="J184" s="625">
        <v>2314</v>
      </c>
      <c r="K184" s="1146">
        <v>480</v>
      </c>
      <c r="L184" s="1146"/>
      <c r="M184" s="1969"/>
      <c r="N184" s="1146" t="s">
        <v>2892</v>
      </c>
    </row>
    <row r="185" spans="1:14" ht="48" hidden="1" x14ac:dyDescent="0.2">
      <c r="A185" s="1155" t="s">
        <v>1141</v>
      </c>
      <c r="B185" s="1155" t="s">
        <v>2893</v>
      </c>
      <c r="C185" s="1155"/>
      <c r="D185" s="253">
        <f>SUM(D186)</f>
        <v>200</v>
      </c>
      <c r="E185" s="253">
        <f t="shared" ref="E185:H185" si="43">E186</f>
        <v>0</v>
      </c>
      <c r="F185" s="253">
        <f t="shared" si="43"/>
        <v>200</v>
      </c>
      <c r="G185" s="253">
        <f t="shared" si="43"/>
        <v>0</v>
      </c>
      <c r="H185" s="253">
        <f t="shared" si="43"/>
        <v>0</v>
      </c>
      <c r="I185" s="253">
        <f>I186</f>
        <v>0</v>
      </c>
      <c r="J185" s="1156"/>
      <c r="K185" s="253">
        <f>K186</f>
        <v>0</v>
      </c>
      <c r="L185" s="1146"/>
      <c r="M185" s="1551"/>
      <c r="N185" s="1161" t="s">
        <v>2894</v>
      </c>
    </row>
    <row r="186" spans="1:14" ht="48" hidden="1" x14ac:dyDescent="0.2">
      <c r="A186" s="1155"/>
      <c r="B186" s="1158"/>
      <c r="C186" s="1158"/>
      <c r="D186" s="1146">
        <v>200</v>
      </c>
      <c r="E186" s="1146"/>
      <c r="F186" s="1146">
        <v>200</v>
      </c>
      <c r="G186" s="1146"/>
      <c r="H186" s="1146"/>
      <c r="I186" s="1146"/>
      <c r="J186" s="625">
        <v>2314</v>
      </c>
      <c r="K186" s="1146">
        <v>0</v>
      </c>
      <c r="L186" s="1146"/>
      <c r="M186" s="1526" t="s">
        <v>2895</v>
      </c>
      <c r="N186" s="1146" t="s">
        <v>2896</v>
      </c>
    </row>
    <row r="187" spans="1:14" ht="15" customHeight="1" x14ac:dyDescent="0.2">
      <c r="A187" s="1987">
        <v>5</v>
      </c>
      <c r="B187" s="2088" t="s">
        <v>2897</v>
      </c>
      <c r="C187" s="1872"/>
      <c r="D187" s="253">
        <f>SUM(D188:D191)</f>
        <v>1081</v>
      </c>
      <c r="E187" s="253">
        <f t="shared" ref="E187:I187" si="44">SUM(E188:E191)</f>
        <v>0</v>
      </c>
      <c r="F187" s="253">
        <f t="shared" si="44"/>
        <v>1081</v>
      </c>
      <c r="G187" s="253">
        <f t="shared" si="44"/>
        <v>0</v>
      </c>
      <c r="H187" s="253">
        <f>SUM(H188:H191)</f>
        <v>1831</v>
      </c>
      <c r="I187" s="253">
        <f t="shared" si="44"/>
        <v>0</v>
      </c>
      <c r="J187" s="1156"/>
      <c r="K187" s="253">
        <f>SUM(K188:K191)</f>
        <v>1181</v>
      </c>
      <c r="L187" s="1146"/>
      <c r="M187" s="1551"/>
      <c r="N187" s="1146" t="s">
        <v>2898</v>
      </c>
    </row>
    <row r="188" spans="1:14" ht="15" customHeight="1" x14ac:dyDescent="0.2">
      <c r="A188" s="2055"/>
      <c r="B188" s="2089"/>
      <c r="C188" s="1875"/>
      <c r="D188" s="1146">
        <v>220</v>
      </c>
      <c r="E188" s="1146"/>
      <c r="F188" s="1146">
        <v>220</v>
      </c>
      <c r="G188" s="1146"/>
      <c r="H188" s="1146">
        <v>220</v>
      </c>
      <c r="I188" s="1146"/>
      <c r="J188" s="625">
        <v>1150</v>
      </c>
      <c r="K188" s="1146">
        <v>220</v>
      </c>
      <c r="L188" s="1146"/>
      <c r="M188" s="2087" t="s">
        <v>2899</v>
      </c>
      <c r="N188" s="1146" t="s">
        <v>2900</v>
      </c>
    </row>
    <row r="189" spans="1:14" ht="15" customHeight="1" x14ac:dyDescent="0.2">
      <c r="A189" s="2055"/>
      <c r="B189" s="2089"/>
      <c r="C189" s="1875"/>
      <c r="D189" s="1146">
        <v>11</v>
      </c>
      <c r="E189" s="1146"/>
      <c r="F189" s="1146">
        <v>11</v>
      </c>
      <c r="G189" s="1146"/>
      <c r="H189" s="1146">
        <v>11</v>
      </c>
      <c r="I189" s="1146"/>
      <c r="J189" s="625">
        <v>1210</v>
      </c>
      <c r="K189" s="1146">
        <v>11</v>
      </c>
      <c r="L189" s="1146"/>
      <c r="M189" s="2087"/>
      <c r="N189" s="1146" t="s">
        <v>2727</v>
      </c>
    </row>
    <row r="190" spans="1:14" ht="15" customHeight="1" x14ac:dyDescent="0.2">
      <c r="A190" s="2055"/>
      <c r="B190" s="2089"/>
      <c r="C190" s="1875"/>
      <c r="D190" s="1146"/>
      <c r="E190" s="1146"/>
      <c r="F190" s="1146"/>
      <c r="G190" s="1146"/>
      <c r="H190" s="1146">
        <v>750</v>
      </c>
      <c r="I190" s="1146"/>
      <c r="J190" s="625">
        <v>2231</v>
      </c>
      <c r="K190" s="1146">
        <v>100</v>
      </c>
      <c r="L190" s="1146"/>
      <c r="M190" s="2087"/>
      <c r="N190" s="1146" t="s">
        <v>2901</v>
      </c>
    </row>
    <row r="191" spans="1:14" ht="15" customHeight="1" x14ac:dyDescent="0.2">
      <c r="A191" s="1988"/>
      <c r="B191" s="2090"/>
      <c r="C191" s="1873"/>
      <c r="D191" s="1146">
        <v>850</v>
      </c>
      <c r="E191" s="1146"/>
      <c r="F191" s="1146">
        <v>850</v>
      </c>
      <c r="G191" s="1146"/>
      <c r="H191" s="1146">
        <v>850</v>
      </c>
      <c r="I191" s="1146"/>
      <c r="J191" s="625">
        <v>2314</v>
      </c>
      <c r="K191" s="1146">
        <v>850</v>
      </c>
      <c r="L191" s="1146"/>
      <c r="M191" s="2087"/>
      <c r="N191" s="1146" t="s">
        <v>2902</v>
      </c>
    </row>
    <row r="192" spans="1:14" ht="48.75" hidden="1" customHeight="1" x14ac:dyDescent="0.2">
      <c r="A192" s="1987" t="s">
        <v>2788</v>
      </c>
      <c r="B192" s="2088" t="s">
        <v>2903</v>
      </c>
      <c r="C192" s="1872"/>
      <c r="D192" s="253">
        <f>SUM(D193:D195)</f>
        <v>1185</v>
      </c>
      <c r="E192" s="253">
        <f t="shared" ref="E192:K192" si="45">SUM(E193:E195)</f>
        <v>0</v>
      </c>
      <c r="F192" s="253">
        <f t="shared" si="45"/>
        <v>1185</v>
      </c>
      <c r="G192" s="253">
        <f t="shared" si="45"/>
        <v>0</v>
      </c>
      <c r="H192" s="253">
        <f t="shared" si="45"/>
        <v>0</v>
      </c>
      <c r="I192" s="253">
        <f t="shared" si="45"/>
        <v>0</v>
      </c>
      <c r="J192" s="1156"/>
      <c r="K192" s="1146">
        <f t="shared" si="45"/>
        <v>0</v>
      </c>
      <c r="L192" s="1146"/>
      <c r="M192" s="1551"/>
      <c r="N192" s="1146" t="s">
        <v>2904</v>
      </c>
    </row>
    <row r="193" spans="1:14" ht="108.75" hidden="1" customHeight="1" x14ac:dyDescent="0.2">
      <c r="A193" s="2055"/>
      <c r="B193" s="2089"/>
      <c r="C193" s="1875"/>
      <c r="D193" s="1146">
        <v>490</v>
      </c>
      <c r="E193" s="1146"/>
      <c r="F193" s="1146">
        <v>490</v>
      </c>
      <c r="G193" s="1146"/>
      <c r="H193" s="1146"/>
      <c r="I193" s="1146"/>
      <c r="J193" s="625">
        <v>1150</v>
      </c>
      <c r="K193" s="1146">
        <v>0</v>
      </c>
      <c r="L193" s="1146"/>
      <c r="M193" s="1969" t="s">
        <v>2905</v>
      </c>
      <c r="N193" s="1146" t="s">
        <v>2906</v>
      </c>
    </row>
    <row r="194" spans="1:14" ht="15" hidden="1" customHeight="1" x14ac:dyDescent="0.2">
      <c r="A194" s="2055"/>
      <c r="B194" s="2089"/>
      <c r="C194" s="1875"/>
      <c r="D194" s="1146">
        <v>25</v>
      </c>
      <c r="E194" s="1146"/>
      <c r="F194" s="1146">
        <v>25</v>
      </c>
      <c r="G194" s="1146"/>
      <c r="H194" s="1146"/>
      <c r="I194" s="1146"/>
      <c r="J194" s="625">
        <v>1210</v>
      </c>
      <c r="K194" s="1146">
        <v>0</v>
      </c>
      <c r="L194" s="1146"/>
      <c r="M194" s="1969"/>
      <c r="N194" s="1146" t="s">
        <v>2727</v>
      </c>
    </row>
    <row r="195" spans="1:14" ht="60.75" hidden="1" customHeight="1" x14ac:dyDescent="0.2">
      <c r="A195" s="1988"/>
      <c r="B195" s="2090"/>
      <c r="C195" s="1873"/>
      <c r="D195" s="541">
        <v>670</v>
      </c>
      <c r="E195" s="541"/>
      <c r="F195" s="541">
        <v>670</v>
      </c>
      <c r="G195" s="541"/>
      <c r="H195" s="541"/>
      <c r="I195" s="541"/>
      <c r="J195" s="625">
        <v>2314</v>
      </c>
      <c r="K195" s="541">
        <v>0</v>
      </c>
      <c r="L195" s="1144"/>
      <c r="M195" s="1969"/>
      <c r="N195" s="541" t="s">
        <v>2907</v>
      </c>
    </row>
    <row r="196" spans="1:14" hidden="1" x14ac:dyDescent="0.2">
      <c r="A196" s="1155"/>
      <c r="B196" s="1046" t="s">
        <v>526</v>
      </c>
      <c r="C196" s="1525"/>
      <c r="D196" s="1171" t="e">
        <f t="shared" ref="D196:I196" si="46">SUM(D10+D52+D101+D164)</f>
        <v>#REF!</v>
      </c>
      <c r="E196" s="1171" t="e">
        <f t="shared" si="46"/>
        <v>#REF!</v>
      </c>
      <c r="F196" s="1171" t="e">
        <f t="shared" si="46"/>
        <v>#REF!</v>
      </c>
      <c r="G196" s="1171" t="e">
        <f t="shared" si="46"/>
        <v>#REF!</v>
      </c>
      <c r="H196" s="1171" t="e">
        <f t="shared" si="46"/>
        <v>#REF!</v>
      </c>
      <c r="I196" s="1171" t="e">
        <f t="shared" si="46"/>
        <v>#REF!</v>
      </c>
      <c r="J196" s="1171"/>
      <c r="K196" s="1171">
        <f>SUM(K10+K52+K101+K164)</f>
        <v>27561</v>
      </c>
      <c r="L196" s="1171">
        <f>SUM(L10+L52+L101+L164)</f>
        <v>2137</v>
      </c>
      <c r="M196" s="1612"/>
      <c r="N196" s="1172"/>
    </row>
    <row r="197" spans="1:14" x14ac:dyDescent="0.2">
      <c r="A197" s="1530"/>
      <c r="B197" s="1643"/>
      <c r="C197" s="1643"/>
      <c r="D197" s="1644"/>
      <c r="E197" s="1644"/>
      <c r="F197" s="1644"/>
      <c r="G197" s="1644"/>
      <c r="H197" s="1644"/>
      <c r="I197" s="1644"/>
      <c r="J197" s="1644"/>
      <c r="K197" s="1644"/>
      <c r="L197" s="1644"/>
      <c r="M197" s="1645"/>
      <c r="N197" s="367"/>
    </row>
    <row r="198" spans="1:14" x14ac:dyDescent="0.2">
      <c r="A198" s="244" t="s">
        <v>400</v>
      </c>
      <c r="B198" s="640"/>
      <c r="C198" s="640"/>
      <c r="D198" s="640"/>
      <c r="E198" s="640"/>
      <c r="F198" s="640"/>
      <c r="G198" s="640"/>
      <c r="H198" s="640"/>
      <c r="I198" s="640"/>
      <c r="J198" s="640"/>
      <c r="K198" s="640"/>
    </row>
    <row r="199" spans="1:14" x14ac:dyDescent="0.2">
      <c r="A199" s="244" t="s">
        <v>401</v>
      </c>
      <c r="I199" s="640"/>
      <c r="J199" s="640"/>
      <c r="K199" s="640"/>
    </row>
    <row r="200" spans="1:14" x14ac:dyDescent="0.2">
      <c r="A200" s="244" t="s">
        <v>2908</v>
      </c>
    </row>
    <row r="201" spans="1:14" x14ac:dyDescent="0.2">
      <c r="A201" s="244" t="s">
        <v>244</v>
      </c>
    </row>
    <row r="202" spans="1:14" x14ac:dyDescent="0.2">
      <c r="A202" s="244" t="s">
        <v>2909</v>
      </c>
    </row>
    <row r="203" spans="1:14" x14ac:dyDescent="0.2">
      <c r="A203" s="244" t="s">
        <v>2910</v>
      </c>
    </row>
    <row r="204" spans="1:14" x14ac:dyDescent="0.2">
      <c r="A204" s="244" t="s">
        <v>251</v>
      </c>
    </row>
    <row r="205" spans="1:14" x14ac:dyDescent="0.2">
      <c r="A205" s="244" t="s">
        <v>2911</v>
      </c>
    </row>
    <row r="206" spans="1:14" x14ac:dyDescent="0.2">
      <c r="A206" s="244" t="s">
        <v>2912</v>
      </c>
    </row>
    <row r="207" spans="1:14" x14ac:dyDescent="0.2">
      <c r="A207" s="244" t="s">
        <v>2913</v>
      </c>
    </row>
    <row r="208" spans="1:14" x14ac:dyDescent="0.2">
      <c r="A208" s="244" t="s">
        <v>2914</v>
      </c>
    </row>
    <row r="209" spans="1:14" x14ac:dyDescent="0.2">
      <c r="A209" s="244" t="s">
        <v>2915</v>
      </c>
    </row>
    <row r="210" spans="1:14" x14ac:dyDescent="0.2">
      <c r="A210" s="244" t="s">
        <v>2916</v>
      </c>
    </row>
    <row r="211" spans="1:14" x14ac:dyDescent="0.2">
      <c r="A211" s="244" t="s">
        <v>2917</v>
      </c>
    </row>
    <row r="212" spans="1:14" x14ac:dyDescent="0.2">
      <c r="A212" s="244" t="s">
        <v>2918</v>
      </c>
    </row>
    <row r="214" spans="1:14" x14ac:dyDescent="0.2">
      <c r="A214" s="244" t="s">
        <v>2919</v>
      </c>
    </row>
    <row r="215" spans="1:14" x14ac:dyDescent="0.2">
      <c r="A215" s="244" t="s">
        <v>2920</v>
      </c>
    </row>
    <row r="216" spans="1:14" x14ac:dyDescent="0.2">
      <c r="A216" s="244" t="s">
        <v>2921</v>
      </c>
    </row>
    <row r="217" spans="1:14" x14ac:dyDescent="0.2">
      <c r="A217" s="244" t="s">
        <v>2922</v>
      </c>
    </row>
    <row r="218" spans="1:14" x14ac:dyDescent="0.2">
      <c r="A218" s="244" t="s">
        <v>2923</v>
      </c>
    </row>
    <row r="219" spans="1:14" x14ac:dyDescent="0.2">
      <c r="A219" s="244" t="s">
        <v>2924</v>
      </c>
    </row>
    <row r="220" spans="1:14" x14ac:dyDescent="0.2">
      <c r="A220" s="244" t="s">
        <v>2925</v>
      </c>
      <c r="B220" s="269"/>
      <c r="C220" s="269"/>
      <c r="D220" s="269"/>
      <c r="E220" s="269"/>
      <c r="F220" s="269"/>
      <c r="G220" s="269"/>
      <c r="H220" s="269"/>
      <c r="I220" s="269"/>
      <c r="J220" s="269"/>
      <c r="K220" s="269"/>
    </row>
    <row r="221" spans="1:14" x14ac:dyDescent="0.2">
      <c r="A221" s="244" t="s">
        <v>2926</v>
      </c>
      <c r="B221" s="640"/>
      <c r="C221" s="640"/>
      <c r="D221" s="640"/>
      <c r="E221" s="640"/>
      <c r="F221" s="640"/>
      <c r="G221" s="640"/>
      <c r="H221" s="640"/>
      <c r="I221" s="640"/>
      <c r="J221" s="640"/>
      <c r="K221" s="640"/>
    </row>
    <row r="222" spans="1:14" x14ac:dyDescent="0.2">
      <c r="A222" s="244" t="s">
        <v>2927</v>
      </c>
      <c r="B222" s="1042"/>
      <c r="C222" s="1510"/>
      <c r="D222" s="1042"/>
      <c r="E222" s="1042"/>
      <c r="F222" s="1042"/>
      <c r="G222" s="1042"/>
      <c r="H222" s="1042"/>
      <c r="I222" s="1042"/>
      <c r="J222" s="1042"/>
      <c r="K222" s="1042"/>
      <c r="L222" s="268"/>
      <c r="M222" s="1494"/>
      <c r="N222" s="268"/>
    </row>
    <row r="223" spans="1:14" x14ac:dyDescent="0.2">
      <c r="A223" s="244" t="s">
        <v>2928</v>
      </c>
      <c r="B223" s="268"/>
      <c r="C223" s="268"/>
      <c r="D223" s="268"/>
      <c r="E223" s="268"/>
      <c r="F223" s="268"/>
      <c r="G223" s="268"/>
      <c r="H223" s="268"/>
      <c r="I223" s="268"/>
      <c r="J223" s="268"/>
      <c r="K223" s="268"/>
      <c r="L223" s="268"/>
      <c r="M223" s="1494"/>
      <c r="N223" s="268"/>
    </row>
    <row r="224" spans="1:14" x14ac:dyDescent="0.2">
      <c r="A224" s="244" t="s">
        <v>2929</v>
      </c>
    </row>
    <row r="225" spans="1:1" x14ac:dyDescent="0.2">
      <c r="A225" s="244" t="s">
        <v>2930</v>
      </c>
    </row>
    <row r="226" spans="1:1" x14ac:dyDescent="0.2">
      <c r="A226" s="244" t="s">
        <v>2931</v>
      </c>
    </row>
    <row r="227" spans="1:1" x14ac:dyDescent="0.2">
      <c r="A227" s="244" t="s">
        <v>2932</v>
      </c>
    </row>
    <row r="228" spans="1:1" x14ac:dyDescent="0.2">
      <c r="A228" s="244" t="s">
        <v>2933</v>
      </c>
    </row>
    <row r="229" spans="1:1" x14ac:dyDescent="0.2">
      <c r="A229" s="244" t="s">
        <v>2934</v>
      </c>
    </row>
    <row r="230" spans="1:1" x14ac:dyDescent="0.2">
      <c r="A230" s="244" t="s">
        <v>2935</v>
      </c>
    </row>
    <row r="231" spans="1:1" x14ac:dyDescent="0.2">
      <c r="A231" s="244" t="s">
        <v>2936</v>
      </c>
    </row>
    <row r="232" spans="1:1" x14ac:dyDescent="0.2">
      <c r="A232" s="244" t="s">
        <v>2937</v>
      </c>
    </row>
    <row r="233" spans="1:1" x14ac:dyDescent="0.2">
      <c r="A233" s="244" t="s">
        <v>2938</v>
      </c>
    </row>
    <row r="234" spans="1:1" x14ac:dyDescent="0.2">
      <c r="A234" s="244" t="s">
        <v>2939</v>
      </c>
    </row>
    <row r="235" spans="1:1" x14ac:dyDescent="0.2">
      <c r="A235" s="244" t="s">
        <v>2940</v>
      </c>
    </row>
    <row r="236" spans="1:1" x14ac:dyDescent="0.2">
      <c r="A236" s="244" t="s">
        <v>2941</v>
      </c>
    </row>
    <row r="237" spans="1:1" x14ac:dyDescent="0.2">
      <c r="A237" s="244" t="s">
        <v>2942</v>
      </c>
    </row>
    <row r="238" spans="1:1" x14ac:dyDescent="0.2">
      <c r="A238" s="244" t="s">
        <v>2943</v>
      </c>
    </row>
    <row r="239" spans="1:1" x14ac:dyDescent="0.2">
      <c r="A239" s="244" t="s">
        <v>2944</v>
      </c>
    </row>
    <row r="240" spans="1:1" x14ac:dyDescent="0.2">
      <c r="A240" s="244" t="s">
        <v>2945</v>
      </c>
    </row>
    <row r="241" spans="1:14" x14ac:dyDescent="0.2">
      <c r="A241" s="244" t="s">
        <v>2946</v>
      </c>
    </row>
    <row r="242" spans="1:14" x14ac:dyDescent="0.2">
      <c r="A242" s="244" t="s">
        <v>2947</v>
      </c>
    </row>
    <row r="244" spans="1:14" x14ac:dyDescent="0.2">
      <c r="A244" s="268"/>
      <c r="B244" s="268"/>
      <c r="C244" s="268"/>
      <c r="D244" s="268"/>
      <c r="E244" s="268"/>
      <c r="F244" s="268"/>
      <c r="G244" s="268"/>
      <c r="H244" s="268"/>
      <c r="I244" s="268"/>
      <c r="J244" s="268"/>
      <c r="K244" s="268"/>
      <c r="L244" s="268"/>
      <c r="M244" s="1494"/>
      <c r="N244" s="268"/>
    </row>
    <row r="245" spans="1:14" x14ac:dyDescent="0.2">
      <c r="A245" s="268"/>
      <c r="B245" s="268"/>
      <c r="C245" s="268"/>
      <c r="D245" s="268"/>
      <c r="E245" s="268"/>
      <c r="F245" s="268"/>
      <c r="G245" s="268"/>
      <c r="H245" s="268"/>
      <c r="I245" s="268"/>
      <c r="J245" s="268"/>
      <c r="K245" s="268"/>
      <c r="L245" s="268"/>
      <c r="M245" s="1494"/>
      <c r="N245" s="268"/>
    </row>
    <row r="246" spans="1:14" x14ac:dyDescent="0.2">
      <c r="A246" s="268"/>
      <c r="B246" s="268"/>
      <c r="C246" s="268"/>
      <c r="D246" s="268"/>
      <c r="E246" s="268"/>
      <c r="F246" s="268"/>
      <c r="G246" s="268"/>
      <c r="H246" s="268"/>
      <c r="I246" s="268"/>
      <c r="J246" s="268"/>
      <c r="K246" s="268"/>
      <c r="L246" s="268"/>
      <c r="M246" s="1494"/>
      <c r="N246" s="268"/>
    </row>
    <row r="247" spans="1:14" x14ac:dyDescent="0.2">
      <c r="A247" s="268"/>
      <c r="B247" s="268"/>
      <c r="C247" s="268"/>
      <c r="D247" s="268"/>
      <c r="E247" s="268"/>
      <c r="F247" s="268"/>
      <c r="G247" s="268"/>
      <c r="H247" s="268"/>
      <c r="I247" s="268"/>
      <c r="J247" s="268"/>
      <c r="K247" s="268"/>
      <c r="L247" s="268"/>
      <c r="M247" s="1494"/>
      <c r="N247" s="268"/>
    </row>
  </sheetData>
  <sheetProtection algorithmName="SHA-512" hashValue="abq8JUzwPBa67qUrVUKofFu0maaZgv4fH0rvW7ds0yq4N5CDXWk3tYnSyx88pHUVn1nRiQuOW+Wc9/XSEXO9UA==" saltValue="9wmPtvq/cBR911/wffPSqg==" spinCount="100000" sheet="1" objects="1" scenarios="1"/>
  <mergeCells count="141">
    <mergeCell ref="B150:C152"/>
    <mergeCell ref="A150:A152"/>
    <mergeCell ref="M150:M152"/>
    <mergeCell ref="B165:C169"/>
    <mergeCell ref="A165:A169"/>
    <mergeCell ref="B135:C138"/>
    <mergeCell ref="A135:A138"/>
    <mergeCell ref="M136:M138"/>
    <mergeCell ref="B146:C149"/>
    <mergeCell ref="A146:A149"/>
    <mergeCell ref="M91:M94"/>
    <mergeCell ref="B102:C106"/>
    <mergeCell ref="A102:A106"/>
    <mergeCell ref="B128:C130"/>
    <mergeCell ref="A128:A130"/>
    <mergeCell ref="B131:C132"/>
    <mergeCell ref="A131:A132"/>
    <mergeCell ref="B133:C134"/>
    <mergeCell ref="A133:A134"/>
    <mergeCell ref="B118:C122"/>
    <mergeCell ref="A118:A122"/>
    <mergeCell ref="M119:M122"/>
    <mergeCell ref="B123:C127"/>
    <mergeCell ref="A123:A127"/>
    <mergeCell ref="B67:C71"/>
    <mergeCell ref="A67:A71"/>
    <mergeCell ref="B77:C81"/>
    <mergeCell ref="A77:A81"/>
    <mergeCell ref="M78:M81"/>
    <mergeCell ref="B82:C85"/>
    <mergeCell ref="A82:A85"/>
    <mergeCell ref="B162:C163"/>
    <mergeCell ref="A164:C164"/>
    <mergeCell ref="B99:C100"/>
    <mergeCell ref="A101:C101"/>
    <mergeCell ref="M154:M157"/>
    <mergeCell ref="A159:B159"/>
    <mergeCell ref="M147:M149"/>
    <mergeCell ref="K99:L99"/>
    <mergeCell ref="M99:M100"/>
    <mergeCell ref="B107:C110"/>
    <mergeCell ref="A107:A110"/>
    <mergeCell ref="B111:C115"/>
    <mergeCell ref="A111:A115"/>
    <mergeCell ref="B116:C117"/>
    <mergeCell ref="A116:A117"/>
    <mergeCell ref="A90:A94"/>
    <mergeCell ref="B90:C94"/>
    <mergeCell ref="M188:M191"/>
    <mergeCell ref="M193:M195"/>
    <mergeCell ref="N162:N163"/>
    <mergeCell ref="M171:M174"/>
    <mergeCell ref="M176:M179"/>
    <mergeCell ref="M181:M184"/>
    <mergeCell ref="M166:M169"/>
    <mergeCell ref="A162:A163"/>
    <mergeCell ref="D162:E162"/>
    <mergeCell ref="F162:G162"/>
    <mergeCell ref="H162:I162"/>
    <mergeCell ref="J162:J163"/>
    <mergeCell ref="K162:L162"/>
    <mergeCell ref="M162:M163"/>
    <mergeCell ref="B187:C191"/>
    <mergeCell ref="A187:A191"/>
    <mergeCell ref="B192:C195"/>
    <mergeCell ref="A192:A195"/>
    <mergeCell ref="B170:C174"/>
    <mergeCell ref="A170:A174"/>
    <mergeCell ref="B175:C179"/>
    <mergeCell ref="A175:A179"/>
    <mergeCell ref="B180:C184"/>
    <mergeCell ref="A180:A184"/>
    <mergeCell ref="N99:N100"/>
    <mergeCell ref="M103:M106"/>
    <mergeCell ref="M108:M110"/>
    <mergeCell ref="M112:M115"/>
    <mergeCell ref="M124:M127"/>
    <mergeCell ref="M129:M130"/>
    <mergeCell ref="M140:M141"/>
    <mergeCell ref="M143:M145"/>
    <mergeCell ref="A96:B96"/>
    <mergeCell ref="A99:A100"/>
    <mergeCell ref="D99:E99"/>
    <mergeCell ref="F99:G99"/>
    <mergeCell ref="H99:I99"/>
    <mergeCell ref="J99:J100"/>
    <mergeCell ref="M50:M51"/>
    <mergeCell ref="N50:N51"/>
    <mergeCell ref="M54:M59"/>
    <mergeCell ref="M63:M66"/>
    <mergeCell ref="M68:M71"/>
    <mergeCell ref="M73:M76"/>
    <mergeCell ref="M83:M85"/>
    <mergeCell ref="M87:M89"/>
    <mergeCell ref="A50:A51"/>
    <mergeCell ref="D50:E50"/>
    <mergeCell ref="F50:G50"/>
    <mergeCell ref="H50:I50"/>
    <mergeCell ref="J50:J51"/>
    <mergeCell ref="K50:L50"/>
    <mergeCell ref="B72:C76"/>
    <mergeCell ref="A72:A76"/>
    <mergeCell ref="B50:C51"/>
    <mergeCell ref="A52:C52"/>
    <mergeCell ref="B53:C59"/>
    <mergeCell ref="A53:A59"/>
    <mergeCell ref="B60:C61"/>
    <mergeCell ref="A60:A61"/>
    <mergeCell ref="B62:C66"/>
    <mergeCell ref="A62:A66"/>
    <mergeCell ref="M42:M45"/>
    <mergeCell ref="A47:B47"/>
    <mergeCell ref="B8:C9"/>
    <mergeCell ref="A10:C10"/>
    <mergeCell ref="B11:C16"/>
    <mergeCell ref="A8:A9"/>
    <mergeCell ref="D8:E8"/>
    <mergeCell ref="F8:G8"/>
    <mergeCell ref="H8:I8"/>
    <mergeCell ref="J8:J9"/>
    <mergeCell ref="K8:L8"/>
    <mergeCell ref="B28:C33"/>
    <mergeCell ref="A28:A33"/>
    <mergeCell ref="B34:C40"/>
    <mergeCell ref="A34:A40"/>
    <mergeCell ref="A41:A45"/>
    <mergeCell ref="B41:C45"/>
    <mergeCell ref="A11:A16"/>
    <mergeCell ref="B17:C22"/>
    <mergeCell ref="A17:A22"/>
    <mergeCell ref="A23:A27"/>
    <mergeCell ref="B23:C27"/>
    <mergeCell ref="A3:L3"/>
    <mergeCell ref="A5:B5"/>
    <mergeCell ref="M8:M9"/>
    <mergeCell ref="N8:N9"/>
    <mergeCell ref="M12:M16"/>
    <mergeCell ref="M18:M22"/>
    <mergeCell ref="M24:M27"/>
    <mergeCell ref="M29:M33"/>
    <mergeCell ref="M35:M40"/>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27.pielikums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25"/>
  <sheetViews>
    <sheetView view="pageLayout" zoomScaleNormal="100" workbookViewId="0">
      <selection activeCell="M9" sqref="M9"/>
    </sheetView>
  </sheetViews>
  <sheetFormatPr defaultRowHeight="12" x14ac:dyDescent="0.2"/>
  <cols>
    <col min="1" max="1" width="6.140625" style="244" customWidth="1"/>
    <col min="2" max="2" width="26.85546875" style="244" customWidth="1"/>
    <col min="3" max="3" width="11.8554687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19.140625" style="244" customWidth="1"/>
    <col min="10" max="10" width="34.7109375" style="244" hidden="1" customWidth="1"/>
    <col min="11" max="16384" width="9.140625" style="244"/>
  </cols>
  <sheetData>
    <row r="1" spans="1:17" x14ac:dyDescent="0.2">
      <c r="A1" s="1793" t="s">
        <v>117</v>
      </c>
      <c r="B1" s="1793"/>
      <c r="C1" s="1503" t="s">
        <v>1000</v>
      </c>
      <c r="D1" s="1036"/>
      <c r="E1" s="1173"/>
      <c r="F1" s="1173"/>
      <c r="G1" s="1173"/>
      <c r="H1" s="1173"/>
      <c r="I1" s="1173"/>
      <c r="J1" s="1173"/>
      <c r="K1" s="1173"/>
      <c r="L1" s="1173"/>
      <c r="M1" s="1173"/>
    </row>
    <row r="2" spans="1:17" x14ac:dyDescent="0.2">
      <c r="A2" s="1793" t="s">
        <v>119</v>
      </c>
      <c r="B2" s="1793"/>
      <c r="C2" s="1503">
        <v>90009249367</v>
      </c>
      <c r="D2" s="1036"/>
      <c r="E2" s="1053"/>
      <c r="F2" s="1053"/>
      <c r="G2" s="1053"/>
      <c r="H2" s="1053"/>
      <c r="I2" s="1053"/>
      <c r="J2" s="1053"/>
    </row>
    <row r="3" spans="1:17" ht="15.75" x14ac:dyDescent="0.25">
      <c r="A3" s="1794" t="s">
        <v>120</v>
      </c>
      <c r="B3" s="1794"/>
      <c r="C3" s="1794"/>
      <c r="D3" s="1794"/>
      <c r="E3" s="1794"/>
      <c r="F3" s="1794"/>
      <c r="G3" s="1794"/>
      <c r="H3" s="1794"/>
      <c r="I3" s="1794"/>
      <c r="J3" s="1794"/>
    </row>
    <row r="4" spans="1:17" ht="15.75" x14ac:dyDescent="0.25">
      <c r="A4" s="1037"/>
      <c r="B4" s="1037"/>
      <c r="C4" s="1504"/>
      <c r="D4" s="1037"/>
      <c r="E4" s="1037"/>
      <c r="F4" s="1037"/>
      <c r="G4" s="1037"/>
      <c r="H4" s="1037"/>
      <c r="I4" s="1037"/>
      <c r="J4" s="1037"/>
    </row>
    <row r="5" spans="1:17" ht="15.75" x14ac:dyDescent="0.25">
      <c r="A5" s="1053" t="s">
        <v>121</v>
      </c>
      <c r="B5" s="1053"/>
      <c r="C5" s="247" t="s">
        <v>1000</v>
      </c>
      <c r="D5" s="1547"/>
      <c r="E5" s="1053"/>
      <c r="F5" s="1053"/>
      <c r="G5" s="1053"/>
      <c r="H5" s="1053"/>
      <c r="I5" s="1053"/>
      <c r="J5" s="1053"/>
    </row>
    <row r="6" spans="1:17" x14ac:dyDescent="0.2">
      <c r="A6" s="1053" t="s">
        <v>123</v>
      </c>
      <c r="B6" s="1053"/>
      <c r="C6" s="1547" t="s">
        <v>2948</v>
      </c>
      <c r="D6" s="1547"/>
      <c r="E6" s="1053"/>
      <c r="F6" s="1053"/>
      <c r="G6" s="1053"/>
      <c r="H6" s="1053"/>
      <c r="I6" s="1053"/>
      <c r="J6" s="1053"/>
    </row>
    <row r="7" spans="1:17" x14ac:dyDescent="0.2">
      <c r="A7" s="1053" t="s">
        <v>125</v>
      </c>
      <c r="B7" s="1053"/>
      <c r="C7" s="1646" t="s">
        <v>2949</v>
      </c>
      <c r="D7" s="1646"/>
      <c r="E7" s="1646"/>
      <c r="F7" s="1646"/>
      <c r="G7" s="1646"/>
      <c r="H7" s="1646"/>
      <c r="I7" s="1646"/>
      <c r="J7" s="1646"/>
    </row>
    <row r="8" spans="1:17" ht="48" x14ac:dyDescent="0.2">
      <c r="A8" s="1533" t="s">
        <v>1</v>
      </c>
      <c r="B8" s="1797" t="s">
        <v>127</v>
      </c>
      <c r="C8" s="1798"/>
      <c r="D8" s="1050" t="s">
        <v>14</v>
      </c>
      <c r="E8" s="1050" t="s">
        <v>12</v>
      </c>
      <c r="F8" s="1050" t="s">
        <v>128</v>
      </c>
      <c r="G8" s="1050" t="s">
        <v>129</v>
      </c>
      <c r="H8" s="1050" t="s">
        <v>3357</v>
      </c>
      <c r="I8" s="1050" t="s">
        <v>11</v>
      </c>
      <c r="J8" s="1050" t="s">
        <v>131</v>
      </c>
      <c r="K8" s="1174"/>
      <c r="L8" s="1174"/>
      <c r="M8" s="1174"/>
      <c r="N8" s="1174"/>
      <c r="O8" s="1174"/>
      <c r="P8" s="1174"/>
      <c r="Q8" s="1174"/>
    </row>
    <row r="9" spans="1:17" ht="15" customHeight="1" x14ac:dyDescent="0.2">
      <c r="A9" s="1982" t="s">
        <v>132</v>
      </c>
      <c r="B9" s="1983"/>
      <c r="C9" s="1984"/>
      <c r="D9" s="643">
        <f>SUM(D10,D69,D89,D101,D109,D132,D150,D168,D193,D229,D244,D267,D283,D289,D293)</f>
        <v>274767</v>
      </c>
      <c r="E9" s="1052">
        <f>SUM(E10,E69,E89,E101,E109,E132,E150,E168,E193,E229,E244,E267,E283,E289,E293)</f>
        <v>274767</v>
      </c>
      <c r="F9" s="1052">
        <f>SUM(F10,F69,F89,F101,F109,F132,F150,F168,F193,F229,F244,F267,F283,F289,F293)</f>
        <v>308723</v>
      </c>
      <c r="G9" s="1050"/>
      <c r="H9" s="643">
        <f>SUM(H10,H69,H89,H101,H109,H132,H150,H168,H193,H229,H244,H267,H283,H289,H293,H299)</f>
        <v>380341</v>
      </c>
      <c r="I9" s="1050"/>
      <c r="J9" s="1050"/>
      <c r="K9" s="1174"/>
      <c r="L9" s="1174"/>
      <c r="M9" s="1174"/>
      <c r="N9" s="1174"/>
      <c r="O9" s="1174"/>
      <c r="P9" s="1174"/>
      <c r="Q9" s="1174"/>
    </row>
    <row r="10" spans="1:17" ht="12.75" customHeight="1" x14ac:dyDescent="0.2">
      <c r="A10" s="1175">
        <v>1</v>
      </c>
      <c r="B10" s="1967" t="s">
        <v>2950</v>
      </c>
      <c r="C10" s="1968"/>
      <c r="D10" s="253">
        <f>SUM(D11+D50+D54)</f>
        <v>67906</v>
      </c>
      <c r="E10" s="253">
        <f>SUM(E11+E50+E54)</f>
        <v>69846</v>
      </c>
      <c r="F10" s="253">
        <f>SUM(F11+F50+F54)</f>
        <v>81391</v>
      </c>
      <c r="G10" s="253"/>
      <c r="H10" s="253">
        <f>SUM(H11+H50+H54)</f>
        <v>64352</v>
      </c>
      <c r="I10" s="253"/>
      <c r="J10" s="1176" t="s">
        <v>2951</v>
      </c>
    </row>
    <row r="11" spans="1:17" ht="12.75" customHeight="1" x14ac:dyDescent="0.2">
      <c r="A11" s="1175" t="s">
        <v>1501</v>
      </c>
      <c r="B11" s="1967" t="s">
        <v>2952</v>
      </c>
      <c r="C11" s="1968"/>
      <c r="D11" s="253">
        <f>SUM( D12+D17+D27+D45)</f>
        <v>48938</v>
      </c>
      <c r="E11" s="253">
        <f t="shared" ref="E11:H11" si="0">SUM( E12+E17+E27+E45)</f>
        <v>51438</v>
      </c>
      <c r="F11" s="253">
        <f t="shared" si="0"/>
        <v>49552</v>
      </c>
      <c r="G11" s="253"/>
      <c r="H11" s="253">
        <f t="shared" si="0"/>
        <v>38935</v>
      </c>
      <c r="I11" s="253"/>
      <c r="J11" s="254"/>
      <c r="K11" s="358"/>
      <c r="L11" s="358"/>
      <c r="M11" s="358"/>
      <c r="N11" s="358"/>
      <c r="O11" s="358"/>
      <c r="P11" s="358"/>
      <c r="Q11" s="358"/>
    </row>
    <row r="12" spans="1:17" ht="15.75" customHeight="1" x14ac:dyDescent="0.2">
      <c r="A12" s="2094" t="s">
        <v>2953</v>
      </c>
      <c r="B12" s="2095" t="s">
        <v>2954</v>
      </c>
      <c r="C12" s="2096"/>
      <c r="D12" s="253">
        <f>SUM(D13:D16)</f>
        <v>15100</v>
      </c>
      <c r="E12" s="253">
        <f t="shared" ref="E12:H12" si="1">SUM(E13:E16)</f>
        <v>17600</v>
      </c>
      <c r="F12" s="253">
        <f t="shared" si="1"/>
        <v>18000</v>
      </c>
      <c r="G12" s="253"/>
      <c r="H12" s="253">
        <f t="shared" si="1"/>
        <v>17400</v>
      </c>
      <c r="I12" s="1040"/>
      <c r="J12" s="625" t="s">
        <v>2955</v>
      </c>
    </row>
    <row r="13" spans="1:17" ht="15.75" customHeight="1" x14ac:dyDescent="0.2">
      <c r="A13" s="2094"/>
      <c r="B13" s="2097"/>
      <c r="C13" s="2098"/>
      <c r="D13" s="541">
        <v>1200</v>
      </c>
      <c r="E13" s="541">
        <v>1200</v>
      </c>
      <c r="F13" s="541">
        <v>1200</v>
      </c>
      <c r="G13" s="625">
        <v>2235</v>
      </c>
      <c r="H13" s="541">
        <v>600</v>
      </c>
      <c r="I13" s="1826" t="s">
        <v>2956</v>
      </c>
      <c r="J13" s="254" t="s">
        <v>2957</v>
      </c>
      <c r="K13" s="358"/>
    </row>
    <row r="14" spans="1:17" ht="15.75" customHeight="1" x14ac:dyDescent="0.2">
      <c r="A14" s="2094"/>
      <c r="B14" s="2097"/>
      <c r="C14" s="2098"/>
      <c r="D14" s="541">
        <v>8000</v>
      </c>
      <c r="E14" s="541">
        <v>10500</v>
      </c>
      <c r="F14" s="541">
        <v>10000</v>
      </c>
      <c r="G14" s="625">
        <v>2235</v>
      </c>
      <c r="H14" s="541">
        <v>10000</v>
      </c>
      <c r="I14" s="1826"/>
      <c r="J14" s="254" t="s">
        <v>2958</v>
      </c>
      <c r="K14" s="1174"/>
      <c r="L14" s="1174"/>
      <c r="M14" s="1174"/>
      <c r="N14" s="1174"/>
      <c r="O14" s="1174"/>
      <c r="P14" s="1174"/>
      <c r="Q14" s="1174"/>
    </row>
    <row r="15" spans="1:17" ht="15.75" customHeight="1" x14ac:dyDescent="0.2">
      <c r="A15" s="2094"/>
      <c r="B15" s="2097"/>
      <c r="C15" s="2098"/>
      <c r="D15" s="541">
        <v>3800</v>
      </c>
      <c r="E15" s="541">
        <v>3800</v>
      </c>
      <c r="F15" s="541">
        <v>4200</v>
      </c>
      <c r="G15" s="625">
        <v>2231</v>
      </c>
      <c r="H15" s="541">
        <v>4200</v>
      </c>
      <c r="I15" s="1826"/>
      <c r="J15" s="254" t="s">
        <v>2959</v>
      </c>
      <c r="K15" s="358"/>
      <c r="L15" s="358"/>
      <c r="M15" s="358"/>
      <c r="N15" s="358"/>
      <c r="O15" s="358"/>
      <c r="P15" s="358"/>
      <c r="Q15" s="358"/>
    </row>
    <row r="16" spans="1:17" ht="15.75" customHeight="1" x14ac:dyDescent="0.2">
      <c r="A16" s="2094"/>
      <c r="B16" s="2099"/>
      <c r="C16" s="2100"/>
      <c r="D16" s="541">
        <v>2100</v>
      </c>
      <c r="E16" s="541">
        <v>2100</v>
      </c>
      <c r="F16" s="541">
        <v>2600</v>
      </c>
      <c r="G16" s="625">
        <v>2363</v>
      </c>
      <c r="H16" s="541">
        <v>2600</v>
      </c>
      <c r="I16" s="1826"/>
      <c r="J16" s="254" t="s">
        <v>2960</v>
      </c>
    </row>
    <row r="17" spans="1:17" ht="24" hidden="1" x14ac:dyDescent="0.2">
      <c r="A17" s="2094" t="s">
        <v>2961</v>
      </c>
      <c r="B17" s="2095" t="s">
        <v>2962</v>
      </c>
      <c r="C17" s="2096"/>
      <c r="D17" s="253">
        <f>SUM(D18:D26)</f>
        <v>10738</v>
      </c>
      <c r="E17" s="253">
        <f t="shared" ref="E17:F17" si="2">SUM(E18:E26)</f>
        <v>10738</v>
      </c>
      <c r="F17" s="253">
        <f t="shared" si="2"/>
        <v>5172</v>
      </c>
      <c r="G17" s="253"/>
      <c r="H17" s="253">
        <f>SUM(H18:H26)</f>
        <v>0</v>
      </c>
      <c r="I17" s="541"/>
      <c r="J17" s="604" t="s">
        <v>2963</v>
      </c>
    </row>
    <row r="18" spans="1:17" ht="15" hidden="1" customHeight="1" x14ac:dyDescent="0.2">
      <c r="A18" s="2094"/>
      <c r="B18" s="2097"/>
      <c r="C18" s="2098"/>
      <c r="D18" s="741">
        <v>2480</v>
      </c>
      <c r="E18" s="741">
        <v>2480</v>
      </c>
      <c r="F18" s="416">
        <v>0</v>
      </c>
      <c r="G18" s="625">
        <v>1150</v>
      </c>
      <c r="H18" s="541">
        <v>0</v>
      </c>
      <c r="I18" s="1969" t="s">
        <v>2964</v>
      </c>
      <c r="J18" s="1047"/>
      <c r="K18" s="1174"/>
      <c r="L18" s="1174"/>
      <c r="M18" s="1174"/>
      <c r="N18" s="1174"/>
      <c r="O18" s="1174"/>
      <c r="P18" s="1174"/>
      <c r="Q18" s="1174"/>
    </row>
    <row r="19" spans="1:17" ht="12.75" hidden="1" customHeight="1" x14ac:dyDescent="0.2">
      <c r="A19" s="2094"/>
      <c r="B19" s="2097"/>
      <c r="C19" s="2098"/>
      <c r="D19" s="741">
        <v>598</v>
      </c>
      <c r="E19" s="741">
        <v>598</v>
      </c>
      <c r="F19" s="416">
        <v>0</v>
      </c>
      <c r="G19" s="625">
        <v>1210</v>
      </c>
      <c r="H19" s="541">
        <v>0</v>
      </c>
      <c r="I19" s="1969"/>
      <c r="J19" s="254"/>
      <c r="K19" s="358"/>
      <c r="L19" s="358"/>
      <c r="M19" s="358"/>
      <c r="N19" s="358"/>
      <c r="O19" s="358"/>
      <c r="P19" s="358"/>
      <c r="Q19" s="358"/>
    </row>
    <row r="20" spans="1:17" ht="48" hidden="1" x14ac:dyDescent="0.2">
      <c r="A20" s="2094"/>
      <c r="B20" s="2097"/>
      <c r="C20" s="2098"/>
      <c r="D20" s="601">
        <v>414</v>
      </c>
      <c r="E20" s="601">
        <v>414</v>
      </c>
      <c r="F20" s="601">
        <v>720</v>
      </c>
      <c r="G20" s="625">
        <v>2121</v>
      </c>
      <c r="H20" s="541">
        <v>0</v>
      </c>
      <c r="I20" s="1969"/>
      <c r="J20" s="1047" t="s">
        <v>2965</v>
      </c>
      <c r="K20" s="1174"/>
    </row>
    <row r="21" spans="1:17" ht="75" hidden="1" customHeight="1" x14ac:dyDescent="0.2">
      <c r="A21" s="2094"/>
      <c r="B21" s="2097"/>
      <c r="C21" s="2098"/>
      <c r="D21" s="601">
        <v>159</v>
      </c>
      <c r="E21" s="601">
        <v>159</v>
      </c>
      <c r="F21" s="601">
        <v>318</v>
      </c>
      <c r="G21" s="625">
        <v>2122</v>
      </c>
      <c r="H21" s="541">
        <v>0</v>
      </c>
      <c r="I21" s="1969"/>
      <c r="J21" s="1047" t="s">
        <v>2966</v>
      </c>
      <c r="K21" s="358"/>
    </row>
    <row r="22" spans="1:17" ht="12.75" hidden="1" customHeight="1" x14ac:dyDescent="0.2">
      <c r="A22" s="2094"/>
      <c r="B22" s="2097"/>
      <c r="C22" s="2098"/>
      <c r="D22" s="416">
        <v>3410</v>
      </c>
      <c r="E22" s="416">
        <v>3410</v>
      </c>
      <c r="F22" s="416">
        <v>0</v>
      </c>
      <c r="G22" s="625">
        <v>2231</v>
      </c>
      <c r="H22" s="541">
        <v>0</v>
      </c>
      <c r="I22" s="1969"/>
      <c r="J22" s="254"/>
    </row>
    <row r="23" spans="1:17" ht="12.75" hidden="1" customHeight="1" x14ac:dyDescent="0.2">
      <c r="A23" s="2094"/>
      <c r="B23" s="2097"/>
      <c r="C23" s="2098"/>
      <c r="D23" s="416">
        <v>90</v>
      </c>
      <c r="E23" s="416">
        <v>90</v>
      </c>
      <c r="F23" s="416">
        <v>0</v>
      </c>
      <c r="G23" s="625">
        <v>2239</v>
      </c>
      <c r="H23" s="541">
        <v>0</v>
      </c>
      <c r="I23" s="1969"/>
      <c r="J23" s="254"/>
    </row>
    <row r="24" spans="1:17" ht="84" hidden="1" x14ac:dyDescent="0.2">
      <c r="A24" s="2094"/>
      <c r="B24" s="2097"/>
      <c r="C24" s="2098"/>
      <c r="D24" s="416">
        <v>2067</v>
      </c>
      <c r="E24" s="416">
        <v>2067</v>
      </c>
      <c r="F24" s="416">
        <v>4134</v>
      </c>
      <c r="G24" s="625">
        <v>2279</v>
      </c>
      <c r="H24" s="541">
        <v>0</v>
      </c>
      <c r="I24" s="1969"/>
      <c r="J24" s="1047" t="s">
        <v>2967</v>
      </c>
    </row>
    <row r="25" spans="1:17" ht="12.75" hidden="1" customHeight="1" x14ac:dyDescent="0.2">
      <c r="A25" s="2094"/>
      <c r="B25" s="2097"/>
      <c r="C25" s="2098"/>
      <c r="D25" s="416">
        <v>1470</v>
      </c>
      <c r="E25" s="416">
        <v>1470</v>
      </c>
      <c r="F25" s="416">
        <v>0</v>
      </c>
      <c r="G25" s="625">
        <v>2314</v>
      </c>
      <c r="H25" s="541">
        <v>0</v>
      </c>
      <c r="I25" s="1969"/>
      <c r="J25" s="254"/>
    </row>
    <row r="26" spans="1:17" ht="12.75" hidden="1" customHeight="1" x14ac:dyDescent="0.2">
      <c r="A26" s="2094"/>
      <c r="B26" s="2099"/>
      <c r="C26" s="2100"/>
      <c r="D26" s="416">
        <v>50</v>
      </c>
      <c r="E26" s="416">
        <v>50</v>
      </c>
      <c r="F26" s="416">
        <v>0</v>
      </c>
      <c r="G26" s="625">
        <v>2341</v>
      </c>
      <c r="H26" s="541">
        <v>0</v>
      </c>
      <c r="I26" s="1969"/>
      <c r="J26" s="254"/>
    </row>
    <row r="27" spans="1:17" ht="14.25" customHeight="1" x14ac:dyDescent="0.2">
      <c r="A27" s="2094" t="s">
        <v>2961</v>
      </c>
      <c r="B27" s="2095" t="s">
        <v>2968</v>
      </c>
      <c r="C27" s="2096"/>
      <c r="D27" s="253">
        <f>SUM(D28:D44)</f>
        <v>23100</v>
      </c>
      <c r="E27" s="253">
        <f t="shared" ref="E27:F27" si="3">SUM(E28:E44)</f>
        <v>23100</v>
      </c>
      <c r="F27" s="253">
        <f t="shared" si="3"/>
        <v>22469</v>
      </c>
      <c r="G27" s="253"/>
      <c r="H27" s="385">
        <f>SUM(H28:H44)</f>
        <v>21535</v>
      </c>
      <c r="I27" s="1969" t="s">
        <v>2969</v>
      </c>
      <c r="J27" s="604" t="s">
        <v>2970</v>
      </c>
    </row>
    <row r="28" spans="1:17" ht="14.25" customHeight="1" x14ac:dyDescent="0.2">
      <c r="A28" s="2094"/>
      <c r="B28" s="2097"/>
      <c r="C28" s="2098"/>
      <c r="D28" s="741">
        <v>1000</v>
      </c>
      <c r="E28" s="741">
        <v>1000</v>
      </c>
      <c r="F28" s="741">
        <v>2000</v>
      </c>
      <c r="G28" s="625">
        <v>1150</v>
      </c>
      <c r="H28" s="381">
        <v>2000</v>
      </c>
      <c r="I28" s="1969"/>
      <c r="J28" s="1047" t="s">
        <v>2971</v>
      </c>
    </row>
    <row r="29" spans="1:17" ht="14.25" customHeight="1" x14ac:dyDescent="0.2">
      <c r="A29" s="2094"/>
      <c r="B29" s="2097"/>
      <c r="C29" s="2098"/>
      <c r="D29" s="741">
        <v>241</v>
      </c>
      <c r="E29" s="1172">
        <v>241</v>
      </c>
      <c r="F29" s="741">
        <v>482</v>
      </c>
      <c r="G29" s="625">
        <v>1210</v>
      </c>
      <c r="H29" s="381">
        <v>482</v>
      </c>
      <c r="I29" s="1969"/>
      <c r="J29" s="254" t="s">
        <v>2972</v>
      </c>
    </row>
    <row r="30" spans="1:17" ht="14.25" customHeight="1" x14ac:dyDescent="0.2">
      <c r="A30" s="2094"/>
      <c r="B30" s="2097"/>
      <c r="C30" s="2098"/>
      <c r="D30" s="601">
        <v>108</v>
      </c>
      <c r="E30" s="601">
        <v>108</v>
      </c>
      <c r="F30" s="601">
        <v>216</v>
      </c>
      <c r="G30" s="625">
        <v>2111</v>
      </c>
      <c r="H30" s="381">
        <v>192</v>
      </c>
      <c r="I30" s="1969"/>
      <c r="J30" s="1040" t="s">
        <v>2973</v>
      </c>
    </row>
    <row r="31" spans="1:17" ht="14.25" customHeight="1" x14ac:dyDescent="0.2">
      <c r="A31" s="2094"/>
      <c r="B31" s="2097"/>
      <c r="C31" s="2098"/>
      <c r="D31" s="601">
        <v>150</v>
      </c>
      <c r="E31" s="601">
        <v>150</v>
      </c>
      <c r="F31" s="601">
        <v>300</v>
      </c>
      <c r="G31" s="625">
        <v>2112</v>
      </c>
      <c r="H31" s="381">
        <v>300</v>
      </c>
      <c r="I31" s="1969"/>
      <c r="J31" s="1040" t="s">
        <v>2974</v>
      </c>
    </row>
    <row r="32" spans="1:17" ht="14.25" customHeight="1" x14ac:dyDescent="0.2">
      <c r="A32" s="2094"/>
      <c r="B32" s="2097"/>
      <c r="C32" s="2098"/>
      <c r="D32" s="741">
        <v>522</v>
      </c>
      <c r="E32" s="741">
        <v>522</v>
      </c>
      <c r="F32" s="741">
        <v>522</v>
      </c>
      <c r="G32" s="625">
        <v>2121</v>
      </c>
      <c r="H32" s="381">
        <v>720</v>
      </c>
      <c r="I32" s="1969"/>
      <c r="J32" s="1040" t="s">
        <v>2975</v>
      </c>
    </row>
    <row r="33" spans="1:10" ht="14.25" customHeight="1" x14ac:dyDescent="0.2">
      <c r="A33" s="2094"/>
      <c r="B33" s="2097"/>
      <c r="C33" s="2098"/>
      <c r="D33" s="741">
        <v>225</v>
      </c>
      <c r="E33" s="741">
        <v>225</v>
      </c>
      <c r="F33" s="741">
        <v>225</v>
      </c>
      <c r="G33" s="625">
        <v>2122</v>
      </c>
      <c r="H33" s="381">
        <v>225</v>
      </c>
      <c r="I33" s="1969"/>
      <c r="J33" s="1040" t="s">
        <v>2976</v>
      </c>
    </row>
    <row r="34" spans="1:10" ht="14.25" customHeight="1" x14ac:dyDescent="0.2">
      <c r="A34" s="2094"/>
      <c r="B34" s="2097"/>
      <c r="C34" s="2098"/>
      <c r="D34" s="741">
        <v>147</v>
      </c>
      <c r="E34" s="741">
        <v>147</v>
      </c>
      <c r="F34" s="741">
        <v>294</v>
      </c>
      <c r="G34" s="625">
        <v>2235</v>
      </c>
      <c r="H34" s="381">
        <v>294</v>
      </c>
      <c r="I34" s="1969"/>
      <c r="J34" s="1040" t="s">
        <v>2977</v>
      </c>
    </row>
    <row r="35" spans="1:10" ht="14.25" customHeight="1" x14ac:dyDescent="0.2">
      <c r="A35" s="2094"/>
      <c r="B35" s="2097"/>
      <c r="C35" s="2098"/>
      <c r="D35" s="741">
        <v>1600</v>
      </c>
      <c r="E35" s="741">
        <v>1600</v>
      </c>
      <c r="F35" s="741">
        <v>2240</v>
      </c>
      <c r="G35" s="625">
        <v>2235</v>
      </c>
      <c r="H35" s="381">
        <v>2240</v>
      </c>
      <c r="I35" s="1969"/>
      <c r="J35" s="1040" t="s">
        <v>2978</v>
      </c>
    </row>
    <row r="36" spans="1:10" ht="14.25" customHeight="1" x14ac:dyDescent="0.2">
      <c r="A36" s="2094"/>
      <c r="B36" s="2097"/>
      <c r="C36" s="2098"/>
      <c r="D36" s="741">
        <v>3812</v>
      </c>
      <c r="E36" s="741">
        <v>3812</v>
      </c>
      <c r="F36" s="741">
        <v>5450</v>
      </c>
      <c r="G36" s="625">
        <v>2235</v>
      </c>
      <c r="H36" s="381">
        <v>5450</v>
      </c>
      <c r="I36" s="1969"/>
      <c r="J36" s="1040" t="s">
        <v>2979</v>
      </c>
    </row>
    <row r="37" spans="1:10" ht="14.25" customHeight="1" x14ac:dyDescent="0.2">
      <c r="A37" s="2094"/>
      <c r="B37" s="2097"/>
      <c r="C37" s="2098"/>
      <c r="D37" s="741">
        <v>2200</v>
      </c>
      <c r="E37" s="741">
        <v>2200</v>
      </c>
      <c r="F37" s="741">
        <v>2200</v>
      </c>
      <c r="G37" s="625">
        <v>2239</v>
      </c>
      <c r="H37" s="381">
        <v>2200</v>
      </c>
      <c r="I37" s="1969"/>
      <c r="J37" s="1040" t="s">
        <v>2980</v>
      </c>
    </row>
    <row r="38" spans="1:10" ht="14.25" hidden="1" customHeight="1" x14ac:dyDescent="0.2">
      <c r="A38" s="2094"/>
      <c r="B38" s="2097"/>
      <c r="C38" s="2098"/>
      <c r="D38" s="741">
        <v>1000</v>
      </c>
      <c r="E38" s="741">
        <v>1000</v>
      </c>
      <c r="F38" s="741">
        <v>0</v>
      </c>
      <c r="G38" s="625">
        <v>2312</v>
      </c>
      <c r="H38" s="381">
        <v>0</v>
      </c>
      <c r="I38" s="1969"/>
      <c r="J38" s="1040"/>
    </row>
    <row r="39" spans="1:10" ht="14.25" customHeight="1" x14ac:dyDescent="0.2">
      <c r="A39" s="2094"/>
      <c r="B39" s="2097"/>
      <c r="C39" s="2098"/>
      <c r="D39" s="741">
        <v>1000</v>
      </c>
      <c r="E39" s="741">
        <v>1000</v>
      </c>
      <c r="F39" s="741">
        <v>1000</v>
      </c>
      <c r="G39" s="625">
        <v>2314</v>
      </c>
      <c r="H39" s="381">
        <v>1000</v>
      </c>
      <c r="I39" s="1969"/>
      <c r="J39" s="1040" t="s">
        <v>2981</v>
      </c>
    </row>
    <row r="40" spans="1:10" ht="14.25" customHeight="1" x14ac:dyDescent="0.2">
      <c r="A40" s="2094"/>
      <c r="B40" s="2097"/>
      <c r="C40" s="2098"/>
      <c r="D40" s="741">
        <v>700</v>
      </c>
      <c r="E40" s="741">
        <v>700</v>
      </c>
      <c r="F40" s="741">
        <v>700</v>
      </c>
      <c r="G40" s="625">
        <v>2341</v>
      </c>
      <c r="H40" s="381">
        <v>600</v>
      </c>
      <c r="I40" s="1969"/>
      <c r="J40" s="1040" t="s">
        <v>2982</v>
      </c>
    </row>
    <row r="41" spans="1:10" ht="14.25" customHeight="1" x14ac:dyDescent="0.2">
      <c r="A41" s="2094"/>
      <c r="B41" s="2097"/>
      <c r="C41" s="2098"/>
      <c r="D41" s="741">
        <v>6275</v>
      </c>
      <c r="E41" s="741">
        <v>6275</v>
      </c>
      <c r="F41" s="741">
        <v>3800</v>
      </c>
      <c r="G41" s="625">
        <v>2361</v>
      </c>
      <c r="H41" s="381">
        <v>3800</v>
      </c>
      <c r="I41" s="1969"/>
      <c r="J41" s="1040" t="s">
        <v>2983</v>
      </c>
    </row>
    <row r="42" spans="1:10" ht="14.25" customHeight="1" x14ac:dyDescent="0.2">
      <c r="A42" s="2094"/>
      <c r="B42" s="2097"/>
      <c r="C42" s="2098"/>
      <c r="D42" s="741">
        <v>2320</v>
      </c>
      <c r="E42" s="741">
        <v>2320</v>
      </c>
      <c r="F42" s="741">
        <v>3040</v>
      </c>
      <c r="G42" s="625">
        <v>2363</v>
      </c>
      <c r="H42" s="381">
        <v>2032</v>
      </c>
      <c r="I42" s="1969"/>
      <c r="J42" s="1040" t="s">
        <v>2984</v>
      </c>
    </row>
    <row r="43" spans="1:10" ht="14.25" hidden="1" customHeight="1" x14ac:dyDescent="0.2">
      <c r="A43" s="2094"/>
      <c r="B43" s="2097"/>
      <c r="C43" s="2098"/>
      <c r="D43" s="741">
        <v>800</v>
      </c>
      <c r="E43" s="741">
        <v>800</v>
      </c>
      <c r="F43" s="741">
        <v>0</v>
      </c>
      <c r="G43" s="625">
        <v>2370</v>
      </c>
      <c r="H43" s="381">
        <v>0</v>
      </c>
      <c r="I43" s="1969"/>
      <c r="J43" s="1040"/>
    </row>
    <row r="44" spans="1:10" ht="14.25" hidden="1" customHeight="1" x14ac:dyDescent="0.2">
      <c r="A44" s="2094"/>
      <c r="B44" s="2099"/>
      <c r="C44" s="2100"/>
      <c r="D44" s="741">
        <v>1000</v>
      </c>
      <c r="E44" s="741">
        <v>1000</v>
      </c>
      <c r="F44" s="741">
        <v>0</v>
      </c>
      <c r="G44" s="625">
        <v>5238</v>
      </c>
      <c r="H44" s="381">
        <v>0</v>
      </c>
      <c r="I44" s="1969"/>
      <c r="J44" s="254"/>
    </row>
    <row r="45" spans="1:10" ht="24.75" hidden="1" customHeight="1" x14ac:dyDescent="0.2">
      <c r="A45" s="2094" t="s">
        <v>2985</v>
      </c>
      <c r="B45" s="2095" t="s">
        <v>2986</v>
      </c>
      <c r="C45" s="2096"/>
      <c r="D45" s="253">
        <f>SUM(D46:D49)</f>
        <v>0</v>
      </c>
      <c r="E45" s="253">
        <f t="shared" ref="E45:F45" si="4">SUM(E46:E49)</f>
        <v>0</v>
      </c>
      <c r="F45" s="253">
        <f t="shared" si="4"/>
        <v>3911</v>
      </c>
      <c r="G45" s="253"/>
      <c r="H45" s="253">
        <f t="shared" ref="H45" si="5">SUM(H46:H49)</f>
        <v>0</v>
      </c>
      <c r="I45" s="2087" t="s">
        <v>2956</v>
      </c>
      <c r="J45" s="625" t="s">
        <v>2987</v>
      </c>
    </row>
    <row r="46" spans="1:10" ht="36.75" hidden="1" customHeight="1" x14ac:dyDescent="0.2">
      <c r="A46" s="2094"/>
      <c r="B46" s="2097"/>
      <c r="C46" s="2098"/>
      <c r="D46" s="541">
        <v>0</v>
      </c>
      <c r="E46" s="541">
        <v>0</v>
      </c>
      <c r="F46" s="541">
        <v>624</v>
      </c>
      <c r="G46" s="625">
        <v>2235</v>
      </c>
      <c r="H46" s="541">
        <v>0</v>
      </c>
      <c r="I46" s="2087"/>
      <c r="J46" s="254" t="s">
        <v>2988</v>
      </c>
    </row>
    <row r="47" spans="1:10" ht="24.75" hidden="1" customHeight="1" x14ac:dyDescent="0.2">
      <c r="A47" s="2094"/>
      <c r="B47" s="2097"/>
      <c r="C47" s="2098"/>
      <c r="D47" s="541">
        <v>0</v>
      </c>
      <c r="E47" s="541">
        <v>0</v>
      </c>
      <c r="F47" s="541">
        <v>1400</v>
      </c>
      <c r="G47" s="625">
        <v>2235</v>
      </c>
      <c r="H47" s="541">
        <v>0</v>
      </c>
      <c r="I47" s="2087"/>
      <c r="J47" s="254" t="s">
        <v>2989</v>
      </c>
    </row>
    <row r="48" spans="1:10" ht="24.75" hidden="1" customHeight="1" x14ac:dyDescent="0.2">
      <c r="A48" s="2094"/>
      <c r="B48" s="2097"/>
      <c r="C48" s="2098"/>
      <c r="D48" s="541">
        <v>0</v>
      </c>
      <c r="E48" s="541">
        <v>0</v>
      </c>
      <c r="F48" s="541">
        <v>600</v>
      </c>
      <c r="G48" s="625">
        <v>2231</v>
      </c>
      <c r="H48" s="541">
        <v>0</v>
      </c>
      <c r="I48" s="2087"/>
      <c r="J48" s="254" t="s">
        <v>2990</v>
      </c>
    </row>
    <row r="49" spans="1:10" ht="24.75" hidden="1" customHeight="1" x14ac:dyDescent="0.2">
      <c r="A49" s="2094"/>
      <c r="B49" s="2099"/>
      <c r="C49" s="2100"/>
      <c r="D49" s="541">
        <v>0</v>
      </c>
      <c r="E49" s="541">
        <v>0</v>
      </c>
      <c r="F49" s="541">
        <v>1287</v>
      </c>
      <c r="G49" s="625">
        <v>2363</v>
      </c>
      <c r="H49" s="541">
        <v>0</v>
      </c>
      <c r="I49" s="2087"/>
      <c r="J49" s="254" t="s">
        <v>2991</v>
      </c>
    </row>
    <row r="50" spans="1:10" ht="15.75" customHeight="1" x14ac:dyDescent="0.2">
      <c r="A50" s="2102" t="s">
        <v>1504</v>
      </c>
      <c r="B50" s="2103" t="s">
        <v>2992</v>
      </c>
      <c r="C50" s="2104"/>
      <c r="D50" s="253">
        <f>SUM(D51:D53)</f>
        <v>2325</v>
      </c>
      <c r="E50" s="253">
        <f t="shared" ref="E50:F50" si="6">SUM(E51:E53)</f>
        <v>2325</v>
      </c>
      <c r="F50" s="253">
        <f t="shared" si="6"/>
        <v>3450</v>
      </c>
      <c r="G50" s="253"/>
      <c r="H50" s="253">
        <f t="shared" ref="H50" si="7">SUM(H51:H53)</f>
        <v>2260</v>
      </c>
      <c r="I50" s="541"/>
      <c r="J50" s="1047"/>
    </row>
    <row r="51" spans="1:10" ht="15.75" customHeight="1" x14ac:dyDescent="0.2">
      <c r="A51" s="2102"/>
      <c r="B51" s="2105"/>
      <c r="C51" s="2106"/>
      <c r="D51" s="741">
        <v>100</v>
      </c>
      <c r="E51" s="741">
        <v>100</v>
      </c>
      <c r="F51" s="741">
        <v>100</v>
      </c>
      <c r="G51" s="625">
        <v>2341</v>
      </c>
      <c r="H51" s="541">
        <v>100</v>
      </c>
      <c r="I51" s="2087" t="s">
        <v>2993</v>
      </c>
      <c r="J51" s="254" t="s">
        <v>2994</v>
      </c>
    </row>
    <row r="52" spans="1:10" ht="15.75" customHeight="1" x14ac:dyDescent="0.2">
      <c r="A52" s="2102"/>
      <c r="B52" s="2105"/>
      <c r="C52" s="2106"/>
      <c r="D52" s="741">
        <v>1125</v>
      </c>
      <c r="E52" s="741">
        <v>1125</v>
      </c>
      <c r="F52" s="741">
        <v>2250</v>
      </c>
      <c r="G52" s="625">
        <v>2361</v>
      </c>
      <c r="H52" s="541">
        <v>1125</v>
      </c>
      <c r="I52" s="2087"/>
      <c r="J52" s="1047" t="s">
        <v>2995</v>
      </c>
    </row>
    <row r="53" spans="1:10" ht="15.75" customHeight="1" x14ac:dyDescent="0.2">
      <c r="A53" s="2102"/>
      <c r="B53" s="2107"/>
      <c r="C53" s="2108"/>
      <c r="D53" s="741">
        <v>1100</v>
      </c>
      <c r="E53" s="741">
        <v>1100</v>
      </c>
      <c r="F53" s="741">
        <v>1100</v>
      </c>
      <c r="G53" s="625">
        <v>2370</v>
      </c>
      <c r="H53" s="541">
        <v>1035</v>
      </c>
      <c r="I53" s="2087"/>
      <c r="J53" s="1047" t="s">
        <v>2996</v>
      </c>
    </row>
    <row r="54" spans="1:10" ht="15" customHeight="1" x14ac:dyDescent="0.2">
      <c r="A54" s="625" t="s">
        <v>1507</v>
      </c>
      <c r="B54" s="2109" t="s">
        <v>2997</v>
      </c>
      <c r="C54" s="2110"/>
      <c r="D54" s="253">
        <f>D55+D57+D64</f>
        <v>16643</v>
      </c>
      <c r="E54" s="253">
        <f t="shared" ref="E54:H54" si="8">E55+E57+E64</f>
        <v>16083</v>
      </c>
      <c r="F54" s="253">
        <f t="shared" si="8"/>
        <v>28389</v>
      </c>
      <c r="G54" s="253"/>
      <c r="H54" s="253">
        <f t="shared" si="8"/>
        <v>23157</v>
      </c>
      <c r="I54" s="541"/>
      <c r="J54" s="254"/>
    </row>
    <row r="55" spans="1:10" ht="19.5" customHeight="1" x14ac:dyDescent="0.2">
      <c r="A55" s="1879" t="s">
        <v>2998</v>
      </c>
      <c r="B55" s="1799" t="s">
        <v>2999</v>
      </c>
      <c r="C55" s="1800"/>
      <c r="D55" s="253">
        <f>SUM(D56:D56)</f>
        <v>3500</v>
      </c>
      <c r="E55" s="253">
        <f t="shared" ref="E55:H55" si="9">SUM(E56:E56)</f>
        <v>3500</v>
      </c>
      <c r="F55" s="253">
        <f t="shared" si="9"/>
        <v>4500</v>
      </c>
      <c r="G55" s="253"/>
      <c r="H55" s="253">
        <f t="shared" si="9"/>
        <v>4500</v>
      </c>
      <c r="I55" s="2101" t="s">
        <v>3000</v>
      </c>
      <c r="J55" s="625" t="s">
        <v>3001</v>
      </c>
    </row>
    <row r="56" spans="1:10" ht="19.5" customHeight="1" x14ac:dyDescent="0.2">
      <c r="A56" s="1879"/>
      <c r="B56" s="1801"/>
      <c r="C56" s="1802"/>
      <c r="D56" s="541">
        <v>3500</v>
      </c>
      <c r="E56" s="541">
        <v>3500</v>
      </c>
      <c r="F56" s="541">
        <v>4500</v>
      </c>
      <c r="G56" s="625">
        <v>2363</v>
      </c>
      <c r="H56" s="541">
        <v>4500</v>
      </c>
      <c r="I56" s="2101"/>
      <c r="J56" s="1177" t="s">
        <v>3002</v>
      </c>
    </row>
    <row r="57" spans="1:10" ht="16.5" customHeight="1" x14ac:dyDescent="0.2">
      <c r="A57" s="1879" t="s">
        <v>3003</v>
      </c>
      <c r="B57" s="1799" t="s">
        <v>3004</v>
      </c>
      <c r="C57" s="1800"/>
      <c r="D57" s="253">
        <f>SUM(D58:D63)</f>
        <v>13143</v>
      </c>
      <c r="E57" s="253">
        <f t="shared" ref="E57:H57" si="10">SUM(E58:E63)</f>
        <v>12583</v>
      </c>
      <c r="F57" s="253">
        <f t="shared" si="10"/>
        <v>19866</v>
      </c>
      <c r="G57" s="253"/>
      <c r="H57" s="253">
        <f t="shared" si="10"/>
        <v>15202</v>
      </c>
      <c r="I57" s="1969" t="s">
        <v>3000</v>
      </c>
      <c r="J57" s="1178" t="s">
        <v>3005</v>
      </c>
    </row>
    <row r="58" spans="1:10" ht="16.5" customHeight="1" x14ac:dyDescent="0.2">
      <c r="A58" s="1879"/>
      <c r="B58" s="1889"/>
      <c r="C58" s="1890"/>
      <c r="D58" s="741">
        <v>360</v>
      </c>
      <c r="E58" s="741">
        <v>336</v>
      </c>
      <c r="F58" s="741">
        <v>420</v>
      </c>
      <c r="G58" s="625">
        <v>2111</v>
      </c>
      <c r="H58" s="541">
        <v>448</v>
      </c>
      <c r="I58" s="1969"/>
      <c r="J58" s="1177" t="s">
        <v>3006</v>
      </c>
    </row>
    <row r="59" spans="1:10" ht="16.5" customHeight="1" x14ac:dyDescent="0.2">
      <c r="A59" s="1879"/>
      <c r="B59" s="1889"/>
      <c r="C59" s="1890"/>
      <c r="D59" s="741">
        <v>5920</v>
      </c>
      <c r="E59" s="741">
        <v>5717</v>
      </c>
      <c r="F59" s="741">
        <v>6720</v>
      </c>
      <c r="G59" s="625">
        <v>2235</v>
      </c>
      <c r="H59" s="541">
        <v>5376</v>
      </c>
      <c r="I59" s="1969"/>
      <c r="J59" s="1177" t="s">
        <v>3007</v>
      </c>
    </row>
    <row r="60" spans="1:10" ht="16.5" customHeight="1" x14ac:dyDescent="0.2">
      <c r="A60" s="1879"/>
      <c r="B60" s="1889"/>
      <c r="C60" s="1890"/>
      <c r="D60" s="601">
        <v>1200</v>
      </c>
      <c r="E60" s="601">
        <v>1200</v>
      </c>
      <c r="F60" s="601">
        <v>3000</v>
      </c>
      <c r="G60" s="625">
        <v>2235</v>
      </c>
      <c r="H60" s="541">
        <v>1500</v>
      </c>
      <c r="I60" s="1969"/>
      <c r="J60" s="1177" t="s">
        <v>3008</v>
      </c>
    </row>
    <row r="61" spans="1:10" ht="16.5" customHeight="1" x14ac:dyDescent="0.2">
      <c r="A61" s="1879"/>
      <c r="B61" s="1889"/>
      <c r="C61" s="1890"/>
      <c r="D61" s="601">
        <v>333</v>
      </c>
      <c r="E61" s="601">
        <v>0</v>
      </c>
      <c r="F61" s="601">
        <v>336</v>
      </c>
      <c r="G61" s="625">
        <v>2231</v>
      </c>
      <c r="H61" s="541">
        <v>336</v>
      </c>
      <c r="I61" s="1969"/>
      <c r="J61" s="1177" t="s">
        <v>3009</v>
      </c>
    </row>
    <row r="62" spans="1:10" ht="16.5" customHeight="1" x14ac:dyDescent="0.2">
      <c r="A62" s="1879"/>
      <c r="B62" s="1889"/>
      <c r="C62" s="1890"/>
      <c r="D62" s="416">
        <v>150</v>
      </c>
      <c r="E62" s="416">
        <v>150</v>
      </c>
      <c r="F62" s="416">
        <v>150</v>
      </c>
      <c r="G62" s="625">
        <v>2341</v>
      </c>
      <c r="H62" s="541">
        <v>150</v>
      </c>
      <c r="I62" s="1969"/>
      <c r="J62" s="1177" t="s">
        <v>3010</v>
      </c>
    </row>
    <row r="63" spans="1:10" ht="16.5" customHeight="1" x14ac:dyDescent="0.2">
      <c r="A63" s="1879"/>
      <c r="B63" s="1801"/>
      <c r="C63" s="1802"/>
      <c r="D63" s="416">
        <v>5180</v>
      </c>
      <c r="E63" s="416">
        <v>5180</v>
      </c>
      <c r="F63" s="416">
        <v>9240</v>
      </c>
      <c r="G63" s="625">
        <v>2363</v>
      </c>
      <c r="H63" s="541">
        <v>7392</v>
      </c>
      <c r="I63" s="1969"/>
      <c r="J63" s="1177" t="s">
        <v>3011</v>
      </c>
    </row>
    <row r="64" spans="1:10" ht="15.75" customHeight="1" x14ac:dyDescent="0.2">
      <c r="A64" s="1879" t="s">
        <v>3012</v>
      </c>
      <c r="B64" s="1799" t="s">
        <v>3013</v>
      </c>
      <c r="C64" s="1800"/>
      <c r="D64" s="253">
        <f>SUM(D65:D68)</f>
        <v>0</v>
      </c>
      <c r="E64" s="253">
        <f>SUM(E65:E68)</f>
        <v>0</v>
      </c>
      <c r="F64" s="253">
        <f>SUM(F65:F68)</f>
        <v>4023</v>
      </c>
      <c r="G64" s="253"/>
      <c r="H64" s="253">
        <f>SUM(H65:H68)</f>
        <v>3455</v>
      </c>
      <c r="I64" s="1969" t="s">
        <v>3000</v>
      </c>
      <c r="J64" s="1178" t="s">
        <v>3014</v>
      </c>
    </row>
    <row r="65" spans="1:10" ht="15.75" customHeight="1" x14ac:dyDescent="0.2">
      <c r="A65" s="1879"/>
      <c r="B65" s="1889"/>
      <c r="C65" s="1890"/>
      <c r="D65" s="741">
        <v>0</v>
      </c>
      <c r="E65" s="741">
        <v>0</v>
      </c>
      <c r="F65" s="741">
        <v>216</v>
      </c>
      <c r="G65" s="625">
        <v>2111</v>
      </c>
      <c r="H65" s="381">
        <v>240</v>
      </c>
      <c r="I65" s="1969"/>
      <c r="J65" s="1177" t="s">
        <v>3015</v>
      </c>
    </row>
    <row r="66" spans="1:10" ht="15.75" customHeight="1" x14ac:dyDescent="0.2">
      <c r="A66" s="1879"/>
      <c r="B66" s="1889"/>
      <c r="C66" s="1890"/>
      <c r="D66" s="741">
        <v>0</v>
      </c>
      <c r="E66" s="741">
        <v>0</v>
      </c>
      <c r="F66" s="741">
        <v>1440</v>
      </c>
      <c r="G66" s="625">
        <v>2235</v>
      </c>
      <c r="H66" s="381">
        <v>1200</v>
      </c>
      <c r="I66" s="1969"/>
      <c r="J66" s="1177" t="s">
        <v>3016</v>
      </c>
    </row>
    <row r="67" spans="1:10" ht="15.75" customHeight="1" x14ac:dyDescent="0.2">
      <c r="A67" s="1879"/>
      <c r="B67" s="1889"/>
      <c r="C67" s="1890"/>
      <c r="D67" s="601">
        <v>0</v>
      </c>
      <c r="E67" s="601">
        <v>0</v>
      </c>
      <c r="F67" s="601">
        <v>255</v>
      </c>
      <c r="G67" s="625">
        <v>2235</v>
      </c>
      <c r="H67" s="381">
        <v>255</v>
      </c>
      <c r="I67" s="1969"/>
      <c r="J67" s="1177" t="s">
        <v>3017</v>
      </c>
    </row>
    <row r="68" spans="1:10" ht="15.75" customHeight="1" x14ac:dyDescent="0.2">
      <c r="A68" s="1879"/>
      <c r="B68" s="1801"/>
      <c r="C68" s="1802"/>
      <c r="D68" s="416">
        <v>0</v>
      </c>
      <c r="E68" s="416">
        <v>0</v>
      </c>
      <c r="F68" s="416">
        <v>2112</v>
      </c>
      <c r="G68" s="625">
        <v>2363</v>
      </c>
      <c r="H68" s="381">
        <v>1760</v>
      </c>
      <c r="I68" s="1969"/>
      <c r="J68" s="1177" t="s">
        <v>3018</v>
      </c>
    </row>
    <row r="69" spans="1:10" ht="15" customHeight="1" x14ac:dyDescent="0.2">
      <c r="A69" s="1175">
        <v>2</v>
      </c>
      <c r="B69" s="1967" t="s">
        <v>3019</v>
      </c>
      <c r="C69" s="1968"/>
      <c r="D69" s="253">
        <f>SUM(D70+D81+D85)</f>
        <v>21186</v>
      </c>
      <c r="E69" s="253">
        <f>SUM(E70+E81+E85)</f>
        <v>21531</v>
      </c>
      <c r="F69" s="253">
        <f>SUM(F70+F81+F85)</f>
        <v>22520</v>
      </c>
      <c r="G69" s="253"/>
      <c r="H69" s="253">
        <f>SUM(H70+H81+H85)</f>
        <v>7593</v>
      </c>
      <c r="I69" s="253"/>
      <c r="J69" s="1179" t="s">
        <v>3020</v>
      </c>
    </row>
    <row r="70" spans="1:10" ht="15" customHeight="1" x14ac:dyDescent="0.2">
      <c r="A70" s="599" t="s">
        <v>3021</v>
      </c>
      <c r="B70" s="1967" t="s">
        <v>3022</v>
      </c>
      <c r="C70" s="1968"/>
      <c r="D70" s="253">
        <f>SUM( D71,D75)</f>
        <v>4895</v>
      </c>
      <c r="E70" s="253">
        <f t="shared" ref="E70:F70" si="11">SUM( E71,E75)</f>
        <v>4999</v>
      </c>
      <c r="F70" s="253">
        <f t="shared" si="11"/>
        <v>5000</v>
      </c>
      <c r="G70" s="253"/>
      <c r="H70" s="253">
        <f>SUM( H71,H75)</f>
        <v>5000</v>
      </c>
      <c r="I70" s="253"/>
      <c r="J70" s="625" t="s">
        <v>3023</v>
      </c>
    </row>
    <row r="71" spans="1:10" ht="21.75" customHeight="1" x14ac:dyDescent="0.2">
      <c r="A71" s="2111" t="s">
        <v>3024</v>
      </c>
      <c r="B71" s="2112" t="s">
        <v>3025</v>
      </c>
      <c r="C71" s="2113"/>
      <c r="D71" s="253">
        <f>SUM(D72:D74)</f>
        <v>3680</v>
      </c>
      <c r="E71" s="253">
        <f>SUM(E72:E74)</f>
        <v>3920</v>
      </c>
      <c r="F71" s="253">
        <f>SUM(F72:F74)</f>
        <v>5000</v>
      </c>
      <c r="G71" s="253"/>
      <c r="H71" s="253">
        <f>SUM(H72:H74)</f>
        <v>5000</v>
      </c>
      <c r="I71" s="541"/>
      <c r="J71" s="254"/>
    </row>
    <row r="72" spans="1:10" ht="21.75" customHeight="1" x14ac:dyDescent="0.2">
      <c r="A72" s="2111"/>
      <c r="B72" s="2114"/>
      <c r="C72" s="2115"/>
      <c r="D72" s="541">
        <v>960</v>
      </c>
      <c r="E72" s="541">
        <v>960</v>
      </c>
      <c r="F72" s="541">
        <v>1200</v>
      </c>
      <c r="G72" s="625">
        <v>2235</v>
      </c>
      <c r="H72" s="541">
        <v>1200</v>
      </c>
      <c r="I72" s="2087" t="s">
        <v>3026</v>
      </c>
      <c r="J72" s="254" t="s">
        <v>3027</v>
      </c>
    </row>
    <row r="73" spans="1:10" ht="21.75" customHeight="1" x14ac:dyDescent="0.2">
      <c r="A73" s="2111"/>
      <c r="B73" s="2114"/>
      <c r="C73" s="2115"/>
      <c r="D73" s="541">
        <v>1600</v>
      </c>
      <c r="E73" s="541">
        <v>1840</v>
      </c>
      <c r="F73" s="541">
        <v>1600</v>
      </c>
      <c r="G73" s="625">
        <v>2231</v>
      </c>
      <c r="H73" s="541">
        <v>1600</v>
      </c>
      <c r="I73" s="2087"/>
      <c r="J73" s="254" t="s">
        <v>3028</v>
      </c>
    </row>
    <row r="74" spans="1:10" ht="21.75" customHeight="1" x14ac:dyDescent="0.2">
      <c r="A74" s="2111"/>
      <c r="B74" s="2116"/>
      <c r="C74" s="2117"/>
      <c r="D74" s="541">
        <v>1120</v>
      </c>
      <c r="E74" s="541">
        <v>1120</v>
      </c>
      <c r="F74" s="541">
        <v>2200</v>
      </c>
      <c r="G74" s="625">
        <v>2363</v>
      </c>
      <c r="H74" s="541">
        <v>2200</v>
      </c>
      <c r="I74" s="2087"/>
      <c r="J74" s="254" t="s">
        <v>3029</v>
      </c>
    </row>
    <row r="75" spans="1:10" ht="12" hidden="1" customHeight="1" x14ac:dyDescent="0.2">
      <c r="A75" s="2111" t="s">
        <v>3030</v>
      </c>
      <c r="B75" s="2112" t="s">
        <v>3031</v>
      </c>
      <c r="C75" s="2113"/>
      <c r="D75" s="253">
        <f>SUM(D76:D80)</f>
        <v>1215</v>
      </c>
      <c r="E75" s="253">
        <f t="shared" ref="E75:H75" si="12">SUM(E76:E80)</f>
        <v>1079</v>
      </c>
      <c r="F75" s="253">
        <f t="shared" si="12"/>
        <v>0</v>
      </c>
      <c r="G75" s="253"/>
      <c r="H75" s="253">
        <f t="shared" si="12"/>
        <v>0</v>
      </c>
      <c r="I75" s="541"/>
      <c r="J75" s="254"/>
    </row>
    <row r="76" spans="1:10" ht="24.75" hidden="1" customHeight="1" x14ac:dyDescent="0.2">
      <c r="A76" s="2111"/>
      <c r="B76" s="2114"/>
      <c r="C76" s="2115"/>
      <c r="D76" s="1146">
        <v>145</v>
      </c>
      <c r="E76" s="1146">
        <v>145</v>
      </c>
      <c r="F76" s="1146">
        <v>0</v>
      </c>
      <c r="G76" s="625">
        <v>2121</v>
      </c>
      <c r="H76" s="253">
        <v>0</v>
      </c>
      <c r="I76" s="1969" t="s">
        <v>2964</v>
      </c>
      <c r="J76" s="254" t="s">
        <v>3032</v>
      </c>
    </row>
    <row r="77" spans="1:10" ht="15" hidden="1" customHeight="1" x14ac:dyDescent="0.2">
      <c r="A77" s="2111"/>
      <c r="B77" s="2114"/>
      <c r="C77" s="2115"/>
      <c r="D77" s="1146">
        <v>160</v>
      </c>
      <c r="E77" s="1146">
        <v>104</v>
      </c>
      <c r="F77" s="1146">
        <v>0</v>
      </c>
      <c r="G77" s="625">
        <v>2122</v>
      </c>
      <c r="H77" s="253">
        <v>0</v>
      </c>
      <c r="I77" s="1969"/>
      <c r="J77" s="254" t="s">
        <v>3033</v>
      </c>
    </row>
    <row r="78" spans="1:10" ht="24.75" hidden="1" customHeight="1" x14ac:dyDescent="0.2">
      <c r="A78" s="2111"/>
      <c r="B78" s="2114"/>
      <c r="C78" s="2115"/>
      <c r="D78" s="541">
        <v>360</v>
      </c>
      <c r="E78" s="541">
        <v>280</v>
      </c>
      <c r="F78" s="541">
        <v>0</v>
      </c>
      <c r="G78" s="625">
        <v>2235</v>
      </c>
      <c r="H78" s="541">
        <v>0</v>
      </c>
      <c r="I78" s="1969"/>
      <c r="J78" s="254" t="s">
        <v>3034</v>
      </c>
    </row>
    <row r="79" spans="1:10" ht="15" hidden="1" customHeight="1" x14ac:dyDescent="0.2">
      <c r="A79" s="2111"/>
      <c r="B79" s="2114"/>
      <c r="C79" s="2115"/>
      <c r="D79" s="541">
        <v>300</v>
      </c>
      <c r="E79" s="541">
        <v>300</v>
      </c>
      <c r="F79" s="541">
        <v>0</v>
      </c>
      <c r="G79" s="625">
        <v>2231</v>
      </c>
      <c r="H79" s="541">
        <v>0</v>
      </c>
      <c r="I79" s="1969"/>
      <c r="J79" s="254" t="s">
        <v>3035</v>
      </c>
    </row>
    <row r="80" spans="1:10" ht="15" hidden="1" customHeight="1" x14ac:dyDescent="0.2">
      <c r="A80" s="2111"/>
      <c r="B80" s="2116"/>
      <c r="C80" s="2117"/>
      <c r="D80" s="541">
        <v>250</v>
      </c>
      <c r="E80" s="541">
        <v>250</v>
      </c>
      <c r="F80" s="541">
        <v>0</v>
      </c>
      <c r="G80" s="625">
        <v>2363</v>
      </c>
      <c r="H80" s="541">
        <v>0</v>
      </c>
      <c r="I80" s="1969"/>
      <c r="J80" s="254" t="s">
        <v>3036</v>
      </c>
    </row>
    <row r="81" spans="1:10" ht="18.75" customHeight="1" x14ac:dyDescent="0.2">
      <c r="A81" s="2102" t="s">
        <v>1515</v>
      </c>
      <c r="B81" s="2112" t="s">
        <v>3037</v>
      </c>
      <c r="C81" s="2113"/>
      <c r="D81" s="253">
        <f>SUM(D82:D84)</f>
        <v>14805</v>
      </c>
      <c r="E81" s="253">
        <f t="shared" ref="E81:F81" si="13">SUM(E82:E84)</f>
        <v>14668</v>
      </c>
      <c r="F81" s="253">
        <f t="shared" si="13"/>
        <v>15105</v>
      </c>
      <c r="G81" s="253"/>
      <c r="H81" s="253">
        <f t="shared" ref="H81" si="14">SUM(H82:H84)</f>
        <v>505</v>
      </c>
      <c r="I81" s="541"/>
      <c r="J81" s="254"/>
    </row>
    <row r="82" spans="1:10" ht="18.75" customHeight="1" x14ac:dyDescent="0.2">
      <c r="A82" s="2102"/>
      <c r="B82" s="2114"/>
      <c r="C82" s="2115"/>
      <c r="D82" s="541">
        <v>280</v>
      </c>
      <c r="E82" s="541">
        <v>280</v>
      </c>
      <c r="F82" s="541">
        <v>480</v>
      </c>
      <c r="G82" s="625">
        <v>2312</v>
      </c>
      <c r="H82" s="541">
        <v>480</v>
      </c>
      <c r="I82" s="2087" t="s">
        <v>3038</v>
      </c>
      <c r="J82" s="1180" t="s">
        <v>3039</v>
      </c>
    </row>
    <row r="83" spans="1:10" ht="18.75" customHeight="1" x14ac:dyDescent="0.2">
      <c r="A83" s="2102"/>
      <c r="B83" s="2114"/>
      <c r="C83" s="2115"/>
      <c r="D83" s="541">
        <v>25</v>
      </c>
      <c r="E83" s="541">
        <v>25</v>
      </c>
      <c r="F83" s="541">
        <v>25</v>
      </c>
      <c r="G83" s="625">
        <v>2341</v>
      </c>
      <c r="H83" s="541">
        <v>25</v>
      </c>
      <c r="I83" s="2087"/>
      <c r="J83" s="254" t="s">
        <v>2994</v>
      </c>
    </row>
    <row r="84" spans="1:10" ht="18.75" hidden="1" customHeight="1" x14ac:dyDescent="0.2">
      <c r="A84" s="2102"/>
      <c r="B84" s="2116"/>
      <c r="C84" s="2117"/>
      <c r="D84" s="416">
        <v>14500</v>
      </c>
      <c r="E84" s="416">
        <v>14363</v>
      </c>
      <c r="F84" s="416">
        <v>14600</v>
      </c>
      <c r="G84" s="625">
        <v>5239</v>
      </c>
      <c r="H84" s="381">
        <v>0</v>
      </c>
      <c r="I84" s="2087"/>
      <c r="J84" s="320" t="s">
        <v>3040</v>
      </c>
    </row>
    <row r="85" spans="1:10" ht="16.5" customHeight="1" x14ac:dyDescent="0.25">
      <c r="A85" s="2102" t="s">
        <v>3041</v>
      </c>
      <c r="B85" s="2112" t="s">
        <v>3042</v>
      </c>
      <c r="C85" s="2113"/>
      <c r="D85" s="253">
        <f>SUM(D86:D88)</f>
        <v>1486</v>
      </c>
      <c r="E85" s="253">
        <f t="shared" ref="E85:H85" si="15">SUM(E86:E88)</f>
        <v>1864</v>
      </c>
      <c r="F85" s="253">
        <f t="shared" si="15"/>
        <v>2415</v>
      </c>
      <c r="G85" s="253"/>
      <c r="H85" s="253">
        <f t="shared" si="15"/>
        <v>2088</v>
      </c>
      <c r="I85" s="541"/>
      <c r="J85" s="1181"/>
    </row>
    <row r="86" spans="1:10" ht="16.5" customHeight="1" x14ac:dyDescent="0.2">
      <c r="A86" s="2102"/>
      <c r="B86" s="2114"/>
      <c r="C86" s="2115"/>
      <c r="D86" s="541">
        <v>120</v>
      </c>
      <c r="E86" s="541">
        <v>365</v>
      </c>
      <c r="F86" s="541">
        <v>285</v>
      </c>
      <c r="G86" s="625">
        <v>2242</v>
      </c>
      <c r="H86" s="541">
        <v>285</v>
      </c>
      <c r="I86" s="2087" t="s">
        <v>3043</v>
      </c>
      <c r="J86" s="1047" t="s">
        <v>3044</v>
      </c>
    </row>
    <row r="87" spans="1:10" ht="16.5" customHeight="1" x14ac:dyDescent="0.2">
      <c r="A87" s="2102"/>
      <c r="B87" s="2114"/>
      <c r="C87" s="2115"/>
      <c r="D87" s="541">
        <v>1200</v>
      </c>
      <c r="E87" s="541">
        <v>1333</v>
      </c>
      <c r="F87" s="541">
        <v>1960</v>
      </c>
      <c r="G87" s="625">
        <v>2322</v>
      </c>
      <c r="H87" s="541">
        <v>1636</v>
      </c>
      <c r="I87" s="2087"/>
      <c r="J87" s="1051" t="s">
        <v>3045</v>
      </c>
    </row>
    <row r="88" spans="1:10" ht="16.5" customHeight="1" x14ac:dyDescent="0.2">
      <c r="A88" s="2102"/>
      <c r="B88" s="2116"/>
      <c r="C88" s="2117"/>
      <c r="D88" s="416">
        <v>166</v>
      </c>
      <c r="E88" s="416">
        <v>166</v>
      </c>
      <c r="F88" s="416">
        <v>170</v>
      </c>
      <c r="G88" s="625">
        <v>2353</v>
      </c>
      <c r="H88" s="541">
        <v>167</v>
      </c>
      <c r="I88" s="2087"/>
      <c r="J88" s="254" t="s">
        <v>3046</v>
      </c>
    </row>
    <row r="89" spans="1:10" ht="15" customHeight="1" x14ac:dyDescent="0.2">
      <c r="A89" s="1175">
        <v>3</v>
      </c>
      <c r="B89" s="1967" t="s">
        <v>3047</v>
      </c>
      <c r="C89" s="1968"/>
      <c r="D89" s="253">
        <f>SUM(D90+D93+D97)</f>
        <v>6855</v>
      </c>
      <c r="E89" s="253">
        <f t="shared" ref="E89:H89" si="16">SUM(E90+E93+E97)</f>
        <v>6855</v>
      </c>
      <c r="F89" s="253">
        <f t="shared" si="16"/>
        <v>7090</v>
      </c>
      <c r="G89" s="253"/>
      <c r="H89" s="253">
        <f t="shared" si="16"/>
        <v>6869</v>
      </c>
      <c r="I89" s="253"/>
      <c r="J89" s="1176" t="s">
        <v>3048</v>
      </c>
    </row>
    <row r="90" spans="1:10" ht="18" customHeight="1" x14ac:dyDescent="0.2">
      <c r="A90" s="2102" t="s">
        <v>3049</v>
      </c>
      <c r="B90" s="2112" t="s">
        <v>3025</v>
      </c>
      <c r="C90" s="2113"/>
      <c r="D90" s="253">
        <f>SUM(D91:D92)</f>
        <v>1940</v>
      </c>
      <c r="E90" s="253">
        <f t="shared" ref="E90:F90" si="17">SUM(E91:E92)</f>
        <v>1940</v>
      </c>
      <c r="F90" s="253">
        <f t="shared" si="17"/>
        <v>2065</v>
      </c>
      <c r="G90" s="253"/>
      <c r="H90" s="253">
        <f t="shared" ref="H90" si="18">SUM(H91:H92)</f>
        <v>1944</v>
      </c>
      <c r="I90" s="2087" t="s">
        <v>2956</v>
      </c>
      <c r="J90" s="625" t="s">
        <v>3050</v>
      </c>
    </row>
    <row r="91" spans="1:10" ht="18" customHeight="1" x14ac:dyDescent="0.2">
      <c r="A91" s="2102"/>
      <c r="B91" s="2114"/>
      <c r="C91" s="2115"/>
      <c r="D91" s="541">
        <v>1800</v>
      </c>
      <c r="E91" s="541">
        <v>1800</v>
      </c>
      <c r="F91" s="541">
        <v>1920</v>
      </c>
      <c r="G91" s="625">
        <v>2231</v>
      </c>
      <c r="H91" s="541">
        <v>1800</v>
      </c>
      <c r="I91" s="2087"/>
      <c r="J91" s="254" t="s">
        <v>3051</v>
      </c>
    </row>
    <row r="92" spans="1:10" ht="18" customHeight="1" x14ac:dyDescent="0.2">
      <c r="A92" s="2102"/>
      <c r="B92" s="2116"/>
      <c r="C92" s="2117"/>
      <c r="D92" s="541">
        <v>140</v>
      </c>
      <c r="E92" s="541">
        <v>140</v>
      </c>
      <c r="F92" s="541">
        <v>145</v>
      </c>
      <c r="G92" s="625">
        <v>2363</v>
      </c>
      <c r="H92" s="541">
        <v>144</v>
      </c>
      <c r="I92" s="2087"/>
      <c r="J92" s="254" t="s">
        <v>3052</v>
      </c>
    </row>
    <row r="93" spans="1:10" ht="15" customHeight="1" x14ac:dyDescent="0.2">
      <c r="A93" s="2102" t="s">
        <v>3053</v>
      </c>
      <c r="B93" s="2112" t="s">
        <v>3054</v>
      </c>
      <c r="C93" s="2113"/>
      <c r="D93" s="253">
        <f>SUM(D94:D96)</f>
        <v>1200</v>
      </c>
      <c r="E93" s="253">
        <f t="shared" ref="E93:H93" si="19">SUM(E94:E96)</f>
        <v>1200</v>
      </c>
      <c r="F93" s="253">
        <f t="shared" si="19"/>
        <v>1200</v>
      </c>
      <c r="G93" s="253"/>
      <c r="H93" s="253">
        <f t="shared" si="19"/>
        <v>1100</v>
      </c>
      <c r="I93" s="541"/>
      <c r="J93" s="254"/>
    </row>
    <row r="94" spans="1:10" ht="15" customHeight="1" x14ac:dyDescent="0.2">
      <c r="A94" s="2102"/>
      <c r="B94" s="2114"/>
      <c r="C94" s="2115"/>
      <c r="D94" s="541">
        <v>50</v>
      </c>
      <c r="E94" s="541">
        <v>50</v>
      </c>
      <c r="F94" s="541">
        <v>50</v>
      </c>
      <c r="G94" s="625">
        <v>2341</v>
      </c>
      <c r="H94" s="541">
        <v>50</v>
      </c>
      <c r="I94" s="2087" t="s">
        <v>3038</v>
      </c>
      <c r="J94" s="254" t="s">
        <v>2994</v>
      </c>
    </row>
    <row r="95" spans="1:10" ht="15" customHeight="1" x14ac:dyDescent="0.2">
      <c r="A95" s="2102"/>
      <c r="B95" s="2114"/>
      <c r="C95" s="2115"/>
      <c r="D95" s="541">
        <v>1050</v>
      </c>
      <c r="E95" s="541">
        <v>1050</v>
      </c>
      <c r="F95" s="541">
        <v>1050</v>
      </c>
      <c r="G95" s="625">
        <v>2361</v>
      </c>
      <c r="H95" s="541">
        <v>1050</v>
      </c>
      <c r="I95" s="2087"/>
      <c r="J95" s="254" t="s">
        <v>3055</v>
      </c>
    </row>
    <row r="96" spans="1:10" ht="15" hidden="1" customHeight="1" x14ac:dyDescent="0.2">
      <c r="A96" s="2102"/>
      <c r="B96" s="2116"/>
      <c r="C96" s="2117"/>
      <c r="D96" s="541">
        <v>100</v>
      </c>
      <c r="E96" s="541">
        <v>100</v>
      </c>
      <c r="F96" s="541">
        <v>100</v>
      </c>
      <c r="G96" s="625">
        <v>2370</v>
      </c>
      <c r="H96" s="541">
        <v>0</v>
      </c>
      <c r="I96" s="2087"/>
      <c r="J96" s="254" t="s">
        <v>3056</v>
      </c>
    </row>
    <row r="97" spans="1:10" ht="15" customHeight="1" x14ac:dyDescent="0.2">
      <c r="A97" s="625" t="s">
        <v>3057</v>
      </c>
      <c r="B97" s="2109" t="s">
        <v>2997</v>
      </c>
      <c r="C97" s="2110"/>
      <c r="D97" s="253">
        <f>D98</f>
        <v>3715</v>
      </c>
      <c r="E97" s="253">
        <f t="shared" ref="E97:H97" si="20">E98</f>
        <v>3715</v>
      </c>
      <c r="F97" s="253">
        <f t="shared" si="20"/>
        <v>3825</v>
      </c>
      <c r="G97" s="253"/>
      <c r="H97" s="253">
        <f t="shared" si="20"/>
        <v>3825</v>
      </c>
      <c r="I97" s="541"/>
      <c r="J97" s="254"/>
    </row>
    <row r="98" spans="1:10" ht="20.25" customHeight="1" x14ac:dyDescent="0.2">
      <c r="A98" s="1879"/>
      <c r="B98" s="1799" t="s">
        <v>2999</v>
      </c>
      <c r="C98" s="1800"/>
      <c r="D98" s="253">
        <f>SUM(D99:D100)</f>
        <v>3715</v>
      </c>
      <c r="E98" s="253">
        <f t="shared" ref="E98:H98" si="21">SUM(E99:E100)</f>
        <v>3715</v>
      </c>
      <c r="F98" s="253">
        <f t="shared" si="21"/>
        <v>3825</v>
      </c>
      <c r="G98" s="253"/>
      <c r="H98" s="253">
        <f t="shared" si="21"/>
        <v>3825</v>
      </c>
      <c r="I98" s="1969" t="s">
        <v>3000</v>
      </c>
      <c r="J98" s="625" t="s">
        <v>3058</v>
      </c>
    </row>
    <row r="99" spans="1:10" ht="20.25" customHeight="1" x14ac:dyDescent="0.2">
      <c r="A99" s="1879"/>
      <c r="B99" s="1889"/>
      <c r="C99" s="1890"/>
      <c r="D99" s="1146">
        <v>2700</v>
      </c>
      <c r="E99" s="1146">
        <v>2700</v>
      </c>
      <c r="F99" s="1146">
        <v>2700</v>
      </c>
      <c r="G99" s="625">
        <v>2235</v>
      </c>
      <c r="H99" s="1146">
        <v>2700</v>
      </c>
      <c r="I99" s="1969"/>
      <c r="J99" s="254" t="s">
        <v>3059</v>
      </c>
    </row>
    <row r="100" spans="1:10" ht="20.25" customHeight="1" x14ac:dyDescent="0.2">
      <c r="A100" s="1879"/>
      <c r="B100" s="1801"/>
      <c r="C100" s="1802"/>
      <c r="D100" s="541">
        <v>1015</v>
      </c>
      <c r="E100" s="541">
        <v>1015</v>
      </c>
      <c r="F100" s="541">
        <v>1125</v>
      </c>
      <c r="G100" s="625">
        <v>2363</v>
      </c>
      <c r="H100" s="541">
        <v>1125</v>
      </c>
      <c r="I100" s="1969"/>
      <c r="J100" s="254" t="s">
        <v>3060</v>
      </c>
    </row>
    <row r="101" spans="1:10" ht="15" customHeight="1" x14ac:dyDescent="0.2">
      <c r="A101" s="1175">
        <v>4</v>
      </c>
      <c r="B101" s="1967" t="s">
        <v>3061</v>
      </c>
      <c r="C101" s="1968"/>
      <c r="D101" s="253">
        <f>SUM(D102+D106)</f>
        <v>1040</v>
      </c>
      <c r="E101" s="253">
        <f>SUM(E102+E106)</f>
        <v>1040</v>
      </c>
      <c r="F101" s="253">
        <f>SUM(F102+F106)</f>
        <v>1118</v>
      </c>
      <c r="G101" s="253"/>
      <c r="H101" s="253">
        <f>H102+H106</f>
        <v>1022</v>
      </c>
      <c r="I101" s="253"/>
      <c r="J101" s="1176" t="s">
        <v>3062</v>
      </c>
    </row>
    <row r="102" spans="1:10" ht="16.5" customHeight="1" x14ac:dyDescent="0.2">
      <c r="A102" s="2102" t="s">
        <v>3063</v>
      </c>
      <c r="B102" s="2112" t="s">
        <v>3025</v>
      </c>
      <c r="C102" s="2113"/>
      <c r="D102" s="253">
        <f>SUM(D103:D105)</f>
        <v>878</v>
      </c>
      <c r="E102" s="253">
        <f t="shared" ref="E102:F102" si="22">SUM(E103:E105)</f>
        <v>878</v>
      </c>
      <c r="F102" s="253">
        <f t="shared" si="22"/>
        <v>888</v>
      </c>
      <c r="G102" s="253"/>
      <c r="H102" s="253">
        <f>SUM(H103:H105)</f>
        <v>792</v>
      </c>
      <c r="I102" s="541"/>
      <c r="J102" s="625" t="s">
        <v>3064</v>
      </c>
    </row>
    <row r="103" spans="1:10" ht="16.5" customHeight="1" x14ac:dyDescent="0.2">
      <c r="A103" s="2102"/>
      <c r="B103" s="2114"/>
      <c r="C103" s="2115"/>
      <c r="D103" s="1146">
        <v>192</v>
      </c>
      <c r="E103" s="1146">
        <v>192</v>
      </c>
      <c r="F103" s="1146">
        <v>192</v>
      </c>
      <c r="G103" s="625">
        <v>2235</v>
      </c>
      <c r="H103" s="1146">
        <v>96</v>
      </c>
      <c r="I103" s="2087" t="s">
        <v>2956</v>
      </c>
      <c r="J103" s="254" t="s">
        <v>3065</v>
      </c>
    </row>
    <row r="104" spans="1:10" ht="16.5" customHeight="1" x14ac:dyDescent="0.2">
      <c r="A104" s="2102"/>
      <c r="B104" s="2114"/>
      <c r="C104" s="2115"/>
      <c r="D104" s="541">
        <v>350</v>
      </c>
      <c r="E104" s="541">
        <v>350</v>
      </c>
      <c r="F104" s="541">
        <v>360</v>
      </c>
      <c r="G104" s="625">
        <v>2231</v>
      </c>
      <c r="H104" s="541">
        <v>360</v>
      </c>
      <c r="I104" s="2087"/>
      <c r="J104" s="254" t="s">
        <v>3066</v>
      </c>
    </row>
    <row r="105" spans="1:10" ht="16.5" customHeight="1" x14ac:dyDescent="0.2">
      <c r="A105" s="2102"/>
      <c r="B105" s="2116"/>
      <c r="C105" s="2117"/>
      <c r="D105" s="541">
        <v>336</v>
      </c>
      <c r="E105" s="541">
        <v>336</v>
      </c>
      <c r="F105" s="541">
        <v>336</v>
      </c>
      <c r="G105" s="625">
        <v>2363</v>
      </c>
      <c r="H105" s="541">
        <v>336</v>
      </c>
      <c r="I105" s="2087"/>
      <c r="J105" s="254" t="s">
        <v>3067</v>
      </c>
    </row>
    <row r="106" spans="1:10" ht="15" customHeight="1" x14ac:dyDescent="0.2">
      <c r="A106" s="2102" t="s">
        <v>3068</v>
      </c>
      <c r="B106" s="2112" t="s">
        <v>3069</v>
      </c>
      <c r="C106" s="2113"/>
      <c r="D106" s="253">
        <f>SUM(D107:D108)</f>
        <v>162</v>
      </c>
      <c r="E106" s="253">
        <f>SUM(E107:E108)</f>
        <v>162</v>
      </c>
      <c r="F106" s="253">
        <f>SUM(F107:F108)</f>
        <v>230</v>
      </c>
      <c r="G106" s="253"/>
      <c r="H106" s="253">
        <f>SUM(H107:H108)</f>
        <v>230</v>
      </c>
      <c r="I106" s="541"/>
      <c r="J106" s="254"/>
    </row>
    <row r="107" spans="1:10" ht="15" customHeight="1" x14ac:dyDescent="0.2">
      <c r="A107" s="2102"/>
      <c r="B107" s="2114"/>
      <c r="C107" s="2115"/>
      <c r="D107" s="1146">
        <v>25</v>
      </c>
      <c r="E107" s="1146">
        <v>25</v>
      </c>
      <c r="F107" s="1146">
        <v>25</v>
      </c>
      <c r="G107" s="625">
        <v>2341</v>
      </c>
      <c r="H107" s="1146">
        <v>25</v>
      </c>
      <c r="I107" s="2087" t="s">
        <v>3038</v>
      </c>
      <c r="J107" s="254" t="s">
        <v>2994</v>
      </c>
    </row>
    <row r="108" spans="1:10" ht="15" customHeight="1" x14ac:dyDescent="0.2">
      <c r="A108" s="2102"/>
      <c r="B108" s="2116"/>
      <c r="C108" s="2117"/>
      <c r="D108" s="576">
        <v>137</v>
      </c>
      <c r="E108" s="576">
        <v>137</v>
      </c>
      <c r="F108" s="576">
        <v>205</v>
      </c>
      <c r="G108" s="625">
        <v>2370</v>
      </c>
      <c r="H108" s="576">
        <v>205</v>
      </c>
      <c r="I108" s="2087"/>
      <c r="J108" s="1182" t="s">
        <v>3070</v>
      </c>
    </row>
    <row r="109" spans="1:10" ht="15" customHeight="1" x14ac:dyDescent="0.2">
      <c r="A109" s="1175">
        <v>5</v>
      </c>
      <c r="B109" s="1967" t="s">
        <v>3071</v>
      </c>
      <c r="C109" s="1968"/>
      <c r="D109" s="253">
        <f>SUM(D110+D115+D122)</f>
        <v>80716</v>
      </c>
      <c r="E109" s="253">
        <f t="shared" ref="E109:F109" si="23">SUM(E110+E115+E122)</f>
        <v>78608</v>
      </c>
      <c r="F109" s="253">
        <f t="shared" si="23"/>
        <v>55198</v>
      </c>
      <c r="G109" s="253"/>
      <c r="H109" s="253">
        <f>SUM(H110+H115+H122)</f>
        <v>55190</v>
      </c>
      <c r="I109" s="253"/>
      <c r="J109" s="1176" t="s">
        <v>3072</v>
      </c>
    </row>
    <row r="110" spans="1:10" ht="18" customHeight="1" x14ac:dyDescent="0.2">
      <c r="A110" s="2111" t="s">
        <v>3073</v>
      </c>
      <c r="B110" s="2112" t="s">
        <v>3025</v>
      </c>
      <c r="C110" s="2113"/>
      <c r="D110" s="253">
        <f>SUM(D111:D114)</f>
        <v>21608</v>
      </c>
      <c r="E110" s="253">
        <f t="shared" ref="E110:F110" si="24">SUM(E111:E114)</f>
        <v>21794</v>
      </c>
      <c r="F110" s="253">
        <f t="shared" si="24"/>
        <v>26220</v>
      </c>
      <c r="G110" s="253"/>
      <c r="H110" s="253">
        <f>SUM(H111:H114)</f>
        <v>26220</v>
      </c>
      <c r="I110" s="541"/>
      <c r="J110" s="625" t="s">
        <v>2955</v>
      </c>
    </row>
    <row r="111" spans="1:10" ht="18" customHeight="1" x14ac:dyDescent="0.2">
      <c r="A111" s="2111"/>
      <c r="B111" s="2114"/>
      <c r="C111" s="2115"/>
      <c r="D111" s="541">
        <v>9140</v>
      </c>
      <c r="E111" s="541">
        <v>6140</v>
      </c>
      <c r="F111" s="541">
        <v>9900</v>
      </c>
      <c r="G111" s="625">
        <v>2235</v>
      </c>
      <c r="H111" s="541">
        <v>9900</v>
      </c>
      <c r="I111" s="1969" t="s">
        <v>3074</v>
      </c>
      <c r="J111" s="254" t="s">
        <v>3075</v>
      </c>
    </row>
    <row r="112" spans="1:10" ht="18" customHeight="1" x14ac:dyDescent="0.2">
      <c r="A112" s="2111"/>
      <c r="B112" s="2114"/>
      <c r="C112" s="2115"/>
      <c r="D112" s="541">
        <v>8200</v>
      </c>
      <c r="E112" s="541">
        <v>11386</v>
      </c>
      <c r="F112" s="541">
        <v>10000</v>
      </c>
      <c r="G112" s="625">
        <v>2235</v>
      </c>
      <c r="H112" s="541">
        <v>10000</v>
      </c>
      <c r="I112" s="1969"/>
      <c r="J112" s="254" t="s">
        <v>2958</v>
      </c>
    </row>
    <row r="113" spans="1:10" ht="18" customHeight="1" x14ac:dyDescent="0.2">
      <c r="A113" s="2111"/>
      <c r="B113" s="2114"/>
      <c r="C113" s="2115"/>
      <c r="D113" s="541">
        <v>2220</v>
      </c>
      <c r="E113" s="541">
        <v>2220</v>
      </c>
      <c r="F113" s="541">
        <v>3920</v>
      </c>
      <c r="G113" s="625">
        <v>2231</v>
      </c>
      <c r="H113" s="541">
        <v>3920</v>
      </c>
      <c r="I113" s="1969"/>
      <c r="J113" s="254" t="s">
        <v>3076</v>
      </c>
    </row>
    <row r="114" spans="1:10" ht="18" customHeight="1" x14ac:dyDescent="0.2">
      <c r="A114" s="2111"/>
      <c r="B114" s="2116"/>
      <c r="C114" s="2117"/>
      <c r="D114" s="541">
        <v>2048</v>
      </c>
      <c r="E114" s="541">
        <v>2048</v>
      </c>
      <c r="F114" s="541">
        <v>2400</v>
      </c>
      <c r="G114" s="625">
        <v>2363</v>
      </c>
      <c r="H114" s="541">
        <v>2400</v>
      </c>
      <c r="I114" s="1969"/>
      <c r="J114" s="254" t="s">
        <v>3077</v>
      </c>
    </row>
    <row r="115" spans="1:10" ht="13.5" customHeight="1" x14ac:dyDescent="0.2">
      <c r="A115" s="2102" t="s">
        <v>3078</v>
      </c>
      <c r="B115" s="2112" t="s">
        <v>3079</v>
      </c>
      <c r="C115" s="2113"/>
      <c r="D115" s="253">
        <f>SUM(D116:D121)</f>
        <v>51430</v>
      </c>
      <c r="E115" s="253">
        <f t="shared" ref="E115" si="25">SUM(E116:E121)</f>
        <v>51430</v>
      </c>
      <c r="F115" s="253">
        <f>SUM(F116:F121)</f>
        <v>20500</v>
      </c>
      <c r="G115" s="253"/>
      <c r="H115" s="253">
        <f>SUM(H116:H121)</f>
        <v>20500</v>
      </c>
      <c r="I115" s="1969" t="s">
        <v>3080</v>
      </c>
      <c r="J115" s="254"/>
    </row>
    <row r="116" spans="1:10" ht="13.5" customHeight="1" x14ac:dyDescent="0.2">
      <c r="A116" s="2102"/>
      <c r="B116" s="2114"/>
      <c r="C116" s="2115"/>
      <c r="D116" s="1146">
        <v>400</v>
      </c>
      <c r="E116" s="1146">
        <v>400</v>
      </c>
      <c r="F116" s="1146">
        <v>800</v>
      </c>
      <c r="G116" s="625">
        <v>2231</v>
      </c>
      <c r="H116" s="1146">
        <v>800</v>
      </c>
      <c r="I116" s="1969"/>
      <c r="J116" s="254" t="s">
        <v>3081</v>
      </c>
    </row>
    <row r="117" spans="1:10" ht="13.5" customHeight="1" x14ac:dyDescent="0.2">
      <c r="A117" s="2102"/>
      <c r="B117" s="2114"/>
      <c r="C117" s="2115"/>
      <c r="D117" s="1146">
        <v>1000</v>
      </c>
      <c r="E117" s="1146">
        <v>1000</v>
      </c>
      <c r="F117" s="1146">
        <v>5500</v>
      </c>
      <c r="G117" s="625">
        <v>2235</v>
      </c>
      <c r="H117" s="1146">
        <v>5500</v>
      </c>
      <c r="I117" s="1969"/>
      <c r="J117" s="254" t="s">
        <v>3082</v>
      </c>
    </row>
    <row r="118" spans="1:10" ht="13.5" customHeight="1" x14ac:dyDescent="0.2">
      <c r="A118" s="2102"/>
      <c r="B118" s="2114"/>
      <c r="C118" s="2115"/>
      <c r="D118" s="1146">
        <v>1400</v>
      </c>
      <c r="E118" s="1146">
        <v>1400</v>
      </c>
      <c r="F118" s="1146">
        <v>1200</v>
      </c>
      <c r="G118" s="625">
        <v>2314</v>
      </c>
      <c r="H118" s="1146">
        <v>1200</v>
      </c>
      <c r="I118" s="1969"/>
      <c r="J118" s="254" t="s">
        <v>3083</v>
      </c>
    </row>
    <row r="119" spans="1:10" ht="13.5" customHeight="1" x14ac:dyDescent="0.2">
      <c r="A119" s="2102"/>
      <c r="B119" s="2114"/>
      <c r="C119" s="2115"/>
      <c r="D119" s="541">
        <v>100</v>
      </c>
      <c r="E119" s="541">
        <v>100</v>
      </c>
      <c r="F119" s="541">
        <v>100</v>
      </c>
      <c r="G119" s="625">
        <v>2341</v>
      </c>
      <c r="H119" s="541">
        <v>100</v>
      </c>
      <c r="I119" s="1969"/>
      <c r="J119" s="254" t="s">
        <v>2994</v>
      </c>
    </row>
    <row r="120" spans="1:10" ht="13.5" customHeight="1" x14ac:dyDescent="0.2">
      <c r="A120" s="2102"/>
      <c r="B120" s="2114"/>
      <c r="C120" s="2115"/>
      <c r="D120" s="541">
        <v>39800</v>
      </c>
      <c r="E120" s="541">
        <v>39800</v>
      </c>
      <c r="F120" s="541">
        <v>8800</v>
      </c>
      <c r="G120" s="625">
        <v>2361</v>
      </c>
      <c r="H120" s="541">
        <v>8800</v>
      </c>
      <c r="I120" s="1969"/>
      <c r="J120" s="617" t="s">
        <v>3084</v>
      </c>
    </row>
    <row r="121" spans="1:10" ht="13.5" customHeight="1" x14ac:dyDescent="0.2">
      <c r="A121" s="2102"/>
      <c r="B121" s="2116"/>
      <c r="C121" s="2117"/>
      <c r="D121" s="541">
        <v>8730</v>
      </c>
      <c r="E121" s="541">
        <v>8730</v>
      </c>
      <c r="F121" s="541">
        <v>4100</v>
      </c>
      <c r="G121" s="625">
        <v>2370</v>
      </c>
      <c r="H121" s="541">
        <v>4100</v>
      </c>
      <c r="I121" s="1969"/>
      <c r="J121" s="1051" t="s">
        <v>3085</v>
      </c>
    </row>
    <row r="122" spans="1:10" ht="15" customHeight="1" x14ac:dyDescent="0.2">
      <c r="A122" s="625" t="s">
        <v>3086</v>
      </c>
      <c r="B122" s="2109" t="s">
        <v>2997</v>
      </c>
      <c r="C122" s="2110"/>
      <c r="D122" s="253">
        <f>D123+D127</f>
        <v>7678</v>
      </c>
      <c r="E122" s="253">
        <f t="shared" ref="E122:H122" si="26">E123+E127</f>
        <v>5384</v>
      </c>
      <c r="F122" s="253">
        <f t="shared" si="26"/>
        <v>8478</v>
      </c>
      <c r="G122" s="253"/>
      <c r="H122" s="253">
        <f t="shared" si="26"/>
        <v>8470</v>
      </c>
      <c r="I122" s="253"/>
      <c r="J122" s="254"/>
    </row>
    <row r="123" spans="1:10" ht="15" customHeight="1" x14ac:dyDescent="0.2">
      <c r="A123" s="1879" t="s">
        <v>3087</v>
      </c>
      <c r="B123" s="1799" t="s">
        <v>2999</v>
      </c>
      <c r="C123" s="1800"/>
      <c r="D123" s="253">
        <f>SUM(D124:D126)</f>
        <v>1760</v>
      </c>
      <c r="E123" s="253">
        <f t="shared" ref="E123:H123" si="27">SUM(E124:E126)</f>
        <v>1567</v>
      </c>
      <c r="F123" s="253">
        <f t="shared" si="27"/>
        <v>3060</v>
      </c>
      <c r="G123" s="253"/>
      <c r="H123" s="253">
        <f t="shared" si="27"/>
        <v>3060</v>
      </c>
      <c r="I123" s="1969" t="s">
        <v>3000</v>
      </c>
      <c r="J123" s="254" t="s">
        <v>3088</v>
      </c>
    </row>
    <row r="124" spans="1:10" ht="15" customHeight="1" x14ac:dyDescent="0.2">
      <c r="A124" s="1879"/>
      <c r="B124" s="1889"/>
      <c r="C124" s="1890"/>
      <c r="D124" s="1146">
        <v>300</v>
      </c>
      <c r="E124" s="1146">
        <v>260</v>
      </c>
      <c r="F124" s="1146">
        <v>300</v>
      </c>
      <c r="G124" s="625">
        <v>2235</v>
      </c>
      <c r="H124" s="1146">
        <v>300</v>
      </c>
      <c r="I124" s="1969"/>
      <c r="J124" s="254" t="s">
        <v>3089</v>
      </c>
    </row>
    <row r="125" spans="1:10" ht="15" customHeight="1" x14ac:dyDescent="0.2">
      <c r="A125" s="1879"/>
      <c r="B125" s="1889"/>
      <c r="C125" s="1890"/>
      <c r="D125" s="1146">
        <v>60</v>
      </c>
      <c r="E125" s="1146">
        <v>60</v>
      </c>
      <c r="F125" s="1146">
        <v>60</v>
      </c>
      <c r="G125" s="625">
        <v>2341</v>
      </c>
      <c r="H125" s="1146">
        <v>60</v>
      </c>
      <c r="I125" s="1969"/>
      <c r="J125" s="254" t="s">
        <v>3010</v>
      </c>
    </row>
    <row r="126" spans="1:10" ht="15" customHeight="1" x14ac:dyDescent="0.2">
      <c r="A126" s="1879"/>
      <c r="B126" s="1801"/>
      <c r="C126" s="1802"/>
      <c r="D126" s="541">
        <v>1400</v>
      </c>
      <c r="E126" s="541">
        <v>1247</v>
      </c>
      <c r="F126" s="541">
        <v>2700</v>
      </c>
      <c r="G126" s="625">
        <v>2363</v>
      </c>
      <c r="H126" s="541">
        <v>2700</v>
      </c>
      <c r="I126" s="1969"/>
      <c r="J126" s="254" t="s">
        <v>3090</v>
      </c>
    </row>
    <row r="127" spans="1:10" ht="18" customHeight="1" x14ac:dyDescent="0.2">
      <c r="A127" s="1879" t="s">
        <v>3091</v>
      </c>
      <c r="B127" s="1799" t="s">
        <v>3004</v>
      </c>
      <c r="C127" s="1800"/>
      <c r="D127" s="253">
        <f>SUM(D128:D131)</f>
        <v>5918</v>
      </c>
      <c r="E127" s="253">
        <f>SUM(E128:E131)</f>
        <v>3817</v>
      </c>
      <c r="F127" s="253">
        <f>SUM(F128:F131)</f>
        <v>5418</v>
      </c>
      <c r="G127" s="253"/>
      <c r="H127" s="253">
        <f>SUM(H128:H131)</f>
        <v>5410</v>
      </c>
      <c r="I127" s="1969" t="s">
        <v>3000</v>
      </c>
      <c r="J127" s="625" t="s">
        <v>3092</v>
      </c>
    </row>
    <row r="128" spans="1:10" ht="18" customHeight="1" x14ac:dyDescent="0.2">
      <c r="A128" s="1879"/>
      <c r="B128" s="1889"/>
      <c r="C128" s="1890"/>
      <c r="D128" s="1183">
        <v>168</v>
      </c>
      <c r="E128" s="1183">
        <v>0</v>
      </c>
      <c r="F128" s="1183">
        <v>168</v>
      </c>
      <c r="G128" s="625">
        <v>2111</v>
      </c>
      <c r="H128" s="541">
        <v>160</v>
      </c>
      <c r="I128" s="1969"/>
      <c r="J128" s="254" t="s">
        <v>3093</v>
      </c>
    </row>
    <row r="129" spans="1:10" ht="18" customHeight="1" x14ac:dyDescent="0.2">
      <c r="A129" s="1879"/>
      <c r="B129" s="1889"/>
      <c r="C129" s="1890"/>
      <c r="D129" s="1183">
        <v>2800</v>
      </c>
      <c r="E129" s="1183">
        <v>1428</v>
      </c>
      <c r="F129" s="1183">
        <v>2000</v>
      </c>
      <c r="G129" s="625">
        <v>2235</v>
      </c>
      <c r="H129" s="541">
        <v>2000</v>
      </c>
      <c r="I129" s="1969"/>
      <c r="J129" s="254" t="s">
        <v>3094</v>
      </c>
    </row>
    <row r="130" spans="1:10" ht="18" customHeight="1" x14ac:dyDescent="0.2">
      <c r="A130" s="1879"/>
      <c r="B130" s="1889"/>
      <c r="C130" s="1890"/>
      <c r="D130" s="1183">
        <v>500</v>
      </c>
      <c r="E130" s="1183">
        <v>500</v>
      </c>
      <c r="F130" s="1183">
        <v>500</v>
      </c>
      <c r="G130" s="625">
        <v>2235</v>
      </c>
      <c r="H130" s="541">
        <v>500</v>
      </c>
      <c r="I130" s="1969"/>
      <c r="J130" s="1177" t="s">
        <v>3095</v>
      </c>
    </row>
    <row r="131" spans="1:10" ht="18" customHeight="1" x14ac:dyDescent="0.2">
      <c r="A131" s="1879"/>
      <c r="B131" s="1801"/>
      <c r="C131" s="1802"/>
      <c r="D131" s="1183">
        <v>2450</v>
      </c>
      <c r="E131" s="1183">
        <v>1889</v>
      </c>
      <c r="F131" s="1183">
        <v>2750</v>
      </c>
      <c r="G131" s="625">
        <v>2363</v>
      </c>
      <c r="H131" s="541">
        <v>2750</v>
      </c>
      <c r="I131" s="1969"/>
      <c r="J131" s="254" t="s">
        <v>3096</v>
      </c>
    </row>
    <row r="132" spans="1:10" ht="15" customHeight="1" x14ac:dyDescent="0.2">
      <c r="A132" s="1175">
        <v>6</v>
      </c>
      <c r="B132" s="1967" t="s">
        <v>3097</v>
      </c>
      <c r="C132" s="1968"/>
      <c r="D132" s="253">
        <f>SUM(D133+D143+D138+D147)</f>
        <v>6235</v>
      </c>
      <c r="E132" s="253">
        <f t="shared" ref="E132:H132" si="28">SUM(E133+E143+E138+E147)</f>
        <v>6148</v>
      </c>
      <c r="F132" s="253">
        <f>SUM(F133+F143+F138+F147)</f>
        <v>4575</v>
      </c>
      <c r="G132" s="253"/>
      <c r="H132" s="253">
        <f t="shared" si="28"/>
        <v>4445</v>
      </c>
      <c r="I132" s="253"/>
      <c r="J132" s="1176" t="s">
        <v>3098</v>
      </c>
    </row>
    <row r="133" spans="1:10" ht="17.25" customHeight="1" x14ac:dyDescent="0.2">
      <c r="A133" s="2102" t="s">
        <v>3099</v>
      </c>
      <c r="B133" s="2112" t="s">
        <v>3025</v>
      </c>
      <c r="C133" s="2113"/>
      <c r="D133" s="253">
        <f>SUM(D134:D137)</f>
        <v>3305</v>
      </c>
      <c r="E133" s="253">
        <f>SUM(E134:E137)</f>
        <v>3305</v>
      </c>
      <c r="F133" s="253">
        <f>SUM(F134:F137)</f>
        <v>3440</v>
      </c>
      <c r="G133" s="253"/>
      <c r="H133" s="253">
        <f>SUM(H134:H137)</f>
        <v>3440</v>
      </c>
      <c r="I133" s="541"/>
      <c r="J133" s="625" t="s">
        <v>3100</v>
      </c>
    </row>
    <row r="134" spans="1:10" ht="17.25" customHeight="1" x14ac:dyDescent="0.2">
      <c r="A134" s="2102"/>
      <c r="B134" s="2114"/>
      <c r="C134" s="2115"/>
      <c r="D134" s="541">
        <v>480</v>
      </c>
      <c r="E134" s="541">
        <v>480</v>
      </c>
      <c r="F134" s="541">
        <v>480</v>
      </c>
      <c r="G134" s="625">
        <v>2235</v>
      </c>
      <c r="H134" s="541">
        <v>480</v>
      </c>
      <c r="I134" s="1969" t="s">
        <v>3101</v>
      </c>
      <c r="J134" s="254" t="s">
        <v>3102</v>
      </c>
    </row>
    <row r="135" spans="1:10" ht="17.25" customHeight="1" x14ac:dyDescent="0.2">
      <c r="A135" s="2102"/>
      <c r="B135" s="2114"/>
      <c r="C135" s="2115"/>
      <c r="D135" s="541">
        <v>2000</v>
      </c>
      <c r="E135" s="541">
        <v>2000</v>
      </c>
      <c r="F135" s="541">
        <v>2000</v>
      </c>
      <c r="G135" s="625">
        <v>2235</v>
      </c>
      <c r="H135" s="541">
        <v>2000</v>
      </c>
      <c r="I135" s="1969"/>
      <c r="J135" s="254" t="s">
        <v>3103</v>
      </c>
    </row>
    <row r="136" spans="1:10" ht="17.25" customHeight="1" x14ac:dyDescent="0.2">
      <c r="A136" s="2102"/>
      <c r="B136" s="2114"/>
      <c r="C136" s="2115"/>
      <c r="D136" s="541">
        <v>300</v>
      </c>
      <c r="E136" s="541">
        <v>300</v>
      </c>
      <c r="F136" s="541">
        <v>300</v>
      </c>
      <c r="G136" s="625">
        <v>2231</v>
      </c>
      <c r="H136" s="541">
        <v>300</v>
      </c>
      <c r="I136" s="1969"/>
      <c r="J136" s="254" t="s">
        <v>3104</v>
      </c>
    </row>
    <row r="137" spans="1:10" ht="17.25" customHeight="1" x14ac:dyDescent="0.2">
      <c r="A137" s="2102"/>
      <c r="B137" s="2116"/>
      <c r="C137" s="2117"/>
      <c r="D137" s="541">
        <v>525</v>
      </c>
      <c r="E137" s="541">
        <v>525</v>
      </c>
      <c r="F137" s="541">
        <v>660</v>
      </c>
      <c r="G137" s="625">
        <v>2363</v>
      </c>
      <c r="H137" s="541">
        <v>660</v>
      </c>
      <c r="I137" s="1969"/>
      <c r="J137" s="254" t="s">
        <v>3105</v>
      </c>
    </row>
    <row r="138" spans="1:10" ht="12" hidden="1" customHeight="1" x14ac:dyDescent="0.2">
      <c r="A138" s="2102" t="s">
        <v>3106</v>
      </c>
      <c r="B138" s="2112" t="s">
        <v>3107</v>
      </c>
      <c r="C138" s="2113"/>
      <c r="D138" s="253">
        <f>SUM(D139:D142)</f>
        <v>2025</v>
      </c>
      <c r="E138" s="253">
        <f>SUM(E139:E142)</f>
        <v>2025</v>
      </c>
      <c r="F138" s="253">
        <f>SUM(F139:F142)</f>
        <v>0</v>
      </c>
      <c r="G138" s="253"/>
      <c r="H138" s="253">
        <f>SUM(H139:H142)</f>
        <v>0</v>
      </c>
      <c r="I138" s="1969" t="s">
        <v>2964</v>
      </c>
      <c r="J138" s="625"/>
    </row>
    <row r="139" spans="1:10" ht="12" hidden="1" customHeight="1" x14ac:dyDescent="0.2">
      <c r="A139" s="2102"/>
      <c r="B139" s="2114"/>
      <c r="C139" s="2115"/>
      <c r="D139" s="541">
        <v>116</v>
      </c>
      <c r="E139" s="541">
        <v>116</v>
      </c>
      <c r="F139" s="541">
        <v>0</v>
      </c>
      <c r="G139" s="625">
        <v>2121</v>
      </c>
      <c r="H139" s="541">
        <v>0</v>
      </c>
      <c r="I139" s="1969"/>
      <c r="J139" s="254"/>
    </row>
    <row r="140" spans="1:10" ht="12" hidden="1" customHeight="1" x14ac:dyDescent="0.2">
      <c r="A140" s="2102"/>
      <c r="B140" s="2114"/>
      <c r="C140" s="2115"/>
      <c r="D140" s="541">
        <v>49</v>
      </c>
      <c r="E140" s="541">
        <v>49</v>
      </c>
      <c r="F140" s="541">
        <v>0</v>
      </c>
      <c r="G140" s="625">
        <v>2122</v>
      </c>
      <c r="H140" s="541">
        <v>0</v>
      </c>
      <c r="I140" s="1969"/>
      <c r="J140" s="254"/>
    </row>
    <row r="141" spans="1:10" ht="12" hidden="1" customHeight="1" x14ac:dyDescent="0.2">
      <c r="A141" s="2102"/>
      <c r="B141" s="2114"/>
      <c r="C141" s="2115"/>
      <c r="D141" s="541">
        <v>860</v>
      </c>
      <c r="E141" s="541">
        <v>860</v>
      </c>
      <c r="F141" s="541">
        <v>0</v>
      </c>
      <c r="G141" s="625">
        <v>2235</v>
      </c>
      <c r="H141" s="541">
        <v>0</v>
      </c>
      <c r="I141" s="1969"/>
      <c r="J141" s="254"/>
    </row>
    <row r="142" spans="1:10" ht="12" hidden="1" customHeight="1" x14ac:dyDescent="0.2">
      <c r="A142" s="2102"/>
      <c r="B142" s="2116"/>
      <c r="C142" s="2117"/>
      <c r="D142" s="541">
        <v>1000</v>
      </c>
      <c r="E142" s="541">
        <v>1000</v>
      </c>
      <c r="F142" s="541">
        <v>0</v>
      </c>
      <c r="G142" s="625">
        <v>2231</v>
      </c>
      <c r="H142" s="541">
        <v>0</v>
      </c>
      <c r="I142" s="1969"/>
      <c r="J142" s="254"/>
    </row>
    <row r="143" spans="1:10" ht="18" customHeight="1" x14ac:dyDescent="0.2">
      <c r="A143" s="2102" t="s">
        <v>3108</v>
      </c>
      <c r="B143" s="2112" t="s">
        <v>3109</v>
      </c>
      <c r="C143" s="2113"/>
      <c r="D143" s="253">
        <f>SUM(D144:D146)</f>
        <v>555</v>
      </c>
      <c r="E143" s="253">
        <f>SUM(E144:E146)</f>
        <v>555</v>
      </c>
      <c r="F143" s="253">
        <f>SUM(F144:F146)</f>
        <v>685</v>
      </c>
      <c r="G143" s="253"/>
      <c r="H143" s="253">
        <f>SUM(H144:H146)</f>
        <v>555</v>
      </c>
      <c r="I143" s="272"/>
      <c r="J143" s="254"/>
    </row>
    <row r="144" spans="1:10" ht="18" customHeight="1" x14ac:dyDescent="0.2">
      <c r="A144" s="2102"/>
      <c r="B144" s="2114"/>
      <c r="C144" s="2115"/>
      <c r="D144" s="541">
        <v>25</v>
      </c>
      <c r="E144" s="541">
        <v>25</v>
      </c>
      <c r="F144" s="541">
        <v>25</v>
      </c>
      <c r="G144" s="625">
        <v>2341</v>
      </c>
      <c r="H144" s="541">
        <v>25</v>
      </c>
      <c r="I144" s="2087" t="s">
        <v>3038</v>
      </c>
      <c r="J144" s="254" t="s">
        <v>2994</v>
      </c>
    </row>
    <row r="145" spans="1:10" ht="18" customHeight="1" x14ac:dyDescent="0.2">
      <c r="A145" s="2102"/>
      <c r="B145" s="2114"/>
      <c r="C145" s="2115"/>
      <c r="D145" s="576">
        <v>400</v>
      </c>
      <c r="E145" s="576">
        <v>400</v>
      </c>
      <c r="F145" s="576">
        <v>400</v>
      </c>
      <c r="G145" s="625">
        <v>2361</v>
      </c>
      <c r="H145" s="576">
        <v>400</v>
      </c>
      <c r="I145" s="2087"/>
      <c r="J145" s="1184" t="s">
        <v>3110</v>
      </c>
    </row>
    <row r="146" spans="1:10" ht="18" customHeight="1" x14ac:dyDescent="0.2">
      <c r="A146" s="2102"/>
      <c r="B146" s="2116"/>
      <c r="C146" s="2117"/>
      <c r="D146" s="576">
        <v>130</v>
      </c>
      <c r="E146" s="576">
        <v>130</v>
      </c>
      <c r="F146" s="576">
        <v>260</v>
      </c>
      <c r="G146" s="625">
        <v>2370</v>
      </c>
      <c r="H146" s="576">
        <v>130</v>
      </c>
      <c r="I146" s="2087"/>
      <c r="J146" s="1185" t="s">
        <v>3111</v>
      </c>
    </row>
    <row r="147" spans="1:10" ht="15" customHeight="1" x14ac:dyDescent="0.2">
      <c r="A147" s="625" t="s">
        <v>3112</v>
      </c>
      <c r="B147" s="2109" t="s">
        <v>2997</v>
      </c>
      <c r="C147" s="2110"/>
      <c r="D147" s="253">
        <f>D148</f>
        <v>350</v>
      </c>
      <c r="E147" s="253">
        <f t="shared" ref="E147:H147" si="29">E148</f>
        <v>263</v>
      </c>
      <c r="F147" s="253">
        <f t="shared" si="29"/>
        <v>450</v>
      </c>
      <c r="G147" s="253"/>
      <c r="H147" s="253">
        <f t="shared" si="29"/>
        <v>450</v>
      </c>
      <c r="I147" s="541"/>
      <c r="J147" s="254"/>
    </row>
    <row r="148" spans="1:10" ht="15" customHeight="1" x14ac:dyDescent="0.2">
      <c r="A148" s="1879"/>
      <c r="B148" s="1799" t="s">
        <v>2999</v>
      </c>
      <c r="C148" s="1800"/>
      <c r="D148" s="253">
        <f>SUM(D149:D149)</f>
        <v>350</v>
      </c>
      <c r="E148" s="253">
        <f t="shared" ref="E148:H148" si="30">SUM(E149:E149)</f>
        <v>263</v>
      </c>
      <c r="F148" s="253">
        <f t="shared" si="30"/>
        <v>450</v>
      </c>
      <c r="G148" s="253"/>
      <c r="H148" s="253">
        <f t="shared" si="30"/>
        <v>450</v>
      </c>
      <c r="I148" s="2118" t="s">
        <v>3000</v>
      </c>
      <c r="J148" s="625" t="s">
        <v>3058</v>
      </c>
    </row>
    <row r="149" spans="1:10" ht="15" customHeight="1" x14ac:dyDescent="0.2">
      <c r="A149" s="1879"/>
      <c r="B149" s="1801"/>
      <c r="C149" s="1802"/>
      <c r="D149" s="541">
        <v>350</v>
      </c>
      <c r="E149" s="541">
        <v>263</v>
      </c>
      <c r="F149" s="541">
        <v>450</v>
      </c>
      <c r="G149" s="625">
        <v>2363</v>
      </c>
      <c r="H149" s="541">
        <v>450</v>
      </c>
      <c r="I149" s="2118"/>
      <c r="J149" s="254" t="s">
        <v>3113</v>
      </c>
    </row>
    <row r="150" spans="1:10" ht="15" customHeight="1" x14ac:dyDescent="0.2">
      <c r="A150" s="1175">
        <v>7</v>
      </c>
      <c r="B150" s="1967" t="s">
        <v>3114</v>
      </c>
      <c r="C150" s="1968"/>
      <c r="D150" s="253">
        <f>SUM(D151+D155+D159)</f>
        <v>13089</v>
      </c>
      <c r="E150" s="253">
        <f t="shared" ref="E150:H150" si="31">SUM(E151+E155+E159)</f>
        <v>12066</v>
      </c>
      <c r="F150" s="253">
        <f t="shared" si="31"/>
        <v>15917</v>
      </c>
      <c r="G150" s="253"/>
      <c r="H150" s="253">
        <f t="shared" si="31"/>
        <v>13530</v>
      </c>
      <c r="I150" s="253"/>
      <c r="J150" s="1176" t="s">
        <v>3115</v>
      </c>
    </row>
    <row r="151" spans="1:10" ht="15" customHeight="1" x14ac:dyDescent="0.2">
      <c r="A151" s="2102" t="s">
        <v>3116</v>
      </c>
      <c r="B151" s="2112" t="s">
        <v>3025</v>
      </c>
      <c r="C151" s="2113"/>
      <c r="D151" s="253">
        <f>SUM(D152:D154)</f>
        <v>6270</v>
      </c>
      <c r="E151" s="253">
        <f t="shared" ref="E151:F151" si="32">SUM(E152:E154)</f>
        <v>6120</v>
      </c>
      <c r="F151" s="253">
        <f t="shared" si="32"/>
        <v>7222</v>
      </c>
      <c r="G151" s="253"/>
      <c r="H151" s="253">
        <f>SUM(H152:H154)</f>
        <v>6559</v>
      </c>
      <c r="I151" s="541"/>
      <c r="J151" s="625" t="s">
        <v>3117</v>
      </c>
    </row>
    <row r="152" spans="1:10" ht="15" customHeight="1" x14ac:dyDescent="0.2">
      <c r="A152" s="2102"/>
      <c r="B152" s="2114"/>
      <c r="C152" s="2115"/>
      <c r="D152" s="541">
        <v>4080</v>
      </c>
      <c r="E152" s="541">
        <v>4330</v>
      </c>
      <c r="F152" s="541">
        <v>4998</v>
      </c>
      <c r="G152" s="625">
        <v>2235</v>
      </c>
      <c r="H152" s="541">
        <v>4335</v>
      </c>
      <c r="I152" s="1969" t="s">
        <v>2956</v>
      </c>
      <c r="J152" s="254" t="s">
        <v>3118</v>
      </c>
    </row>
    <row r="153" spans="1:10" ht="15" customHeight="1" x14ac:dyDescent="0.2">
      <c r="A153" s="2102"/>
      <c r="B153" s="2114"/>
      <c r="C153" s="2115"/>
      <c r="D153" s="541">
        <v>1000</v>
      </c>
      <c r="E153" s="541">
        <v>1000</v>
      </c>
      <c r="F153" s="541">
        <v>1000</v>
      </c>
      <c r="G153" s="625">
        <v>2231</v>
      </c>
      <c r="H153" s="541">
        <v>1000</v>
      </c>
      <c r="I153" s="1969"/>
      <c r="J153" s="254" t="s">
        <v>3119</v>
      </c>
    </row>
    <row r="154" spans="1:10" ht="15" customHeight="1" x14ac:dyDescent="0.2">
      <c r="A154" s="2102"/>
      <c r="B154" s="2116"/>
      <c r="C154" s="2117"/>
      <c r="D154" s="541">
        <v>1190</v>
      </c>
      <c r="E154" s="541">
        <v>790</v>
      </c>
      <c r="F154" s="541">
        <v>1224</v>
      </c>
      <c r="G154" s="625">
        <v>2363</v>
      </c>
      <c r="H154" s="541">
        <v>1224</v>
      </c>
      <c r="I154" s="1969"/>
      <c r="J154" s="254" t="s">
        <v>3120</v>
      </c>
    </row>
    <row r="155" spans="1:10" ht="12" customHeight="1" x14ac:dyDescent="0.2">
      <c r="A155" s="2102" t="s">
        <v>3121</v>
      </c>
      <c r="B155" s="2112" t="s">
        <v>3122</v>
      </c>
      <c r="C155" s="2113"/>
      <c r="D155" s="253">
        <f>SUM(D156:D158)</f>
        <v>700</v>
      </c>
      <c r="E155" s="253">
        <f>SUM(E156:E158)</f>
        <v>700</v>
      </c>
      <c r="F155" s="253">
        <f>SUM(F156:F158)</f>
        <v>1300</v>
      </c>
      <c r="G155" s="253"/>
      <c r="H155" s="253">
        <f>SUM(H156:H158)</f>
        <v>700</v>
      </c>
      <c r="I155" s="541"/>
      <c r="J155" s="254"/>
    </row>
    <row r="156" spans="1:10" ht="15" customHeight="1" x14ac:dyDescent="0.2">
      <c r="A156" s="2102"/>
      <c r="B156" s="2114"/>
      <c r="C156" s="2115"/>
      <c r="D156" s="541">
        <v>50</v>
      </c>
      <c r="E156" s="541">
        <v>50</v>
      </c>
      <c r="F156" s="541">
        <v>50</v>
      </c>
      <c r="G156" s="625">
        <v>2341</v>
      </c>
      <c r="H156" s="541">
        <v>50</v>
      </c>
      <c r="I156" s="2087" t="s">
        <v>3038</v>
      </c>
      <c r="J156" s="254" t="s">
        <v>2994</v>
      </c>
    </row>
    <row r="157" spans="1:10" ht="15" customHeight="1" x14ac:dyDescent="0.2">
      <c r="A157" s="2102"/>
      <c r="B157" s="2114"/>
      <c r="C157" s="2115"/>
      <c r="D157" s="1186">
        <v>500</v>
      </c>
      <c r="E157" s="1186">
        <v>500</v>
      </c>
      <c r="F157" s="1186">
        <v>500</v>
      </c>
      <c r="G157" s="625">
        <v>2361</v>
      </c>
      <c r="H157" s="1186">
        <v>500</v>
      </c>
      <c r="I157" s="2087"/>
      <c r="J157" s="1187" t="s">
        <v>3123</v>
      </c>
    </row>
    <row r="158" spans="1:10" ht="15" customHeight="1" x14ac:dyDescent="0.2">
      <c r="A158" s="2102"/>
      <c r="B158" s="2116"/>
      <c r="C158" s="2117"/>
      <c r="D158" s="576">
        <v>150</v>
      </c>
      <c r="E158" s="576">
        <v>150</v>
      </c>
      <c r="F158" s="576">
        <v>750</v>
      </c>
      <c r="G158" s="625">
        <v>2370</v>
      </c>
      <c r="H158" s="576">
        <v>150</v>
      </c>
      <c r="I158" s="2087"/>
      <c r="J158" s="1185" t="s">
        <v>3124</v>
      </c>
    </row>
    <row r="159" spans="1:10" ht="15" customHeight="1" x14ac:dyDescent="0.2">
      <c r="A159" s="625" t="s">
        <v>3125</v>
      </c>
      <c r="B159" s="2109" t="s">
        <v>2997</v>
      </c>
      <c r="C159" s="2110"/>
      <c r="D159" s="253">
        <f>D160+D162</f>
        <v>6119</v>
      </c>
      <c r="E159" s="253">
        <f t="shared" ref="E159:H159" si="33">E160+E162</f>
        <v>5246</v>
      </c>
      <c r="F159" s="253">
        <f t="shared" si="33"/>
        <v>7395</v>
      </c>
      <c r="G159" s="253"/>
      <c r="H159" s="253">
        <f t="shared" si="33"/>
        <v>6271</v>
      </c>
      <c r="I159" s="541"/>
      <c r="J159" s="254"/>
    </row>
    <row r="160" spans="1:10" ht="12" customHeight="1" x14ac:dyDescent="0.2">
      <c r="A160" s="1879" t="s">
        <v>3126</v>
      </c>
      <c r="B160" s="1799" t="s">
        <v>2999</v>
      </c>
      <c r="C160" s="1800"/>
      <c r="D160" s="253">
        <f>SUM(D161:D161)</f>
        <v>525</v>
      </c>
      <c r="E160" s="253">
        <f t="shared" ref="E160:H160" si="34">SUM(E161:E161)</f>
        <v>508</v>
      </c>
      <c r="F160" s="253">
        <f t="shared" si="34"/>
        <v>675</v>
      </c>
      <c r="G160" s="253"/>
      <c r="H160" s="253">
        <f t="shared" si="34"/>
        <v>675</v>
      </c>
      <c r="I160" s="2118" t="s">
        <v>3000</v>
      </c>
      <c r="J160" s="625" t="s">
        <v>3058</v>
      </c>
    </row>
    <row r="161" spans="1:10" ht="15" customHeight="1" x14ac:dyDescent="0.2">
      <c r="A161" s="1879"/>
      <c r="B161" s="1801"/>
      <c r="C161" s="1802"/>
      <c r="D161" s="541">
        <v>525</v>
      </c>
      <c r="E161" s="541">
        <v>508</v>
      </c>
      <c r="F161" s="541">
        <v>675</v>
      </c>
      <c r="G161" s="625">
        <v>2363</v>
      </c>
      <c r="H161" s="541">
        <v>675</v>
      </c>
      <c r="I161" s="2118"/>
      <c r="J161" s="254" t="s">
        <v>3127</v>
      </c>
    </row>
    <row r="162" spans="1:10" ht="18" customHeight="1" x14ac:dyDescent="0.2">
      <c r="A162" s="1879" t="s">
        <v>3128</v>
      </c>
      <c r="B162" s="1799" t="s">
        <v>3004</v>
      </c>
      <c r="C162" s="1800"/>
      <c r="D162" s="253">
        <f>SUM(D163:D167)</f>
        <v>5594</v>
      </c>
      <c r="E162" s="253">
        <f t="shared" ref="E162:H162" si="35">SUM(E163:E167)</f>
        <v>4738</v>
      </c>
      <c r="F162" s="253">
        <f>SUM(F163:F167)</f>
        <v>6720</v>
      </c>
      <c r="G162" s="253"/>
      <c r="H162" s="253">
        <f t="shared" si="35"/>
        <v>5596</v>
      </c>
      <c r="I162" s="541"/>
      <c r="J162" s="625" t="s">
        <v>3129</v>
      </c>
    </row>
    <row r="163" spans="1:10" ht="18" customHeight="1" x14ac:dyDescent="0.2">
      <c r="A163" s="1879"/>
      <c r="B163" s="1889"/>
      <c r="C163" s="1890"/>
      <c r="D163" s="741">
        <v>84</v>
      </c>
      <c r="E163" s="741">
        <v>72</v>
      </c>
      <c r="F163" s="741">
        <v>120</v>
      </c>
      <c r="G163" s="625">
        <v>2111</v>
      </c>
      <c r="H163" s="541">
        <v>96</v>
      </c>
      <c r="I163" s="1969" t="s">
        <v>3000</v>
      </c>
      <c r="J163" s="617" t="s">
        <v>3130</v>
      </c>
    </row>
    <row r="164" spans="1:10" ht="18" customHeight="1" x14ac:dyDescent="0.2">
      <c r="A164" s="1879"/>
      <c r="B164" s="1889"/>
      <c r="C164" s="1890"/>
      <c r="D164" s="741">
        <v>3640</v>
      </c>
      <c r="E164" s="741">
        <v>3190</v>
      </c>
      <c r="F164" s="741">
        <v>3640</v>
      </c>
      <c r="G164" s="625">
        <v>2235</v>
      </c>
      <c r="H164" s="541">
        <v>3120</v>
      </c>
      <c r="I164" s="1969"/>
      <c r="J164" s="617" t="s">
        <v>3131</v>
      </c>
    </row>
    <row r="165" spans="1:10" ht="18" customHeight="1" x14ac:dyDescent="0.2">
      <c r="A165" s="1879"/>
      <c r="B165" s="1889"/>
      <c r="C165" s="1890"/>
      <c r="D165" s="601">
        <v>350</v>
      </c>
      <c r="E165" s="601">
        <v>350</v>
      </c>
      <c r="F165" s="601">
        <v>600</v>
      </c>
      <c r="G165" s="625">
        <v>2235</v>
      </c>
      <c r="H165" s="541">
        <v>350</v>
      </c>
      <c r="I165" s="1969"/>
      <c r="J165" s="1177" t="s">
        <v>3132</v>
      </c>
    </row>
    <row r="166" spans="1:10" ht="18" customHeight="1" x14ac:dyDescent="0.2">
      <c r="A166" s="1879"/>
      <c r="B166" s="1889"/>
      <c r="C166" s="1890"/>
      <c r="D166" s="601">
        <v>50</v>
      </c>
      <c r="E166" s="601">
        <v>50</v>
      </c>
      <c r="F166" s="601">
        <v>50</v>
      </c>
      <c r="G166" s="625">
        <v>2341</v>
      </c>
      <c r="H166" s="541">
        <v>50</v>
      </c>
      <c r="I166" s="1969"/>
      <c r="J166" s="1047" t="s">
        <v>3010</v>
      </c>
    </row>
    <row r="167" spans="1:10" ht="18" customHeight="1" x14ac:dyDescent="0.2">
      <c r="A167" s="1879"/>
      <c r="B167" s="1801"/>
      <c r="C167" s="1802"/>
      <c r="D167" s="416">
        <v>1470</v>
      </c>
      <c r="E167" s="416">
        <v>1076</v>
      </c>
      <c r="F167" s="416">
        <v>2310</v>
      </c>
      <c r="G167" s="625">
        <v>2363</v>
      </c>
      <c r="H167" s="541">
        <v>1980</v>
      </c>
      <c r="I167" s="1969"/>
      <c r="J167" s="1156" t="s">
        <v>3133</v>
      </c>
    </row>
    <row r="168" spans="1:10" ht="15" customHeight="1" x14ac:dyDescent="0.2">
      <c r="A168" s="1175">
        <v>8</v>
      </c>
      <c r="B168" s="1967" t="s">
        <v>3134</v>
      </c>
      <c r="C168" s="1968"/>
      <c r="D168" s="253">
        <f>SUM(D169+D174+D179)</f>
        <v>16760</v>
      </c>
      <c r="E168" s="253">
        <f t="shared" ref="E168:H168" si="36">SUM(E169+E174+E179)</f>
        <v>16321</v>
      </c>
      <c r="F168" s="253">
        <f t="shared" si="36"/>
        <v>28840</v>
      </c>
      <c r="G168" s="253"/>
      <c r="H168" s="253">
        <f t="shared" si="36"/>
        <v>18690</v>
      </c>
      <c r="I168" s="253"/>
      <c r="J168" s="1176" t="s">
        <v>3135</v>
      </c>
    </row>
    <row r="169" spans="1:10" ht="16.5" customHeight="1" x14ac:dyDescent="0.2">
      <c r="A169" s="2102" t="s">
        <v>3136</v>
      </c>
      <c r="B169" s="2112" t="s">
        <v>3025</v>
      </c>
      <c r="C169" s="2113"/>
      <c r="D169" s="253">
        <f>SUM(D170:D173)</f>
        <v>6260</v>
      </c>
      <c r="E169" s="253">
        <f t="shared" ref="E169:H169" si="37">SUM(E170:E173)</f>
        <v>6841</v>
      </c>
      <c r="F169" s="253">
        <f t="shared" si="37"/>
        <v>6920</v>
      </c>
      <c r="G169" s="253"/>
      <c r="H169" s="253">
        <f t="shared" si="37"/>
        <v>6920</v>
      </c>
      <c r="I169" s="1969" t="s">
        <v>3074</v>
      </c>
      <c r="J169" s="625" t="s">
        <v>3137</v>
      </c>
    </row>
    <row r="170" spans="1:10" ht="16.5" customHeight="1" x14ac:dyDescent="0.2">
      <c r="A170" s="2102"/>
      <c r="B170" s="2114"/>
      <c r="C170" s="2115"/>
      <c r="D170" s="541">
        <v>1440</v>
      </c>
      <c r="E170" s="541">
        <v>1440</v>
      </c>
      <c r="F170" s="541">
        <v>1440</v>
      </c>
      <c r="G170" s="625">
        <v>2235</v>
      </c>
      <c r="H170" s="541">
        <v>1440</v>
      </c>
      <c r="I170" s="1969"/>
      <c r="J170" s="254" t="s">
        <v>3138</v>
      </c>
    </row>
    <row r="171" spans="1:10" ht="16.5" customHeight="1" x14ac:dyDescent="0.2">
      <c r="A171" s="2102"/>
      <c r="B171" s="2114"/>
      <c r="C171" s="2115"/>
      <c r="D171" s="541">
        <v>1280</v>
      </c>
      <c r="E171" s="541">
        <v>1861</v>
      </c>
      <c r="F171" s="541">
        <v>1500</v>
      </c>
      <c r="G171" s="625">
        <v>2235</v>
      </c>
      <c r="H171" s="541">
        <v>1500</v>
      </c>
      <c r="I171" s="1969"/>
      <c r="J171" s="254" t="s">
        <v>3139</v>
      </c>
    </row>
    <row r="172" spans="1:10" ht="16.5" customHeight="1" x14ac:dyDescent="0.2">
      <c r="A172" s="2102"/>
      <c r="B172" s="2114"/>
      <c r="C172" s="2115"/>
      <c r="D172" s="541">
        <v>2000</v>
      </c>
      <c r="E172" s="541">
        <v>2000</v>
      </c>
      <c r="F172" s="541">
        <v>2000</v>
      </c>
      <c r="G172" s="625">
        <v>2231</v>
      </c>
      <c r="H172" s="541">
        <v>2000</v>
      </c>
      <c r="I172" s="1969"/>
      <c r="J172" s="254" t="s">
        <v>3140</v>
      </c>
    </row>
    <row r="173" spans="1:10" ht="16.5" customHeight="1" x14ac:dyDescent="0.2">
      <c r="A173" s="2102"/>
      <c r="B173" s="2116"/>
      <c r="C173" s="2117"/>
      <c r="D173" s="541">
        <v>1540</v>
      </c>
      <c r="E173" s="541">
        <v>1540</v>
      </c>
      <c r="F173" s="541">
        <v>1980</v>
      </c>
      <c r="G173" s="625">
        <v>2363</v>
      </c>
      <c r="H173" s="541">
        <v>1980</v>
      </c>
      <c r="I173" s="1969"/>
      <c r="J173" s="254" t="s">
        <v>3141</v>
      </c>
    </row>
    <row r="174" spans="1:10" ht="17.25" customHeight="1" x14ac:dyDescent="0.2">
      <c r="A174" s="2102" t="s">
        <v>3142</v>
      </c>
      <c r="B174" s="2112" t="s">
        <v>3143</v>
      </c>
      <c r="C174" s="2113"/>
      <c r="D174" s="253">
        <f>SUM(D175:D178)</f>
        <v>2570</v>
      </c>
      <c r="E174" s="253">
        <f t="shared" ref="E174:H174" si="38">SUM(E175:E178)</f>
        <v>3830</v>
      </c>
      <c r="F174" s="253">
        <f>SUM(F175:F178)</f>
        <v>8570</v>
      </c>
      <c r="G174" s="253"/>
      <c r="H174" s="253">
        <f t="shared" si="38"/>
        <v>2570</v>
      </c>
      <c r="I174" s="541"/>
      <c r="J174" s="254"/>
    </row>
    <row r="175" spans="1:10" ht="17.25" customHeight="1" x14ac:dyDescent="0.2">
      <c r="A175" s="2102"/>
      <c r="B175" s="2114"/>
      <c r="C175" s="2115"/>
      <c r="D175" s="541">
        <v>50</v>
      </c>
      <c r="E175" s="541">
        <v>50</v>
      </c>
      <c r="F175" s="541">
        <v>50</v>
      </c>
      <c r="G175" s="625">
        <v>2341</v>
      </c>
      <c r="H175" s="541">
        <v>50</v>
      </c>
      <c r="I175" s="2087" t="s">
        <v>3038</v>
      </c>
      <c r="J175" s="254" t="s">
        <v>2994</v>
      </c>
    </row>
    <row r="176" spans="1:10" ht="17.25" customHeight="1" x14ac:dyDescent="0.2">
      <c r="A176" s="2102"/>
      <c r="B176" s="2114"/>
      <c r="C176" s="2115"/>
      <c r="D176" s="541">
        <v>1050</v>
      </c>
      <c r="E176" s="541">
        <v>2310</v>
      </c>
      <c r="F176" s="541">
        <v>1050</v>
      </c>
      <c r="G176" s="625">
        <v>2361</v>
      </c>
      <c r="H176" s="541">
        <v>1050</v>
      </c>
      <c r="I176" s="2087"/>
      <c r="J176" s="617" t="s">
        <v>3144</v>
      </c>
    </row>
    <row r="177" spans="1:10" ht="17.25" customHeight="1" x14ac:dyDescent="0.2">
      <c r="A177" s="2102"/>
      <c r="B177" s="2114"/>
      <c r="C177" s="2115"/>
      <c r="D177" s="541">
        <v>1470</v>
      </c>
      <c r="E177" s="541">
        <v>1470</v>
      </c>
      <c r="F177" s="541">
        <v>1470</v>
      </c>
      <c r="G177" s="625">
        <v>2370</v>
      </c>
      <c r="H177" s="541">
        <v>1470</v>
      </c>
      <c r="I177" s="2087"/>
      <c r="J177" s="1047" t="s">
        <v>3145</v>
      </c>
    </row>
    <row r="178" spans="1:10" ht="17.25" hidden="1" customHeight="1" x14ac:dyDescent="0.2">
      <c r="A178" s="2102"/>
      <c r="B178" s="2116"/>
      <c r="C178" s="2117"/>
      <c r="D178" s="541">
        <v>0</v>
      </c>
      <c r="E178" s="541">
        <v>0</v>
      </c>
      <c r="F178" s="541">
        <v>6000</v>
      </c>
      <c r="G178" s="625">
        <v>5239</v>
      </c>
      <c r="H178" s="381">
        <v>0</v>
      </c>
      <c r="I178" s="2087"/>
      <c r="J178" s="1039" t="s">
        <v>3146</v>
      </c>
    </row>
    <row r="179" spans="1:10" ht="15" customHeight="1" x14ac:dyDescent="0.2">
      <c r="A179" s="625" t="s">
        <v>3147</v>
      </c>
      <c r="B179" s="2109" t="s">
        <v>2997</v>
      </c>
      <c r="C179" s="2110"/>
      <c r="D179" s="253">
        <f>D180+D183+D188</f>
        <v>7930</v>
      </c>
      <c r="E179" s="253">
        <f t="shared" ref="E179:H179" si="39">E180+E183+E188</f>
        <v>5650</v>
      </c>
      <c r="F179" s="253">
        <f t="shared" si="39"/>
        <v>13350</v>
      </c>
      <c r="G179" s="253"/>
      <c r="H179" s="253">
        <f t="shared" si="39"/>
        <v>9200</v>
      </c>
      <c r="I179" s="541"/>
      <c r="J179" s="254"/>
    </row>
    <row r="180" spans="1:10" ht="15" customHeight="1" x14ac:dyDescent="0.2">
      <c r="A180" s="1879" t="s">
        <v>3148</v>
      </c>
      <c r="B180" s="1799" t="s">
        <v>2999</v>
      </c>
      <c r="C180" s="1800"/>
      <c r="D180" s="253">
        <f>SUM(D181:D182)</f>
        <v>2850</v>
      </c>
      <c r="E180" s="253">
        <f t="shared" ref="E180:H180" si="40">SUM(E181:E182)</f>
        <v>2850</v>
      </c>
      <c r="F180" s="253">
        <f t="shared" si="40"/>
        <v>4550</v>
      </c>
      <c r="G180" s="253"/>
      <c r="H180" s="253">
        <f t="shared" si="40"/>
        <v>3650</v>
      </c>
      <c r="I180" s="1969" t="s">
        <v>3000</v>
      </c>
      <c r="J180" s="625" t="s">
        <v>3149</v>
      </c>
    </row>
    <row r="181" spans="1:10" ht="15" customHeight="1" x14ac:dyDescent="0.2">
      <c r="A181" s="1879"/>
      <c r="B181" s="1889"/>
      <c r="C181" s="1890"/>
      <c r="D181" s="1146">
        <v>50</v>
      </c>
      <c r="E181" s="1146">
        <v>50</v>
      </c>
      <c r="F181" s="1146">
        <v>50</v>
      </c>
      <c r="G181" s="625">
        <v>2341</v>
      </c>
      <c r="H181" s="1146">
        <v>50</v>
      </c>
      <c r="I181" s="1969"/>
      <c r="J181" s="254" t="s">
        <v>3010</v>
      </c>
    </row>
    <row r="182" spans="1:10" ht="15" customHeight="1" x14ac:dyDescent="0.2">
      <c r="A182" s="1879"/>
      <c r="B182" s="1801"/>
      <c r="C182" s="1802"/>
      <c r="D182" s="541">
        <v>2800</v>
      </c>
      <c r="E182" s="541">
        <v>2800</v>
      </c>
      <c r="F182" s="541">
        <v>4500</v>
      </c>
      <c r="G182" s="625">
        <v>2363</v>
      </c>
      <c r="H182" s="541">
        <v>3600</v>
      </c>
      <c r="I182" s="1969"/>
      <c r="J182" s="254" t="s">
        <v>3150</v>
      </c>
    </row>
    <row r="183" spans="1:10" ht="16.5" hidden="1" customHeight="1" x14ac:dyDescent="0.2">
      <c r="A183" s="1879" t="s">
        <v>3151</v>
      </c>
      <c r="B183" s="1799" t="s">
        <v>3004</v>
      </c>
      <c r="C183" s="1800"/>
      <c r="D183" s="253">
        <f>SUM(D184:D187)</f>
        <v>5080</v>
      </c>
      <c r="E183" s="253">
        <f>SUM(E184:E187)</f>
        <v>2800</v>
      </c>
      <c r="F183" s="253">
        <f>SUM(F184:F187)</f>
        <v>0</v>
      </c>
      <c r="G183" s="253"/>
      <c r="H183" s="253">
        <f>SUM(H184:H187)</f>
        <v>0</v>
      </c>
      <c r="I183" s="541"/>
      <c r="J183" s="625" t="s">
        <v>3152</v>
      </c>
    </row>
    <row r="184" spans="1:10" ht="16.5" hidden="1" customHeight="1" x14ac:dyDescent="0.2">
      <c r="A184" s="1879"/>
      <c r="B184" s="1889"/>
      <c r="C184" s="1890"/>
      <c r="D184" s="741">
        <v>180</v>
      </c>
      <c r="E184" s="741">
        <v>0</v>
      </c>
      <c r="F184" s="741">
        <v>0</v>
      </c>
      <c r="G184" s="625">
        <v>2111</v>
      </c>
      <c r="H184" s="541">
        <v>0</v>
      </c>
      <c r="I184" s="1969" t="s">
        <v>3000</v>
      </c>
      <c r="J184" s="617" t="s">
        <v>3153</v>
      </c>
    </row>
    <row r="185" spans="1:10" ht="16.5" hidden="1" customHeight="1" x14ac:dyDescent="0.2">
      <c r="A185" s="1879"/>
      <c r="B185" s="1889"/>
      <c r="C185" s="1890"/>
      <c r="D185" s="741">
        <v>2400</v>
      </c>
      <c r="E185" s="741">
        <v>300</v>
      </c>
      <c r="F185" s="741">
        <v>0</v>
      </c>
      <c r="G185" s="625">
        <v>2235</v>
      </c>
      <c r="H185" s="541">
        <v>0</v>
      </c>
      <c r="I185" s="1969"/>
      <c r="J185" s="617" t="s">
        <v>3154</v>
      </c>
    </row>
    <row r="186" spans="1:10" ht="16.5" hidden="1" customHeight="1" x14ac:dyDescent="0.2">
      <c r="A186" s="1879"/>
      <c r="B186" s="1889"/>
      <c r="C186" s="1890"/>
      <c r="D186" s="601">
        <v>400</v>
      </c>
      <c r="E186" s="601">
        <v>400</v>
      </c>
      <c r="F186" s="601">
        <v>0</v>
      </c>
      <c r="G186" s="625">
        <v>2235</v>
      </c>
      <c r="H186" s="541">
        <v>0</v>
      </c>
      <c r="I186" s="1969"/>
      <c r="J186" s="1047" t="s">
        <v>3155</v>
      </c>
    </row>
    <row r="187" spans="1:10" ht="16.5" hidden="1" customHeight="1" x14ac:dyDescent="0.2">
      <c r="A187" s="1879"/>
      <c r="B187" s="1801"/>
      <c r="C187" s="1802"/>
      <c r="D187" s="416">
        <v>2100</v>
      </c>
      <c r="E187" s="416">
        <v>2100</v>
      </c>
      <c r="F187" s="416">
        <v>0</v>
      </c>
      <c r="G187" s="625">
        <v>2363</v>
      </c>
      <c r="H187" s="541">
        <v>0</v>
      </c>
      <c r="I187" s="1969"/>
      <c r="J187" s="1047" t="s">
        <v>3156</v>
      </c>
    </row>
    <row r="188" spans="1:10" ht="17.25" customHeight="1" x14ac:dyDescent="0.2">
      <c r="A188" s="1879" t="s">
        <v>3151</v>
      </c>
      <c r="B188" s="1741" t="s">
        <v>3157</v>
      </c>
      <c r="C188" s="1742"/>
      <c r="D188" s="253">
        <f>SUM(D189:D192)</f>
        <v>0</v>
      </c>
      <c r="E188" s="253">
        <f>SUM(E189:E192)</f>
        <v>0</v>
      </c>
      <c r="F188" s="253">
        <f>SUM(F189:F192)</f>
        <v>8800</v>
      </c>
      <c r="G188" s="253"/>
      <c r="H188" s="253">
        <f>SUM(H189:H192)</f>
        <v>5550</v>
      </c>
      <c r="I188" s="541"/>
      <c r="J188" s="625" t="s">
        <v>3152</v>
      </c>
    </row>
    <row r="189" spans="1:10" ht="17.25" customHeight="1" x14ac:dyDescent="0.2">
      <c r="A189" s="1879"/>
      <c r="B189" s="1743"/>
      <c r="C189" s="1744"/>
      <c r="D189" s="741">
        <v>0</v>
      </c>
      <c r="E189" s="741">
        <v>0</v>
      </c>
      <c r="F189" s="741">
        <v>300</v>
      </c>
      <c r="G189" s="625">
        <v>2111</v>
      </c>
      <c r="H189" s="381">
        <v>200</v>
      </c>
      <c r="I189" s="1969" t="s">
        <v>3000</v>
      </c>
      <c r="J189" s="1180" t="s">
        <v>3153</v>
      </c>
    </row>
    <row r="190" spans="1:10" ht="17.25" customHeight="1" x14ac:dyDescent="0.2">
      <c r="A190" s="1879"/>
      <c r="B190" s="1743"/>
      <c r="C190" s="1744"/>
      <c r="D190" s="741">
        <v>0</v>
      </c>
      <c r="E190" s="741">
        <v>0</v>
      </c>
      <c r="F190" s="741">
        <v>2400</v>
      </c>
      <c r="G190" s="625">
        <v>2235</v>
      </c>
      <c r="H190" s="541">
        <v>2000</v>
      </c>
      <c r="I190" s="1969"/>
      <c r="J190" s="617" t="s">
        <v>3154</v>
      </c>
    </row>
    <row r="191" spans="1:10" ht="17.25" customHeight="1" x14ac:dyDescent="0.2">
      <c r="A191" s="1879"/>
      <c r="B191" s="1743"/>
      <c r="C191" s="1744"/>
      <c r="D191" s="601">
        <v>0</v>
      </c>
      <c r="E191" s="601">
        <v>0</v>
      </c>
      <c r="F191" s="601">
        <v>600</v>
      </c>
      <c r="G191" s="625">
        <v>2235</v>
      </c>
      <c r="H191" s="541">
        <v>600</v>
      </c>
      <c r="I191" s="1969"/>
      <c r="J191" s="1047" t="s">
        <v>3158</v>
      </c>
    </row>
    <row r="192" spans="1:10" ht="17.25" customHeight="1" x14ac:dyDescent="0.2">
      <c r="A192" s="1879"/>
      <c r="B192" s="1745"/>
      <c r="C192" s="1746"/>
      <c r="D192" s="416">
        <v>0</v>
      </c>
      <c r="E192" s="416">
        <v>0</v>
      </c>
      <c r="F192" s="416">
        <v>5500</v>
      </c>
      <c r="G192" s="625">
        <v>2363</v>
      </c>
      <c r="H192" s="541">
        <v>2750</v>
      </c>
      <c r="I192" s="1969"/>
      <c r="J192" s="1047" t="s">
        <v>3159</v>
      </c>
    </row>
    <row r="193" spans="1:10" ht="15" customHeight="1" x14ac:dyDescent="0.2">
      <c r="A193" s="1175">
        <v>9</v>
      </c>
      <c r="B193" s="1967" t="s">
        <v>3160</v>
      </c>
      <c r="C193" s="1968"/>
      <c r="D193" s="253">
        <f>SUM(D194+D199+D204)</f>
        <v>28018</v>
      </c>
      <c r="E193" s="253">
        <f t="shared" ref="E193:H193" si="41">SUM(E194+E199+E204)</f>
        <v>30469</v>
      </c>
      <c r="F193" s="253">
        <f t="shared" si="41"/>
        <v>30173</v>
      </c>
      <c r="G193" s="253"/>
      <c r="H193" s="253">
        <f t="shared" si="41"/>
        <v>22113</v>
      </c>
      <c r="I193" s="253"/>
      <c r="J193" s="1176" t="s">
        <v>3161</v>
      </c>
    </row>
    <row r="194" spans="1:10" ht="17.25" customHeight="1" x14ac:dyDescent="0.2">
      <c r="A194" s="2102" t="s">
        <v>3162</v>
      </c>
      <c r="B194" s="2112" t="s">
        <v>3025</v>
      </c>
      <c r="C194" s="2113"/>
      <c r="D194" s="253">
        <f>SUM(D195:D198)</f>
        <v>12450</v>
      </c>
      <c r="E194" s="253">
        <f>SUM(E195:E198)</f>
        <v>17192</v>
      </c>
      <c r="F194" s="253">
        <f>SUM(F195:F198)</f>
        <v>15413</v>
      </c>
      <c r="G194" s="253"/>
      <c r="H194" s="253">
        <f>SUM(H195:H198)</f>
        <v>15413</v>
      </c>
      <c r="I194" s="541"/>
      <c r="J194" s="625" t="s">
        <v>3163</v>
      </c>
    </row>
    <row r="195" spans="1:10" ht="17.25" customHeight="1" x14ac:dyDescent="0.2">
      <c r="A195" s="2102"/>
      <c r="B195" s="2114"/>
      <c r="C195" s="2115"/>
      <c r="D195" s="541">
        <v>1200</v>
      </c>
      <c r="E195" s="541">
        <v>1328</v>
      </c>
      <c r="F195" s="541">
        <v>1200</v>
      </c>
      <c r="G195" s="625">
        <v>2235</v>
      </c>
      <c r="H195" s="541">
        <v>1200</v>
      </c>
      <c r="I195" s="1969" t="s">
        <v>3026</v>
      </c>
      <c r="J195" s="254" t="s">
        <v>3164</v>
      </c>
    </row>
    <row r="196" spans="1:10" ht="17.25" customHeight="1" x14ac:dyDescent="0.2">
      <c r="A196" s="2102"/>
      <c r="B196" s="2114"/>
      <c r="C196" s="2115"/>
      <c r="D196" s="541">
        <v>4680</v>
      </c>
      <c r="E196" s="541">
        <v>7515</v>
      </c>
      <c r="F196" s="541">
        <v>7500</v>
      </c>
      <c r="G196" s="625">
        <v>2235</v>
      </c>
      <c r="H196" s="541">
        <v>7500</v>
      </c>
      <c r="I196" s="1969"/>
      <c r="J196" s="254" t="s">
        <v>3165</v>
      </c>
    </row>
    <row r="197" spans="1:10" ht="17.25" customHeight="1" x14ac:dyDescent="0.2">
      <c r="A197" s="2102"/>
      <c r="B197" s="2114"/>
      <c r="C197" s="2115"/>
      <c r="D197" s="541">
        <v>4855</v>
      </c>
      <c r="E197" s="541">
        <v>6237</v>
      </c>
      <c r="F197" s="541">
        <v>5000</v>
      </c>
      <c r="G197" s="625">
        <v>2231</v>
      </c>
      <c r="H197" s="541">
        <v>5000</v>
      </c>
      <c r="I197" s="1969"/>
      <c r="J197" s="254" t="s">
        <v>3166</v>
      </c>
    </row>
    <row r="198" spans="1:10" ht="17.25" customHeight="1" x14ac:dyDescent="0.2">
      <c r="A198" s="2102"/>
      <c r="B198" s="2116"/>
      <c r="C198" s="2117"/>
      <c r="D198" s="541">
        <v>1715</v>
      </c>
      <c r="E198" s="541">
        <v>2112</v>
      </c>
      <c r="F198" s="541">
        <v>1713</v>
      </c>
      <c r="G198" s="625">
        <v>2363</v>
      </c>
      <c r="H198" s="541">
        <v>1713</v>
      </c>
      <c r="I198" s="1969"/>
      <c r="J198" s="254" t="s">
        <v>3167</v>
      </c>
    </row>
    <row r="199" spans="1:10" ht="15" customHeight="1" x14ac:dyDescent="0.2">
      <c r="A199" s="2102" t="s">
        <v>3168</v>
      </c>
      <c r="B199" s="2112" t="s">
        <v>3169</v>
      </c>
      <c r="C199" s="2113"/>
      <c r="D199" s="253">
        <f>SUM(D200:D203)</f>
        <v>2140</v>
      </c>
      <c r="E199" s="253">
        <f t="shared" ref="E199" si="42">SUM(E200:E203)</f>
        <v>2140</v>
      </c>
      <c r="F199" s="253">
        <f>SUM(F200:F203)</f>
        <v>6640</v>
      </c>
      <c r="G199" s="253"/>
      <c r="H199" s="253">
        <f>SUM(H200:H203)</f>
        <v>1400</v>
      </c>
      <c r="I199" s="541"/>
      <c r="J199" s="254"/>
    </row>
    <row r="200" spans="1:10" ht="15" customHeight="1" x14ac:dyDescent="0.2">
      <c r="A200" s="2102"/>
      <c r="B200" s="2114"/>
      <c r="C200" s="2115"/>
      <c r="D200" s="541">
        <v>100</v>
      </c>
      <c r="E200" s="541">
        <v>100</v>
      </c>
      <c r="F200" s="541">
        <v>100</v>
      </c>
      <c r="G200" s="625">
        <v>2341</v>
      </c>
      <c r="H200" s="541">
        <v>100</v>
      </c>
      <c r="I200" s="2087" t="s">
        <v>3038</v>
      </c>
      <c r="J200" s="254" t="s">
        <v>3170</v>
      </c>
    </row>
    <row r="201" spans="1:10" ht="15" customHeight="1" x14ac:dyDescent="0.2">
      <c r="A201" s="2102"/>
      <c r="B201" s="2114"/>
      <c r="C201" s="2115"/>
      <c r="D201" s="576">
        <v>1200</v>
      </c>
      <c r="E201" s="576">
        <v>1200</v>
      </c>
      <c r="F201" s="576">
        <v>1200</v>
      </c>
      <c r="G201" s="625">
        <v>2361</v>
      </c>
      <c r="H201" s="576">
        <v>1000</v>
      </c>
      <c r="I201" s="2087"/>
      <c r="J201" s="1184" t="s">
        <v>3171</v>
      </c>
    </row>
    <row r="202" spans="1:10" ht="15" customHeight="1" x14ac:dyDescent="0.2">
      <c r="A202" s="2102"/>
      <c r="B202" s="2114"/>
      <c r="C202" s="2115"/>
      <c r="D202" s="576">
        <v>840</v>
      </c>
      <c r="E202" s="576">
        <v>840</v>
      </c>
      <c r="F202" s="576">
        <v>840</v>
      </c>
      <c r="G202" s="625">
        <v>2370</v>
      </c>
      <c r="H202" s="576">
        <v>300</v>
      </c>
      <c r="I202" s="2087"/>
      <c r="J202" s="1184" t="s">
        <v>3172</v>
      </c>
    </row>
    <row r="203" spans="1:10" ht="15" hidden="1" customHeight="1" x14ac:dyDescent="0.2">
      <c r="A203" s="2102"/>
      <c r="B203" s="2116"/>
      <c r="C203" s="2117"/>
      <c r="D203" s="576">
        <v>0</v>
      </c>
      <c r="E203" s="576">
        <v>0</v>
      </c>
      <c r="F203" s="576">
        <v>4500</v>
      </c>
      <c r="G203" s="625">
        <v>5239</v>
      </c>
      <c r="H203" s="1188">
        <v>0</v>
      </c>
      <c r="I203" s="2087"/>
      <c r="J203" s="1189" t="s">
        <v>3173</v>
      </c>
    </row>
    <row r="204" spans="1:10" ht="15" customHeight="1" x14ac:dyDescent="0.2">
      <c r="A204" s="625" t="s">
        <v>3174</v>
      </c>
      <c r="B204" s="2109" t="s">
        <v>2997</v>
      </c>
      <c r="C204" s="2110"/>
      <c r="D204" s="253">
        <f>D205+D209+D213+D217+D224</f>
        <v>13428</v>
      </c>
      <c r="E204" s="253">
        <f t="shared" ref="E204:H204" si="43">E205+E209+E213+E217+E224</f>
        <v>11137</v>
      </c>
      <c r="F204" s="253">
        <f t="shared" si="43"/>
        <v>8120</v>
      </c>
      <c r="G204" s="253"/>
      <c r="H204" s="253">
        <f t="shared" si="43"/>
        <v>5300</v>
      </c>
      <c r="I204" s="541"/>
      <c r="J204" s="254"/>
    </row>
    <row r="205" spans="1:10" ht="15" hidden="1" customHeight="1" x14ac:dyDescent="0.2">
      <c r="A205" s="1879" t="s">
        <v>3175</v>
      </c>
      <c r="B205" s="1799" t="s">
        <v>3176</v>
      </c>
      <c r="C205" s="1800"/>
      <c r="D205" s="253">
        <f>SUM(D206:D208)</f>
        <v>3160</v>
      </c>
      <c r="E205" s="253">
        <f>SUM(E206:E208)</f>
        <v>2800</v>
      </c>
      <c r="F205" s="253">
        <f>SUM(F206:F208)</f>
        <v>0</v>
      </c>
      <c r="G205" s="253"/>
      <c r="H205" s="253">
        <f>SUM(H206:H208)</f>
        <v>0</v>
      </c>
      <c r="I205" s="541"/>
      <c r="J205" s="625" t="s">
        <v>3177</v>
      </c>
    </row>
    <row r="206" spans="1:10" ht="15" hidden="1" customHeight="1" x14ac:dyDescent="0.2">
      <c r="A206" s="1879"/>
      <c r="B206" s="1889"/>
      <c r="C206" s="1890"/>
      <c r="D206" s="601">
        <v>200</v>
      </c>
      <c r="E206" s="601">
        <v>0</v>
      </c>
      <c r="F206" s="601">
        <v>0</v>
      </c>
      <c r="G206" s="625">
        <v>2233</v>
      </c>
      <c r="H206" s="541">
        <v>0</v>
      </c>
      <c r="I206" s="1969" t="s">
        <v>3000</v>
      </c>
      <c r="J206" s="1047"/>
    </row>
    <row r="207" spans="1:10" ht="15" hidden="1" customHeight="1" x14ac:dyDescent="0.2">
      <c r="A207" s="1879"/>
      <c r="B207" s="1889"/>
      <c r="C207" s="1890"/>
      <c r="D207" s="601">
        <v>160</v>
      </c>
      <c r="E207" s="601">
        <v>0</v>
      </c>
      <c r="F207" s="601">
        <v>0</v>
      </c>
      <c r="G207" s="625">
        <v>2279</v>
      </c>
      <c r="H207" s="541">
        <v>0</v>
      </c>
      <c r="I207" s="1969"/>
      <c r="J207" s="1047"/>
    </row>
    <row r="208" spans="1:10" ht="15" hidden="1" customHeight="1" x14ac:dyDescent="0.2">
      <c r="A208" s="1879"/>
      <c r="B208" s="1801"/>
      <c r="C208" s="1802"/>
      <c r="D208" s="416">
        <v>2800</v>
      </c>
      <c r="E208" s="416">
        <v>2800</v>
      </c>
      <c r="F208" s="416">
        <v>0</v>
      </c>
      <c r="G208" s="625">
        <v>2363</v>
      </c>
      <c r="H208" s="541">
        <v>0</v>
      </c>
      <c r="I208" s="1969"/>
      <c r="J208" s="1176"/>
    </row>
    <row r="209" spans="1:10" ht="15" hidden="1" customHeight="1" x14ac:dyDescent="0.2">
      <c r="A209" s="1879" t="s">
        <v>3178</v>
      </c>
      <c r="B209" s="1799" t="s">
        <v>3179</v>
      </c>
      <c r="C209" s="1800"/>
      <c r="D209" s="253">
        <f>SUM(D210:D212)</f>
        <v>3160</v>
      </c>
      <c r="E209" s="253">
        <f>SUM(E210:E212)</f>
        <v>1587</v>
      </c>
      <c r="F209" s="253">
        <f>SUM(F210:F212)</f>
        <v>0</v>
      </c>
      <c r="G209" s="253"/>
      <c r="H209" s="253">
        <f>SUM(H210:H212)</f>
        <v>0</v>
      </c>
      <c r="I209" s="541"/>
      <c r="J209" s="625" t="s">
        <v>3177</v>
      </c>
    </row>
    <row r="210" spans="1:10" ht="15" hidden="1" customHeight="1" x14ac:dyDescent="0.2">
      <c r="A210" s="1879"/>
      <c r="B210" s="1889"/>
      <c r="C210" s="1890"/>
      <c r="D210" s="601">
        <v>200</v>
      </c>
      <c r="E210" s="601">
        <v>152</v>
      </c>
      <c r="F210" s="601">
        <v>0</v>
      </c>
      <c r="G210" s="625">
        <v>2233</v>
      </c>
      <c r="H210" s="541">
        <v>0</v>
      </c>
      <c r="I210" s="1969" t="s">
        <v>3000</v>
      </c>
      <c r="J210" s="1047"/>
    </row>
    <row r="211" spans="1:10" ht="15" hidden="1" customHeight="1" x14ac:dyDescent="0.2">
      <c r="A211" s="1879"/>
      <c r="B211" s="1889"/>
      <c r="C211" s="1890"/>
      <c r="D211" s="601">
        <v>160</v>
      </c>
      <c r="E211" s="601">
        <v>0</v>
      </c>
      <c r="F211" s="601">
        <v>0</v>
      </c>
      <c r="G211" s="625">
        <v>2279</v>
      </c>
      <c r="H211" s="541">
        <v>0</v>
      </c>
      <c r="I211" s="1969"/>
      <c r="J211" s="1047"/>
    </row>
    <row r="212" spans="1:10" ht="15" hidden="1" customHeight="1" x14ac:dyDescent="0.2">
      <c r="A212" s="1879"/>
      <c r="B212" s="1801"/>
      <c r="C212" s="1802"/>
      <c r="D212" s="416">
        <v>2800</v>
      </c>
      <c r="E212" s="416">
        <v>1435</v>
      </c>
      <c r="F212" s="416">
        <v>0</v>
      </c>
      <c r="G212" s="625">
        <v>2363</v>
      </c>
      <c r="H212" s="541">
        <v>0</v>
      </c>
      <c r="I212" s="1969"/>
      <c r="J212" s="1176"/>
    </row>
    <row r="213" spans="1:10" ht="13.5" customHeight="1" x14ac:dyDescent="0.2">
      <c r="A213" s="1879" t="s">
        <v>3184</v>
      </c>
      <c r="B213" s="1799" t="s">
        <v>2999</v>
      </c>
      <c r="C213" s="1800"/>
      <c r="D213" s="253">
        <f>SUM(D214:D216)</f>
        <v>0</v>
      </c>
      <c r="E213" s="253">
        <f>SUM(E214:E216)</f>
        <v>0</v>
      </c>
      <c r="F213" s="253">
        <f>SUM(F214:F216)</f>
        <v>8120</v>
      </c>
      <c r="G213" s="253"/>
      <c r="H213" s="253">
        <f>SUM(H214:H216)</f>
        <v>5300</v>
      </c>
      <c r="I213" s="1176"/>
      <c r="J213" s="1190" t="s">
        <v>3180</v>
      </c>
    </row>
    <row r="214" spans="1:10" ht="13.5" customHeight="1" x14ac:dyDescent="0.2">
      <c r="A214" s="1879"/>
      <c r="B214" s="1889"/>
      <c r="C214" s="1890"/>
      <c r="D214" s="1146">
        <v>0</v>
      </c>
      <c r="E214" s="1146">
        <v>0</v>
      </c>
      <c r="F214" s="1146">
        <v>600</v>
      </c>
      <c r="G214" s="625">
        <v>2235</v>
      </c>
      <c r="H214" s="1146">
        <v>600</v>
      </c>
      <c r="I214" s="1969" t="s">
        <v>3000</v>
      </c>
      <c r="J214" s="1047" t="s">
        <v>3181</v>
      </c>
    </row>
    <row r="215" spans="1:10" ht="13.5" customHeight="1" x14ac:dyDescent="0.2">
      <c r="A215" s="1879"/>
      <c r="B215" s="1889"/>
      <c r="C215" s="1890"/>
      <c r="D215" s="1146">
        <v>0</v>
      </c>
      <c r="E215" s="1146">
        <v>0</v>
      </c>
      <c r="F215" s="1146">
        <v>320</v>
      </c>
      <c r="G215" s="625">
        <v>2231</v>
      </c>
      <c r="H215" s="1146">
        <v>200</v>
      </c>
      <c r="I215" s="1969"/>
      <c r="J215" s="1047" t="s">
        <v>3182</v>
      </c>
    </row>
    <row r="216" spans="1:10" ht="13.5" customHeight="1" x14ac:dyDescent="0.2">
      <c r="A216" s="1879"/>
      <c r="B216" s="1801"/>
      <c r="C216" s="1802"/>
      <c r="D216" s="1146">
        <v>0</v>
      </c>
      <c r="E216" s="1146">
        <v>0</v>
      </c>
      <c r="F216" s="1146">
        <v>7200</v>
      </c>
      <c r="G216" s="625">
        <v>2363</v>
      </c>
      <c r="H216" s="1146">
        <v>4500</v>
      </c>
      <c r="I216" s="1969"/>
      <c r="J216" s="1156" t="s">
        <v>3183</v>
      </c>
    </row>
    <row r="217" spans="1:10" ht="12" hidden="1" customHeight="1" x14ac:dyDescent="0.2">
      <c r="A217" s="1879" t="s">
        <v>3184</v>
      </c>
      <c r="B217" s="1799" t="s">
        <v>3185</v>
      </c>
      <c r="C217" s="1800"/>
      <c r="D217" s="253">
        <f>SUM(D218:D223)</f>
        <v>3368</v>
      </c>
      <c r="E217" s="253">
        <f t="shared" ref="E217:H217" si="44">SUM(E218:E223)</f>
        <v>3184</v>
      </c>
      <c r="F217" s="253">
        <f t="shared" si="44"/>
        <v>0</v>
      </c>
      <c r="G217" s="253"/>
      <c r="H217" s="253">
        <f t="shared" si="44"/>
        <v>0</v>
      </c>
      <c r="I217" s="2101" t="s">
        <v>3186</v>
      </c>
      <c r="J217" s="625" t="s">
        <v>3187</v>
      </c>
    </row>
    <row r="218" spans="1:10" ht="15" hidden="1" customHeight="1" x14ac:dyDescent="0.2">
      <c r="A218" s="1879"/>
      <c r="B218" s="1889"/>
      <c r="C218" s="1890"/>
      <c r="D218" s="1146">
        <v>406</v>
      </c>
      <c r="E218" s="1146">
        <v>232</v>
      </c>
      <c r="F218" s="1146"/>
      <c r="G218" s="625">
        <v>2121</v>
      </c>
      <c r="H218" s="1146">
        <v>0</v>
      </c>
      <c r="I218" s="2101"/>
      <c r="J218" s="254"/>
    </row>
    <row r="219" spans="1:10" ht="15" hidden="1" customHeight="1" x14ac:dyDescent="0.2">
      <c r="A219" s="1879"/>
      <c r="B219" s="1889"/>
      <c r="C219" s="1890"/>
      <c r="D219" s="1146">
        <v>112</v>
      </c>
      <c r="E219" s="1146">
        <v>112</v>
      </c>
      <c r="F219" s="1146"/>
      <c r="G219" s="625">
        <v>2122</v>
      </c>
      <c r="H219" s="1146">
        <v>0</v>
      </c>
      <c r="I219" s="2101"/>
      <c r="J219" s="254"/>
    </row>
    <row r="220" spans="1:10" ht="15" hidden="1" customHeight="1" x14ac:dyDescent="0.2">
      <c r="A220" s="1879"/>
      <c r="B220" s="1889"/>
      <c r="C220" s="1890"/>
      <c r="D220" s="1146">
        <v>1120</v>
      </c>
      <c r="E220" s="1146">
        <v>1110</v>
      </c>
      <c r="F220" s="1146"/>
      <c r="G220" s="625">
        <v>2261</v>
      </c>
      <c r="H220" s="1146">
        <v>0</v>
      </c>
      <c r="I220" s="2101"/>
      <c r="J220" s="254"/>
    </row>
    <row r="221" spans="1:10" ht="15" hidden="1" customHeight="1" x14ac:dyDescent="0.2">
      <c r="A221" s="1879"/>
      <c r="B221" s="1889"/>
      <c r="C221" s="1890"/>
      <c r="D221" s="1146">
        <v>700</v>
      </c>
      <c r="E221" s="1146">
        <v>700</v>
      </c>
      <c r="F221" s="1146"/>
      <c r="G221" s="625">
        <v>2233</v>
      </c>
      <c r="H221" s="1146">
        <v>0</v>
      </c>
      <c r="I221" s="2101"/>
      <c r="J221" s="1047"/>
    </row>
    <row r="222" spans="1:10" ht="15" hidden="1" customHeight="1" x14ac:dyDescent="0.2">
      <c r="A222" s="1879"/>
      <c r="B222" s="1889"/>
      <c r="C222" s="1890"/>
      <c r="D222" s="1146">
        <v>50</v>
      </c>
      <c r="E222" s="1146">
        <v>50</v>
      </c>
      <c r="F222" s="1146"/>
      <c r="G222" s="625">
        <v>2341</v>
      </c>
      <c r="H222" s="1146">
        <v>0</v>
      </c>
      <c r="I222" s="2101"/>
      <c r="J222" s="254"/>
    </row>
    <row r="223" spans="1:10" ht="15" hidden="1" customHeight="1" x14ac:dyDescent="0.2">
      <c r="A223" s="1879"/>
      <c r="B223" s="1801"/>
      <c r="C223" s="1802"/>
      <c r="D223" s="541">
        <v>980</v>
      </c>
      <c r="E223" s="541">
        <v>980</v>
      </c>
      <c r="F223" s="541"/>
      <c r="G223" s="625">
        <v>2363</v>
      </c>
      <c r="H223" s="541">
        <v>0</v>
      </c>
      <c r="I223" s="2101"/>
      <c r="J223" s="254"/>
    </row>
    <row r="224" spans="1:10" ht="15" hidden="1" customHeight="1" x14ac:dyDescent="0.2">
      <c r="A224" s="1879" t="s">
        <v>3188</v>
      </c>
      <c r="B224" s="1799" t="s">
        <v>3189</v>
      </c>
      <c r="C224" s="1800"/>
      <c r="D224" s="253">
        <f>SUM(D225:D228)</f>
        <v>3740</v>
      </c>
      <c r="E224" s="253">
        <f>SUM(E225:E228)</f>
        <v>3566</v>
      </c>
      <c r="F224" s="253">
        <f>SUM(F225:F228)</f>
        <v>0</v>
      </c>
      <c r="G224" s="253"/>
      <c r="H224" s="253">
        <f>SUM(H225:H228)</f>
        <v>0</v>
      </c>
      <c r="I224" s="1176"/>
      <c r="J224" s="1190" t="s">
        <v>3187</v>
      </c>
    </row>
    <row r="225" spans="1:10" ht="15" hidden="1" customHeight="1" x14ac:dyDescent="0.2">
      <c r="A225" s="1879"/>
      <c r="B225" s="1889"/>
      <c r="C225" s="1890"/>
      <c r="D225" s="1146">
        <v>580</v>
      </c>
      <c r="E225" s="1146">
        <v>406</v>
      </c>
      <c r="F225" s="1146"/>
      <c r="G225" s="625">
        <v>2121</v>
      </c>
      <c r="H225" s="1146">
        <v>0</v>
      </c>
      <c r="I225" s="1864" t="s">
        <v>3186</v>
      </c>
      <c r="J225" s="254"/>
    </row>
    <row r="226" spans="1:10" ht="15" hidden="1" customHeight="1" x14ac:dyDescent="0.2">
      <c r="A226" s="1879"/>
      <c r="B226" s="1889"/>
      <c r="C226" s="1890"/>
      <c r="D226" s="1146">
        <v>160</v>
      </c>
      <c r="E226" s="1146">
        <v>160</v>
      </c>
      <c r="F226" s="1146"/>
      <c r="G226" s="625">
        <v>2122</v>
      </c>
      <c r="H226" s="1146">
        <v>0</v>
      </c>
      <c r="I226" s="1864"/>
      <c r="J226" s="254"/>
    </row>
    <row r="227" spans="1:10" ht="15" hidden="1" customHeight="1" x14ac:dyDescent="0.2">
      <c r="A227" s="1879"/>
      <c r="B227" s="1889"/>
      <c r="C227" s="1890"/>
      <c r="D227" s="1146">
        <v>1600</v>
      </c>
      <c r="E227" s="1146">
        <v>1600</v>
      </c>
      <c r="F227" s="1146"/>
      <c r="G227" s="625">
        <v>2261</v>
      </c>
      <c r="H227" s="1146">
        <v>0</v>
      </c>
      <c r="I227" s="1864"/>
      <c r="J227" s="254"/>
    </row>
    <row r="228" spans="1:10" ht="15" hidden="1" customHeight="1" x14ac:dyDescent="0.2">
      <c r="A228" s="1879"/>
      <c r="B228" s="1801"/>
      <c r="C228" s="1802"/>
      <c r="D228" s="541">
        <v>1400</v>
      </c>
      <c r="E228" s="541">
        <v>1400</v>
      </c>
      <c r="F228" s="541"/>
      <c r="G228" s="625">
        <v>2363</v>
      </c>
      <c r="H228" s="541">
        <v>0</v>
      </c>
      <c r="I228" s="1864"/>
      <c r="J228" s="1156"/>
    </row>
    <row r="229" spans="1:10" ht="15" customHeight="1" x14ac:dyDescent="0.2">
      <c r="A229" s="1175">
        <v>10</v>
      </c>
      <c r="B229" s="1967" t="s">
        <v>3190</v>
      </c>
      <c r="C229" s="1968"/>
      <c r="D229" s="253">
        <f>SUM(D230+D234+D238)</f>
        <v>5199</v>
      </c>
      <c r="E229" s="253">
        <f t="shared" ref="E229:H229" si="45">SUM(E230+E234+E238)</f>
        <v>3491</v>
      </c>
      <c r="F229" s="253">
        <f t="shared" si="45"/>
        <v>5110</v>
      </c>
      <c r="G229" s="253"/>
      <c r="H229" s="253">
        <f t="shared" si="45"/>
        <v>4735</v>
      </c>
      <c r="I229" s="253"/>
      <c r="J229" s="1176" t="s">
        <v>3191</v>
      </c>
    </row>
    <row r="230" spans="1:10" ht="15" customHeight="1" x14ac:dyDescent="0.2">
      <c r="A230" s="2102" t="s">
        <v>3192</v>
      </c>
      <c r="B230" s="2112" t="s">
        <v>3025</v>
      </c>
      <c r="C230" s="2113"/>
      <c r="D230" s="253">
        <f>SUM(D231:D233)</f>
        <v>2549</v>
      </c>
      <c r="E230" s="253">
        <f>SUM(E231:E233)</f>
        <v>1255</v>
      </c>
      <c r="F230" s="253">
        <f t="shared" ref="F230" si="46">SUM(F231:F233)</f>
        <v>2510</v>
      </c>
      <c r="G230" s="253"/>
      <c r="H230" s="253">
        <f>SUM(H231:H233)</f>
        <v>2509</v>
      </c>
      <c r="I230" s="541"/>
      <c r="J230" s="625" t="s">
        <v>3100</v>
      </c>
    </row>
    <row r="231" spans="1:10" ht="15" customHeight="1" x14ac:dyDescent="0.2">
      <c r="A231" s="2102"/>
      <c r="B231" s="2114"/>
      <c r="C231" s="2115"/>
      <c r="D231" s="541">
        <v>1800</v>
      </c>
      <c r="E231" s="541">
        <v>800</v>
      </c>
      <c r="F231" s="541">
        <v>1800</v>
      </c>
      <c r="G231" s="625">
        <v>2235</v>
      </c>
      <c r="H231" s="541">
        <v>1799</v>
      </c>
      <c r="I231" s="1969" t="s">
        <v>3026</v>
      </c>
      <c r="J231" s="254" t="s">
        <v>3193</v>
      </c>
    </row>
    <row r="232" spans="1:10" ht="15" customHeight="1" x14ac:dyDescent="0.2">
      <c r="A232" s="2102"/>
      <c r="B232" s="2114"/>
      <c r="C232" s="2115"/>
      <c r="D232" s="541">
        <v>455</v>
      </c>
      <c r="E232" s="541">
        <v>455</v>
      </c>
      <c r="F232" s="541">
        <v>395</v>
      </c>
      <c r="G232" s="625">
        <v>2231</v>
      </c>
      <c r="H232" s="541">
        <v>395</v>
      </c>
      <c r="I232" s="1969"/>
      <c r="J232" s="254" t="s">
        <v>3194</v>
      </c>
    </row>
    <row r="233" spans="1:10" ht="15" customHeight="1" x14ac:dyDescent="0.2">
      <c r="A233" s="2102"/>
      <c r="B233" s="2116"/>
      <c r="C233" s="2117"/>
      <c r="D233" s="541">
        <v>294</v>
      </c>
      <c r="E233" s="541">
        <v>0</v>
      </c>
      <c r="F233" s="541">
        <v>315</v>
      </c>
      <c r="G233" s="625">
        <v>2363</v>
      </c>
      <c r="H233" s="541">
        <v>315</v>
      </c>
      <c r="I233" s="1969"/>
      <c r="J233" s="254" t="s">
        <v>3195</v>
      </c>
    </row>
    <row r="234" spans="1:10" ht="12" customHeight="1" x14ac:dyDescent="0.2">
      <c r="A234" s="2102" t="s">
        <v>3196</v>
      </c>
      <c r="B234" s="2112" t="s">
        <v>3197</v>
      </c>
      <c r="C234" s="2113"/>
      <c r="D234" s="253">
        <f>SUM(D235:D237)</f>
        <v>1000</v>
      </c>
      <c r="E234" s="253">
        <f t="shared" ref="E234:H234" si="47">SUM(E235:E237)</f>
        <v>1000</v>
      </c>
      <c r="F234" s="253">
        <f t="shared" si="47"/>
        <v>1000</v>
      </c>
      <c r="G234" s="253"/>
      <c r="H234" s="253">
        <f t="shared" si="47"/>
        <v>626</v>
      </c>
      <c r="I234" s="541"/>
      <c r="J234" s="254"/>
    </row>
    <row r="235" spans="1:10" ht="15" customHeight="1" x14ac:dyDescent="0.2">
      <c r="A235" s="2102"/>
      <c r="B235" s="2114"/>
      <c r="C235" s="2115"/>
      <c r="D235" s="541">
        <v>50</v>
      </c>
      <c r="E235" s="541">
        <v>50</v>
      </c>
      <c r="F235" s="541">
        <v>50</v>
      </c>
      <c r="G235" s="625">
        <v>2341</v>
      </c>
      <c r="H235" s="541">
        <v>50</v>
      </c>
      <c r="I235" s="2087" t="s">
        <v>3038</v>
      </c>
      <c r="J235" s="254" t="s">
        <v>2994</v>
      </c>
    </row>
    <row r="236" spans="1:10" ht="15" customHeight="1" x14ac:dyDescent="0.2">
      <c r="A236" s="2102"/>
      <c r="B236" s="2114"/>
      <c r="C236" s="2115"/>
      <c r="D236" s="1186">
        <v>750</v>
      </c>
      <c r="E236" s="1186">
        <v>750</v>
      </c>
      <c r="F236" s="1186">
        <v>850</v>
      </c>
      <c r="G236" s="625">
        <v>2361</v>
      </c>
      <c r="H236" s="1186">
        <v>476</v>
      </c>
      <c r="I236" s="2087"/>
      <c r="J236" s="1187" t="s">
        <v>3198</v>
      </c>
    </row>
    <row r="237" spans="1:10" ht="15" customHeight="1" x14ac:dyDescent="0.2">
      <c r="A237" s="2102"/>
      <c r="B237" s="2116"/>
      <c r="C237" s="2117"/>
      <c r="D237" s="1186">
        <v>200</v>
      </c>
      <c r="E237" s="1186">
        <v>200</v>
      </c>
      <c r="F237" s="1186">
        <v>100</v>
      </c>
      <c r="G237" s="625">
        <v>2370</v>
      </c>
      <c r="H237" s="1186">
        <v>100</v>
      </c>
      <c r="I237" s="2087"/>
      <c r="J237" s="1191" t="s">
        <v>3199</v>
      </c>
    </row>
    <row r="238" spans="1:10" ht="15" customHeight="1" x14ac:dyDescent="0.2">
      <c r="A238" s="625" t="s">
        <v>3200</v>
      </c>
      <c r="B238" s="2109" t="s">
        <v>2997</v>
      </c>
      <c r="C238" s="2110"/>
      <c r="D238" s="253">
        <f>D239</f>
        <v>1650</v>
      </c>
      <c r="E238" s="253">
        <f t="shared" ref="E238:H238" si="48">E239</f>
        <v>1236</v>
      </c>
      <c r="F238" s="253">
        <f t="shared" si="48"/>
        <v>1600</v>
      </c>
      <c r="G238" s="253"/>
      <c r="H238" s="253">
        <f t="shared" si="48"/>
        <v>1600</v>
      </c>
      <c r="I238" s="541"/>
      <c r="J238" s="1192"/>
    </row>
    <row r="239" spans="1:10" ht="16.5" customHeight="1" x14ac:dyDescent="0.2">
      <c r="A239" s="1879"/>
      <c r="B239" s="1799" t="s">
        <v>2999</v>
      </c>
      <c r="C239" s="1800"/>
      <c r="D239" s="253">
        <f>SUM(D240:D243)</f>
        <v>1650</v>
      </c>
      <c r="E239" s="253">
        <f>SUM(E240:E243)</f>
        <v>1236</v>
      </c>
      <c r="F239" s="253">
        <f>SUM(F240:F243)</f>
        <v>1600</v>
      </c>
      <c r="G239" s="253"/>
      <c r="H239" s="253">
        <f>SUM(H240:H243)</f>
        <v>1600</v>
      </c>
      <c r="I239" s="1969" t="s">
        <v>3000</v>
      </c>
      <c r="J239" s="1192" t="s">
        <v>3201</v>
      </c>
    </row>
    <row r="240" spans="1:10" ht="16.5" customHeight="1" x14ac:dyDescent="0.2">
      <c r="A240" s="1879"/>
      <c r="B240" s="1889"/>
      <c r="C240" s="1890"/>
      <c r="D240" s="1146">
        <v>200</v>
      </c>
      <c r="E240" s="1146">
        <v>0</v>
      </c>
      <c r="F240" s="1146">
        <v>300</v>
      </c>
      <c r="G240" s="625">
        <v>2235</v>
      </c>
      <c r="H240" s="1146">
        <v>300</v>
      </c>
      <c r="I240" s="1969"/>
      <c r="J240" s="1193" t="s">
        <v>3202</v>
      </c>
    </row>
    <row r="241" spans="1:16" ht="16.5" customHeight="1" x14ac:dyDescent="0.2">
      <c r="A241" s="1879"/>
      <c r="B241" s="1889"/>
      <c r="C241" s="1890"/>
      <c r="D241" s="1146">
        <v>175</v>
      </c>
      <c r="E241" s="1146">
        <v>156</v>
      </c>
      <c r="F241" s="1146">
        <v>125</v>
      </c>
      <c r="G241" s="625">
        <v>2231</v>
      </c>
      <c r="H241" s="1146">
        <v>125</v>
      </c>
      <c r="I241" s="1969"/>
      <c r="J241" s="1193" t="s">
        <v>3203</v>
      </c>
    </row>
    <row r="242" spans="1:16" ht="16.5" customHeight="1" x14ac:dyDescent="0.2">
      <c r="A242" s="1879"/>
      <c r="B242" s="1889"/>
      <c r="C242" s="1890"/>
      <c r="D242" s="1146">
        <v>50</v>
      </c>
      <c r="E242" s="1146">
        <v>50</v>
      </c>
      <c r="F242" s="1146">
        <v>50</v>
      </c>
      <c r="G242" s="625">
        <v>2341</v>
      </c>
      <c r="H242" s="1146">
        <v>50</v>
      </c>
      <c r="I242" s="1969"/>
      <c r="J242" s="1193" t="s">
        <v>3010</v>
      </c>
    </row>
    <row r="243" spans="1:16" ht="16.5" customHeight="1" x14ac:dyDescent="0.2">
      <c r="A243" s="1879"/>
      <c r="B243" s="1801"/>
      <c r="C243" s="1802"/>
      <c r="D243" s="1146">
        <v>1225</v>
      </c>
      <c r="E243" s="1146">
        <v>1030</v>
      </c>
      <c r="F243" s="1146">
        <v>1125</v>
      </c>
      <c r="G243" s="625">
        <v>2363</v>
      </c>
      <c r="H243" s="1146">
        <v>1125</v>
      </c>
      <c r="I243" s="1969"/>
      <c r="J243" s="1193" t="s">
        <v>3204</v>
      </c>
    </row>
    <row r="244" spans="1:16" ht="15" customHeight="1" x14ac:dyDescent="0.2">
      <c r="A244" s="1175">
        <v>11</v>
      </c>
      <c r="B244" s="1967" t="s">
        <v>3205</v>
      </c>
      <c r="C244" s="1968"/>
      <c r="D244" s="253">
        <f>SUM(D245+D250+D254)</f>
        <v>12102</v>
      </c>
      <c r="E244" s="253">
        <f t="shared" ref="E244:H244" si="49">SUM(E245+E250+E254)</f>
        <v>11071</v>
      </c>
      <c r="F244" s="253">
        <f t="shared" si="49"/>
        <v>6783</v>
      </c>
      <c r="G244" s="253"/>
      <c r="H244" s="253">
        <f t="shared" si="49"/>
        <v>5573</v>
      </c>
      <c r="I244" s="253"/>
      <c r="J244" s="1176" t="s">
        <v>3206</v>
      </c>
    </row>
    <row r="245" spans="1:16" ht="17.25" customHeight="1" x14ac:dyDescent="0.2">
      <c r="A245" s="2102" t="s">
        <v>3207</v>
      </c>
      <c r="B245" s="2112" t="s">
        <v>3025</v>
      </c>
      <c r="C245" s="2113"/>
      <c r="D245" s="253">
        <f>SUM(D246:D249)</f>
        <v>2818</v>
      </c>
      <c r="E245" s="253">
        <f>SUM(E246:E249)</f>
        <v>2011</v>
      </c>
      <c r="F245" s="253">
        <f>SUM(F246:F249)</f>
        <v>3060</v>
      </c>
      <c r="G245" s="253"/>
      <c r="H245" s="253">
        <f>SUM(H246:H249)</f>
        <v>2442</v>
      </c>
      <c r="I245" s="541"/>
      <c r="J245" s="625" t="s">
        <v>3100</v>
      </c>
    </row>
    <row r="246" spans="1:16" ht="17.25" customHeight="1" x14ac:dyDescent="0.25">
      <c r="A246" s="2102"/>
      <c r="B246" s="2114"/>
      <c r="C246" s="2115"/>
      <c r="D246" s="541">
        <v>240</v>
      </c>
      <c r="E246" s="541">
        <v>0</v>
      </c>
      <c r="F246" s="541">
        <v>240</v>
      </c>
      <c r="G246" s="625">
        <v>2235</v>
      </c>
      <c r="H246" s="541">
        <v>120</v>
      </c>
      <c r="I246" s="1969" t="s">
        <v>3208</v>
      </c>
      <c r="J246" s="254" t="s">
        <v>3209</v>
      </c>
      <c r="K246" s="1194"/>
      <c r="L246" s="1194"/>
      <c r="M246" s="1194"/>
      <c r="N246" s="1194"/>
      <c r="O246" s="1194"/>
      <c r="P246" s="1194"/>
    </row>
    <row r="247" spans="1:16" ht="17.25" customHeight="1" x14ac:dyDescent="0.2">
      <c r="A247" s="2102"/>
      <c r="B247" s="2114"/>
      <c r="C247" s="2115"/>
      <c r="D247" s="541">
        <v>1800</v>
      </c>
      <c r="E247" s="541">
        <v>1527</v>
      </c>
      <c r="F247" s="541">
        <v>2000</v>
      </c>
      <c r="G247" s="625">
        <v>2235</v>
      </c>
      <c r="H247" s="541">
        <v>1592</v>
      </c>
      <c r="I247" s="1969"/>
      <c r="J247" s="254" t="s">
        <v>3210</v>
      </c>
      <c r="K247" s="358"/>
    </row>
    <row r="248" spans="1:16" ht="17.25" customHeight="1" x14ac:dyDescent="0.2">
      <c r="A248" s="2102"/>
      <c r="B248" s="2114"/>
      <c r="C248" s="2115"/>
      <c r="D248" s="541">
        <v>400</v>
      </c>
      <c r="E248" s="541">
        <v>400</v>
      </c>
      <c r="F248" s="541">
        <v>400</v>
      </c>
      <c r="G248" s="625">
        <v>2231</v>
      </c>
      <c r="H248" s="541">
        <v>400</v>
      </c>
      <c r="I248" s="1969"/>
      <c r="J248" s="254" t="s">
        <v>3211</v>
      </c>
    </row>
    <row r="249" spans="1:16" ht="17.25" customHeight="1" x14ac:dyDescent="0.2">
      <c r="A249" s="2102"/>
      <c r="B249" s="2116"/>
      <c r="C249" s="2117"/>
      <c r="D249" s="541">
        <v>378</v>
      </c>
      <c r="E249" s="541">
        <v>84</v>
      </c>
      <c r="F249" s="541">
        <v>420</v>
      </c>
      <c r="G249" s="625">
        <v>2363</v>
      </c>
      <c r="H249" s="541">
        <v>330</v>
      </c>
      <c r="I249" s="1969"/>
      <c r="J249" s="254" t="s">
        <v>3212</v>
      </c>
    </row>
    <row r="250" spans="1:16" ht="14.25" customHeight="1" x14ac:dyDescent="0.2">
      <c r="A250" s="2102" t="s">
        <v>3213</v>
      </c>
      <c r="B250" s="2112" t="s">
        <v>3214</v>
      </c>
      <c r="C250" s="2113"/>
      <c r="D250" s="253">
        <f>SUM(D251:D253)</f>
        <v>714</v>
      </c>
      <c r="E250" s="253">
        <f>SUM(E251:E253)</f>
        <v>714</v>
      </c>
      <c r="F250" s="253">
        <f>SUM(F251:F253)</f>
        <v>714</v>
      </c>
      <c r="G250" s="253"/>
      <c r="H250" s="253">
        <f>SUM(H251:H253)</f>
        <v>530</v>
      </c>
      <c r="I250" s="541"/>
      <c r="J250" s="254"/>
    </row>
    <row r="251" spans="1:16" ht="14.25" customHeight="1" x14ac:dyDescent="0.2">
      <c r="A251" s="2102"/>
      <c r="B251" s="2114"/>
      <c r="C251" s="2115"/>
      <c r="D251" s="541">
        <v>50</v>
      </c>
      <c r="E251" s="541">
        <v>50</v>
      </c>
      <c r="F251" s="541">
        <v>50</v>
      </c>
      <c r="G251" s="625">
        <v>2341</v>
      </c>
      <c r="H251" s="541">
        <v>50</v>
      </c>
      <c r="I251" s="2087" t="s">
        <v>3215</v>
      </c>
      <c r="J251" s="254" t="s">
        <v>2994</v>
      </c>
    </row>
    <row r="252" spans="1:16" ht="14.25" customHeight="1" x14ac:dyDescent="0.2">
      <c r="A252" s="2102"/>
      <c r="B252" s="2114"/>
      <c r="C252" s="2115"/>
      <c r="D252" s="576">
        <v>300</v>
      </c>
      <c r="E252" s="576">
        <v>300</v>
      </c>
      <c r="F252" s="576">
        <v>300</v>
      </c>
      <c r="G252" s="625">
        <v>2361</v>
      </c>
      <c r="H252" s="576">
        <v>300</v>
      </c>
      <c r="I252" s="2087"/>
      <c r="J252" s="1184" t="s">
        <v>3216</v>
      </c>
    </row>
    <row r="253" spans="1:16" ht="14.25" customHeight="1" x14ac:dyDescent="0.2">
      <c r="A253" s="2102"/>
      <c r="B253" s="2116"/>
      <c r="C253" s="2117"/>
      <c r="D253" s="576">
        <v>364</v>
      </c>
      <c r="E253" s="576">
        <v>364</v>
      </c>
      <c r="F253" s="576">
        <v>364</v>
      </c>
      <c r="G253" s="625">
        <v>2370</v>
      </c>
      <c r="H253" s="576">
        <v>180</v>
      </c>
      <c r="I253" s="2087"/>
      <c r="J253" s="1185" t="s">
        <v>3217</v>
      </c>
    </row>
    <row r="254" spans="1:16" ht="15" customHeight="1" x14ac:dyDescent="0.2">
      <c r="A254" s="625" t="s">
        <v>3218</v>
      </c>
      <c r="B254" s="2109" t="s">
        <v>2997</v>
      </c>
      <c r="C254" s="2110"/>
      <c r="D254" s="253">
        <f>D255+D257+D263</f>
        <v>8570</v>
      </c>
      <c r="E254" s="253">
        <f t="shared" ref="E254:F254" si="50">E255+E257+E263</f>
        <v>8346</v>
      </c>
      <c r="F254" s="253">
        <f t="shared" si="50"/>
        <v>3009</v>
      </c>
      <c r="G254" s="253"/>
      <c r="H254" s="253">
        <f>H255+H257+H263</f>
        <v>2601</v>
      </c>
      <c r="I254" s="541"/>
      <c r="J254" s="254"/>
    </row>
    <row r="255" spans="1:16" ht="15" customHeight="1" x14ac:dyDescent="0.2">
      <c r="A255" s="1879" t="s">
        <v>3219</v>
      </c>
      <c r="B255" s="1799" t="s">
        <v>2999</v>
      </c>
      <c r="C255" s="1800"/>
      <c r="D255" s="253">
        <f>SUM(D256:D256)</f>
        <v>1050</v>
      </c>
      <c r="E255" s="253">
        <f>SUM(E256:E256)</f>
        <v>1026</v>
      </c>
      <c r="F255" s="253">
        <f>SUM(F256:F256)</f>
        <v>675</v>
      </c>
      <c r="G255" s="253"/>
      <c r="H255" s="253">
        <f>SUM(H256:H256)</f>
        <v>675</v>
      </c>
      <c r="I255" s="1969" t="s">
        <v>3000</v>
      </c>
      <c r="J255" s="625" t="s">
        <v>3220</v>
      </c>
    </row>
    <row r="256" spans="1:16" ht="15" customHeight="1" x14ac:dyDescent="0.2">
      <c r="A256" s="1879"/>
      <c r="B256" s="1801"/>
      <c r="C256" s="1802"/>
      <c r="D256" s="541">
        <v>1050</v>
      </c>
      <c r="E256" s="541">
        <v>1026</v>
      </c>
      <c r="F256" s="541">
        <v>675</v>
      </c>
      <c r="G256" s="625">
        <v>2363</v>
      </c>
      <c r="H256" s="541">
        <v>675</v>
      </c>
      <c r="I256" s="1969"/>
      <c r="J256" s="254" t="s">
        <v>3221</v>
      </c>
    </row>
    <row r="257" spans="1:10" ht="16.5" customHeight="1" x14ac:dyDescent="0.2">
      <c r="A257" s="1879" t="s">
        <v>3222</v>
      </c>
      <c r="B257" s="1799" t="s">
        <v>3004</v>
      </c>
      <c r="C257" s="1800"/>
      <c r="D257" s="253">
        <f>SUM(D258:D262)</f>
        <v>3160</v>
      </c>
      <c r="E257" s="253">
        <f t="shared" ref="E257:F257" si="51">SUM(E258:E262)</f>
        <v>2960</v>
      </c>
      <c r="F257" s="253">
        <f t="shared" si="51"/>
        <v>2334</v>
      </c>
      <c r="G257" s="253"/>
      <c r="H257" s="253">
        <f t="shared" ref="H257" si="52">SUM(H258:H262)</f>
        <v>1926</v>
      </c>
      <c r="I257" s="541"/>
      <c r="J257" s="625" t="s">
        <v>3223</v>
      </c>
    </row>
    <row r="258" spans="1:10" ht="16.5" customHeight="1" x14ac:dyDescent="0.2">
      <c r="A258" s="1879"/>
      <c r="B258" s="1889"/>
      <c r="C258" s="1890"/>
      <c r="D258" s="741">
        <v>120</v>
      </c>
      <c r="E258" s="741">
        <v>120</v>
      </c>
      <c r="F258" s="741">
        <v>84</v>
      </c>
      <c r="G258" s="625">
        <v>2111</v>
      </c>
      <c r="H258" s="541">
        <v>112</v>
      </c>
      <c r="I258" s="1969" t="s">
        <v>3000</v>
      </c>
      <c r="J258" s="617" t="s">
        <v>3224</v>
      </c>
    </row>
    <row r="259" spans="1:10" ht="16.5" customHeight="1" x14ac:dyDescent="0.2">
      <c r="A259" s="1879"/>
      <c r="B259" s="1889"/>
      <c r="C259" s="1890"/>
      <c r="D259" s="741">
        <v>1760</v>
      </c>
      <c r="E259" s="741">
        <v>1760</v>
      </c>
      <c r="F259" s="741">
        <v>1148</v>
      </c>
      <c r="G259" s="625">
        <v>2235</v>
      </c>
      <c r="H259" s="541">
        <v>1148</v>
      </c>
      <c r="I259" s="1969"/>
      <c r="J259" s="617" t="s">
        <v>3225</v>
      </c>
    </row>
    <row r="260" spans="1:10" ht="16.5" hidden="1" customHeight="1" x14ac:dyDescent="0.2">
      <c r="A260" s="1879"/>
      <c r="B260" s="1889"/>
      <c r="C260" s="1890"/>
      <c r="D260" s="601">
        <v>200</v>
      </c>
      <c r="E260" s="601">
        <v>0</v>
      </c>
      <c r="F260" s="601">
        <v>436</v>
      </c>
      <c r="G260" s="625">
        <v>2235</v>
      </c>
      <c r="H260" s="381">
        <v>0</v>
      </c>
      <c r="I260" s="1969"/>
      <c r="J260" s="1047" t="s">
        <v>3226</v>
      </c>
    </row>
    <row r="261" spans="1:10" ht="16.5" customHeight="1" x14ac:dyDescent="0.2">
      <c r="A261" s="1879"/>
      <c r="B261" s="1889"/>
      <c r="C261" s="1890"/>
      <c r="D261" s="601">
        <v>100</v>
      </c>
      <c r="E261" s="601">
        <v>100</v>
      </c>
      <c r="F261" s="601">
        <v>50</v>
      </c>
      <c r="G261" s="625">
        <v>2341</v>
      </c>
      <c r="H261" s="541">
        <v>50</v>
      </c>
      <c r="I261" s="1969"/>
      <c r="J261" s="1047" t="s">
        <v>3010</v>
      </c>
    </row>
    <row r="262" spans="1:10" ht="16.5" customHeight="1" x14ac:dyDescent="0.2">
      <c r="A262" s="1879"/>
      <c r="B262" s="1801"/>
      <c r="C262" s="1802"/>
      <c r="D262" s="416">
        <v>980</v>
      </c>
      <c r="E262" s="416">
        <v>980</v>
      </c>
      <c r="F262" s="416">
        <v>616</v>
      </c>
      <c r="G262" s="625">
        <v>2363</v>
      </c>
      <c r="H262" s="541">
        <v>616</v>
      </c>
      <c r="I262" s="1969"/>
      <c r="J262" s="1156" t="s">
        <v>3227</v>
      </c>
    </row>
    <row r="263" spans="1:10" ht="12.75" hidden="1" customHeight="1" x14ac:dyDescent="0.2">
      <c r="A263" s="1879" t="s">
        <v>3228</v>
      </c>
      <c r="B263" s="1799" t="s">
        <v>3229</v>
      </c>
      <c r="C263" s="1800"/>
      <c r="D263" s="253">
        <f>SUM(D264:D266)</f>
        <v>4360</v>
      </c>
      <c r="E263" s="253">
        <f>SUM(E264:E266)</f>
        <v>4360</v>
      </c>
      <c r="F263" s="253">
        <f>SUM(F264:F266)</f>
        <v>0</v>
      </c>
      <c r="G263" s="253"/>
      <c r="H263" s="253">
        <f>SUM(H264:H266)</f>
        <v>0</v>
      </c>
      <c r="I263" s="2101" t="s">
        <v>3230</v>
      </c>
      <c r="J263" s="625"/>
    </row>
    <row r="264" spans="1:10" ht="15" hidden="1" customHeight="1" x14ac:dyDescent="0.2">
      <c r="A264" s="1879"/>
      <c r="B264" s="1889"/>
      <c r="C264" s="1890"/>
      <c r="D264" s="741">
        <v>800</v>
      </c>
      <c r="E264" s="741">
        <v>800</v>
      </c>
      <c r="F264" s="741"/>
      <c r="G264" s="625">
        <v>2121</v>
      </c>
      <c r="H264" s="541">
        <v>0</v>
      </c>
      <c r="I264" s="2101"/>
      <c r="J264" s="617"/>
    </row>
    <row r="265" spans="1:10" ht="15" hidden="1" customHeight="1" x14ac:dyDescent="0.2">
      <c r="A265" s="1879"/>
      <c r="B265" s="1889"/>
      <c r="C265" s="1890"/>
      <c r="D265" s="741">
        <v>890</v>
      </c>
      <c r="E265" s="741">
        <v>890</v>
      </c>
      <c r="F265" s="741"/>
      <c r="G265" s="625">
        <v>2122</v>
      </c>
      <c r="H265" s="541">
        <v>0</v>
      </c>
      <c r="I265" s="2101"/>
      <c r="J265" s="617"/>
    </row>
    <row r="266" spans="1:10" ht="15" hidden="1" customHeight="1" x14ac:dyDescent="0.2">
      <c r="A266" s="1879"/>
      <c r="B266" s="1801"/>
      <c r="C266" s="1802"/>
      <c r="D266" s="601">
        <v>2670</v>
      </c>
      <c r="E266" s="601">
        <v>2670</v>
      </c>
      <c r="F266" s="601"/>
      <c r="G266" s="625">
        <v>2231</v>
      </c>
      <c r="H266" s="541">
        <v>0</v>
      </c>
      <c r="I266" s="2101"/>
      <c r="J266" s="617"/>
    </row>
    <row r="267" spans="1:10" ht="15" customHeight="1" x14ac:dyDescent="0.2">
      <c r="A267" s="1175">
        <v>12</v>
      </c>
      <c r="B267" s="1967" t="s">
        <v>3231</v>
      </c>
      <c r="C267" s="1968"/>
      <c r="D267" s="253">
        <f>SUM(D268+D273+D277)</f>
        <v>6158</v>
      </c>
      <c r="E267" s="253">
        <f t="shared" ref="E267:F267" si="53">SUM(E268+E273+E277)</f>
        <v>7818</v>
      </c>
      <c r="F267" s="253">
        <f t="shared" si="53"/>
        <v>12008</v>
      </c>
      <c r="G267" s="253"/>
      <c r="H267" s="253">
        <f>SUM(H268+H273+H277)</f>
        <v>9872</v>
      </c>
      <c r="I267" s="253"/>
      <c r="J267" s="1176" t="s">
        <v>3232</v>
      </c>
    </row>
    <row r="268" spans="1:10" ht="14.25" customHeight="1" x14ac:dyDescent="0.2">
      <c r="A268" s="2102" t="s">
        <v>3233</v>
      </c>
      <c r="B268" s="2112" t="s">
        <v>3025</v>
      </c>
      <c r="C268" s="2113"/>
      <c r="D268" s="253">
        <f>SUM(D269:D272)</f>
        <v>3406</v>
      </c>
      <c r="E268" s="253">
        <f t="shared" ref="E268:H268" si="54">SUM(E269:E272)</f>
        <v>4906</v>
      </c>
      <c r="F268" s="253">
        <f t="shared" si="54"/>
        <v>5800</v>
      </c>
      <c r="G268" s="253"/>
      <c r="H268" s="253">
        <f t="shared" si="54"/>
        <v>5344</v>
      </c>
      <c r="I268" s="541"/>
      <c r="J268" s="625" t="s">
        <v>3234</v>
      </c>
    </row>
    <row r="269" spans="1:10" ht="14.25" customHeight="1" x14ac:dyDescent="0.2">
      <c r="A269" s="2102"/>
      <c r="B269" s="2114"/>
      <c r="C269" s="2115"/>
      <c r="D269" s="541">
        <v>384</v>
      </c>
      <c r="E269" s="541">
        <v>384</v>
      </c>
      <c r="F269" s="541">
        <v>768</v>
      </c>
      <c r="G269" s="625">
        <v>2235</v>
      </c>
      <c r="H269" s="541">
        <v>576</v>
      </c>
      <c r="I269" s="1969" t="s">
        <v>2956</v>
      </c>
      <c r="J269" s="254" t="s">
        <v>3235</v>
      </c>
    </row>
    <row r="270" spans="1:10" ht="14.25" customHeight="1" x14ac:dyDescent="0.2">
      <c r="A270" s="2102"/>
      <c r="B270" s="2114"/>
      <c r="C270" s="2115"/>
      <c r="D270" s="541">
        <v>1800</v>
      </c>
      <c r="E270" s="541">
        <v>3300</v>
      </c>
      <c r="F270" s="541">
        <v>3000</v>
      </c>
      <c r="G270" s="625">
        <v>2235</v>
      </c>
      <c r="H270" s="541">
        <v>3000</v>
      </c>
      <c r="I270" s="1969"/>
      <c r="J270" s="254" t="s">
        <v>3236</v>
      </c>
    </row>
    <row r="271" spans="1:10" ht="14.25" customHeight="1" x14ac:dyDescent="0.2">
      <c r="A271" s="2102"/>
      <c r="B271" s="2114"/>
      <c r="C271" s="2115"/>
      <c r="D271" s="541">
        <v>760</v>
      </c>
      <c r="E271" s="541">
        <v>760</v>
      </c>
      <c r="F271" s="541">
        <v>760</v>
      </c>
      <c r="G271" s="625">
        <v>2231</v>
      </c>
      <c r="H271" s="541">
        <v>760</v>
      </c>
      <c r="I271" s="1969"/>
      <c r="J271" s="254" t="s">
        <v>3237</v>
      </c>
    </row>
    <row r="272" spans="1:10" ht="14.25" customHeight="1" x14ac:dyDescent="0.2">
      <c r="A272" s="2102"/>
      <c r="B272" s="2116"/>
      <c r="C272" s="2117"/>
      <c r="D272" s="541">
        <v>462</v>
      </c>
      <c r="E272" s="541">
        <v>462</v>
      </c>
      <c r="F272" s="541">
        <v>1272</v>
      </c>
      <c r="G272" s="625">
        <v>2363</v>
      </c>
      <c r="H272" s="541">
        <v>1008</v>
      </c>
      <c r="I272" s="1969"/>
      <c r="J272" s="254" t="s">
        <v>3238</v>
      </c>
    </row>
    <row r="273" spans="1:14" ht="16.5" customHeight="1" x14ac:dyDescent="0.2">
      <c r="A273" s="2102" t="s">
        <v>3239</v>
      </c>
      <c r="B273" s="2112" t="s">
        <v>3240</v>
      </c>
      <c r="C273" s="2113"/>
      <c r="D273" s="253">
        <f>SUM(D274:D276)</f>
        <v>620</v>
      </c>
      <c r="E273" s="253">
        <f t="shared" ref="E273:H273" si="55">SUM(E274:E276)</f>
        <v>980</v>
      </c>
      <c r="F273" s="253">
        <f t="shared" si="55"/>
        <v>820</v>
      </c>
      <c r="G273" s="253"/>
      <c r="H273" s="253">
        <f t="shared" si="55"/>
        <v>820</v>
      </c>
      <c r="I273" s="541"/>
      <c r="J273" s="254"/>
    </row>
    <row r="274" spans="1:14" ht="16.5" customHeight="1" x14ac:dyDescent="0.2">
      <c r="A274" s="2102"/>
      <c r="B274" s="2114"/>
      <c r="C274" s="2115"/>
      <c r="D274" s="541">
        <v>25</v>
      </c>
      <c r="E274" s="541">
        <v>25</v>
      </c>
      <c r="F274" s="541">
        <v>25</v>
      </c>
      <c r="G274" s="625">
        <v>2341</v>
      </c>
      <c r="H274" s="541">
        <v>25</v>
      </c>
      <c r="I274" s="2087" t="s">
        <v>3038</v>
      </c>
      <c r="J274" s="254" t="s">
        <v>2994</v>
      </c>
    </row>
    <row r="275" spans="1:14" ht="16.5" customHeight="1" x14ac:dyDescent="0.2">
      <c r="A275" s="2102"/>
      <c r="B275" s="2114"/>
      <c r="C275" s="2115"/>
      <c r="D275" s="576">
        <v>420</v>
      </c>
      <c r="E275" s="576">
        <v>420</v>
      </c>
      <c r="F275" s="576">
        <v>420</v>
      </c>
      <c r="G275" s="625">
        <v>2361</v>
      </c>
      <c r="H275" s="576">
        <v>420</v>
      </c>
      <c r="I275" s="2087"/>
      <c r="J275" s="1184" t="s">
        <v>3241</v>
      </c>
    </row>
    <row r="276" spans="1:14" ht="16.5" customHeight="1" x14ac:dyDescent="0.2">
      <c r="A276" s="2102"/>
      <c r="B276" s="2116"/>
      <c r="C276" s="2117"/>
      <c r="D276" s="576">
        <v>175</v>
      </c>
      <c r="E276" s="576">
        <v>535</v>
      </c>
      <c r="F276" s="576">
        <v>375</v>
      </c>
      <c r="G276" s="625">
        <v>2370</v>
      </c>
      <c r="H276" s="576">
        <v>375</v>
      </c>
      <c r="I276" s="2087"/>
      <c r="J276" s="1185" t="s">
        <v>3242</v>
      </c>
    </row>
    <row r="277" spans="1:14" ht="15" customHeight="1" x14ac:dyDescent="0.2">
      <c r="A277" s="625" t="s">
        <v>3243</v>
      </c>
      <c r="B277" s="2109" t="s">
        <v>2997</v>
      </c>
      <c r="C277" s="2110"/>
      <c r="D277" s="253">
        <f>D278</f>
        <v>2132</v>
      </c>
      <c r="E277" s="253">
        <f t="shared" ref="E277:F277" si="56">E278</f>
        <v>1932</v>
      </c>
      <c r="F277" s="253">
        <f t="shared" si="56"/>
        <v>5388</v>
      </c>
      <c r="G277" s="253"/>
      <c r="H277" s="253">
        <f>H278</f>
        <v>3708</v>
      </c>
      <c r="I277" s="541"/>
      <c r="J277" s="254"/>
    </row>
    <row r="278" spans="1:14" ht="17.25" customHeight="1" x14ac:dyDescent="0.2">
      <c r="A278" s="1879"/>
      <c r="B278" s="1799" t="s">
        <v>3244</v>
      </c>
      <c r="C278" s="1800"/>
      <c r="D278" s="253">
        <f>SUM(D279:D282)</f>
        <v>2132</v>
      </c>
      <c r="E278" s="253">
        <f>SUM(E279:E282)</f>
        <v>1932</v>
      </c>
      <c r="F278" s="253">
        <f>SUM(F279:F282)</f>
        <v>5388</v>
      </c>
      <c r="G278" s="253"/>
      <c r="H278" s="253">
        <f>SUM(H279:H282)</f>
        <v>3708</v>
      </c>
      <c r="I278" s="1969" t="s">
        <v>3000</v>
      </c>
      <c r="J278" s="625" t="s">
        <v>3245</v>
      </c>
    </row>
    <row r="279" spans="1:14" ht="17.25" customHeight="1" x14ac:dyDescent="0.2">
      <c r="A279" s="1879"/>
      <c r="B279" s="1889"/>
      <c r="C279" s="1890"/>
      <c r="D279" s="1146">
        <v>42</v>
      </c>
      <c r="E279" s="1146">
        <v>42</v>
      </c>
      <c r="F279" s="1146">
        <v>72</v>
      </c>
      <c r="G279" s="625">
        <v>2111</v>
      </c>
      <c r="H279" s="1146">
        <v>64</v>
      </c>
      <c r="I279" s="1969"/>
      <c r="J279" s="254" t="s">
        <v>3246</v>
      </c>
    </row>
    <row r="280" spans="1:14" ht="17.25" customHeight="1" x14ac:dyDescent="0.2">
      <c r="A280" s="1879"/>
      <c r="B280" s="1889"/>
      <c r="C280" s="1890"/>
      <c r="D280" s="1146">
        <v>1008</v>
      </c>
      <c r="E280" s="1146">
        <v>1008</v>
      </c>
      <c r="F280" s="1146">
        <v>2112</v>
      </c>
      <c r="G280" s="625">
        <v>2235</v>
      </c>
      <c r="H280" s="1146">
        <v>1408</v>
      </c>
      <c r="I280" s="1969"/>
      <c r="J280" s="254" t="s">
        <v>3247</v>
      </c>
    </row>
    <row r="281" spans="1:14" ht="17.25" customHeight="1" x14ac:dyDescent="0.2">
      <c r="A281" s="1879"/>
      <c r="B281" s="1889"/>
      <c r="C281" s="1890"/>
      <c r="D281" s="1146">
        <v>200</v>
      </c>
      <c r="E281" s="1146">
        <v>0</v>
      </c>
      <c r="F281" s="1146">
        <v>300</v>
      </c>
      <c r="G281" s="625">
        <v>2235</v>
      </c>
      <c r="H281" s="1146">
        <v>300</v>
      </c>
      <c r="I281" s="1969"/>
      <c r="J281" s="254" t="s">
        <v>3248</v>
      </c>
    </row>
    <row r="282" spans="1:14" ht="17.25" customHeight="1" x14ac:dyDescent="0.2">
      <c r="A282" s="1879"/>
      <c r="B282" s="1801"/>
      <c r="C282" s="1802"/>
      <c r="D282" s="541">
        <v>882</v>
      </c>
      <c r="E282" s="541">
        <v>882</v>
      </c>
      <c r="F282" s="541">
        <v>2904</v>
      </c>
      <c r="G282" s="625">
        <v>2363</v>
      </c>
      <c r="H282" s="541">
        <v>1936</v>
      </c>
      <c r="I282" s="1969"/>
      <c r="J282" s="254" t="s">
        <v>3249</v>
      </c>
      <c r="K282" s="1195"/>
      <c r="L282" s="1195"/>
      <c r="M282" s="1195"/>
      <c r="N282" s="1195"/>
    </row>
    <row r="283" spans="1:14" ht="12" hidden="1" customHeight="1" x14ac:dyDescent="0.2">
      <c r="A283" s="2102">
        <v>13</v>
      </c>
      <c r="B283" s="2112" t="s">
        <v>3250</v>
      </c>
      <c r="C283" s="2113"/>
      <c r="D283" s="253">
        <f>SUM(D284:D288)</f>
        <v>7580</v>
      </c>
      <c r="E283" s="253">
        <f t="shared" ref="E283:F283" si="57">SUM(E284:E288)</f>
        <v>7580</v>
      </c>
      <c r="F283" s="253">
        <f t="shared" si="57"/>
        <v>0</v>
      </c>
      <c r="G283" s="253"/>
      <c r="H283" s="253">
        <f t="shared" ref="H283" si="58">SUM(H284:H288)</f>
        <v>0</v>
      </c>
      <c r="I283" s="541"/>
      <c r="J283" s="1196"/>
      <c r="K283" s="1195"/>
      <c r="L283" s="1195" t="s">
        <v>3251</v>
      </c>
      <c r="M283" s="1195" t="s">
        <v>3252</v>
      </c>
      <c r="N283" s="1195"/>
    </row>
    <row r="284" spans="1:14" ht="15" hidden="1" customHeight="1" x14ac:dyDescent="0.2">
      <c r="A284" s="2102"/>
      <c r="B284" s="2114"/>
      <c r="C284" s="2115"/>
      <c r="D284" s="541">
        <v>1175</v>
      </c>
      <c r="E284" s="541">
        <v>1175</v>
      </c>
      <c r="F284" s="541"/>
      <c r="G284" s="625">
        <v>2121</v>
      </c>
      <c r="H284" s="541">
        <v>0</v>
      </c>
      <c r="I284" s="2121" t="s">
        <v>3253</v>
      </c>
      <c r="J284" s="1197"/>
      <c r="K284" s="1195"/>
      <c r="L284" s="1195" t="s">
        <v>3254</v>
      </c>
      <c r="M284" s="1195"/>
      <c r="N284" s="1195"/>
    </row>
    <row r="285" spans="1:14" ht="15" hidden="1" customHeight="1" x14ac:dyDescent="0.2">
      <c r="A285" s="2102"/>
      <c r="B285" s="2114"/>
      <c r="C285" s="2115"/>
      <c r="D285" s="541">
        <v>1890</v>
      </c>
      <c r="E285" s="541">
        <v>1890</v>
      </c>
      <c r="F285" s="541"/>
      <c r="G285" s="625">
        <v>2122</v>
      </c>
      <c r="H285" s="541">
        <v>0</v>
      </c>
      <c r="I285" s="2121"/>
      <c r="J285" s="1197"/>
      <c r="K285" s="1195"/>
      <c r="L285" s="1195" t="s">
        <v>3255</v>
      </c>
      <c r="M285" s="1195"/>
      <c r="N285" s="1195"/>
    </row>
    <row r="286" spans="1:14" ht="15" hidden="1" customHeight="1" x14ac:dyDescent="0.2">
      <c r="A286" s="2102"/>
      <c r="B286" s="2114"/>
      <c r="C286" s="2115"/>
      <c r="D286" s="541">
        <v>3065</v>
      </c>
      <c r="E286" s="541">
        <v>3065</v>
      </c>
      <c r="F286" s="541"/>
      <c r="G286" s="625">
        <v>2231</v>
      </c>
      <c r="H286" s="541">
        <v>0</v>
      </c>
      <c r="I286" s="2121"/>
      <c r="J286" s="1197"/>
      <c r="K286" s="1198"/>
      <c r="L286" s="1195" t="s">
        <v>3256</v>
      </c>
      <c r="M286" s="1195"/>
      <c r="N286" s="1195"/>
    </row>
    <row r="287" spans="1:14" ht="15" hidden="1" customHeight="1" x14ac:dyDescent="0.2">
      <c r="A287" s="2102"/>
      <c r="B287" s="2114"/>
      <c r="C287" s="2115"/>
      <c r="D287" s="541">
        <v>950</v>
      </c>
      <c r="E287" s="541">
        <v>950</v>
      </c>
      <c r="F287" s="541"/>
      <c r="G287" s="625">
        <v>2341</v>
      </c>
      <c r="H287" s="541">
        <v>0</v>
      </c>
      <c r="I287" s="2121"/>
      <c r="J287" s="1197"/>
      <c r="K287" s="1198"/>
      <c r="L287" s="1195"/>
      <c r="M287" s="1195"/>
      <c r="N287" s="1195"/>
    </row>
    <row r="288" spans="1:14" ht="15" hidden="1" customHeight="1" x14ac:dyDescent="0.2">
      <c r="A288" s="2102"/>
      <c r="B288" s="2116"/>
      <c r="C288" s="2117"/>
      <c r="D288" s="541">
        <v>500</v>
      </c>
      <c r="E288" s="541">
        <v>500</v>
      </c>
      <c r="F288" s="541"/>
      <c r="G288" s="625">
        <v>2370</v>
      </c>
      <c r="H288" s="541">
        <v>0</v>
      </c>
      <c r="I288" s="2121"/>
      <c r="J288" s="1197"/>
      <c r="K288" s="1198"/>
      <c r="L288" s="1195"/>
      <c r="M288" s="1195">
        <f>8000+14600+23400</f>
        <v>46000</v>
      </c>
      <c r="N288" s="1195"/>
    </row>
    <row r="289" spans="1:14" ht="12" hidden="1" customHeight="1" x14ac:dyDescent="0.2">
      <c r="A289" s="2102">
        <v>14</v>
      </c>
      <c r="B289" s="2112" t="s">
        <v>3257</v>
      </c>
      <c r="C289" s="2113"/>
      <c r="D289" s="253">
        <f>SUM(D290:D292)</f>
        <v>1923</v>
      </c>
      <c r="E289" s="253">
        <f>SUM(E290:E292)</f>
        <v>1923</v>
      </c>
      <c r="F289" s="253">
        <f>SUM(F290:F292)</f>
        <v>0</v>
      </c>
      <c r="G289" s="253"/>
      <c r="H289" s="253">
        <f>SUM(H290:H292)</f>
        <v>0</v>
      </c>
      <c r="I289" s="541"/>
      <c r="J289" s="625"/>
      <c r="K289" s="1195"/>
      <c r="L289" s="1195"/>
      <c r="M289" s="1195"/>
      <c r="N289" s="1195"/>
    </row>
    <row r="290" spans="1:14" ht="15" hidden="1" customHeight="1" x14ac:dyDescent="0.2">
      <c r="A290" s="2102"/>
      <c r="B290" s="2114"/>
      <c r="C290" s="2115"/>
      <c r="D290" s="541">
        <v>279</v>
      </c>
      <c r="E290" s="541">
        <v>279</v>
      </c>
      <c r="F290" s="541">
        <v>0</v>
      </c>
      <c r="G290" s="625">
        <v>2121</v>
      </c>
      <c r="H290" s="541">
        <v>0</v>
      </c>
      <c r="I290" s="2121" t="s">
        <v>3253</v>
      </c>
      <c r="J290" s="254"/>
      <c r="K290" s="1195"/>
      <c r="L290" s="1195"/>
      <c r="M290" s="1195"/>
      <c r="N290" s="1195"/>
    </row>
    <row r="291" spans="1:14" ht="15" hidden="1" customHeight="1" x14ac:dyDescent="0.2">
      <c r="A291" s="2102"/>
      <c r="B291" s="2114"/>
      <c r="C291" s="2115"/>
      <c r="D291" s="541">
        <v>757</v>
      </c>
      <c r="E291" s="541">
        <v>757</v>
      </c>
      <c r="F291" s="541">
        <v>0</v>
      </c>
      <c r="G291" s="625">
        <v>2122</v>
      </c>
      <c r="H291" s="541">
        <v>0</v>
      </c>
      <c r="I291" s="2121"/>
      <c r="J291" s="254"/>
      <c r="K291" s="1195"/>
      <c r="L291" s="1195"/>
      <c r="M291" s="1195"/>
      <c r="N291" s="1195"/>
    </row>
    <row r="292" spans="1:14" ht="15" hidden="1" customHeight="1" x14ac:dyDescent="0.2">
      <c r="A292" s="2102"/>
      <c r="B292" s="2116"/>
      <c r="C292" s="2117"/>
      <c r="D292" s="541">
        <v>887</v>
      </c>
      <c r="E292" s="541">
        <v>887</v>
      </c>
      <c r="F292" s="541">
        <v>0</v>
      </c>
      <c r="G292" s="625">
        <v>2231</v>
      </c>
      <c r="H292" s="541">
        <v>0</v>
      </c>
      <c r="I292" s="2121"/>
      <c r="J292" s="254"/>
      <c r="K292" s="1195"/>
      <c r="L292" s="1195"/>
      <c r="M292" s="1195"/>
      <c r="N292" s="1195"/>
    </row>
    <row r="293" spans="1:14" ht="16.5" customHeight="1" x14ac:dyDescent="0.2">
      <c r="A293" s="2102">
        <v>13</v>
      </c>
      <c r="B293" s="2112" t="s">
        <v>3258</v>
      </c>
      <c r="C293" s="2113"/>
      <c r="D293" s="253">
        <f>SUM(D294:D298)</f>
        <v>0</v>
      </c>
      <c r="E293" s="253">
        <f t="shared" ref="E293:H293" si="59">SUM(E294:E298)</f>
        <v>0</v>
      </c>
      <c r="F293" s="253">
        <f t="shared" si="59"/>
        <v>38000</v>
      </c>
      <c r="G293" s="253"/>
      <c r="H293" s="253">
        <f t="shared" si="59"/>
        <v>26357</v>
      </c>
      <c r="I293" s="253"/>
      <c r="J293" s="1185"/>
      <c r="K293" s="1195"/>
      <c r="L293" s="1195" t="s">
        <v>3259</v>
      </c>
      <c r="M293" s="1195" t="s">
        <v>3260</v>
      </c>
      <c r="N293" s="1195"/>
    </row>
    <row r="294" spans="1:14" ht="16.5" hidden="1" customHeight="1" x14ac:dyDescent="0.2">
      <c r="A294" s="2102"/>
      <c r="B294" s="2114"/>
      <c r="C294" s="2115"/>
      <c r="D294" s="541">
        <v>0</v>
      </c>
      <c r="E294" s="541">
        <v>0</v>
      </c>
      <c r="F294" s="541">
        <v>2000</v>
      </c>
      <c r="G294" s="625">
        <v>2121</v>
      </c>
      <c r="H294" s="541">
        <v>0</v>
      </c>
      <c r="I294" s="2121" t="s">
        <v>3253</v>
      </c>
      <c r="J294" s="2119" t="s">
        <v>3261</v>
      </c>
      <c r="K294" s="1195"/>
      <c r="L294" s="1195" t="s">
        <v>3255</v>
      </c>
      <c r="M294" s="1195"/>
      <c r="N294" s="1195"/>
    </row>
    <row r="295" spans="1:14" ht="16.5" hidden="1" customHeight="1" x14ac:dyDescent="0.2">
      <c r="A295" s="2102"/>
      <c r="B295" s="2114"/>
      <c r="C295" s="2115"/>
      <c r="D295" s="541">
        <v>0</v>
      </c>
      <c r="E295" s="541">
        <v>0</v>
      </c>
      <c r="F295" s="541">
        <v>3500</v>
      </c>
      <c r="G295" s="625">
        <v>2122</v>
      </c>
      <c r="H295" s="541">
        <v>0</v>
      </c>
      <c r="I295" s="2121"/>
      <c r="J295" s="2119"/>
      <c r="K295" s="1195"/>
      <c r="L295" s="1195" t="s">
        <v>3262</v>
      </c>
      <c r="M295" s="1195"/>
      <c r="N295" s="1195"/>
    </row>
    <row r="296" spans="1:14" ht="16.5" hidden="1" customHeight="1" x14ac:dyDescent="0.2">
      <c r="A296" s="2102"/>
      <c r="B296" s="2114"/>
      <c r="C296" s="2115"/>
      <c r="D296" s="541">
        <v>0</v>
      </c>
      <c r="E296" s="541">
        <v>0</v>
      </c>
      <c r="F296" s="541">
        <v>9000</v>
      </c>
      <c r="G296" s="625">
        <v>2233</v>
      </c>
      <c r="H296" s="541">
        <v>0</v>
      </c>
      <c r="I296" s="2121"/>
      <c r="J296" s="2119"/>
      <c r="K296" s="1195"/>
      <c r="L296" s="1195" t="s">
        <v>3263</v>
      </c>
      <c r="M296" s="1195"/>
      <c r="N296" s="1195"/>
    </row>
    <row r="297" spans="1:14" ht="16.5" customHeight="1" x14ac:dyDescent="0.2">
      <c r="A297" s="2102"/>
      <c r="B297" s="2114"/>
      <c r="C297" s="2115"/>
      <c r="D297" s="541"/>
      <c r="E297" s="541"/>
      <c r="F297" s="541"/>
      <c r="G297" s="625">
        <v>2275</v>
      </c>
      <c r="H297" s="541">
        <v>26357</v>
      </c>
      <c r="I297" s="2121"/>
      <c r="J297" s="2119"/>
      <c r="K297" s="1195"/>
      <c r="L297" s="1195"/>
      <c r="M297" s="1195">
        <f>14600+6000+4500</f>
        <v>25100</v>
      </c>
      <c r="N297" s="1195"/>
    </row>
    <row r="298" spans="1:14" ht="16.5" hidden="1" customHeight="1" x14ac:dyDescent="0.2">
      <c r="A298" s="2102"/>
      <c r="B298" s="2116"/>
      <c r="C298" s="2117"/>
      <c r="D298" s="541">
        <v>0</v>
      </c>
      <c r="E298" s="541">
        <v>0</v>
      </c>
      <c r="F298" s="541">
        <v>23500</v>
      </c>
      <c r="G298" s="625">
        <v>2231</v>
      </c>
      <c r="H298" s="541">
        <v>0</v>
      </c>
      <c r="I298" s="2121"/>
      <c r="J298" s="2119"/>
      <c r="K298" s="1195"/>
      <c r="L298" s="1195"/>
      <c r="M298" s="1195"/>
      <c r="N298" s="1195"/>
    </row>
    <row r="299" spans="1:14" ht="36" customHeight="1" x14ac:dyDescent="0.2">
      <c r="A299" s="1199">
        <v>14</v>
      </c>
      <c r="B299" s="2122" t="s">
        <v>3264</v>
      </c>
      <c r="C299" s="2123"/>
      <c r="D299" s="541"/>
      <c r="E299" s="541"/>
      <c r="F299" s="541"/>
      <c r="G299" s="625">
        <v>2239</v>
      </c>
      <c r="H299" s="541">
        <v>140000</v>
      </c>
      <c r="I299" s="1200"/>
      <c r="J299" s="1185"/>
      <c r="K299" s="1195"/>
      <c r="L299" s="1195"/>
      <c r="M299" s="1195"/>
      <c r="N299" s="1195"/>
    </row>
    <row r="300" spans="1:14" hidden="1" x14ac:dyDescent="0.2">
      <c r="A300" s="2120" t="s">
        <v>239</v>
      </c>
      <c r="B300" s="2120"/>
      <c r="C300" s="1553"/>
      <c r="D300" s="1201">
        <f>SUM(D10,D69,D89,D101,D109,D132,D150,D168,D193,D229,D244,D267,D283,D289,D293)</f>
        <v>274767</v>
      </c>
      <c r="E300" s="1201">
        <f>SUM(E10,E69,E89,E101,E109,E132,E150,E168,E193,E229,E244,E267,E283,E289,E293)</f>
        <v>274767</v>
      </c>
      <c r="F300" s="1201">
        <f>SUM(F10,F69,F89,F101,F109,F132,F150,F168,F193,F229,F244,F267,F283,F289,F293)</f>
        <v>308723</v>
      </c>
      <c r="G300" s="1201"/>
      <c r="H300" s="1201">
        <f>SUM(H10,H69,H89,H101,H109,H132,H150,H168,H193,H229,H244,H267,H283,H289,H299,H293)</f>
        <v>380341</v>
      </c>
      <c r="I300" s="1201"/>
      <c r="J300" s="1172"/>
    </row>
    <row r="301" spans="1:14" x14ac:dyDescent="0.2">
      <c r="A301" s="244" t="s">
        <v>400</v>
      </c>
    </row>
    <row r="302" spans="1:14" x14ac:dyDescent="0.2">
      <c r="A302" s="244" t="s">
        <v>401</v>
      </c>
      <c r="B302" s="1036"/>
      <c r="C302" s="1503"/>
      <c r="E302" s="466"/>
    </row>
    <row r="303" spans="1:14" x14ac:dyDescent="0.2">
      <c r="A303" s="1202" t="s">
        <v>3265</v>
      </c>
      <c r="B303" s="1036"/>
      <c r="C303" s="1503"/>
      <c r="E303" s="466"/>
      <c r="H303" s="387"/>
      <c r="I303" s="388"/>
      <c r="J303" s="367"/>
    </row>
    <row r="304" spans="1:14" x14ac:dyDescent="0.2">
      <c r="A304" s="1203" t="s">
        <v>3266</v>
      </c>
      <c r="H304" s="387"/>
      <c r="I304" s="388"/>
    </row>
    <row r="305" spans="1:9" x14ac:dyDescent="0.2">
      <c r="A305" s="1203" t="s">
        <v>3267</v>
      </c>
      <c r="H305" s="387"/>
      <c r="I305" s="388"/>
    </row>
    <row r="306" spans="1:9" x14ac:dyDescent="0.2">
      <c r="A306" s="1203" t="s">
        <v>3268</v>
      </c>
      <c r="H306" s="387"/>
      <c r="I306" s="388"/>
    </row>
    <row r="307" spans="1:9" x14ac:dyDescent="0.2">
      <c r="A307" s="1203" t="s">
        <v>3269</v>
      </c>
      <c r="H307" s="387"/>
      <c r="I307" s="388"/>
    </row>
    <row r="308" spans="1:9" x14ac:dyDescent="0.2">
      <c r="A308" s="1203" t="s">
        <v>3270</v>
      </c>
      <c r="B308" s="1036"/>
      <c r="C308" s="1503"/>
      <c r="E308" s="466"/>
      <c r="H308" s="387"/>
      <c r="I308" s="388"/>
    </row>
    <row r="309" spans="1:9" x14ac:dyDescent="0.2">
      <c r="A309" s="1203" t="s">
        <v>3271</v>
      </c>
      <c r="B309" s="1036"/>
      <c r="C309" s="1503"/>
      <c r="E309" s="466"/>
      <c r="H309" s="387"/>
      <c r="I309" s="388"/>
    </row>
    <row r="310" spans="1:9" x14ac:dyDescent="0.2">
      <c r="A310" s="244" t="s">
        <v>3272</v>
      </c>
      <c r="B310" s="1036"/>
      <c r="C310" s="1503"/>
      <c r="E310" s="466"/>
      <c r="H310" s="387"/>
      <c r="I310" s="388"/>
    </row>
    <row r="311" spans="1:9" x14ac:dyDescent="0.2">
      <c r="A311" s="244" t="s">
        <v>3273</v>
      </c>
      <c r="B311" s="1036"/>
      <c r="C311" s="1503"/>
      <c r="E311" s="466"/>
      <c r="H311" s="387"/>
      <c r="I311" s="388"/>
    </row>
    <row r="312" spans="1:9" x14ac:dyDescent="0.2">
      <c r="A312" s="244" t="s">
        <v>3274</v>
      </c>
      <c r="B312" s="1036"/>
      <c r="C312" s="1503"/>
      <c r="E312" s="466"/>
      <c r="H312" s="387"/>
      <c r="I312" s="388"/>
    </row>
    <row r="313" spans="1:9" x14ac:dyDescent="0.2">
      <c r="B313" s="1036"/>
      <c r="C313" s="1503"/>
      <c r="E313" s="466"/>
      <c r="H313" s="387"/>
      <c r="I313" s="388"/>
    </row>
    <row r="314" spans="1:9" x14ac:dyDescent="0.2">
      <c r="A314" s="269" t="s">
        <v>3275</v>
      </c>
      <c r="B314" s="269"/>
      <c r="C314" s="269"/>
      <c r="D314" s="269"/>
      <c r="E314" s="269"/>
      <c r="F314" s="269"/>
      <c r="G314" s="387"/>
      <c r="H314" s="387"/>
      <c r="I314" s="388"/>
    </row>
    <row r="315" spans="1:9" x14ac:dyDescent="0.2">
      <c r="A315" s="244" t="s">
        <v>3276</v>
      </c>
      <c r="G315" s="387"/>
      <c r="H315" s="387"/>
      <c r="I315" s="388"/>
    </row>
    <row r="316" spans="1:9" x14ac:dyDescent="0.2">
      <c r="A316" s="244" t="s">
        <v>3277</v>
      </c>
      <c r="G316" s="387"/>
      <c r="H316" s="387"/>
      <c r="I316" s="388"/>
    </row>
    <row r="317" spans="1:9" x14ac:dyDescent="0.2">
      <c r="A317" s="244" t="s">
        <v>3278</v>
      </c>
      <c r="G317" s="387"/>
      <c r="H317" s="387"/>
      <c r="I317" s="388"/>
    </row>
    <row r="318" spans="1:9" x14ac:dyDescent="0.2">
      <c r="A318" s="244" t="s">
        <v>3279</v>
      </c>
      <c r="B318" s="1036"/>
      <c r="C318" s="1503"/>
      <c r="E318" s="466"/>
      <c r="G318" s="387"/>
      <c r="H318" s="387"/>
      <c r="I318" s="388"/>
    </row>
    <row r="319" spans="1:9" x14ac:dyDescent="0.2">
      <c r="A319" s="244" t="s">
        <v>3280</v>
      </c>
      <c r="B319" s="1036"/>
      <c r="C319" s="1503"/>
      <c r="E319" s="466"/>
      <c r="G319" s="387"/>
      <c r="H319" s="387"/>
      <c r="I319" s="388"/>
    </row>
    <row r="320" spans="1:9" ht="12" customHeight="1" x14ac:dyDescent="0.2">
      <c r="A320" s="244" t="s">
        <v>3281</v>
      </c>
      <c r="B320" s="1036"/>
      <c r="C320" s="1503"/>
      <c r="E320" s="466"/>
      <c r="G320" s="658"/>
      <c r="H320" s="658"/>
      <c r="I320" s="658"/>
    </row>
    <row r="321" spans="2:5" x14ac:dyDescent="0.2">
      <c r="B321" s="1036"/>
      <c r="C321" s="1503"/>
      <c r="E321" s="466"/>
    </row>
    <row r="322" spans="2:5" x14ac:dyDescent="0.2">
      <c r="B322" s="1036"/>
      <c r="C322" s="1503"/>
      <c r="E322" s="466"/>
    </row>
    <row r="323" spans="2:5" x14ac:dyDescent="0.2">
      <c r="B323" s="1036"/>
      <c r="C323" s="1503"/>
      <c r="E323" s="466"/>
    </row>
    <row r="324" spans="2:5" x14ac:dyDescent="0.2">
      <c r="B324" s="1036"/>
      <c r="C324" s="1503"/>
      <c r="E324" s="466"/>
    </row>
    <row r="325" spans="2:5" x14ac:dyDescent="0.2">
      <c r="B325" s="1036"/>
      <c r="C325" s="1503"/>
      <c r="E325" s="466"/>
    </row>
  </sheetData>
  <sheetProtection algorithmName="SHA-512" hashValue="6Ry0SSb9s9+Pr5Q2qgbGAthO3dilRf2AQ4NwSxGf+0jaQ/sA1wA3Zj8nHL3IegPCOSTWWt9FwkmgS3L2MaWG8g==" saltValue="rXLB1DkCVlTrlQIfAigVsQ==" spinCount="100000" sheet="1" objects="1" scenarios="1"/>
  <mergeCells count="197">
    <mergeCell ref="B179:C179"/>
    <mergeCell ref="B180:C182"/>
    <mergeCell ref="B183:C187"/>
    <mergeCell ref="B277:C277"/>
    <mergeCell ref="B278:C282"/>
    <mergeCell ref="B283:C288"/>
    <mergeCell ref="B289:C292"/>
    <mergeCell ref="B293:C298"/>
    <mergeCell ref="B299:C299"/>
    <mergeCell ref="B238:C238"/>
    <mergeCell ref="B239:C243"/>
    <mergeCell ref="B244:C244"/>
    <mergeCell ref="B245:C249"/>
    <mergeCell ref="B250:C253"/>
    <mergeCell ref="B254:C254"/>
    <mergeCell ref="B255:C256"/>
    <mergeCell ref="B257:C262"/>
    <mergeCell ref="B263:C266"/>
    <mergeCell ref="B122:C122"/>
    <mergeCell ref="B123:C126"/>
    <mergeCell ref="B127:C131"/>
    <mergeCell ref="B159:C159"/>
    <mergeCell ref="B160:C161"/>
    <mergeCell ref="B162:C167"/>
    <mergeCell ref="B168:C168"/>
    <mergeCell ref="B169:C173"/>
    <mergeCell ref="B174:C178"/>
    <mergeCell ref="J294:J298"/>
    <mergeCell ref="A300:B300"/>
    <mergeCell ref="A289:A292"/>
    <mergeCell ref="I290:I292"/>
    <mergeCell ref="A293:A298"/>
    <mergeCell ref="I294:I298"/>
    <mergeCell ref="A278:A282"/>
    <mergeCell ref="I278:I282"/>
    <mergeCell ref="A283:A288"/>
    <mergeCell ref="I284:I288"/>
    <mergeCell ref="A268:A272"/>
    <mergeCell ref="I269:I272"/>
    <mergeCell ref="A273:A276"/>
    <mergeCell ref="I274:I276"/>
    <mergeCell ref="A257:A262"/>
    <mergeCell ref="I258:I262"/>
    <mergeCell ref="A263:A266"/>
    <mergeCell ref="I263:I266"/>
    <mergeCell ref="B267:C267"/>
    <mergeCell ref="B268:C272"/>
    <mergeCell ref="B273:C276"/>
    <mergeCell ref="A250:A253"/>
    <mergeCell ref="I251:I253"/>
    <mergeCell ref="A255:A256"/>
    <mergeCell ref="I255:I256"/>
    <mergeCell ref="A239:A243"/>
    <mergeCell ref="I239:I243"/>
    <mergeCell ref="A245:A249"/>
    <mergeCell ref="I246:I249"/>
    <mergeCell ref="A230:A233"/>
    <mergeCell ref="I231:I233"/>
    <mergeCell ref="A234:A237"/>
    <mergeCell ref="I235:I237"/>
    <mergeCell ref="A217:A223"/>
    <mergeCell ref="I217:I223"/>
    <mergeCell ref="A224:A228"/>
    <mergeCell ref="I225:I228"/>
    <mergeCell ref="B217:C223"/>
    <mergeCell ref="B224:C228"/>
    <mergeCell ref="B229:C229"/>
    <mergeCell ref="B230:C233"/>
    <mergeCell ref="B234:C237"/>
    <mergeCell ref="A209:A212"/>
    <mergeCell ref="I210:I212"/>
    <mergeCell ref="A213:A216"/>
    <mergeCell ref="I214:I216"/>
    <mergeCell ref="A199:A203"/>
    <mergeCell ref="I200:I203"/>
    <mergeCell ref="A205:A208"/>
    <mergeCell ref="I206:I208"/>
    <mergeCell ref="B199:C203"/>
    <mergeCell ref="B204:C204"/>
    <mergeCell ref="B205:C208"/>
    <mergeCell ref="B209:C212"/>
    <mergeCell ref="B213:C216"/>
    <mergeCell ref="A188:A192"/>
    <mergeCell ref="I189:I192"/>
    <mergeCell ref="A194:A198"/>
    <mergeCell ref="I195:I198"/>
    <mergeCell ref="A180:A182"/>
    <mergeCell ref="I180:I182"/>
    <mergeCell ref="A183:A187"/>
    <mergeCell ref="I184:I187"/>
    <mergeCell ref="B188:C192"/>
    <mergeCell ref="B193:C193"/>
    <mergeCell ref="B194:C198"/>
    <mergeCell ref="A169:A173"/>
    <mergeCell ref="I169:I173"/>
    <mergeCell ref="A174:A178"/>
    <mergeCell ref="I175:I178"/>
    <mergeCell ref="A160:A161"/>
    <mergeCell ref="I160:I161"/>
    <mergeCell ref="A162:A167"/>
    <mergeCell ref="I163:I167"/>
    <mergeCell ref="A151:A154"/>
    <mergeCell ref="I152:I154"/>
    <mergeCell ref="A155:A158"/>
    <mergeCell ref="I156:I158"/>
    <mergeCell ref="B155:C158"/>
    <mergeCell ref="A143:A146"/>
    <mergeCell ref="I144:I146"/>
    <mergeCell ref="A148:A149"/>
    <mergeCell ref="I148:I149"/>
    <mergeCell ref="B143:C146"/>
    <mergeCell ref="B147:C147"/>
    <mergeCell ref="B150:C150"/>
    <mergeCell ref="B148:C149"/>
    <mergeCell ref="B151:C154"/>
    <mergeCell ref="A133:A137"/>
    <mergeCell ref="I134:I137"/>
    <mergeCell ref="A138:A142"/>
    <mergeCell ref="I138:I142"/>
    <mergeCell ref="A123:A126"/>
    <mergeCell ref="I123:I126"/>
    <mergeCell ref="A127:A131"/>
    <mergeCell ref="I127:I131"/>
    <mergeCell ref="B132:C132"/>
    <mergeCell ref="B133:C137"/>
    <mergeCell ref="B138:C142"/>
    <mergeCell ref="A110:A114"/>
    <mergeCell ref="I111:I114"/>
    <mergeCell ref="A115:A121"/>
    <mergeCell ref="I115:I121"/>
    <mergeCell ref="A102:A105"/>
    <mergeCell ref="I103:I105"/>
    <mergeCell ref="A106:A108"/>
    <mergeCell ref="I107:I108"/>
    <mergeCell ref="A93:A96"/>
    <mergeCell ref="I94:I96"/>
    <mergeCell ref="A98:A100"/>
    <mergeCell ref="I98:I100"/>
    <mergeCell ref="B98:C100"/>
    <mergeCell ref="B101:C101"/>
    <mergeCell ref="B102:C105"/>
    <mergeCell ref="B106:C108"/>
    <mergeCell ref="B109:C109"/>
    <mergeCell ref="B110:C114"/>
    <mergeCell ref="B115:C121"/>
    <mergeCell ref="A85:A88"/>
    <mergeCell ref="I86:I88"/>
    <mergeCell ref="A90:A92"/>
    <mergeCell ref="I90:I92"/>
    <mergeCell ref="B85:C88"/>
    <mergeCell ref="B89:C89"/>
    <mergeCell ref="B90:C92"/>
    <mergeCell ref="B93:C96"/>
    <mergeCell ref="B97:C97"/>
    <mergeCell ref="A75:A80"/>
    <mergeCell ref="I76:I80"/>
    <mergeCell ref="A81:A84"/>
    <mergeCell ref="I82:I84"/>
    <mergeCell ref="A64:A68"/>
    <mergeCell ref="I64:I68"/>
    <mergeCell ref="A71:A74"/>
    <mergeCell ref="I72:I74"/>
    <mergeCell ref="B64:C68"/>
    <mergeCell ref="B69:C69"/>
    <mergeCell ref="B70:C70"/>
    <mergeCell ref="B71:C74"/>
    <mergeCell ref="B75:C80"/>
    <mergeCell ref="B81:C84"/>
    <mergeCell ref="A55:A56"/>
    <mergeCell ref="I55:I56"/>
    <mergeCell ref="A57:A63"/>
    <mergeCell ref="I57:I63"/>
    <mergeCell ref="A45:A49"/>
    <mergeCell ref="I45:I49"/>
    <mergeCell ref="A50:A53"/>
    <mergeCell ref="I51:I53"/>
    <mergeCell ref="B45:C49"/>
    <mergeCell ref="B50:C53"/>
    <mergeCell ref="B54:C54"/>
    <mergeCell ref="B55:C56"/>
    <mergeCell ref="B57:C63"/>
    <mergeCell ref="A17:A26"/>
    <mergeCell ref="I18:I26"/>
    <mergeCell ref="A27:A44"/>
    <mergeCell ref="I27:I44"/>
    <mergeCell ref="A1:B1"/>
    <mergeCell ref="A2:B2"/>
    <mergeCell ref="A3:J3"/>
    <mergeCell ref="A12:A16"/>
    <mergeCell ref="I13:I16"/>
    <mergeCell ref="B8:C8"/>
    <mergeCell ref="A9:C9"/>
    <mergeCell ref="B10:C10"/>
    <mergeCell ref="B11:C11"/>
    <mergeCell ref="B12:C16"/>
    <mergeCell ref="B17:C26"/>
    <mergeCell ref="B27:C44"/>
  </mergeCells>
  <printOptions horizontalCentered="1"/>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28.pielikums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view="pageLayout" zoomScaleNormal="100" workbookViewId="0">
      <selection activeCell="N2" sqref="N2"/>
    </sheetView>
  </sheetViews>
  <sheetFormatPr defaultColWidth="9.140625" defaultRowHeight="12" x14ac:dyDescent="0.2"/>
  <cols>
    <col min="1" max="1" width="6.140625" style="161" customWidth="1"/>
    <col min="2" max="2" width="26.85546875" style="161" customWidth="1"/>
    <col min="3" max="3" width="10.7109375" style="161" customWidth="1"/>
    <col min="4" max="4" width="11.85546875" style="161" hidden="1" customWidth="1"/>
    <col min="5" max="5" width="11.140625" style="161" hidden="1" customWidth="1"/>
    <col min="6" max="6" width="10.28515625" style="161" hidden="1" customWidth="1"/>
    <col min="7" max="7" width="10.5703125" style="161" customWidth="1"/>
    <col min="8" max="8" width="9.7109375" style="161" customWidth="1"/>
    <col min="9" max="9" width="19.140625" style="161" customWidth="1"/>
    <col min="10" max="10" width="28.7109375" style="161" hidden="1" customWidth="1"/>
    <col min="11" max="16384" width="9.140625" style="161"/>
  </cols>
  <sheetData>
    <row r="1" spans="1:10" x14ac:dyDescent="0.2">
      <c r="A1" s="1772" t="s">
        <v>117</v>
      </c>
      <c r="B1" s="1772"/>
      <c r="C1" s="160" t="s">
        <v>2194</v>
      </c>
      <c r="D1" s="160"/>
      <c r="E1" s="160"/>
      <c r="F1" s="160"/>
      <c r="G1" s="160"/>
      <c r="H1" s="160"/>
      <c r="I1" s="160"/>
      <c r="J1" s="160"/>
    </row>
    <row r="2" spans="1:10" x14ac:dyDescent="0.2">
      <c r="A2" s="1772" t="s">
        <v>119</v>
      </c>
      <c r="B2" s="1772"/>
      <c r="C2" s="1498">
        <v>90000594245</v>
      </c>
      <c r="D2" s="162"/>
      <c r="E2" s="160"/>
      <c r="F2" s="160"/>
      <c r="G2" s="160"/>
      <c r="H2" s="160"/>
      <c r="I2" s="160"/>
      <c r="J2" s="160"/>
    </row>
    <row r="3" spans="1:10" ht="15.75" x14ac:dyDescent="0.25">
      <c r="A3" s="1773" t="s">
        <v>120</v>
      </c>
      <c r="B3" s="1773"/>
      <c r="C3" s="1773"/>
      <c r="D3" s="1773"/>
      <c r="E3" s="1773"/>
      <c r="F3" s="1773"/>
      <c r="G3" s="1773"/>
      <c r="H3" s="1773"/>
      <c r="I3" s="1773"/>
      <c r="J3" s="1773"/>
    </row>
    <row r="4" spans="1:10" ht="15.75" x14ac:dyDescent="0.25">
      <c r="A4" s="199"/>
      <c r="B4" s="199"/>
      <c r="C4" s="1499"/>
      <c r="D4" s="199"/>
      <c r="E4" s="199"/>
      <c r="F4" s="199"/>
      <c r="G4" s="199"/>
      <c r="H4" s="199"/>
      <c r="I4" s="199"/>
      <c r="J4" s="199"/>
    </row>
    <row r="5" spans="1:10" ht="15.75" x14ac:dyDescent="0.25">
      <c r="A5" s="160" t="s">
        <v>121</v>
      </c>
      <c r="B5" s="160"/>
      <c r="C5" s="918" t="s">
        <v>2195</v>
      </c>
      <c r="D5" s="918"/>
      <c r="E5" s="160"/>
      <c r="F5" s="160"/>
      <c r="G5" s="160"/>
      <c r="H5" s="160"/>
      <c r="I5" s="160"/>
      <c r="J5" s="160"/>
    </row>
    <row r="6" spans="1:10" x14ac:dyDescent="0.2">
      <c r="A6" s="160" t="s">
        <v>123</v>
      </c>
      <c r="B6" s="160"/>
      <c r="C6" s="919" t="s">
        <v>2196</v>
      </c>
      <c r="D6" s="919"/>
      <c r="E6" s="160"/>
      <c r="F6" s="160"/>
      <c r="G6" s="160"/>
      <c r="H6" s="160"/>
      <c r="I6" s="160"/>
      <c r="J6" s="160"/>
    </row>
    <row r="7" spans="1:10" x14ac:dyDescent="0.2">
      <c r="A7" s="160" t="s">
        <v>125</v>
      </c>
      <c r="B7" s="160"/>
      <c r="C7" s="920" t="s">
        <v>2197</v>
      </c>
      <c r="D7" s="920"/>
      <c r="E7" s="160"/>
      <c r="F7" s="160"/>
      <c r="G7" s="160"/>
      <c r="H7" s="160"/>
      <c r="I7" s="160"/>
      <c r="J7" s="160"/>
    </row>
    <row r="8" spans="1:10" ht="48" x14ac:dyDescent="0.2">
      <c r="A8" s="1549" t="s">
        <v>1</v>
      </c>
      <c r="B8" s="1777" t="s">
        <v>127</v>
      </c>
      <c r="C8" s="1778"/>
      <c r="D8" s="165" t="s">
        <v>14</v>
      </c>
      <c r="E8" s="165" t="s">
        <v>12</v>
      </c>
      <c r="F8" s="165" t="s">
        <v>128</v>
      </c>
      <c r="G8" s="165" t="s">
        <v>129</v>
      </c>
      <c r="H8" s="165" t="s">
        <v>3357</v>
      </c>
      <c r="I8" s="165" t="s">
        <v>11</v>
      </c>
      <c r="J8" s="165" t="s">
        <v>131</v>
      </c>
    </row>
    <row r="9" spans="1:10" ht="12.75" customHeight="1" x14ac:dyDescent="0.2">
      <c r="A9" s="1779" t="s">
        <v>132</v>
      </c>
      <c r="B9" s="1780"/>
      <c r="C9" s="1781"/>
      <c r="D9" s="167">
        <f>SUM(D10:D18)</f>
        <v>363081</v>
      </c>
      <c r="E9" s="167">
        <f>SUM(E10:E18)</f>
        <v>361673</v>
      </c>
      <c r="F9" s="167">
        <f>SUM(F10:F18)</f>
        <v>367706.58</v>
      </c>
      <c r="G9" s="167"/>
      <c r="H9" s="167">
        <f>SUM(H10:H18)</f>
        <v>366001</v>
      </c>
      <c r="I9" s="167"/>
      <c r="J9" s="200"/>
    </row>
    <row r="10" spans="1:10" ht="37.5" customHeight="1" x14ac:dyDescent="0.2">
      <c r="A10" s="696">
        <v>1</v>
      </c>
      <c r="B10" s="2131" t="s">
        <v>2198</v>
      </c>
      <c r="C10" s="2132"/>
      <c r="D10" s="921">
        <v>25020</v>
      </c>
      <c r="E10" s="201">
        <v>25020</v>
      </c>
      <c r="F10" s="201">
        <v>25020</v>
      </c>
      <c r="G10" s="922">
        <v>6255</v>
      </c>
      <c r="H10" s="201">
        <v>25020</v>
      </c>
      <c r="I10" s="696" t="s">
        <v>2199</v>
      </c>
      <c r="J10" s="2126" t="s">
        <v>2200</v>
      </c>
    </row>
    <row r="11" spans="1:10" ht="37.5" customHeight="1" x14ac:dyDescent="0.2">
      <c r="A11" s="696">
        <v>2</v>
      </c>
      <c r="B11" s="2131" t="s">
        <v>2201</v>
      </c>
      <c r="C11" s="2132"/>
      <c r="D11" s="921">
        <v>2736</v>
      </c>
      <c r="E11" s="201">
        <v>1368</v>
      </c>
      <c r="F11" s="201">
        <v>1368</v>
      </c>
      <c r="G11" s="922">
        <v>6423</v>
      </c>
      <c r="H11" s="201">
        <v>1368</v>
      </c>
      <c r="I11" s="696" t="s">
        <v>2199</v>
      </c>
      <c r="J11" s="2127"/>
    </row>
    <row r="12" spans="1:10" ht="37.5" customHeight="1" x14ac:dyDescent="0.2">
      <c r="A12" s="696">
        <v>3</v>
      </c>
      <c r="B12" s="2131" t="s">
        <v>2202</v>
      </c>
      <c r="C12" s="2132"/>
      <c r="D12" s="921">
        <v>298854</v>
      </c>
      <c r="E12" s="201">
        <v>298800</v>
      </c>
      <c r="F12" s="201">
        <v>300000</v>
      </c>
      <c r="G12" s="922">
        <v>6423</v>
      </c>
      <c r="H12" s="201">
        <v>298854</v>
      </c>
      <c r="I12" s="696" t="s">
        <v>2203</v>
      </c>
      <c r="J12" s="923" t="s">
        <v>2204</v>
      </c>
    </row>
    <row r="13" spans="1:10" ht="37.5" customHeight="1" x14ac:dyDescent="0.2">
      <c r="A13" s="696">
        <v>4</v>
      </c>
      <c r="B13" s="2131" t="s">
        <v>2205</v>
      </c>
      <c r="C13" s="2132"/>
      <c r="D13" s="921">
        <v>10560</v>
      </c>
      <c r="E13" s="201">
        <v>10560</v>
      </c>
      <c r="F13" s="201">
        <v>10560</v>
      </c>
      <c r="G13" s="922">
        <v>6423</v>
      </c>
      <c r="H13" s="201">
        <v>10000</v>
      </c>
      <c r="I13" s="696" t="s">
        <v>2199</v>
      </c>
      <c r="J13" s="923" t="s">
        <v>2206</v>
      </c>
    </row>
    <row r="14" spans="1:10" ht="37.5" customHeight="1" x14ac:dyDescent="0.2">
      <c r="A14" s="696">
        <v>5</v>
      </c>
      <c r="B14" s="2131" t="s">
        <v>2207</v>
      </c>
      <c r="C14" s="2132"/>
      <c r="D14" s="924">
        <v>10480</v>
      </c>
      <c r="E14" s="536">
        <v>10480</v>
      </c>
      <c r="F14" s="536">
        <v>10480</v>
      </c>
      <c r="G14" s="922">
        <v>6423</v>
      </c>
      <c r="H14" s="201">
        <v>10480</v>
      </c>
      <c r="I14" s="696" t="s">
        <v>2208</v>
      </c>
      <c r="J14" s="923" t="s">
        <v>2209</v>
      </c>
    </row>
    <row r="15" spans="1:10" ht="12.75" customHeight="1" x14ac:dyDescent="0.2">
      <c r="A15" s="1774">
        <v>6</v>
      </c>
      <c r="B15" s="2133" t="s">
        <v>2210</v>
      </c>
      <c r="C15" s="2134"/>
      <c r="D15" s="536">
        <v>430</v>
      </c>
      <c r="E15" s="536">
        <v>430</v>
      </c>
      <c r="F15" s="536">
        <v>430</v>
      </c>
      <c r="G15" s="922">
        <v>2314</v>
      </c>
      <c r="H15" s="201">
        <v>430</v>
      </c>
      <c r="I15" s="1939" t="s">
        <v>2199</v>
      </c>
      <c r="J15" s="2128" t="s">
        <v>2211</v>
      </c>
    </row>
    <row r="16" spans="1:10" ht="12.75" customHeight="1" x14ac:dyDescent="0.2">
      <c r="A16" s="1775"/>
      <c r="B16" s="2135"/>
      <c r="C16" s="2136"/>
      <c r="D16" s="536">
        <v>300</v>
      </c>
      <c r="E16" s="536">
        <v>300</v>
      </c>
      <c r="F16" s="536">
        <v>300</v>
      </c>
      <c r="G16" s="922">
        <v>2231</v>
      </c>
      <c r="H16" s="201">
        <v>300</v>
      </c>
      <c r="I16" s="2038"/>
      <c r="J16" s="2129"/>
    </row>
    <row r="17" spans="1:10" ht="12.75" customHeight="1" x14ac:dyDescent="0.2">
      <c r="A17" s="1776"/>
      <c r="B17" s="2137"/>
      <c r="C17" s="2138"/>
      <c r="D17" s="925">
        <v>1750</v>
      </c>
      <c r="E17" s="925">
        <v>1750</v>
      </c>
      <c r="F17" s="925">
        <v>1750</v>
      </c>
      <c r="G17" s="922">
        <v>2314</v>
      </c>
      <c r="H17" s="201">
        <v>1750</v>
      </c>
      <c r="I17" s="1940"/>
      <c r="J17" s="2130"/>
    </row>
    <row r="18" spans="1:10" ht="45" customHeight="1" x14ac:dyDescent="0.2">
      <c r="A18" s="696">
        <v>7</v>
      </c>
      <c r="B18" s="2131" t="s">
        <v>2212</v>
      </c>
      <c r="C18" s="2132"/>
      <c r="D18" s="924">
        <v>12951</v>
      </c>
      <c r="E18" s="925">
        <f>12951+14</f>
        <v>12965</v>
      </c>
      <c r="F18" s="925">
        <f>366*48.63</f>
        <v>17798.580000000002</v>
      </c>
      <c r="G18" s="922">
        <v>7247</v>
      </c>
      <c r="H18" s="201">
        <v>17799</v>
      </c>
      <c r="I18" s="696" t="s">
        <v>2213</v>
      </c>
      <c r="J18" s="923" t="s">
        <v>2214</v>
      </c>
    </row>
    <row r="19" spans="1:10" x14ac:dyDescent="0.2">
      <c r="A19" s="169"/>
      <c r="B19" s="169"/>
      <c r="C19" s="169"/>
      <c r="D19" s="169"/>
      <c r="E19" s="169"/>
      <c r="F19" s="169"/>
      <c r="G19" s="169"/>
      <c r="H19" s="169"/>
      <c r="I19" s="169"/>
      <c r="J19" s="926"/>
    </row>
    <row r="20" spans="1:10" ht="12.75" x14ac:dyDescent="0.2">
      <c r="A20" s="160" t="s">
        <v>123</v>
      </c>
      <c r="B20" s="160"/>
      <c r="C20" s="927" t="s">
        <v>2215</v>
      </c>
      <c r="D20" s="927"/>
      <c r="E20" s="160"/>
      <c r="F20" s="160"/>
      <c r="G20" s="160"/>
      <c r="H20" s="160"/>
      <c r="I20" s="160"/>
      <c r="J20" s="928"/>
    </row>
    <row r="21" spans="1:10" x14ac:dyDescent="0.2">
      <c r="A21" s="160" t="s">
        <v>125</v>
      </c>
      <c r="B21" s="160"/>
      <c r="C21" s="920" t="s">
        <v>2216</v>
      </c>
      <c r="D21" s="920"/>
      <c r="E21" s="160"/>
      <c r="F21" s="160"/>
      <c r="G21" s="160"/>
      <c r="H21" s="160"/>
      <c r="I21" s="160"/>
      <c r="J21" s="928"/>
    </row>
    <row r="22" spans="1:10" ht="48" x14ac:dyDescent="0.2">
      <c r="A22" s="165" t="s">
        <v>1</v>
      </c>
      <c r="B22" s="1777" t="s">
        <v>127</v>
      </c>
      <c r="C22" s="1778"/>
      <c r="D22" s="165" t="s">
        <v>14</v>
      </c>
      <c r="E22" s="165" t="s">
        <v>12</v>
      </c>
      <c r="F22" s="165" t="s">
        <v>128</v>
      </c>
      <c r="G22" s="165" t="s">
        <v>129</v>
      </c>
      <c r="H22" s="165" t="s">
        <v>3357</v>
      </c>
      <c r="I22" s="165" t="s">
        <v>11</v>
      </c>
      <c r="J22" s="929" t="s">
        <v>131</v>
      </c>
    </row>
    <row r="23" spans="1:10" ht="15" customHeight="1" x14ac:dyDescent="0.2">
      <c r="A23" s="1779" t="s">
        <v>132</v>
      </c>
      <c r="B23" s="1780"/>
      <c r="C23" s="1781"/>
      <c r="D23" s="167">
        <f>SUM(D24:D24)</f>
        <v>14400</v>
      </c>
      <c r="E23" s="167">
        <f>SUM(E24:E24)</f>
        <v>12500</v>
      </c>
      <c r="F23" s="167">
        <f>SUM(F24:F24)</f>
        <v>12500</v>
      </c>
      <c r="G23" s="167"/>
      <c r="H23" s="167">
        <f>SUM(H24:H24)</f>
        <v>12000</v>
      </c>
      <c r="I23" s="167"/>
      <c r="J23" s="930"/>
    </row>
    <row r="24" spans="1:10" ht="59.25" customHeight="1" x14ac:dyDescent="0.2">
      <c r="A24" s="696">
        <v>1</v>
      </c>
      <c r="B24" s="2139" t="s">
        <v>2217</v>
      </c>
      <c r="C24" s="2140"/>
      <c r="D24" s="931">
        <v>14400</v>
      </c>
      <c r="E24" s="201">
        <v>12500</v>
      </c>
      <c r="F24" s="201">
        <v>12500</v>
      </c>
      <c r="G24" s="922">
        <v>6255</v>
      </c>
      <c r="H24" s="201">
        <v>12000</v>
      </c>
      <c r="I24" s="696" t="s">
        <v>2218</v>
      </c>
      <c r="J24" s="923" t="s">
        <v>2219</v>
      </c>
    </row>
    <row r="25" spans="1:10" x14ac:dyDescent="0.2">
      <c r="A25" s="169"/>
      <c r="B25" s="169"/>
      <c r="C25" s="169"/>
      <c r="D25" s="169"/>
      <c r="E25" s="169"/>
      <c r="F25" s="169"/>
      <c r="G25" s="169"/>
      <c r="H25" s="173"/>
      <c r="I25" s="173"/>
      <c r="J25" s="926"/>
    </row>
    <row r="26" spans="1:10" x14ac:dyDescent="0.2">
      <c r="A26" s="160" t="s">
        <v>123</v>
      </c>
      <c r="B26" s="160"/>
      <c r="C26" s="160" t="s">
        <v>2220</v>
      </c>
      <c r="D26" s="160"/>
      <c r="E26" s="160"/>
      <c r="F26" s="160"/>
      <c r="G26" s="160"/>
      <c r="H26" s="160"/>
      <c r="I26" s="160"/>
      <c r="J26" s="928"/>
    </row>
    <row r="27" spans="1:10" x14ac:dyDescent="0.2">
      <c r="A27" s="160" t="s">
        <v>125</v>
      </c>
      <c r="B27" s="160"/>
      <c r="C27" s="920" t="s">
        <v>214</v>
      </c>
      <c r="D27" s="920"/>
      <c r="E27" s="160"/>
      <c r="F27" s="160"/>
      <c r="G27" s="160"/>
      <c r="H27" s="160"/>
      <c r="I27" s="160"/>
      <c r="J27" s="928"/>
    </row>
    <row r="28" spans="1:10" ht="48" x14ac:dyDescent="0.2">
      <c r="A28" s="165" t="s">
        <v>1</v>
      </c>
      <c r="B28" s="1777" t="s">
        <v>127</v>
      </c>
      <c r="C28" s="1778"/>
      <c r="D28" s="165" t="s">
        <v>14</v>
      </c>
      <c r="E28" s="165" t="s">
        <v>12</v>
      </c>
      <c r="F28" s="165" t="s">
        <v>128</v>
      </c>
      <c r="G28" s="165" t="s">
        <v>129</v>
      </c>
      <c r="H28" s="165" t="s">
        <v>3357</v>
      </c>
      <c r="I28" s="165" t="s">
        <v>11</v>
      </c>
      <c r="J28" s="929" t="s">
        <v>131</v>
      </c>
    </row>
    <row r="29" spans="1:10" ht="15" customHeight="1" x14ac:dyDescent="0.2">
      <c r="A29" s="1779" t="s">
        <v>132</v>
      </c>
      <c r="B29" s="1780"/>
      <c r="C29" s="1781"/>
      <c r="D29" s="177">
        <f>SUM(D30:D34)</f>
        <v>48967</v>
      </c>
      <c r="E29" s="177">
        <f>SUM(E30:E33)</f>
        <v>43383</v>
      </c>
      <c r="F29" s="177">
        <f>SUM(F30:F34)</f>
        <v>42906</v>
      </c>
      <c r="G29" s="167"/>
      <c r="H29" s="167">
        <f>SUM(H30:H34)</f>
        <v>40356</v>
      </c>
      <c r="I29" s="167"/>
      <c r="J29" s="930"/>
    </row>
    <row r="30" spans="1:10" ht="30.75" customHeight="1" x14ac:dyDescent="0.2">
      <c r="A30" s="696">
        <v>1</v>
      </c>
      <c r="B30" s="2131" t="s">
        <v>2221</v>
      </c>
      <c r="C30" s="2132"/>
      <c r="D30" s="932">
        <v>12096</v>
      </c>
      <c r="E30" s="205">
        <v>12096</v>
      </c>
      <c r="F30" s="205">
        <v>12096</v>
      </c>
      <c r="G30" s="922">
        <v>6423</v>
      </c>
      <c r="H30" s="201">
        <v>12096</v>
      </c>
      <c r="I30" s="696" t="s">
        <v>2203</v>
      </c>
      <c r="J30" s="923" t="s">
        <v>2222</v>
      </c>
    </row>
    <row r="31" spans="1:10" ht="30.75" customHeight="1" x14ac:dyDescent="0.2">
      <c r="A31" s="696">
        <v>2</v>
      </c>
      <c r="B31" s="2131" t="s">
        <v>2223</v>
      </c>
      <c r="C31" s="2132"/>
      <c r="D31" s="932">
        <v>8550</v>
      </c>
      <c r="E31" s="205">
        <v>8550</v>
      </c>
      <c r="F31" s="205">
        <v>8550</v>
      </c>
      <c r="G31" s="922">
        <v>6423</v>
      </c>
      <c r="H31" s="201">
        <v>6000</v>
      </c>
      <c r="I31" s="696" t="s">
        <v>2213</v>
      </c>
      <c r="J31" s="923" t="s">
        <v>2224</v>
      </c>
    </row>
    <row r="32" spans="1:10" ht="41.25" customHeight="1" x14ac:dyDescent="0.2">
      <c r="A32" s="696">
        <v>3</v>
      </c>
      <c r="B32" s="2139" t="s">
        <v>3373</v>
      </c>
      <c r="C32" s="2140"/>
      <c r="D32" s="932">
        <v>19311</v>
      </c>
      <c r="E32" s="205">
        <v>15487</v>
      </c>
      <c r="F32" s="205">
        <v>16000</v>
      </c>
      <c r="G32" s="922">
        <v>6255</v>
      </c>
      <c r="H32" s="201">
        <v>16000</v>
      </c>
      <c r="I32" s="696" t="s">
        <v>2203</v>
      </c>
      <c r="J32" s="933" t="s">
        <v>2225</v>
      </c>
    </row>
    <row r="33" spans="1:10" ht="38.25" customHeight="1" x14ac:dyDescent="0.2">
      <c r="A33" s="696">
        <v>4</v>
      </c>
      <c r="B33" s="2139" t="s">
        <v>2226</v>
      </c>
      <c r="C33" s="2140"/>
      <c r="D33" s="932">
        <v>7250</v>
      </c>
      <c r="E33" s="205">
        <v>7250</v>
      </c>
      <c r="F33" s="205">
        <v>4500</v>
      </c>
      <c r="G33" s="922">
        <v>6255</v>
      </c>
      <c r="H33" s="201">
        <v>4500</v>
      </c>
      <c r="I33" s="696" t="s">
        <v>2203</v>
      </c>
      <c r="J33" s="934" t="s">
        <v>2227</v>
      </c>
    </row>
    <row r="34" spans="1:10" ht="48.75" customHeight="1" x14ac:dyDescent="0.2">
      <c r="A34" s="174">
        <v>5</v>
      </c>
      <c r="B34" s="2139" t="s">
        <v>2228</v>
      </c>
      <c r="C34" s="2140"/>
      <c r="D34" s="935">
        <v>1760</v>
      </c>
      <c r="E34" s="936"/>
      <c r="F34" s="936">
        <v>1760</v>
      </c>
      <c r="G34" s="937">
        <v>2239</v>
      </c>
      <c r="H34" s="938">
        <v>1760</v>
      </c>
      <c r="I34" s="174" t="s">
        <v>2203</v>
      </c>
      <c r="J34" s="939" t="s">
        <v>2229</v>
      </c>
    </row>
    <row r="35" spans="1:10" hidden="1" x14ac:dyDescent="0.2">
      <c r="A35" s="2124" t="s">
        <v>239</v>
      </c>
      <c r="B35" s="2125"/>
      <c r="C35" s="1114"/>
      <c r="D35" s="1677">
        <f>SUM(D9,D23,D29)</f>
        <v>426448</v>
      </c>
      <c r="E35" s="1677">
        <f>SUM(E9,E23,E29)</f>
        <v>417556</v>
      </c>
      <c r="F35" s="1677">
        <f>SUM(F9,F23,F29)</f>
        <v>423112.58</v>
      </c>
      <c r="G35" s="1678"/>
      <c r="H35" s="1677">
        <f>SUM(H9,H23,H29)</f>
        <v>418357</v>
      </c>
      <c r="I35" s="1677"/>
      <c r="J35" s="540"/>
    </row>
    <row r="36" spans="1:10" x14ac:dyDescent="0.2">
      <c r="A36" s="1679" t="s">
        <v>400</v>
      </c>
      <c r="B36" s="1679"/>
      <c r="C36" s="1679"/>
      <c r="D36" s="1679"/>
      <c r="E36" s="1679"/>
      <c r="F36" s="1679"/>
      <c r="G36" s="1679"/>
      <c r="H36" s="1679"/>
      <c r="I36" s="1679"/>
    </row>
    <row r="37" spans="1:10" x14ac:dyDescent="0.2">
      <c r="A37" s="151" t="s">
        <v>2230</v>
      </c>
      <c r="B37" s="151"/>
      <c r="C37" s="151"/>
      <c r="D37" s="151"/>
      <c r="E37" s="151"/>
    </row>
    <row r="38" spans="1:10" x14ac:dyDescent="0.2">
      <c r="A38" s="151"/>
      <c r="B38" s="151" t="s">
        <v>2231</v>
      </c>
      <c r="C38" s="151"/>
      <c r="E38" s="151"/>
    </row>
    <row r="39" spans="1:10" x14ac:dyDescent="0.2">
      <c r="A39" s="151"/>
      <c r="B39" s="151"/>
      <c r="C39" s="151"/>
      <c r="D39" s="151"/>
      <c r="E39" s="151"/>
    </row>
    <row r="40" spans="1:10" x14ac:dyDescent="0.2">
      <c r="A40" s="151" t="s">
        <v>240</v>
      </c>
      <c r="B40" s="151"/>
      <c r="C40" s="151"/>
      <c r="D40" s="151"/>
      <c r="E40" s="151"/>
    </row>
    <row r="41" spans="1:10" x14ac:dyDescent="0.2">
      <c r="A41" s="151"/>
      <c r="B41" s="151" t="s">
        <v>2232</v>
      </c>
      <c r="C41" s="151"/>
      <c r="E41" s="151"/>
    </row>
    <row r="42" spans="1:10" x14ac:dyDescent="0.2">
      <c r="A42" s="151"/>
      <c r="B42" s="151" t="s">
        <v>2233</v>
      </c>
      <c r="C42" s="151"/>
      <c r="D42" s="151"/>
      <c r="E42" s="151"/>
    </row>
    <row r="43" spans="1:10" x14ac:dyDescent="0.2">
      <c r="A43" s="151"/>
      <c r="B43" s="151" t="s">
        <v>2234</v>
      </c>
      <c r="C43" s="151"/>
      <c r="E43" s="151"/>
    </row>
    <row r="44" spans="1:10" x14ac:dyDescent="0.2">
      <c r="A44" s="151"/>
      <c r="B44" s="151" t="s">
        <v>2235</v>
      </c>
      <c r="C44" s="151"/>
      <c r="E44" s="151"/>
    </row>
    <row r="45" spans="1:10" ht="12.75" x14ac:dyDescent="0.2">
      <c r="A45" s="941"/>
      <c r="B45" s="151" t="s">
        <v>2236</v>
      </c>
      <c r="C45" s="151"/>
      <c r="E45" s="942"/>
    </row>
    <row r="46" spans="1:10" ht="12.75" x14ac:dyDescent="0.2">
      <c r="A46" s="941"/>
      <c r="B46" s="151" t="s">
        <v>2237</v>
      </c>
      <c r="C46" s="151"/>
      <c r="E46" s="942"/>
    </row>
    <row r="47" spans="1:10" ht="12.75" x14ac:dyDescent="0.2">
      <c r="A47" s="941"/>
      <c r="B47" s="151" t="s">
        <v>2238</v>
      </c>
      <c r="C47" s="151"/>
      <c r="E47" s="942"/>
    </row>
  </sheetData>
  <sheetProtection algorithmName="SHA-512" hashValue="EqqvPDkcYqlCSh+NEzaNfI4/R0i+lV9xh1DroDniB4KA1shqfd3TZKgGnrvDRA1hRTc6OCNKQKy5+hW8YzSLbg==" saltValue="EnE7pNoJstx2NQ6j66oFFA==" spinCount="100000" sheet="1" objects="1" scenarios="1"/>
  <mergeCells count="27">
    <mergeCell ref="B34:C34"/>
    <mergeCell ref="A29:C29"/>
    <mergeCell ref="B30:C30"/>
    <mergeCell ref="B31:C31"/>
    <mergeCell ref="B32:C32"/>
    <mergeCell ref="B33:C33"/>
    <mergeCell ref="B18:C18"/>
    <mergeCell ref="B22:C22"/>
    <mergeCell ref="A23:C23"/>
    <mergeCell ref="B24:C24"/>
    <mergeCell ref="B28:C28"/>
    <mergeCell ref="A35:B35"/>
    <mergeCell ref="A1:B1"/>
    <mergeCell ref="A2:B2"/>
    <mergeCell ref="A3:J3"/>
    <mergeCell ref="J10:J11"/>
    <mergeCell ref="A15:A17"/>
    <mergeCell ref="I15:I17"/>
    <mergeCell ref="J15:J17"/>
    <mergeCell ref="B8:C8"/>
    <mergeCell ref="A9:C9"/>
    <mergeCell ref="B10:C10"/>
    <mergeCell ref="B11:C11"/>
    <mergeCell ref="B12:C12"/>
    <mergeCell ref="B13:C13"/>
    <mergeCell ref="B14:C14"/>
    <mergeCell ref="B15:C17"/>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29.pielikums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6"/>
  <sheetViews>
    <sheetView view="pageLayout" zoomScaleNormal="100" workbookViewId="0">
      <selection activeCell="L6" sqref="K6:L6"/>
    </sheetView>
  </sheetViews>
  <sheetFormatPr defaultColWidth="9.140625" defaultRowHeight="12" x14ac:dyDescent="0.2"/>
  <cols>
    <col min="1" max="1" width="6.140625" style="161" customWidth="1"/>
    <col min="2" max="2" width="26.85546875" style="161" customWidth="1"/>
    <col min="3" max="3" width="10.42578125" style="161" customWidth="1"/>
    <col min="4" max="4" width="11.85546875" style="161" hidden="1" customWidth="1"/>
    <col min="5" max="5" width="11.140625" style="161" hidden="1" customWidth="1"/>
    <col min="6" max="6" width="10.28515625" style="161" hidden="1" customWidth="1"/>
    <col min="7" max="7" width="10.5703125" style="161" customWidth="1"/>
    <col min="8" max="8" width="9.7109375" style="161" customWidth="1"/>
    <col min="9" max="9" width="19.140625" style="1615" customWidth="1"/>
    <col min="10" max="10" width="28.7109375" style="161" hidden="1" customWidth="1"/>
    <col min="11" max="16384" width="9.140625" style="161"/>
  </cols>
  <sheetData>
    <row r="1" spans="1:10" x14ac:dyDescent="0.2">
      <c r="A1" s="1772" t="s">
        <v>117</v>
      </c>
      <c r="B1" s="1772"/>
      <c r="C1" s="160" t="s">
        <v>2194</v>
      </c>
      <c r="D1" s="160"/>
      <c r="E1" s="160"/>
      <c r="F1" s="160"/>
      <c r="G1" s="160"/>
      <c r="H1" s="160"/>
      <c r="J1" s="160"/>
    </row>
    <row r="2" spans="1:10" x14ac:dyDescent="0.2">
      <c r="A2" s="1772" t="s">
        <v>119</v>
      </c>
      <c r="B2" s="1772"/>
      <c r="C2" s="1498">
        <v>90000594245</v>
      </c>
      <c r="D2" s="1096"/>
      <c r="E2" s="160"/>
      <c r="F2" s="160"/>
      <c r="G2" s="160"/>
      <c r="H2" s="160"/>
      <c r="J2" s="160"/>
    </row>
    <row r="3" spans="1:10" ht="15.75" x14ac:dyDescent="0.25">
      <c r="A3" s="1773" t="s">
        <v>120</v>
      </c>
      <c r="B3" s="1773"/>
      <c r="C3" s="1773"/>
      <c r="D3" s="1773"/>
      <c r="E3" s="1773"/>
      <c r="F3" s="1773"/>
      <c r="G3" s="1773"/>
      <c r="H3" s="1773"/>
      <c r="I3" s="1773"/>
      <c r="J3" s="1773"/>
    </row>
    <row r="4" spans="1:10" ht="15.75" x14ac:dyDescent="0.25">
      <c r="A4" s="1097"/>
      <c r="B4" s="1097"/>
      <c r="C4" s="1499"/>
      <c r="D4" s="1097"/>
      <c r="E4" s="1097"/>
      <c r="F4" s="1097"/>
      <c r="G4" s="1097"/>
      <c r="H4" s="1097"/>
      <c r="I4" s="1499"/>
      <c r="J4" s="1097"/>
    </row>
    <row r="5" spans="1:10" ht="15.75" x14ac:dyDescent="0.25">
      <c r="A5" s="160" t="s">
        <v>121</v>
      </c>
      <c r="B5" s="160"/>
      <c r="C5" s="163" t="s">
        <v>2239</v>
      </c>
      <c r="D5" s="163"/>
      <c r="E5" s="160"/>
      <c r="F5" s="160"/>
      <c r="G5" s="160"/>
      <c r="H5" s="160"/>
      <c r="J5" s="160"/>
    </row>
    <row r="6" spans="1:10" ht="12.75" x14ac:dyDescent="0.2">
      <c r="A6" s="160" t="s">
        <v>123</v>
      </c>
      <c r="B6" s="160"/>
      <c r="C6" s="927" t="s">
        <v>2240</v>
      </c>
      <c r="D6" s="927"/>
      <c r="E6" s="160"/>
      <c r="F6" s="160"/>
      <c r="G6" s="160"/>
      <c r="H6" s="160"/>
      <c r="J6" s="160"/>
    </row>
    <row r="7" spans="1:10" x14ac:dyDescent="0.2">
      <c r="A7" s="160" t="s">
        <v>125</v>
      </c>
      <c r="B7" s="160"/>
      <c r="C7" s="920" t="s">
        <v>2241</v>
      </c>
      <c r="D7" s="920"/>
      <c r="E7" s="160"/>
      <c r="F7" s="160"/>
      <c r="G7" s="160"/>
      <c r="H7" s="160"/>
      <c r="J7" s="160"/>
    </row>
    <row r="8" spans="1:10" ht="48" x14ac:dyDescent="0.2">
      <c r="A8" s="1549" t="s">
        <v>1</v>
      </c>
      <c r="B8" s="1777" t="s">
        <v>127</v>
      </c>
      <c r="C8" s="1778"/>
      <c r="D8" s="1549" t="s">
        <v>14</v>
      </c>
      <c r="E8" s="1549" t="s">
        <v>12</v>
      </c>
      <c r="F8" s="1549" t="s">
        <v>128</v>
      </c>
      <c r="G8" s="1549" t="s">
        <v>129</v>
      </c>
      <c r="H8" s="1549" t="s">
        <v>3357</v>
      </c>
      <c r="I8" s="1549" t="s">
        <v>11</v>
      </c>
      <c r="J8" s="1121" t="s">
        <v>131</v>
      </c>
    </row>
    <row r="9" spans="1:10" ht="12.75" customHeight="1" x14ac:dyDescent="0.2">
      <c r="A9" s="1779" t="s">
        <v>132</v>
      </c>
      <c r="B9" s="1780"/>
      <c r="C9" s="1781"/>
      <c r="D9" s="167">
        <f>SUM(D10:D12)</f>
        <v>6592</v>
      </c>
      <c r="E9" s="167">
        <f>SUM(E10:E12)</f>
        <v>6160</v>
      </c>
      <c r="F9" s="167">
        <f>SUM(F10:F12)</f>
        <v>6702</v>
      </c>
      <c r="G9" s="167"/>
      <c r="H9" s="167">
        <f>SUM(H10:H12)</f>
        <v>6592</v>
      </c>
      <c r="I9" s="1647"/>
      <c r="J9" s="200"/>
    </row>
    <row r="10" spans="1:10" ht="30" customHeight="1" x14ac:dyDescent="0.2">
      <c r="A10" s="1939">
        <v>1</v>
      </c>
      <c r="B10" s="2146" t="s">
        <v>2242</v>
      </c>
      <c r="C10" s="2147"/>
      <c r="D10" s="943">
        <v>2290</v>
      </c>
      <c r="E10" s="1545">
        <v>2290</v>
      </c>
      <c r="F10" s="1545">
        <v>2400</v>
      </c>
      <c r="G10" s="944">
        <v>6259</v>
      </c>
      <c r="H10" s="201">
        <v>2290</v>
      </c>
      <c r="I10" s="2141" t="s">
        <v>2243</v>
      </c>
      <c r="J10" s="2150" t="s">
        <v>2244</v>
      </c>
    </row>
    <row r="11" spans="1:10" ht="30" customHeight="1" x14ac:dyDescent="0.2">
      <c r="A11" s="1940"/>
      <c r="B11" s="2148"/>
      <c r="C11" s="2149"/>
      <c r="D11" s="943">
        <v>1710</v>
      </c>
      <c r="E11" s="1545">
        <v>1710</v>
      </c>
      <c r="F11" s="1545">
        <v>1710</v>
      </c>
      <c r="G11" s="944">
        <v>6423</v>
      </c>
      <c r="H11" s="201">
        <v>1710</v>
      </c>
      <c r="I11" s="2143"/>
      <c r="J11" s="2151"/>
    </row>
    <row r="12" spans="1:10" ht="30" customHeight="1" x14ac:dyDescent="0.2">
      <c r="A12" s="1545">
        <v>2</v>
      </c>
      <c r="B12" s="2139" t="s">
        <v>2245</v>
      </c>
      <c r="C12" s="2140"/>
      <c r="D12" s="945">
        <v>2592</v>
      </c>
      <c r="E12" s="1545">
        <v>2160</v>
      </c>
      <c r="F12" s="1545">
        <v>2592</v>
      </c>
      <c r="G12" s="944">
        <v>6423</v>
      </c>
      <c r="H12" s="201">
        <v>2592</v>
      </c>
      <c r="I12" s="950" t="s">
        <v>2243</v>
      </c>
      <c r="J12" s="946" t="s">
        <v>2246</v>
      </c>
    </row>
    <row r="13" spans="1:10" x14ac:dyDescent="0.2">
      <c r="A13" s="169"/>
      <c r="B13" s="169"/>
      <c r="C13" s="169"/>
      <c r="D13" s="169"/>
      <c r="E13" s="169"/>
      <c r="F13" s="169"/>
      <c r="G13" s="169"/>
      <c r="H13" s="169"/>
      <c r="I13" s="1625"/>
      <c r="J13" s="169"/>
    </row>
    <row r="14" spans="1:10" ht="12.75" x14ac:dyDescent="0.2">
      <c r="A14" s="160" t="s">
        <v>123</v>
      </c>
      <c r="B14" s="160"/>
      <c r="C14" s="927" t="s">
        <v>2247</v>
      </c>
      <c r="D14" s="927"/>
      <c r="E14" s="160"/>
      <c r="F14" s="160"/>
      <c r="G14" s="160"/>
      <c r="H14" s="160"/>
      <c r="J14" s="160"/>
    </row>
    <row r="15" spans="1:10" x14ac:dyDescent="0.2">
      <c r="A15" s="160" t="s">
        <v>125</v>
      </c>
      <c r="B15" s="160"/>
      <c r="C15" s="920" t="s">
        <v>2248</v>
      </c>
      <c r="D15" s="920"/>
      <c r="E15" s="160"/>
      <c r="F15" s="160"/>
      <c r="G15" s="160"/>
      <c r="H15" s="160"/>
      <c r="J15" s="160"/>
    </row>
    <row r="16" spans="1:10" ht="48" x14ac:dyDescent="0.2">
      <c r="A16" s="1121" t="s">
        <v>1</v>
      </c>
      <c r="B16" s="1777" t="s">
        <v>127</v>
      </c>
      <c r="C16" s="1778"/>
      <c r="D16" s="1121" t="s">
        <v>14</v>
      </c>
      <c r="E16" s="1121" t="s">
        <v>12</v>
      </c>
      <c r="F16" s="1121" t="s">
        <v>128</v>
      </c>
      <c r="G16" s="1121" t="s">
        <v>129</v>
      </c>
      <c r="H16" s="1121" t="s">
        <v>3357</v>
      </c>
      <c r="I16" s="1549" t="s">
        <v>11</v>
      </c>
      <c r="J16" s="1121" t="s">
        <v>131</v>
      </c>
    </row>
    <row r="17" spans="1:10" ht="12.75" customHeight="1" x14ac:dyDescent="0.2">
      <c r="A17" s="1779" t="s">
        <v>132</v>
      </c>
      <c r="B17" s="1780"/>
      <c r="C17" s="1781"/>
      <c r="D17" s="167">
        <f>SUM(D18:D20)</f>
        <v>539750</v>
      </c>
      <c r="E17" s="167">
        <f>SUM(E18:E20)</f>
        <v>539750</v>
      </c>
      <c r="F17" s="167">
        <f>SUM(F18:F20)</f>
        <v>783625</v>
      </c>
      <c r="G17" s="167"/>
      <c r="H17" s="167">
        <f>SUM(H18:H20)</f>
        <v>916625</v>
      </c>
      <c r="I17" s="1647"/>
      <c r="J17" s="200"/>
    </row>
    <row r="18" spans="1:10" ht="28.5" customHeight="1" x14ac:dyDescent="0.2">
      <c r="A18" s="1939">
        <v>1</v>
      </c>
      <c r="B18" s="2146" t="s">
        <v>2249</v>
      </c>
      <c r="C18" s="2147"/>
      <c r="D18" s="943">
        <v>39000</v>
      </c>
      <c r="E18" s="1111">
        <v>39000</v>
      </c>
      <c r="F18" s="1111">
        <v>39000</v>
      </c>
      <c r="G18" s="944">
        <v>6252</v>
      </c>
      <c r="H18" s="201">
        <v>35000</v>
      </c>
      <c r="I18" s="1939" t="s">
        <v>2243</v>
      </c>
      <c r="J18" s="2150" t="s">
        <v>2250</v>
      </c>
    </row>
    <row r="19" spans="1:10" ht="28.5" customHeight="1" x14ac:dyDescent="0.2">
      <c r="A19" s="1940"/>
      <c r="B19" s="2148"/>
      <c r="C19" s="2149"/>
      <c r="D19" s="943">
        <v>13000</v>
      </c>
      <c r="E19" s="1111">
        <v>13000</v>
      </c>
      <c r="F19" s="1111">
        <v>13000</v>
      </c>
      <c r="G19" s="944">
        <v>6423</v>
      </c>
      <c r="H19" s="201">
        <v>11000</v>
      </c>
      <c r="I19" s="1940"/>
      <c r="J19" s="2151"/>
    </row>
    <row r="20" spans="1:10" ht="28.5" customHeight="1" x14ac:dyDescent="0.2">
      <c r="A20" s="1100">
        <v>2</v>
      </c>
      <c r="B20" s="2131" t="s">
        <v>2251</v>
      </c>
      <c r="C20" s="2132"/>
      <c r="D20" s="943">
        <v>487750</v>
      </c>
      <c r="E20" s="1111">
        <v>487750</v>
      </c>
      <c r="F20" s="1111">
        <f>487750*1.5</f>
        <v>731625</v>
      </c>
      <c r="G20" s="944">
        <v>6423</v>
      </c>
      <c r="H20" s="201">
        <f>731625+139000</f>
        <v>870625</v>
      </c>
      <c r="I20" s="1545" t="s">
        <v>2243</v>
      </c>
      <c r="J20" s="947" t="s">
        <v>3339</v>
      </c>
    </row>
    <row r="21" spans="1:10" x14ac:dyDescent="0.2">
      <c r="A21" s="169"/>
      <c r="B21" s="169"/>
      <c r="C21" s="169"/>
      <c r="D21" s="169"/>
      <c r="E21" s="169"/>
      <c r="F21" s="169"/>
      <c r="G21" s="169"/>
      <c r="H21" s="169"/>
      <c r="I21" s="1625"/>
      <c r="J21" s="169"/>
    </row>
    <row r="22" spans="1:10" ht="12.75" x14ac:dyDescent="0.2">
      <c r="A22" s="160" t="s">
        <v>123</v>
      </c>
      <c r="B22" s="160"/>
      <c r="C22" s="948" t="s">
        <v>2196</v>
      </c>
      <c r="D22" s="948"/>
      <c r="E22" s="160"/>
      <c r="F22" s="160"/>
      <c r="G22" s="160"/>
      <c r="H22" s="160"/>
      <c r="J22" s="160"/>
    </row>
    <row r="23" spans="1:10" x14ac:dyDescent="0.2">
      <c r="A23" s="160" t="s">
        <v>125</v>
      </c>
      <c r="B23" s="160"/>
      <c r="C23" s="920" t="s">
        <v>2197</v>
      </c>
      <c r="D23" s="920"/>
      <c r="E23" s="160"/>
      <c r="F23" s="160"/>
      <c r="G23" s="160"/>
      <c r="H23" s="160"/>
      <c r="J23" s="160"/>
    </row>
    <row r="24" spans="1:10" ht="48" x14ac:dyDescent="0.2">
      <c r="A24" s="1549" t="s">
        <v>1</v>
      </c>
      <c r="B24" s="1777" t="s">
        <v>127</v>
      </c>
      <c r="C24" s="1778"/>
      <c r="D24" s="1549" t="s">
        <v>14</v>
      </c>
      <c r="E24" s="1549" t="s">
        <v>12</v>
      </c>
      <c r="F24" s="1549" t="s">
        <v>128</v>
      </c>
      <c r="G24" s="1549" t="s">
        <v>129</v>
      </c>
      <c r="H24" s="1549" t="s">
        <v>3357</v>
      </c>
      <c r="I24" s="1549" t="s">
        <v>11</v>
      </c>
      <c r="J24" s="1121" t="s">
        <v>131</v>
      </c>
    </row>
    <row r="25" spans="1:10" ht="12.75" customHeight="1" x14ac:dyDescent="0.2">
      <c r="A25" s="1779" t="s">
        <v>132</v>
      </c>
      <c r="B25" s="1780"/>
      <c r="C25" s="1781"/>
      <c r="D25" s="167">
        <f>SUM(D26:D30)</f>
        <v>81265</v>
      </c>
      <c r="E25" s="167">
        <f>SUM(E26:E30)</f>
        <v>77265</v>
      </c>
      <c r="F25" s="167">
        <f>SUM(F26:F30)</f>
        <v>81065</v>
      </c>
      <c r="G25" s="167"/>
      <c r="H25" s="167">
        <f>SUM(H26:H30)</f>
        <v>79265</v>
      </c>
      <c r="I25" s="1647"/>
      <c r="J25" s="200"/>
    </row>
    <row r="26" spans="1:10" ht="29.25" customHeight="1" x14ac:dyDescent="0.2">
      <c r="A26" s="1545">
        <v>1</v>
      </c>
      <c r="B26" s="2139" t="s">
        <v>2252</v>
      </c>
      <c r="C26" s="2140"/>
      <c r="D26" s="945">
        <v>27000</v>
      </c>
      <c r="E26" s="1545">
        <v>25000</v>
      </c>
      <c r="F26" s="1545">
        <v>27000</v>
      </c>
      <c r="G26" s="944">
        <v>6260</v>
      </c>
      <c r="H26" s="201">
        <v>27000</v>
      </c>
      <c r="I26" s="950" t="s">
        <v>2243</v>
      </c>
      <c r="J26" s="946" t="s">
        <v>2253</v>
      </c>
    </row>
    <row r="27" spans="1:10" ht="29.25" customHeight="1" x14ac:dyDescent="0.2">
      <c r="A27" s="949">
        <v>2</v>
      </c>
      <c r="B27" s="2131" t="s">
        <v>2249</v>
      </c>
      <c r="C27" s="2132"/>
      <c r="D27" s="943">
        <v>10500</v>
      </c>
      <c r="E27" s="1545">
        <v>9500</v>
      </c>
      <c r="F27" s="1545">
        <v>9500</v>
      </c>
      <c r="G27" s="944">
        <v>6252</v>
      </c>
      <c r="H27" s="201">
        <v>9500</v>
      </c>
      <c r="I27" s="950" t="s">
        <v>2243</v>
      </c>
      <c r="J27" s="946" t="s">
        <v>2254</v>
      </c>
    </row>
    <row r="28" spans="1:10" ht="29.25" customHeight="1" x14ac:dyDescent="0.2">
      <c r="A28" s="1545">
        <v>3</v>
      </c>
      <c r="B28" s="2131" t="s">
        <v>2255</v>
      </c>
      <c r="C28" s="2132"/>
      <c r="D28" s="943">
        <v>20500</v>
      </c>
      <c r="E28" s="1545">
        <v>20500</v>
      </c>
      <c r="F28" s="1545">
        <v>22300</v>
      </c>
      <c r="G28" s="944">
        <v>6423</v>
      </c>
      <c r="H28" s="201">
        <v>20500</v>
      </c>
      <c r="I28" s="950" t="s">
        <v>2243</v>
      </c>
      <c r="J28" s="946" t="s">
        <v>2256</v>
      </c>
    </row>
    <row r="29" spans="1:10" ht="29.25" customHeight="1" x14ac:dyDescent="0.2">
      <c r="A29" s="1545">
        <v>4</v>
      </c>
      <c r="B29" s="2131" t="s">
        <v>2257</v>
      </c>
      <c r="C29" s="2132"/>
      <c r="D29" s="943">
        <v>18765</v>
      </c>
      <c r="E29" s="1545">
        <v>18765</v>
      </c>
      <c r="F29" s="1545">
        <v>18765</v>
      </c>
      <c r="G29" s="944">
        <v>6423</v>
      </c>
      <c r="H29" s="201">
        <v>18765</v>
      </c>
      <c r="I29" s="950" t="s">
        <v>2258</v>
      </c>
      <c r="J29" s="946" t="s">
        <v>2259</v>
      </c>
    </row>
    <row r="30" spans="1:10" ht="29.25" customHeight="1" x14ac:dyDescent="0.2">
      <c r="A30" s="1543">
        <v>5</v>
      </c>
      <c r="B30" s="1943" t="s">
        <v>2260</v>
      </c>
      <c r="C30" s="1944"/>
      <c r="D30" s="1545">
        <v>4500</v>
      </c>
      <c r="E30" s="1545">
        <v>3500</v>
      </c>
      <c r="F30" s="1545">
        <v>3500</v>
      </c>
      <c r="G30" s="944">
        <v>6259</v>
      </c>
      <c r="H30" s="201">
        <v>3500</v>
      </c>
      <c r="I30" s="1648" t="s">
        <v>2243</v>
      </c>
      <c r="J30" s="200" t="s">
        <v>2261</v>
      </c>
    </row>
    <row r="31" spans="1:10" x14ac:dyDescent="0.2">
      <c r="A31" s="169"/>
      <c r="B31" s="169"/>
      <c r="C31" s="169"/>
      <c r="D31" s="169"/>
      <c r="E31" s="169"/>
      <c r="F31" s="169"/>
      <c r="G31" s="169"/>
      <c r="H31" s="169"/>
      <c r="I31" s="1625"/>
      <c r="J31" s="169"/>
    </row>
    <row r="32" spans="1:10" ht="12.75" x14ac:dyDescent="0.2">
      <c r="A32" s="160" t="s">
        <v>123</v>
      </c>
      <c r="B32" s="160"/>
      <c r="C32" s="927" t="s">
        <v>2215</v>
      </c>
      <c r="D32" s="927"/>
      <c r="E32" s="160"/>
      <c r="F32" s="160"/>
      <c r="G32" s="160"/>
      <c r="H32" s="160"/>
      <c r="J32" s="160"/>
    </row>
    <row r="33" spans="1:10" x14ac:dyDescent="0.2">
      <c r="A33" s="160" t="s">
        <v>125</v>
      </c>
      <c r="B33" s="160"/>
      <c r="C33" s="920" t="s">
        <v>2216</v>
      </c>
      <c r="D33" s="920"/>
      <c r="E33" s="160"/>
      <c r="F33" s="160"/>
      <c r="G33" s="160"/>
      <c r="H33" s="160"/>
      <c r="J33" s="160"/>
    </row>
    <row r="34" spans="1:10" ht="48" x14ac:dyDescent="0.2">
      <c r="A34" s="1121" t="s">
        <v>1</v>
      </c>
      <c r="B34" s="1777" t="s">
        <v>127</v>
      </c>
      <c r="C34" s="1778"/>
      <c r="D34" s="1121" t="s">
        <v>14</v>
      </c>
      <c r="E34" s="1121" t="s">
        <v>12</v>
      </c>
      <c r="F34" s="1121" t="s">
        <v>128</v>
      </c>
      <c r="G34" s="1121" t="s">
        <v>129</v>
      </c>
      <c r="H34" s="1121" t="s">
        <v>3357</v>
      </c>
      <c r="I34" s="1549" t="s">
        <v>11</v>
      </c>
      <c r="J34" s="1121" t="s">
        <v>131</v>
      </c>
    </row>
    <row r="35" spans="1:10" ht="15" customHeight="1" x14ac:dyDescent="0.2">
      <c r="A35" s="1779" t="s">
        <v>132</v>
      </c>
      <c r="B35" s="1780"/>
      <c r="C35" s="1781"/>
      <c r="D35" s="167">
        <f>SUM(D36:D40)</f>
        <v>231700</v>
      </c>
      <c r="E35" s="167">
        <f>SUM(E36:E40)</f>
        <v>229700</v>
      </c>
      <c r="F35" s="167">
        <f>SUM(F36:F40)</f>
        <v>229700</v>
      </c>
      <c r="G35" s="167"/>
      <c r="H35" s="167">
        <f>SUM(H36:H40)</f>
        <v>220500</v>
      </c>
      <c r="I35" s="1647"/>
      <c r="J35" s="200"/>
    </row>
    <row r="36" spans="1:10" ht="14.25" customHeight="1" x14ac:dyDescent="0.2">
      <c r="A36" s="1774">
        <v>1</v>
      </c>
      <c r="B36" s="1782" t="s">
        <v>2262</v>
      </c>
      <c r="C36" s="1783"/>
      <c r="D36" s="1111">
        <v>204200</v>
      </c>
      <c r="E36" s="1111">
        <v>204200</v>
      </c>
      <c r="F36" s="1111">
        <v>204200</v>
      </c>
      <c r="G36" s="944">
        <v>6360</v>
      </c>
      <c r="H36" s="201">
        <v>200000</v>
      </c>
      <c r="I36" s="2141" t="s">
        <v>2243</v>
      </c>
      <c r="J36" s="946" t="s">
        <v>2263</v>
      </c>
    </row>
    <row r="37" spans="1:10" ht="14.25" customHeight="1" x14ac:dyDescent="0.2">
      <c r="A37" s="1775"/>
      <c r="B37" s="1788"/>
      <c r="C37" s="1789"/>
      <c r="D37" s="1111">
        <v>3500</v>
      </c>
      <c r="E37" s="1111">
        <v>3500</v>
      </c>
      <c r="F37" s="1111">
        <v>3500</v>
      </c>
      <c r="G37" s="944">
        <v>6270</v>
      </c>
      <c r="H37" s="201">
        <v>3500</v>
      </c>
      <c r="I37" s="2142"/>
      <c r="J37" s="946" t="s">
        <v>2263</v>
      </c>
    </row>
    <row r="38" spans="1:10" ht="14.25" customHeight="1" x14ac:dyDescent="0.2">
      <c r="A38" s="1775"/>
      <c r="B38" s="1788"/>
      <c r="C38" s="1789"/>
      <c r="D38" s="1111">
        <v>1000</v>
      </c>
      <c r="E38" s="1111">
        <v>1000</v>
      </c>
      <c r="F38" s="1111">
        <v>1000</v>
      </c>
      <c r="G38" s="944">
        <v>6324</v>
      </c>
      <c r="H38" s="201">
        <v>1000</v>
      </c>
      <c r="I38" s="2142"/>
      <c r="J38" s="946" t="s">
        <v>2264</v>
      </c>
    </row>
    <row r="39" spans="1:10" ht="14.25" customHeight="1" x14ac:dyDescent="0.2">
      <c r="A39" s="1775"/>
      <c r="B39" s="1788"/>
      <c r="C39" s="1789"/>
      <c r="D39" s="1111">
        <v>1000</v>
      </c>
      <c r="E39" s="1111">
        <v>1000</v>
      </c>
      <c r="F39" s="1111">
        <v>1000</v>
      </c>
      <c r="G39" s="944">
        <v>6255</v>
      </c>
      <c r="H39" s="201">
        <v>1000</v>
      </c>
      <c r="I39" s="2142"/>
      <c r="J39" s="946" t="s">
        <v>2265</v>
      </c>
    </row>
    <row r="40" spans="1:10" ht="14.25" customHeight="1" x14ac:dyDescent="0.2">
      <c r="A40" s="1776"/>
      <c r="B40" s="1784"/>
      <c r="C40" s="1785"/>
      <c r="D40" s="1111">
        <v>22000</v>
      </c>
      <c r="E40" s="1111">
        <v>20000</v>
      </c>
      <c r="F40" s="1111">
        <v>20000</v>
      </c>
      <c r="G40" s="944">
        <v>6423</v>
      </c>
      <c r="H40" s="201">
        <v>15000</v>
      </c>
      <c r="I40" s="2143"/>
      <c r="J40" s="946" t="s">
        <v>2266</v>
      </c>
    </row>
    <row r="41" spans="1:10" x14ac:dyDescent="0.2">
      <c r="A41" s="169"/>
      <c r="B41" s="169"/>
      <c r="C41" s="169"/>
      <c r="D41" s="169"/>
      <c r="E41" s="169"/>
      <c r="F41" s="169"/>
      <c r="G41" s="169"/>
      <c r="H41" s="173"/>
      <c r="I41" s="1649"/>
      <c r="J41" s="169"/>
    </row>
    <row r="42" spans="1:10" ht="12.75" x14ac:dyDescent="0.2">
      <c r="A42" s="160" t="s">
        <v>123</v>
      </c>
      <c r="B42" s="160"/>
      <c r="C42" s="927" t="s">
        <v>2267</v>
      </c>
      <c r="D42" s="927"/>
      <c r="E42" s="160"/>
      <c r="F42" s="160"/>
      <c r="G42" s="160"/>
      <c r="H42" s="160"/>
      <c r="J42" s="160"/>
    </row>
    <row r="43" spans="1:10" x14ac:dyDescent="0.2">
      <c r="A43" s="160" t="s">
        <v>125</v>
      </c>
      <c r="B43" s="160"/>
      <c r="C43" s="920" t="s">
        <v>214</v>
      </c>
      <c r="D43" s="920"/>
      <c r="E43" s="160"/>
      <c r="F43" s="160"/>
      <c r="G43" s="160"/>
      <c r="H43" s="160"/>
      <c r="J43" s="160"/>
    </row>
    <row r="44" spans="1:10" ht="48" x14ac:dyDescent="0.2">
      <c r="A44" s="1549" t="s">
        <v>1</v>
      </c>
      <c r="B44" s="1777" t="s">
        <v>127</v>
      </c>
      <c r="C44" s="1778"/>
      <c r="D44" s="1549" t="s">
        <v>14</v>
      </c>
      <c r="E44" s="1549" t="s">
        <v>12</v>
      </c>
      <c r="F44" s="1549" t="s">
        <v>128</v>
      </c>
      <c r="G44" s="1549" t="s">
        <v>129</v>
      </c>
      <c r="H44" s="1549" t="s">
        <v>3357</v>
      </c>
      <c r="I44" s="1549" t="s">
        <v>11</v>
      </c>
      <c r="J44" s="1121" t="s">
        <v>131</v>
      </c>
    </row>
    <row r="45" spans="1:10" ht="15" customHeight="1" x14ac:dyDescent="0.2">
      <c r="A45" s="1779" t="s">
        <v>132</v>
      </c>
      <c r="B45" s="1780"/>
      <c r="C45" s="1781"/>
      <c r="D45" s="167">
        <f>SUM(D46:D50)</f>
        <v>87470</v>
      </c>
      <c r="E45" s="167">
        <f>SUM(E46:E50)</f>
        <v>74500</v>
      </c>
      <c r="F45" s="167">
        <f>SUM(F46:F50)</f>
        <v>78500</v>
      </c>
      <c r="G45" s="167"/>
      <c r="H45" s="167">
        <f>SUM(H46:H50)</f>
        <v>77500</v>
      </c>
      <c r="I45" s="1647"/>
      <c r="J45" s="200"/>
    </row>
    <row r="46" spans="1:10" ht="30.75" customHeight="1" x14ac:dyDescent="0.2">
      <c r="A46" s="1545">
        <v>1</v>
      </c>
      <c r="B46" s="2139" t="s">
        <v>2252</v>
      </c>
      <c r="C46" s="2140"/>
      <c r="D46" s="945">
        <v>52000</v>
      </c>
      <c r="E46" s="1545">
        <v>40000</v>
      </c>
      <c r="F46" s="1545">
        <v>44000</v>
      </c>
      <c r="G46" s="944">
        <v>6260</v>
      </c>
      <c r="H46" s="201">
        <v>44000</v>
      </c>
      <c r="I46" s="950" t="s">
        <v>2243</v>
      </c>
      <c r="J46" s="946" t="s">
        <v>2268</v>
      </c>
    </row>
    <row r="47" spans="1:10" ht="30" customHeight="1" x14ac:dyDescent="0.2">
      <c r="A47" s="1545">
        <v>2</v>
      </c>
      <c r="B47" s="2131" t="s">
        <v>2249</v>
      </c>
      <c r="C47" s="2132"/>
      <c r="D47" s="943">
        <v>5970</v>
      </c>
      <c r="E47" s="1545">
        <v>5500</v>
      </c>
      <c r="F47" s="1545">
        <v>5500</v>
      </c>
      <c r="G47" s="944">
        <v>6252</v>
      </c>
      <c r="H47" s="201">
        <v>5000</v>
      </c>
      <c r="I47" s="950" t="s">
        <v>2243</v>
      </c>
      <c r="J47" s="946" t="s">
        <v>2269</v>
      </c>
    </row>
    <row r="48" spans="1:10" ht="30" customHeight="1" x14ac:dyDescent="0.2">
      <c r="A48" s="1545">
        <v>3</v>
      </c>
      <c r="B48" s="2131" t="s">
        <v>2270</v>
      </c>
      <c r="C48" s="2132"/>
      <c r="D48" s="943">
        <v>12500</v>
      </c>
      <c r="E48" s="1545">
        <v>12500</v>
      </c>
      <c r="F48" s="1545">
        <v>12500</v>
      </c>
      <c r="G48" s="944">
        <v>6423</v>
      </c>
      <c r="H48" s="201">
        <v>12500</v>
      </c>
      <c r="I48" s="950" t="s">
        <v>2243</v>
      </c>
      <c r="J48" s="946" t="s">
        <v>2271</v>
      </c>
    </row>
    <row r="49" spans="1:10" ht="21" customHeight="1" x14ac:dyDescent="0.2">
      <c r="A49" s="1774">
        <v>4</v>
      </c>
      <c r="B49" s="2146" t="s">
        <v>2272</v>
      </c>
      <c r="C49" s="2147"/>
      <c r="D49" s="943">
        <v>6000</v>
      </c>
      <c r="E49" s="1545">
        <v>6000</v>
      </c>
      <c r="F49" s="1545">
        <v>6000</v>
      </c>
      <c r="G49" s="944">
        <v>6254</v>
      </c>
      <c r="H49" s="201">
        <v>5500</v>
      </c>
      <c r="I49" s="2141" t="s">
        <v>2243</v>
      </c>
      <c r="J49" s="2150" t="s">
        <v>2263</v>
      </c>
    </row>
    <row r="50" spans="1:10" ht="21" customHeight="1" x14ac:dyDescent="0.2">
      <c r="A50" s="1776"/>
      <c r="B50" s="2148"/>
      <c r="C50" s="2149"/>
      <c r="D50" s="943">
        <v>11000</v>
      </c>
      <c r="E50" s="1545">
        <v>10500</v>
      </c>
      <c r="F50" s="1545">
        <v>10500</v>
      </c>
      <c r="G50" s="944">
        <v>6423</v>
      </c>
      <c r="H50" s="201">
        <v>10500</v>
      </c>
      <c r="I50" s="2143"/>
      <c r="J50" s="2151"/>
    </row>
    <row r="51" spans="1:10" x14ac:dyDescent="0.2">
      <c r="A51" s="169"/>
      <c r="B51" s="169"/>
      <c r="C51" s="169"/>
      <c r="D51" s="169"/>
      <c r="E51" s="169"/>
      <c r="F51" s="169"/>
      <c r="G51" s="169"/>
      <c r="H51" s="173"/>
      <c r="I51" s="1649"/>
      <c r="J51" s="169"/>
    </row>
    <row r="52" spans="1:10" ht="12.75" x14ac:dyDescent="0.2">
      <c r="A52" s="160" t="s">
        <v>123</v>
      </c>
      <c r="B52" s="160"/>
      <c r="C52" s="160"/>
      <c r="D52" s="927" t="s">
        <v>2273</v>
      </c>
      <c r="E52" s="160"/>
      <c r="F52" s="160"/>
      <c r="G52" s="160"/>
      <c r="H52" s="160"/>
      <c r="J52" s="160"/>
    </row>
    <row r="53" spans="1:10" x14ac:dyDescent="0.2">
      <c r="A53" s="160" t="s">
        <v>125</v>
      </c>
      <c r="B53" s="160"/>
      <c r="C53" s="160"/>
      <c r="D53" s="920" t="s">
        <v>2274</v>
      </c>
      <c r="E53" s="160"/>
      <c r="F53" s="160"/>
      <c r="G53" s="160"/>
      <c r="H53" s="160"/>
      <c r="J53" s="160"/>
    </row>
    <row r="54" spans="1:10" ht="48" x14ac:dyDescent="0.2">
      <c r="A54" s="1549" t="s">
        <v>1</v>
      </c>
      <c r="B54" s="1777" t="s">
        <v>127</v>
      </c>
      <c r="C54" s="1778"/>
      <c r="D54" s="1549" t="s">
        <v>14</v>
      </c>
      <c r="E54" s="1549" t="s">
        <v>12</v>
      </c>
      <c r="F54" s="1549" t="s">
        <v>128</v>
      </c>
      <c r="G54" s="1549" t="s">
        <v>129</v>
      </c>
      <c r="H54" s="1549" t="s">
        <v>3357</v>
      </c>
      <c r="I54" s="1549" t="s">
        <v>11</v>
      </c>
      <c r="J54" s="1121" t="s">
        <v>131</v>
      </c>
    </row>
    <row r="55" spans="1:10" ht="15" customHeight="1" x14ac:dyDescent="0.2">
      <c r="A55" s="1779" t="s">
        <v>132</v>
      </c>
      <c r="B55" s="1780"/>
      <c r="C55" s="1781"/>
      <c r="D55" s="167">
        <f t="shared" ref="D55:E55" si="0">SUM(D56:D59)</f>
        <v>339337</v>
      </c>
      <c r="E55" s="167">
        <f t="shared" si="0"/>
        <v>331068</v>
      </c>
      <c r="F55" s="167">
        <f>SUM(F56:F59)</f>
        <v>324950</v>
      </c>
      <c r="G55" s="167"/>
      <c r="H55" s="167">
        <f>SUM(H56:H59)</f>
        <v>324950</v>
      </c>
      <c r="I55" s="1647"/>
      <c r="J55" s="200"/>
    </row>
    <row r="56" spans="1:10" ht="36" customHeight="1" x14ac:dyDescent="0.2">
      <c r="A56" s="1545">
        <v>1</v>
      </c>
      <c r="B56" s="2139" t="s">
        <v>2275</v>
      </c>
      <c r="C56" s="2140"/>
      <c r="D56" s="945">
        <v>318687</v>
      </c>
      <c r="E56" s="1545">
        <v>311618</v>
      </c>
      <c r="F56" s="1545">
        <v>305000</v>
      </c>
      <c r="G56" s="944">
        <v>6423</v>
      </c>
      <c r="H56" s="201">
        <v>305000</v>
      </c>
      <c r="I56" s="950" t="s">
        <v>2243</v>
      </c>
      <c r="J56" s="946" t="s">
        <v>2276</v>
      </c>
    </row>
    <row r="57" spans="1:10" ht="26.25" customHeight="1" x14ac:dyDescent="0.2">
      <c r="A57" s="1545">
        <v>2</v>
      </c>
      <c r="B57" s="2139" t="s">
        <v>2277</v>
      </c>
      <c r="C57" s="2140"/>
      <c r="D57" s="945">
        <v>1050</v>
      </c>
      <c r="E57" s="1545">
        <v>1050</v>
      </c>
      <c r="F57" s="1545">
        <v>1050</v>
      </c>
      <c r="G57" s="944">
        <v>6423</v>
      </c>
      <c r="H57" s="201">
        <v>1050</v>
      </c>
      <c r="I57" s="950" t="s">
        <v>2243</v>
      </c>
      <c r="J57" s="946" t="s">
        <v>2278</v>
      </c>
    </row>
    <row r="58" spans="1:10" ht="36.75" customHeight="1" x14ac:dyDescent="0.2">
      <c r="A58" s="1545">
        <v>3</v>
      </c>
      <c r="B58" s="2144" t="s">
        <v>2279</v>
      </c>
      <c r="C58" s="2145"/>
      <c r="D58" s="952">
        <v>13000</v>
      </c>
      <c r="E58" s="1545">
        <v>12500</v>
      </c>
      <c r="F58" s="1545">
        <v>13000</v>
      </c>
      <c r="G58" s="944">
        <v>6423</v>
      </c>
      <c r="H58" s="201">
        <v>13000</v>
      </c>
      <c r="I58" s="950" t="s">
        <v>2243</v>
      </c>
      <c r="J58" s="946" t="s">
        <v>2280</v>
      </c>
    </row>
    <row r="59" spans="1:10" ht="36.75" customHeight="1" x14ac:dyDescent="0.2">
      <c r="A59" s="1545">
        <v>4</v>
      </c>
      <c r="B59" s="2144" t="s">
        <v>2281</v>
      </c>
      <c r="C59" s="2145"/>
      <c r="D59" s="952">
        <v>6600</v>
      </c>
      <c r="E59" s="1545">
        <v>5900</v>
      </c>
      <c r="F59" s="1545">
        <v>5900</v>
      </c>
      <c r="G59" s="944">
        <v>6423</v>
      </c>
      <c r="H59" s="201">
        <v>5900</v>
      </c>
      <c r="I59" s="950" t="s">
        <v>2243</v>
      </c>
      <c r="J59" s="946" t="s">
        <v>2282</v>
      </c>
    </row>
    <row r="60" spans="1:10" x14ac:dyDescent="0.2">
      <c r="D60" s="179"/>
      <c r="E60" s="179"/>
      <c r="F60" s="179"/>
      <c r="H60" s="179"/>
      <c r="I60" s="1650"/>
    </row>
    <row r="61" spans="1:10" hidden="1" x14ac:dyDescent="0.2">
      <c r="A61" s="1790" t="s">
        <v>239</v>
      </c>
      <c r="B61" s="1791"/>
      <c r="C61" s="1500"/>
      <c r="D61" s="222">
        <f t="shared" ref="D61:E61" si="1">SUM(D9,D17,D25,D35,D45,D55)</f>
        <v>1286114</v>
      </c>
      <c r="E61" s="222">
        <f t="shared" si="1"/>
        <v>1258443</v>
      </c>
      <c r="F61" s="222">
        <f>SUM(F9,F17,F25,F35,F45,F55)</f>
        <v>1504542</v>
      </c>
      <c r="G61" s="940"/>
      <c r="H61" s="222">
        <f>SUM(H9,H17,H25,H45,H35,H55)</f>
        <v>1625432</v>
      </c>
      <c r="I61" s="1651"/>
      <c r="J61" s="540"/>
    </row>
    <row r="62" spans="1:10" x14ac:dyDescent="0.2">
      <c r="A62" s="161" t="s">
        <v>400</v>
      </c>
    </row>
    <row r="63" spans="1:10" x14ac:dyDescent="0.2">
      <c r="A63" s="151" t="s">
        <v>2230</v>
      </c>
      <c r="B63" s="151"/>
      <c r="C63" s="151"/>
      <c r="D63" s="151"/>
      <c r="E63" s="151"/>
    </row>
    <row r="64" spans="1:10" x14ac:dyDescent="0.2">
      <c r="A64" s="151"/>
      <c r="B64" s="151" t="s">
        <v>2231</v>
      </c>
      <c r="C64" s="151"/>
      <c r="E64" s="151"/>
    </row>
    <row r="65" spans="1:11" x14ac:dyDescent="0.2">
      <c r="A65" s="151"/>
      <c r="B65" s="151"/>
      <c r="C65" s="151"/>
      <c r="D65" s="151"/>
      <c r="E65" s="151"/>
    </row>
    <row r="66" spans="1:11" x14ac:dyDescent="0.2">
      <c r="A66" s="151" t="s">
        <v>240</v>
      </c>
      <c r="B66" s="151"/>
      <c r="C66" s="151"/>
      <c r="D66" s="151"/>
      <c r="E66" s="151"/>
    </row>
    <row r="67" spans="1:11" x14ac:dyDescent="0.2">
      <c r="A67" s="151"/>
      <c r="B67" s="151" t="s">
        <v>2232</v>
      </c>
      <c r="C67" s="151"/>
      <c r="E67" s="151"/>
    </row>
    <row r="68" spans="1:11" x14ac:dyDescent="0.2">
      <c r="A68" s="151"/>
      <c r="B68" s="151" t="s">
        <v>2233</v>
      </c>
      <c r="C68" s="151"/>
      <c r="D68" s="151"/>
      <c r="E68" s="151"/>
    </row>
    <row r="69" spans="1:11" x14ac:dyDescent="0.2">
      <c r="A69" s="151"/>
      <c r="B69" s="151" t="s">
        <v>2235</v>
      </c>
      <c r="C69" s="151"/>
      <c r="E69" s="151"/>
    </row>
    <row r="70" spans="1:11" ht="12.75" x14ac:dyDescent="0.2">
      <c r="A70" s="941"/>
      <c r="B70" s="151" t="s">
        <v>2237</v>
      </c>
      <c r="C70" s="151"/>
      <c r="E70" s="942"/>
    </row>
    <row r="71" spans="1:11" x14ac:dyDescent="0.2">
      <c r="A71" s="179"/>
      <c r="B71" s="179"/>
      <c r="C71" s="179"/>
      <c r="D71" s="179"/>
      <c r="E71" s="179"/>
    </row>
    <row r="74" spans="1:11" x14ac:dyDescent="0.2">
      <c r="A74" s="229"/>
      <c r="B74" s="229"/>
      <c r="C74" s="229"/>
      <c r="D74" s="229"/>
      <c r="E74" s="229"/>
      <c r="F74" s="229"/>
      <c r="G74" s="229"/>
      <c r="H74" s="229"/>
      <c r="I74" s="1627"/>
      <c r="J74" s="229"/>
      <c r="K74" s="229"/>
    </row>
    <row r="75" spans="1:11" x14ac:dyDescent="0.2">
      <c r="A75" s="229"/>
      <c r="B75" s="229"/>
      <c r="C75" s="229"/>
      <c r="D75" s="229"/>
      <c r="E75" s="229"/>
      <c r="F75" s="229"/>
      <c r="G75" s="229"/>
      <c r="H75" s="229"/>
      <c r="I75" s="1627"/>
      <c r="J75" s="229"/>
      <c r="K75" s="229"/>
    </row>
    <row r="76" spans="1:11" x14ac:dyDescent="0.2">
      <c r="A76" s="229"/>
      <c r="B76" s="229"/>
      <c r="C76" s="229"/>
      <c r="D76" s="229"/>
      <c r="E76" s="229"/>
      <c r="F76" s="229"/>
      <c r="G76" s="229"/>
      <c r="H76" s="229"/>
      <c r="I76" s="1627"/>
      <c r="J76" s="229"/>
      <c r="K76" s="229"/>
    </row>
  </sheetData>
  <sheetProtection algorithmName="SHA-512" hashValue="YCN5nnx/ZQ2riloZHRo420rucOA2m5luQQuV19BKU157HOiG4zOLPz8NQm7H8sbdHwA15U/28eAOCBlkR1DFew==" saltValue="KCkGRV0yi9JIKb9E5BwpAg==" spinCount="100000" sheet="1" objects="1" scenarios="1"/>
  <mergeCells count="45">
    <mergeCell ref="B57:C57"/>
    <mergeCell ref="B29:C29"/>
    <mergeCell ref="B30:C30"/>
    <mergeCell ref="B36:C40"/>
    <mergeCell ref="B34:C34"/>
    <mergeCell ref="A35:C35"/>
    <mergeCell ref="A1:B1"/>
    <mergeCell ref="A2:B2"/>
    <mergeCell ref="A3:J3"/>
    <mergeCell ref="A10:A11"/>
    <mergeCell ref="I10:I11"/>
    <mergeCell ref="J10:J11"/>
    <mergeCell ref="B10:C11"/>
    <mergeCell ref="I18:I19"/>
    <mergeCell ref="J18:J19"/>
    <mergeCell ref="B8:C8"/>
    <mergeCell ref="A9:C9"/>
    <mergeCell ref="J49:J50"/>
    <mergeCell ref="B12:C12"/>
    <mergeCell ref="B16:C16"/>
    <mergeCell ref="A17:C17"/>
    <mergeCell ref="B18:C19"/>
    <mergeCell ref="A18:A19"/>
    <mergeCell ref="B20:C20"/>
    <mergeCell ref="B24:C24"/>
    <mergeCell ref="A25:C25"/>
    <mergeCell ref="B26:C26"/>
    <mergeCell ref="B27:C27"/>
    <mergeCell ref="B28:C28"/>
    <mergeCell ref="A61:B61"/>
    <mergeCell ref="A36:A40"/>
    <mergeCell ref="I36:I40"/>
    <mergeCell ref="A49:A50"/>
    <mergeCell ref="I49:I50"/>
    <mergeCell ref="B44:C44"/>
    <mergeCell ref="A45:C45"/>
    <mergeCell ref="B46:C46"/>
    <mergeCell ref="B47:C47"/>
    <mergeCell ref="B48:C48"/>
    <mergeCell ref="B58:C58"/>
    <mergeCell ref="B59:C59"/>
    <mergeCell ref="B49:C50"/>
    <mergeCell ref="B54:C54"/>
    <mergeCell ref="A55:C55"/>
    <mergeCell ref="B56:C56"/>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30.pielikums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5"/>
  <sheetViews>
    <sheetView view="pageLayout" zoomScaleNormal="100" workbookViewId="0">
      <selection activeCell="L7" sqref="L7"/>
    </sheetView>
  </sheetViews>
  <sheetFormatPr defaultColWidth="9.140625" defaultRowHeight="12" x14ac:dyDescent="0.2"/>
  <cols>
    <col min="1" max="1" width="6.140625" style="161" customWidth="1"/>
    <col min="2" max="2" width="26.85546875" style="161" customWidth="1"/>
    <col min="3" max="3" width="8.7109375" style="161" customWidth="1"/>
    <col min="4" max="4" width="11.85546875" style="161" hidden="1" customWidth="1"/>
    <col min="5" max="5" width="11.140625" style="161" hidden="1" customWidth="1"/>
    <col min="6" max="6" width="10.28515625" style="161" hidden="1" customWidth="1"/>
    <col min="7" max="7" width="10.5703125" style="161" customWidth="1"/>
    <col min="8" max="8" width="9.7109375" style="161" customWidth="1"/>
    <col min="9" max="9" width="19.140625" style="161" customWidth="1"/>
    <col min="10" max="10" width="28.7109375" style="161" hidden="1" customWidth="1"/>
    <col min="11" max="16384" width="9.140625" style="161"/>
  </cols>
  <sheetData>
    <row r="1" spans="1:10" x14ac:dyDescent="0.2">
      <c r="A1" s="1772" t="s">
        <v>117</v>
      </c>
      <c r="B1" s="1772"/>
      <c r="C1" s="160" t="s">
        <v>2194</v>
      </c>
      <c r="D1" s="160"/>
      <c r="E1" s="160"/>
      <c r="F1" s="160"/>
      <c r="G1" s="160"/>
      <c r="H1" s="160"/>
      <c r="I1" s="160"/>
      <c r="J1" s="160"/>
    </row>
    <row r="2" spans="1:10" x14ac:dyDescent="0.2">
      <c r="A2" s="1772" t="s">
        <v>119</v>
      </c>
      <c r="B2" s="1772"/>
      <c r="C2" s="1772">
        <v>90000594245</v>
      </c>
      <c r="D2" s="1772"/>
      <c r="E2" s="1772"/>
      <c r="F2" s="1772"/>
      <c r="G2" s="1772"/>
      <c r="H2" s="160"/>
      <c r="I2" s="160"/>
      <c r="J2" s="160"/>
    </row>
    <row r="3" spans="1:10" ht="15.75" x14ac:dyDescent="0.25">
      <c r="A3" s="1773" t="s">
        <v>120</v>
      </c>
      <c r="B3" s="1773"/>
      <c r="C3" s="1773"/>
      <c r="D3" s="1773"/>
      <c r="E3" s="1773"/>
      <c r="F3" s="1773"/>
      <c r="G3" s="1773"/>
      <c r="H3" s="1773"/>
      <c r="I3" s="1773"/>
      <c r="J3" s="1773"/>
    </row>
    <row r="4" spans="1:10" ht="11.25" customHeight="1" x14ac:dyDescent="0.25">
      <c r="A4" s="199"/>
      <c r="B4" s="199"/>
      <c r="C4" s="1499"/>
      <c r="D4" s="199"/>
      <c r="E4" s="199"/>
      <c r="F4" s="199"/>
      <c r="G4" s="199"/>
      <c r="H4" s="199"/>
      <c r="I4" s="199"/>
      <c r="J4" s="199"/>
    </row>
    <row r="5" spans="1:10" ht="15.75" x14ac:dyDescent="0.25">
      <c r="A5" s="160" t="s">
        <v>121</v>
      </c>
      <c r="B5" s="160"/>
      <c r="C5" s="163" t="s">
        <v>2283</v>
      </c>
      <c r="D5" s="163"/>
      <c r="E5" s="160"/>
      <c r="F5" s="160"/>
      <c r="G5" s="160"/>
      <c r="H5" s="160"/>
      <c r="I5" s="160"/>
      <c r="J5" s="160"/>
    </row>
    <row r="6" spans="1:10" x14ac:dyDescent="0.2">
      <c r="A6" s="160" t="s">
        <v>123</v>
      </c>
      <c r="B6" s="160"/>
      <c r="C6" s="953" t="s">
        <v>2240</v>
      </c>
      <c r="D6" s="953"/>
      <c r="E6" s="160"/>
      <c r="F6" s="160"/>
      <c r="G6" s="160"/>
      <c r="H6" s="160"/>
      <c r="I6" s="160"/>
      <c r="J6" s="160"/>
    </row>
    <row r="7" spans="1:10" x14ac:dyDescent="0.2">
      <c r="A7" s="160" t="s">
        <v>125</v>
      </c>
      <c r="B7" s="160"/>
      <c r="C7" s="920" t="s">
        <v>2241</v>
      </c>
      <c r="D7" s="920"/>
      <c r="E7" s="160"/>
      <c r="F7" s="160"/>
      <c r="G7" s="160"/>
      <c r="H7" s="160"/>
      <c r="I7" s="160"/>
      <c r="J7" s="160"/>
    </row>
    <row r="8" spans="1:10" ht="48" x14ac:dyDescent="0.2">
      <c r="A8" s="1549" t="s">
        <v>1</v>
      </c>
      <c r="B8" s="1777" t="s">
        <v>127</v>
      </c>
      <c r="C8" s="1778"/>
      <c r="D8" s="1549" t="s">
        <v>14</v>
      </c>
      <c r="E8" s="1549" t="s">
        <v>12</v>
      </c>
      <c r="F8" s="1549" t="s">
        <v>128</v>
      </c>
      <c r="G8" s="1549" t="s">
        <v>129</v>
      </c>
      <c r="H8" s="1549" t="s">
        <v>3357</v>
      </c>
      <c r="I8" s="1549" t="s">
        <v>11</v>
      </c>
      <c r="J8" s="165" t="s">
        <v>131</v>
      </c>
    </row>
    <row r="9" spans="1:10" ht="15" customHeight="1" x14ac:dyDescent="0.2">
      <c r="A9" s="1779" t="s">
        <v>132</v>
      </c>
      <c r="B9" s="1780"/>
      <c r="C9" s="1781"/>
      <c r="D9" s="167">
        <f>SUM(D10:D16)</f>
        <v>238728</v>
      </c>
      <c r="E9" s="167">
        <f>SUM(E10:E16)</f>
        <v>238100</v>
      </c>
      <c r="F9" s="167">
        <f>SUM(F10:F16)</f>
        <v>240232</v>
      </c>
      <c r="G9" s="167"/>
      <c r="H9" s="167">
        <f>SUM(H10:H16)</f>
        <v>239132</v>
      </c>
      <c r="I9" s="167"/>
      <c r="J9" s="200"/>
    </row>
    <row r="10" spans="1:10" ht="27.75" customHeight="1" x14ac:dyDescent="0.2">
      <c r="A10" s="954">
        <v>1</v>
      </c>
      <c r="B10" s="2131" t="s">
        <v>2284</v>
      </c>
      <c r="C10" s="2132"/>
      <c r="D10" s="943">
        <v>2846</v>
      </c>
      <c r="E10" s="1545">
        <v>2846</v>
      </c>
      <c r="F10" s="1545">
        <v>2846</v>
      </c>
      <c r="G10" s="944">
        <v>6330</v>
      </c>
      <c r="H10" s="955">
        <v>2846</v>
      </c>
      <c r="I10" s="2141" t="s">
        <v>2285</v>
      </c>
      <c r="J10" s="946" t="s">
        <v>2286</v>
      </c>
    </row>
    <row r="11" spans="1:10" ht="30" customHeight="1" x14ac:dyDescent="0.2">
      <c r="A11" s="954">
        <v>2</v>
      </c>
      <c r="B11" s="2131" t="s">
        <v>2287</v>
      </c>
      <c r="C11" s="2132"/>
      <c r="D11" s="943">
        <v>86</v>
      </c>
      <c r="E11" s="1545">
        <v>86</v>
      </c>
      <c r="F11" s="1545">
        <v>86</v>
      </c>
      <c r="G11" s="944">
        <v>2232</v>
      </c>
      <c r="H11" s="955">
        <v>86</v>
      </c>
      <c r="I11" s="2143"/>
      <c r="J11" s="946" t="s">
        <v>2288</v>
      </c>
    </row>
    <row r="12" spans="1:10" ht="27.75" customHeight="1" x14ac:dyDescent="0.2">
      <c r="A12" s="954">
        <v>3</v>
      </c>
      <c r="B12" s="2131" t="s">
        <v>2289</v>
      </c>
      <c r="C12" s="2132"/>
      <c r="D12" s="943">
        <v>5100</v>
      </c>
      <c r="E12" s="1545">
        <v>4472</v>
      </c>
      <c r="F12" s="1545">
        <v>5100</v>
      </c>
      <c r="G12" s="944">
        <v>2239</v>
      </c>
      <c r="H12" s="955">
        <v>4000</v>
      </c>
      <c r="I12" s="950" t="s">
        <v>2290</v>
      </c>
      <c r="J12" s="946" t="s">
        <v>2291</v>
      </c>
    </row>
    <row r="13" spans="1:10" ht="22.5" customHeight="1" x14ac:dyDescent="0.2">
      <c r="A13" s="1774">
        <v>4</v>
      </c>
      <c r="B13" s="1782" t="s">
        <v>2292</v>
      </c>
      <c r="C13" s="1783"/>
      <c r="D13" s="1545">
        <v>167642</v>
      </c>
      <c r="E13" s="1545">
        <v>167642</v>
      </c>
      <c r="F13" s="1545">
        <v>167700</v>
      </c>
      <c r="G13" s="944">
        <v>1150</v>
      </c>
      <c r="H13" s="956">
        <v>167700</v>
      </c>
      <c r="I13" s="2141" t="s">
        <v>2290</v>
      </c>
      <c r="J13" s="946" t="s">
        <v>2293</v>
      </c>
    </row>
    <row r="14" spans="1:10" ht="22.5" customHeight="1" x14ac:dyDescent="0.2">
      <c r="A14" s="1775"/>
      <c r="B14" s="1788"/>
      <c r="C14" s="1789"/>
      <c r="D14" s="1545">
        <v>14626</v>
      </c>
      <c r="E14" s="1545">
        <v>14626</v>
      </c>
      <c r="F14" s="1545">
        <v>14700</v>
      </c>
      <c r="G14" s="944">
        <v>2239</v>
      </c>
      <c r="H14" s="956">
        <v>14700</v>
      </c>
      <c r="I14" s="2142"/>
      <c r="J14" s="946" t="s">
        <v>2294</v>
      </c>
    </row>
    <row r="15" spans="1:10" ht="22.5" customHeight="1" x14ac:dyDescent="0.2">
      <c r="A15" s="1775"/>
      <c r="B15" s="1788"/>
      <c r="C15" s="1789"/>
      <c r="D15" s="1545">
        <v>9340</v>
      </c>
      <c r="E15" s="1545">
        <v>9340</v>
      </c>
      <c r="F15" s="1545">
        <v>9400</v>
      </c>
      <c r="G15" s="944">
        <v>2322</v>
      </c>
      <c r="H15" s="956">
        <v>9400</v>
      </c>
      <c r="I15" s="2142"/>
      <c r="J15" s="946" t="s">
        <v>2295</v>
      </c>
    </row>
    <row r="16" spans="1:10" ht="22.5" customHeight="1" x14ac:dyDescent="0.2">
      <c r="A16" s="1776"/>
      <c r="B16" s="1784"/>
      <c r="C16" s="1785"/>
      <c r="D16" s="1545">
        <v>39088</v>
      </c>
      <c r="E16" s="1545">
        <v>39088</v>
      </c>
      <c r="F16" s="1545">
        <v>40400</v>
      </c>
      <c r="G16" s="944">
        <v>1210</v>
      </c>
      <c r="H16" s="956">
        <v>40400</v>
      </c>
      <c r="I16" s="2143"/>
      <c r="J16" s="946" t="s">
        <v>2296</v>
      </c>
    </row>
    <row r="17" spans="1:10" x14ac:dyDescent="0.2">
      <c r="A17" s="169"/>
      <c r="B17" s="169"/>
      <c r="C17" s="169"/>
      <c r="D17" s="169"/>
      <c r="E17" s="169"/>
      <c r="F17" s="169"/>
      <c r="G17" s="169"/>
      <c r="H17" s="173"/>
      <c r="I17" s="173"/>
      <c r="J17" s="169"/>
    </row>
    <row r="18" spans="1:10" ht="12.75" x14ac:dyDescent="0.2">
      <c r="A18" s="160" t="s">
        <v>123</v>
      </c>
      <c r="B18" s="160"/>
      <c r="C18" s="927" t="s">
        <v>2247</v>
      </c>
      <c r="D18" s="927"/>
      <c r="E18" s="160"/>
      <c r="F18" s="160"/>
      <c r="G18" s="160"/>
      <c r="H18" s="160"/>
      <c r="I18" s="160"/>
      <c r="J18" s="160"/>
    </row>
    <row r="19" spans="1:10" x14ac:dyDescent="0.2">
      <c r="A19" s="160" t="s">
        <v>125</v>
      </c>
      <c r="B19" s="160"/>
      <c r="C19" s="920" t="s">
        <v>2248</v>
      </c>
      <c r="D19" s="920"/>
      <c r="E19" s="160"/>
      <c r="F19" s="160"/>
      <c r="G19" s="160"/>
      <c r="H19" s="160"/>
      <c r="I19" s="160"/>
      <c r="J19" s="160"/>
    </row>
    <row r="20" spans="1:10" ht="48" x14ac:dyDescent="0.2">
      <c r="A20" s="1549" t="s">
        <v>1</v>
      </c>
      <c r="B20" s="1777" t="s">
        <v>127</v>
      </c>
      <c r="C20" s="1778"/>
      <c r="D20" s="1549" t="s">
        <v>14</v>
      </c>
      <c r="E20" s="1549" t="s">
        <v>12</v>
      </c>
      <c r="F20" s="1549" t="s">
        <v>128</v>
      </c>
      <c r="G20" s="1549" t="s">
        <v>129</v>
      </c>
      <c r="H20" s="1549" t="s">
        <v>3357</v>
      </c>
      <c r="I20" s="1549" t="s">
        <v>11</v>
      </c>
      <c r="J20" s="165" t="s">
        <v>131</v>
      </c>
    </row>
    <row r="21" spans="1:10" ht="15" customHeight="1" x14ac:dyDescent="0.2">
      <c r="A21" s="1779" t="s">
        <v>132</v>
      </c>
      <c r="B21" s="1780"/>
      <c r="C21" s="1781"/>
      <c r="D21" s="167">
        <f>SUM(D22:D23)</f>
        <v>148282</v>
      </c>
      <c r="E21" s="167">
        <f>SUM(E22:E23)</f>
        <v>148282</v>
      </c>
      <c r="F21" s="167">
        <f>SUM(F22:F23)</f>
        <v>148282</v>
      </c>
      <c r="G21" s="167"/>
      <c r="H21" s="167">
        <f>SUM(H22:H23)</f>
        <v>174257</v>
      </c>
      <c r="I21" s="167"/>
      <c r="J21" s="200"/>
    </row>
    <row r="22" spans="1:10" ht="36" customHeight="1" x14ac:dyDescent="0.2">
      <c r="A22" s="1545">
        <v>1</v>
      </c>
      <c r="B22" s="2131" t="s">
        <v>2297</v>
      </c>
      <c r="C22" s="2132"/>
      <c r="D22" s="943">
        <v>143062</v>
      </c>
      <c r="E22" s="1545">
        <v>143062</v>
      </c>
      <c r="F22" s="1545">
        <v>143062</v>
      </c>
      <c r="G22" s="944">
        <v>6412</v>
      </c>
      <c r="H22" s="957">
        <v>168737</v>
      </c>
      <c r="I22" s="950" t="s">
        <v>2298</v>
      </c>
      <c r="J22" s="946" t="s">
        <v>2299</v>
      </c>
    </row>
    <row r="23" spans="1:10" ht="40.5" customHeight="1" x14ac:dyDescent="0.2">
      <c r="A23" s="1545">
        <v>2</v>
      </c>
      <c r="B23" s="2131" t="s">
        <v>2300</v>
      </c>
      <c r="C23" s="2132"/>
      <c r="D23" s="943">
        <v>5220</v>
      </c>
      <c r="E23" s="1545">
        <v>5220</v>
      </c>
      <c r="F23" s="1545">
        <v>5220</v>
      </c>
      <c r="G23" s="944">
        <v>6412</v>
      </c>
      <c r="H23" s="957">
        <v>5520</v>
      </c>
      <c r="I23" s="950" t="s">
        <v>2298</v>
      </c>
      <c r="J23" s="946" t="s">
        <v>2301</v>
      </c>
    </row>
    <row r="24" spans="1:10" x14ac:dyDescent="0.2">
      <c r="A24" s="169"/>
      <c r="B24" s="169"/>
      <c r="C24" s="169"/>
      <c r="D24" s="169"/>
      <c r="E24" s="169"/>
      <c r="F24" s="169"/>
      <c r="G24" s="169"/>
      <c r="H24" s="173"/>
      <c r="I24" s="173"/>
      <c r="J24" s="169"/>
    </row>
    <row r="25" spans="1:10" ht="12.75" x14ac:dyDescent="0.2">
      <c r="A25" s="160" t="s">
        <v>123</v>
      </c>
      <c r="B25" s="160"/>
      <c r="C25" s="927" t="s">
        <v>2215</v>
      </c>
      <c r="D25" s="927"/>
      <c r="E25" s="160"/>
      <c r="F25" s="160"/>
      <c r="G25" s="160"/>
      <c r="H25" s="160"/>
      <c r="I25" s="160"/>
      <c r="J25" s="160"/>
    </row>
    <row r="26" spans="1:10" x14ac:dyDescent="0.2">
      <c r="A26" s="160" t="s">
        <v>125</v>
      </c>
      <c r="B26" s="160"/>
      <c r="C26" s="920" t="s">
        <v>2216</v>
      </c>
      <c r="D26" s="920"/>
      <c r="E26" s="160"/>
      <c r="F26" s="160"/>
      <c r="G26" s="160"/>
      <c r="H26" s="160"/>
      <c r="I26" s="160"/>
      <c r="J26" s="160"/>
    </row>
    <row r="27" spans="1:10" ht="48" x14ac:dyDescent="0.2">
      <c r="A27" s="1549" t="s">
        <v>1</v>
      </c>
      <c r="B27" s="1777" t="s">
        <v>127</v>
      </c>
      <c r="C27" s="1778"/>
      <c r="D27" s="1549" t="s">
        <v>14</v>
      </c>
      <c r="E27" s="1549" t="s">
        <v>12</v>
      </c>
      <c r="F27" s="1549" t="s">
        <v>128</v>
      </c>
      <c r="G27" s="1549" t="s">
        <v>129</v>
      </c>
      <c r="H27" s="1549" t="s">
        <v>3357</v>
      </c>
      <c r="I27" s="1549" t="s">
        <v>11</v>
      </c>
      <c r="J27" s="165" t="s">
        <v>131</v>
      </c>
    </row>
    <row r="28" spans="1:10" ht="15" customHeight="1" x14ac:dyDescent="0.2">
      <c r="A28" s="1779" t="s">
        <v>132</v>
      </c>
      <c r="B28" s="1780"/>
      <c r="C28" s="1781"/>
      <c r="D28" s="167">
        <f>SUM(D29:D29)</f>
        <v>47774</v>
      </c>
      <c r="E28" s="167">
        <f>SUM(E29:E29)</f>
        <v>47800</v>
      </c>
      <c r="F28" s="167">
        <f>SUM(F29:F29)</f>
        <v>47800</v>
      </c>
      <c r="G28" s="167"/>
      <c r="H28" s="167">
        <f>SUM(H29:H29)</f>
        <v>47774</v>
      </c>
      <c r="I28" s="167"/>
      <c r="J28" s="200"/>
    </row>
    <row r="29" spans="1:10" ht="33" customHeight="1" x14ac:dyDescent="0.2">
      <c r="A29" s="1545">
        <v>1</v>
      </c>
      <c r="B29" s="2131" t="s">
        <v>2302</v>
      </c>
      <c r="C29" s="2132"/>
      <c r="D29" s="958">
        <v>47774</v>
      </c>
      <c r="E29" s="1545">
        <v>47800</v>
      </c>
      <c r="F29" s="1545">
        <v>47800</v>
      </c>
      <c r="G29" s="944">
        <v>6330</v>
      </c>
      <c r="H29" s="955">
        <v>47774</v>
      </c>
      <c r="I29" s="950" t="s">
        <v>2303</v>
      </c>
      <c r="J29" s="959" t="s">
        <v>2304</v>
      </c>
    </row>
    <row r="30" spans="1:10" x14ac:dyDescent="0.2">
      <c r="A30" s="169"/>
      <c r="B30" s="169"/>
      <c r="C30" s="169"/>
      <c r="D30" s="169"/>
      <c r="E30" s="169"/>
      <c r="F30" s="169"/>
      <c r="G30" s="169"/>
      <c r="H30" s="173"/>
      <c r="I30" s="173"/>
      <c r="J30" s="169"/>
    </row>
    <row r="31" spans="1:10" ht="12.75" x14ac:dyDescent="0.2">
      <c r="A31" s="160" t="s">
        <v>123</v>
      </c>
      <c r="B31" s="160"/>
      <c r="C31" s="927" t="s">
        <v>2305</v>
      </c>
      <c r="D31" s="927"/>
      <c r="E31" s="160"/>
      <c r="F31" s="160"/>
      <c r="G31" s="160"/>
      <c r="H31" s="160"/>
      <c r="I31" s="160"/>
      <c r="J31" s="160"/>
    </row>
    <row r="32" spans="1:10" x14ac:dyDescent="0.2">
      <c r="A32" s="160" t="s">
        <v>125</v>
      </c>
      <c r="B32" s="160"/>
      <c r="C32" s="920" t="s">
        <v>214</v>
      </c>
      <c r="D32" s="920"/>
      <c r="E32" s="160"/>
      <c r="F32" s="160"/>
      <c r="G32" s="160"/>
      <c r="H32" s="160"/>
      <c r="I32" s="160"/>
      <c r="J32" s="160"/>
    </row>
    <row r="33" spans="1:10" ht="48" x14ac:dyDescent="0.2">
      <c r="A33" s="1549" t="s">
        <v>1</v>
      </c>
      <c r="B33" s="1777" t="s">
        <v>127</v>
      </c>
      <c r="C33" s="1778"/>
      <c r="D33" s="1549" t="s">
        <v>14</v>
      </c>
      <c r="E33" s="1549" t="s">
        <v>12</v>
      </c>
      <c r="F33" s="1549" t="s">
        <v>128</v>
      </c>
      <c r="G33" s="1549" t="s">
        <v>129</v>
      </c>
      <c r="H33" s="1549" t="s">
        <v>3357</v>
      </c>
      <c r="I33" s="1549" t="s">
        <v>11</v>
      </c>
      <c r="J33" s="165" t="s">
        <v>131</v>
      </c>
    </row>
    <row r="34" spans="1:10" ht="15" customHeight="1" x14ac:dyDescent="0.2">
      <c r="A34" s="1779" t="s">
        <v>132</v>
      </c>
      <c r="B34" s="1780"/>
      <c r="C34" s="1781"/>
      <c r="D34" s="167">
        <f>SUM(D35:D38)</f>
        <v>468613</v>
      </c>
      <c r="E34" s="167">
        <f>SUM(E35:E38)</f>
        <v>412043</v>
      </c>
      <c r="F34" s="167">
        <f>SUM(F35:F38)</f>
        <v>412043</v>
      </c>
      <c r="G34" s="167"/>
      <c r="H34" s="167">
        <f>SUM(H35:H38)</f>
        <v>435500</v>
      </c>
      <c r="I34" s="167"/>
      <c r="J34" s="200"/>
    </row>
    <row r="35" spans="1:10" ht="41.25" customHeight="1" x14ac:dyDescent="0.2">
      <c r="A35" s="1545">
        <v>1</v>
      </c>
      <c r="B35" s="2139" t="s">
        <v>2306</v>
      </c>
      <c r="C35" s="2140"/>
      <c r="D35" s="945">
        <v>170928</v>
      </c>
      <c r="E35" s="1545">
        <v>170928</v>
      </c>
      <c r="F35" s="1545">
        <v>170928</v>
      </c>
      <c r="G35" s="944">
        <v>6419</v>
      </c>
      <c r="H35" s="960">
        <v>186398</v>
      </c>
      <c r="I35" s="950" t="s">
        <v>2298</v>
      </c>
      <c r="J35" s="961" t="s">
        <v>2307</v>
      </c>
    </row>
    <row r="36" spans="1:10" ht="42.75" customHeight="1" x14ac:dyDescent="0.2">
      <c r="A36" s="1545">
        <v>2</v>
      </c>
      <c r="B36" s="2139" t="s">
        <v>2308</v>
      </c>
      <c r="C36" s="2140"/>
      <c r="D36" s="945">
        <v>226949</v>
      </c>
      <c r="E36" s="1545">
        <v>226949</v>
      </c>
      <c r="F36" s="1545">
        <v>226949</v>
      </c>
      <c r="G36" s="944">
        <v>6419</v>
      </c>
      <c r="H36" s="960">
        <v>234936</v>
      </c>
      <c r="I36" s="950" t="s">
        <v>2298</v>
      </c>
      <c r="J36" s="961" t="s">
        <v>2309</v>
      </c>
    </row>
    <row r="37" spans="1:10" ht="36.75" customHeight="1" x14ac:dyDescent="0.2">
      <c r="A37" s="1545">
        <v>3</v>
      </c>
      <c r="B37" s="2131" t="s">
        <v>2310</v>
      </c>
      <c r="C37" s="2132"/>
      <c r="D37" s="943">
        <v>2736</v>
      </c>
      <c r="E37" s="1545">
        <v>2166</v>
      </c>
      <c r="F37" s="1545">
        <v>2166</v>
      </c>
      <c r="G37" s="944">
        <v>6423</v>
      </c>
      <c r="H37" s="957">
        <v>2166</v>
      </c>
      <c r="I37" s="950" t="s">
        <v>2298</v>
      </c>
      <c r="J37" s="923" t="s">
        <v>2311</v>
      </c>
    </row>
    <row r="38" spans="1:10" ht="42.75" customHeight="1" x14ac:dyDescent="0.2">
      <c r="A38" s="1545">
        <v>4</v>
      </c>
      <c r="B38" s="2152" t="s">
        <v>2312</v>
      </c>
      <c r="C38" s="2153"/>
      <c r="D38" s="962">
        <v>68000</v>
      </c>
      <c r="E38" s="1545">
        <v>12000</v>
      </c>
      <c r="F38" s="1545">
        <v>12000</v>
      </c>
      <c r="G38" s="944">
        <v>6419</v>
      </c>
      <c r="H38" s="957">
        <v>12000</v>
      </c>
      <c r="I38" s="950" t="s">
        <v>2298</v>
      </c>
      <c r="J38" s="923" t="s">
        <v>2313</v>
      </c>
    </row>
    <row r="39" spans="1:10" x14ac:dyDescent="0.2">
      <c r="D39" s="179"/>
      <c r="E39" s="179"/>
      <c r="F39" s="179"/>
      <c r="H39" s="179"/>
      <c r="I39" s="179"/>
    </row>
    <row r="40" spans="1:10" hidden="1" x14ac:dyDescent="0.2">
      <c r="A40" s="1790" t="s">
        <v>239</v>
      </c>
      <c r="B40" s="1791"/>
      <c r="C40" s="1500"/>
      <c r="D40" s="222">
        <f>SUM(D9,D21,D28,D34)</f>
        <v>903397</v>
      </c>
      <c r="E40" s="222">
        <f t="shared" ref="E40:F40" si="0">SUM(E9,E21,E28,E34)</f>
        <v>846225</v>
      </c>
      <c r="F40" s="222">
        <f t="shared" si="0"/>
        <v>848357</v>
      </c>
      <c r="G40" s="222"/>
      <c r="H40" s="222">
        <f>SUM(H9,H21,H28,H34)</f>
        <v>896663</v>
      </c>
      <c r="I40" s="222"/>
      <c r="J40" s="540"/>
    </row>
    <row r="41" spans="1:10" x14ac:dyDescent="0.2">
      <c r="A41" s="161" t="s">
        <v>400</v>
      </c>
    </row>
    <row r="42" spans="1:10" x14ac:dyDescent="0.2">
      <c r="A42" s="151" t="s">
        <v>2230</v>
      </c>
      <c r="B42" s="151"/>
      <c r="C42" s="151"/>
      <c r="D42" s="151"/>
    </row>
    <row r="43" spans="1:10" x14ac:dyDescent="0.2">
      <c r="A43" s="151"/>
      <c r="B43" s="151" t="s">
        <v>2314</v>
      </c>
      <c r="C43" s="151"/>
    </row>
    <row r="44" spans="1:10" x14ac:dyDescent="0.2">
      <c r="A44" s="151"/>
      <c r="B44" s="151" t="s">
        <v>2315</v>
      </c>
      <c r="C44" s="151"/>
    </row>
    <row r="45" spans="1:10" x14ac:dyDescent="0.2">
      <c r="A45" s="151"/>
      <c r="B45" s="151" t="s">
        <v>2231</v>
      </c>
      <c r="C45" s="151"/>
    </row>
    <row r="46" spans="1:10" x14ac:dyDescent="0.2">
      <c r="A46" s="151"/>
      <c r="B46" s="151"/>
      <c r="C46" s="151"/>
      <c r="D46" s="151"/>
    </row>
    <row r="47" spans="1:10" x14ac:dyDescent="0.2">
      <c r="A47" s="151" t="s">
        <v>240</v>
      </c>
      <c r="B47" s="151"/>
      <c r="C47" s="151"/>
      <c r="D47" s="151"/>
    </row>
    <row r="48" spans="1:10" x14ac:dyDescent="0.2">
      <c r="A48" s="151"/>
      <c r="B48" s="151" t="s">
        <v>2232</v>
      </c>
      <c r="C48" s="151"/>
    </row>
    <row r="49" spans="1:4" x14ac:dyDescent="0.2">
      <c r="A49" s="151"/>
      <c r="B49" s="151" t="s">
        <v>2233</v>
      </c>
      <c r="C49" s="151"/>
      <c r="D49" s="151"/>
    </row>
    <row r="50" spans="1:4" x14ac:dyDescent="0.2">
      <c r="A50" s="151"/>
      <c r="B50" s="151" t="s">
        <v>2234</v>
      </c>
      <c r="C50" s="151"/>
    </row>
    <row r="51" spans="1:4" x14ac:dyDescent="0.2">
      <c r="A51" s="151"/>
      <c r="B51" s="151" t="s">
        <v>2236</v>
      </c>
      <c r="C51" s="151"/>
    </row>
    <row r="52" spans="1:4" ht="12.75" x14ac:dyDescent="0.2">
      <c r="A52" s="941"/>
      <c r="B52" s="151" t="s">
        <v>2237</v>
      </c>
      <c r="C52" s="151"/>
    </row>
    <row r="53" spans="1:4" ht="12.75" x14ac:dyDescent="0.2">
      <c r="A53" s="941"/>
      <c r="B53" s="151" t="s">
        <v>2238</v>
      </c>
      <c r="C53" s="151"/>
    </row>
    <row r="54" spans="1:4" ht="12.75" x14ac:dyDescent="0.2">
      <c r="A54" s="941"/>
      <c r="B54" s="941"/>
      <c r="C54" s="941"/>
      <c r="D54" s="151"/>
    </row>
    <row r="55" spans="1:4" x14ac:dyDescent="0.2">
      <c r="A55" s="179"/>
      <c r="B55" s="179"/>
      <c r="C55" s="179"/>
      <c r="D55" s="179"/>
    </row>
  </sheetData>
  <sheetProtection algorithmName="SHA-512" hashValue="zZKlQ8WFy+5570iee9Fg27zaRwfVYnsyRgAVO4TKk74DRew1ygk1zejzvvK6ucj29Otx0+dlnkyyoiAIpcZA1w==" saltValue="js+NtXWduWUPZ2xTw9V4/Q==" spinCount="100000" sheet="1" objects="1" scenarios="1"/>
  <mergeCells count="27">
    <mergeCell ref="C2:G2"/>
    <mergeCell ref="B12:C12"/>
    <mergeCell ref="B8:C8"/>
    <mergeCell ref="A9:C9"/>
    <mergeCell ref="B10:C10"/>
    <mergeCell ref="B11:C11"/>
    <mergeCell ref="B20:C20"/>
    <mergeCell ref="A21:C21"/>
    <mergeCell ref="B22:C22"/>
    <mergeCell ref="B23:C23"/>
    <mergeCell ref="B13:C16"/>
    <mergeCell ref="A40:B40"/>
    <mergeCell ref="A1:B1"/>
    <mergeCell ref="A2:B2"/>
    <mergeCell ref="A3:J3"/>
    <mergeCell ref="I10:I11"/>
    <mergeCell ref="A13:A16"/>
    <mergeCell ref="B33:C33"/>
    <mergeCell ref="A34:C34"/>
    <mergeCell ref="B35:C35"/>
    <mergeCell ref="B36:C36"/>
    <mergeCell ref="B37:C37"/>
    <mergeCell ref="I13:I16"/>
    <mergeCell ref="B38:C38"/>
    <mergeCell ref="B29:C29"/>
    <mergeCell ref="A28:C28"/>
    <mergeCell ref="B27:C27"/>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31.pielikums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10"/>
  <sheetViews>
    <sheetView view="pageLayout" zoomScaleNormal="100" workbookViewId="0">
      <selection activeCell="L1" sqref="L1"/>
    </sheetView>
  </sheetViews>
  <sheetFormatPr defaultRowHeight="12" x14ac:dyDescent="0.2"/>
  <cols>
    <col min="1" max="1" width="6.140625" style="161" customWidth="1"/>
    <col min="2" max="2" width="22.140625" style="161" customWidth="1"/>
    <col min="3" max="3" width="15.28515625" style="161" customWidth="1"/>
    <col min="4" max="4" width="11.85546875" style="161" hidden="1" customWidth="1"/>
    <col min="5" max="5" width="11.140625" style="161" hidden="1" customWidth="1"/>
    <col min="6" max="6" width="10.28515625" style="161" hidden="1" customWidth="1"/>
    <col min="7" max="7" width="10.5703125" style="161" customWidth="1"/>
    <col min="8" max="8" width="9.7109375" style="161" customWidth="1"/>
    <col min="9" max="9" width="23.85546875" style="161" customWidth="1"/>
    <col min="10" max="10" width="39.42578125" style="161" hidden="1" customWidth="1"/>
    <col min="11" max="16384" width="9.140625" style="161"/>
  </cols>
  <sheetData>
    <row r="1" spans="1:12" x14ac:dyDescent="0.2">
      <c r="A1" s="1772" t="s">
        <v>117</v>
      </c>
      <c r="B1" s="1772"/>
      <c r="C1" s="197" t="s">
        <v>118</v>
      </c>
      <c r="D1" s="197"/>
      <c r="E1" s="197"/>
      <c r="F1" s="197"/>
      <c r="G1" s="198"/>
      <c r="H1" s="197"/>
      <c r="I1" s="197"/>
      <c r="J1" s="197"/>
      <c r="K1" s="197"/>
      <c r="L1" s="197"/>
    </row>
    <row r="2" spans="1:12" x14ac:dyDescent="0.2">
      <c r="A2" s="1772" t="s">
        <v>119</v>
      </c>
      <c r="B2" s="1772"/>
      <c r="C2" s="1388">
        <v>90000056357</v>
      </c>
      <c r="D2" s="197"/>
      <c r="E2" s="197"/>
      <c r="F2" s="197"/>
      <c r="G2" s="197"/>
      <c r="H2" s="197"/>
      <c r="I2" s="197"/>
      <c r="J2" s="197"/>
      <c r="K2" s="197"/>
      <c r="L2" s="196"/>
    </row>
    <row r="3" spans="1:12" ht="15.75" x14ac:dyDescent="0.25">
      <c r="A3" s="1773" t="s">
        <v>120</v>
      </c>
      <c r="B3" s="1773"/>
      <c r="C3" s="1773"/>
      <c r="D3" s="1773"/>
      <c r="E3" s="1773"/>
      <c r="F3" s="1773"/>
      <c r="G3" s="1773"/>
      <c r="H3" s="1773"/>
      <c r="I3" s="1773"/>
      <c r="J3" s="1773"/>
    </row>
    <row r="4" spans="1:12" ht="15.75" x14ac:dyDescent="0.25">
      <c r="A4" s="199"/>
      <c r="B4" s="199"/>
      <c r="C4" s="1389"/>
      <c r="D4" s="199"/>
      <c r="E4" s="199"/>
      <c r="F4" s="199"/>
      <c r="G4" s="199"/>
      <c r="H4" s="199"/>
      <c r="I4" s="199"/>
      <c r="J4" s="199"/>
    </row>
    <row r="5" spans="1:12" ht="15.75" x14ac:dyDescent="0.25">
      <c r="A5" s="160" t="s">
        <v>121</v>
      </c>
      <c r="B5" s="160"/>
      <c r="C5" s="163" t="s">
        <v>375</v>
      </c>
      <c r="D5" s="163"/>
      <c r="E5" s="160"/>
      <c r="F5" s="160"/>
      <c r="G5" s="160"/>
      <c r="H5" s="160"/>
      <c r="I5" s="160"/>
      <c r="J5" s="160"/>
    </row>
    <row r="6" spans="1:12" x14ac:dyDescent="0.2">
      <c r="A6" s="160" t="s">
        <v>123</v>
      </c>
      <c r="B6" s="160"/>
      <c r="C6" s="160" t="s">
        <v>376</v>
      </c>
      <c r="D6" s="160"/>
      <c r="E6" s="160"/>
      <c r="F6" s="160"/>
      <c r="G6" s="160"/>
      <c r="H6" s="160"/>
      <c r="I6" s="160"/>
      <c r="J6" s="160"/>
    </row>
    <row r="7" spans="1:12" x14ac:dyDescent="0.2">
      <c r="A7" s="160" t="s">
        <v>125</v>
      </c>
      <c r="B7" s="160"/>
      <c r="C7" s="164" t="s">
        <v>377</v>
      </c>
      <c r="D7" s="164"/>
      <c r="E7" s="160"/>
      <c r="F7" s="160"/>
      <c r="G7" s="160"/>
      <c r="H7" s="160"/>
      <c r="I7" s="160"/>
      <c r="J7" s="160"/>
    </row>
    <row r="8" spans="1:12" ht="36" x14ac:dyDescent="0.2">
      <c r="A8" s="165" t="s">
        <v>1</v>
      </c>
      <c r="B8" s="1777" t="s">
        <v>127</v>
      </c>
      <c r="C8" s="1778"/>
      <c r="D8" s="165" t="s">
        <v>14</v>
      </c>
      <c r="E8" s="165" t="s">
        <v>12</v>
      </c>
      <c r="F8" s="165" t="s">
        <v>128</v>
      </c>
      <c r="G8" s="165" t="s">
        <v>129</v>
      </c>
      <c r="H8" s="165" t="s">
        <v>3357</v>
      </c>
      <c r="I8" s="165" t="s">
        <v>11</v>
      </c>
      <c r="J8" s="165" t="s">
        <v>131</v>
      </c>
      <c r="K8" s="166"/>
    </row>
    <row r="9" spans="1:12" ht="12.75" customHeight="1" x14ac:dyDescent="0.2">
      <c r="A9" s="1779" t="s">
        <v>132</v>
      </c>
      <c r="B9" s="1780"/>
      <c r="C9" s="1781"/>
      <c r="D9" s="167">
        <f>SUM(D10:D19)</f>
        <v>13739</v>
      </c>
      <c r="E9" s="167">
        <f>SUM(E10:E19)</f>
        <v>11247</v>
      </c>
      <c r="F9" s="167">
        <f>SUM(F10:F19)</f>
        <v>6221</v>
      </c>
      <c r="G9" s="167"/>
      <c r="H9" s="167">
        <f t="shared" ref="H9" si="0">SUM(H10:H19)</f>
        <v>7003</v>
      </c>
      <c r="I9" s="167"/>
      <c r="J9" s="200"/>
    </row>
    <row r="10" spans="1:12" ht="84" hidden="1" customHeight="1" x14ac:dyDescent="0.2">
      <c r="A10" s="1774">
        <v>1</v>
      </c>
      <c r="B10" s="1782" t="s">
        <v>378</v>
      </c>
      <c r="C10" s="1783"/>
      <c r="D10" s="201">
        <v>1210</v>
      </c>
      <c r="E10" s="201">
        <v>1210</v>
      </c>
      <c r="F10" s="201">
        <v>0</v>
      </c>
      <c r="G10" s="202">
        <v>5250</v>
      </c>
      <c r="H10" s="201"/>
      <c r="I10" s="203" t="s">
        <v>379</v>
      </c>
      <c r="J10" s="204" t="s">
        <v>380</v>
      </c>
    </row>
    <row r="11" spans="1:12" ht="132" hidden="1" customHeight="1" x14ac:dyDescent="0.2">
      <c r="A11" s="1775"/>
      <c r="B11" s="1788"/>
      <c r="C11" s="1789"/>
      <c r="D11" s="201">
        <v>1089</v>
      </c>
      <c r="E11" s="201">
        <v>1089</v>
      </c>
      <c r="F11" s="201">
        <v>0</v>
      </c>
      <c r="G11" s="202">
        <v>5250</v>
      </c>
      <c r="H11" s="201"/>
      <c r="I11" s="203" t="s">
        <v>381</v>
      </c>
      <c r="J11" s="204" t="s">
        <v>382</v>
      </c>
    </row>
    <row r="12" spans="1:12" ht="144" hidden="1" customHeight="1" x14ac:dyDescent="0.2">
      <c r="A12" s="1775"/>
      <c r="B12" s="1788"/>
      <c r="C12" s="1789"/>
      <c r="D12" s="205">
        <v>1210</v>
      </c>
      <c r="E12" s="205">
        <v>484</v>
      </c>
      <c r="F12" s="205">
        <v>0</v>
      </c>
      <c r="G12" s="206">
        <v>5250</v>
      </c>
      <c r="H12" s="205"/>
      <c r="I12" s="207" t="s">
        <v>383</v>
      </c>
      <c r="J12" s="208" t="s">
        <v>384</v>
      </c>
    </row>
    <row r="13" spans="1:12" ht="114.75" customHeight="1" x14ac:dyDescent="0.2">
      <c r="A13" s="1775"/>
      <c r="B13" s="1788"/>
      <c r="C13" s="1789"/>
      <c r="D13" s="201">
        <v>605</v>
      </c>
      <c r="E13" s="205">
        <v>0</v>
      </c>
      <c r="F13" s="201">
        <v>605</v>
      </c>
      <c r="G13" s="209">
        <v>2232</v>
      </c>
      <c r="H13" s="205">
        <v>605</v>
      </c>
      <c r="I13" s="210" t="s">
        <v>385</v>
      </c>
      <c r="J13" s="204" t="s">
        <v>386</v>
      </c>
    </row>
    <row r="14" spans="1:12" ht="144" hidden="1" customHeight="1" x14ac:dyDescent="0.2">
      <c r="A14" s="1775"/>
      <c r="B14" s="1788"/>
      <c r="C14" s="1789"/>
      <c r="D14" s="201">
        <v>2118</v>
      </c>
      <c r="E14" s="201">
        <v>2118</v>
      </c>
      <c r="F14" s="201">
        <v>0</v>
      </c>
      <c r="G14" s="202">
        <v>5240</v>
      </c>
      <c r="H14" s="201"/>
      <c r="I14" s="210" t="s">
        <v>387</v>
      </c>
      <c r="J14" s="204" t="s">
        <v>388</v>
      </c>
    </row>
    <row r="15" spans="1:12" ht="190.5" customHeight="1" x14ac:dyDescent="0.2">
      <c r="A15" s="1775"/>
      <c r="B15" s="1788"/>
      <c r="C15" s="1789"/>
      <c r="D15" s="201">
        <f>4235-1077</f>
        <v>3158</v>
      </c>
      <c r="E15" s="201">
        <v>2118</v>
      </c>
      <c r="F15" s="201">
        <v>2118</v>
      </c>
      <c r="G15" s="202">
        <v>5240</v>
      </c>
      <c r="H15" s="201">
        <v>3328</v>
      </c>
      <c r="I15" s="203" t="s">
        <v>3376</v>
      </c>
      <c r="J15" s="204" t="s">
        <v>389</v>
      </c>
    </row>
    <row r="16" spans="1:12" ht="61.5" customHeight="1" x14ac:dyDescent="0.2">
      <c r="A16" s="1774">
        <v>2</v>
      </c>
      <c r="B16" s="1782" t="s">
        <v>390</v>
      </c>
      <c r="C16" s="1783"/>
      <c r="D16" s="201">
        <v>3272</v>
      </c>
      <c r="E16" s="201">
        <v>3151</v>
      </c>
      <c r="F16" s="201">
        <v>2960</v>
      </c>
      <c r="G16" s="202">
        <v>2312</v>
      </c>
      <c r="H16" s="201">
        <v>2960</v>
      </c>
      <c r="I16" s="211" t="s">
        <v>391</v>
      </c>
      <c r="J16" s="212" t="s">
        <v>392</v>
      </c>
    </row>
    <row r="17" spans="1:11" ht="48" hidden="1" customHeight="1" x14ac:dyDescent="0.2">
      <c r="A17" s="1776"/>
      <c r="B17" s="1784"/>
      <c r="C17" s="1785"/>
      <c r="D17" s="201">
        <f>1077</f>
        <v>1077</v>
      </c>
      <c r="E17" s="201">
        <v>1077</v>
      </c>
      <c r="F17" s="201">
        <v>0</v>
      </c>
      <c r="G17" s="202">
        <v>5250</v>
      </c>
      <c r="H17" s="201"/>
      <c r="I17" s="210" t="s">
        <v>391</v>
      </c>
      <c r="J17" s="204" t="s">
        <v>393</v>
      </c>
    </row>
    <row r="18" spans="1:11" ht="156.75" customHeight="1" x14ac:dyDescent="0.2">
      <c r="A18" s="1441">
        <v>3</v>
      </c>
      <c r="B18" s="1786" t="s">
        <v>394</v>
      </c>
      <c r="C18" s="1787"/>
      <c r="D18" s="213">
        <v>0</v>
      </c>
      <c r="E18" s="213">
        <v>0</v>
      </c>
      <c r="F18" s="213">
        <v>110</v>
      </c>
      <c r="G18" s="202">
        <v>2312</v>
      </c>
      <c r="H18" s="213">
        <v>110</v>
      </c>
      <c r="I18" s="214" t="s">
        <v>395</v>
      </c>
      <c r="J18" s="215" t="s">
        <v>396</v>
      </c>
    </row>
    <row r="19" spans="1:11" ht="223.5" hidden="1" x14ac:dyDescent="0.2">
      <c r="A19" s="216">
        <v>4</v>
      </c>
      <c r="B19" s="217" t="s">
        <v>397</v>
      </c>
      <c r="C19" s="217"/>
      <c r="D19" s="218">
        <v>0</v>
      </c>
      <c r="E19" s="218">
        <v>0</v>
      </c>
      <c r="F19" s="218">
        <v>428</v>
      </c>
      <c r="G19" s="219">
        <v>9263</v>
      </c>
      <c r="H19" s="218"/>
      <c r="I19" s="220" t="s">
        <v>398</v>
      </c>
      <c r="J19" s="221" t="s">
        <v>399</v>
      </c>
    </row>
    <row r="20" spans="1:11" hidden="1" x14ac:dyDescent="0.2">
      <c r="A20" s="1790" t="s">
        <v>239</v>
      </c>
      <c r="B20" s="1791"/>
      <c r="C20" s="1390"/>
      <c r="D20" s="222">
        <f>SUM(D9)</f>
        <v>13739</v>
      </c>
      <c r="E20" s="222">
        <f>SUM(E9)</f>
        <v>11247</v>
      </c>
      <c r="F20" s="222">
        <f>SUM(F9)</f>
        <v>6221</v>
      </c>
      <c r="G20" s="222"/>
      <c r="H20" s="222">
        <f>SUM(H9)</f>
        <v>7003</v>
      </c>
      <c r="I20" s="222"/>
      <c r="J20" s="223"/>
    </row>
    <row r="21" spans="1:11" x14ac:dyDescent="0.2">
      <c r="A21" s="1114"/>
      <c r="B21" s="1114"/>
      <c r="C21" s="1114"/>
      <c r="D21" s="1465"/>
      <c r="E21" s="1465"/>
      <c r="F21" s="1465"/>
      <c r="G21" s="1465"/>
      <c r="H21" s="1465"/>
      <c r="I21" s="1465"/>
      <c r="J21" s="1466"/>
    </row>
    <row r="22" spans="1:11" x14ac:dyDescent="0.2">
      <c r="A22" s="161" t="s">
        <v>400</v>
      </c>
      <c r="E22" s="179"/>
      <c r="J22" s="224"/>
    </row>
    <row r="23" spans="1:11" x14ac:dyDescent="0.2">
      <c r="J23" s="224"/>
    </row>
    <row r="24" spans="1:11" x14ac:dyDescent="0.2">
      <c r="A24" s="225" t="s">
        <v>240</v>
      </c>
      <c r="B24" s="196"/>
      <c r="C24" s="196"/>
      <c r="D24" s="226"/>
      <c r="E24" s="226"/>
      <c r="F24" s="226"/>
      <c r="G24" s="226"/>
      <c r="H24" s="226"/>
      <c r="I24" s="226"/>
      <c r="J24" s="227"/>
    </row>
    <row r="25" spans="1:11" x14ac:dyDescent="0.2">
      <c r="A25" s="228" t="s">
        <v>241</v>
      </c>
      <c r="B25" s="196"/>
      <c r="C25" s="196"/>
      <c r="D25" s="226"/>
      <c r="E25" s="226"/>
      <c r="F25" s="226"/>
      <c r="G25" s="226"/>
      <c r="H25" s="226"/>
      <c r="I25" s="226"/>
      <c r="J25" s="227"/>
    </row>
    <row r="26" spans="1:11" x14ac:dyDescent="0.2">
      <c r="A26" s="161" t="s">
        <v>402</v>
      </c>
      <c r="B26" s="196"/>
      <c r="C26" s="196"/>
      <c r="D26" s="226"/>
      <c r="E26" s="226"/>
      <c r="F26" s="226"/>
      <c r="G26" s="226"/>
      <c r="H26" s="226"/>
      <c r="I26" s="226"/>
      <c r="J26" s="227"/>
    </row>
    <row r="27" spans="1:11" x14ac:dyDescent="0.2">
      <c r="A27" s="196" t="s">
        <v>243</v>
      </c>
      <c r="B27" s="196"/>
      <c r="C27" s="196"/>
      <c r="D27" s="226"/>
      <c r="E27" s="226"/>
      <c r="F27" s="226"/>
      <c r="G27" s="226"/>
      <c r="H27" s="226"/>
      <c r="I27" s="226"/>
      <c r="J27" s="227"/>
      <c r="K27" s="229"/>
    </row>
    <row r="28" spans="1:11" x14ac:dyDescent="0.2">
      <c r="A28" s="196" t="s">
        <v>244</v>
      </c>
      <c r="B28" s="196"/>
      <c r="C28" s="196"/>
      <c r="D28" s="226"/>
      <c r="E28" s="226"/>
      <c r="F28" s="226"/>
      <c r="G28" s="226"/>
      <c r="H28" s="226"/>
      <c r="I28" s="226"/>
      <c r="J28" s="230"/>
      <c r="K28" s="229"/>
    </row>
    <row r="29" spans="1:11" x14ac:dyDescent="0.2">
      <c r="A29" s="196" t="s">
        <v>245</v>
      </c>
      <c r="B29" s="196"/>
      <c r="C29" s="196"/>
      <c r="D29" s="226"/>
      <c r="E29" s="226"/>
      <c r="F29" s="226"/>
      <c r="G29" s="226"/>
      <c r="H29" s="226"/>
      <c r="I29" s="226"/>
      <c r="J29" s="230"/>
      <c r="K29" s="229"/>
    </row>
    <row r="30" spans="1:11" x14ac:dyDescent="0.2">
      <c r="A30" s="196" t="s">
        <v>246</v>
      </c>
      <c r="B30" s="196"/>
      <c r="C30" s="196"/>
      <c r="D30" s="226"/>
      <c r="E30" s="226"/>
      <c r="F30" s="226"/>
      <c r="G30" s="226"/>
      <c r="H30" s="226"/>
      <c r="I30" s="226"/>
      <c r="J30" s="230"/>
    </row>
    <row r="31" spans="1:11" x14ac:dyDescent="0.2">
      <c r="A31" s="196" t="s">
        <v>247</v>
      </c>
      <c r="B31" s="196"/>
      <c r="C31" s="196"/>
      <c r="D31" s="226"/>
      <c r="E31" s="226"/>
      <c r="F31" s="226"/>
      <c r="G31" s="226"/>
      <c r="H31" s="226"/>
      <c r="I31" s="226"/>
      <c r="J31" s="230"/>
    </row>
    <row r="32" spans="1:11" x14ac:dyDescent="0.2">
      <c r="A32" s="196" t="s">
        <v>248</v>
      </c>
      <c r="B32" s="196"/>
      <c r="C32" s="196"/>
      <c r="D32" s="226"/>
      <c r="E32" s="226"/>
      <c r="F32" s="226"/>
      <c r="G32" s="226"/>
      <c r="H32" s="226"/>
      <c r="I32" s="226"/>
      <c r="J32" s="230"/>
    </row>
    <row r="33" spans="1:10" x14ac:dyDescent="0.2">
      <c r="A33" s="228" t="s">
        <v>250</v>
      </c>
      <c r="B33" s="228"/>
      <c r="C33" s="228"/>
      <c r="D33" s="231"/>
      <c r="E33" s="231"/>
      <c r="F33" s="231"/>
      <c r="G33" s="231"/>
      <c r="H33" s="231"/>
      <c r="I33" s="231"/>
      <c r="J33" s="232"/>
    </row>
    <row r="34" spans="1:10" x14ac:dyDescent="0.2">
      <c r="A34" s="196" t="s">
        <v>253</v>
      </c>
      <c r="B34" s="196"/>
      <c r="C34" s="196"/>
      <c r="D34" s="226"/>
      <c r="E34" s="226"/>
      <c r="F34" s="226"/>
      <c r="G34" s="226"/>
      <c r="H34" s="226"/>
      <c r="I34" s="226"/>
      <c r="J34" s="230"/>
    </row>
    <row r="35" spans="1:10" x14ac:dyDescent="0.2">
      <c r="A35" s="228" t="s">
        <v>254</v>
      </c>
      <c r="B35" s="228"/>
      <c r="C35" s="228"/>
      <c r="D35" s="231"/>
      <c r="E35" s="231"/>
      <c r="F35" s="231"/>
      <c r="G35" s="231"/>
      <c r="H35" s="231"/>
      <c r="I35" s="231"/>
      <c r="J35" s="232"/>
    </row>
    <row r="36" spans="1:10" x14ac:dyDescent="0.2">
      <c r="A36" s="196" t="s">
        <v>403</v>
      </c>
      <c r="B36" s="228"/>
      <c r="C36" s="228"/>
      <c r="D36" s="231"/>
      <c r="E36" s="231"/>
      <c r="F36" s="231"/>
      <c r="G36" s="231"/>
      <c r="H36" s="231"/>
      <c r="I36" s="231"/>
      <c r="J36" s="232"/>
    </row>
    <row r="37" spans="1:10" x14ac:dyDescent="0.2">
      <c r="A37" s="196" t="s">
        <v>256</v>
      </c>
      <c r="B37" s="196"/>
      <c r="C37" s="196"/>
      <c r="D37" s="226"/>
      <c r="E37" s="226"/>
      <c r="F37" s="226"/>
      <c r="G37" s="226"/>
      <c r="H37" s="226"/>
      <c r="I37" s="226"/>
      <c r="J37" s="230"/>
    </row>
    <row r="38" spans="1:10" x14ac:dyDescent="0.2">
      <c r="A38" s="196" t="s">
        <v>258</v>
      </c>
      <c r="B38" s="196"/>
      <c r="C38" s="196"/>
      <c r="D38" s="226"/>
      <c r="E38" s="226"/>
      <c r="F38" s="226"/>
      <c r="G38" s="226"/>
      <c r="H38" s="226"/>
      <c r="I38" s="226"/>
      <c r="J38" s="230"/>
    </row>
    <row r="39" spans="1:10" x14ac:dyDescent="0.2">
      <c r="A39" s="196" t="s">
        <v>259</v>
      </c>
      <c r="B39" s="196"/>
      <c r="C39" s="196"/>
      <c r="D39" s="226"/>
      <c r="E39" s="226"/>
      <c r="F39" s="226"/>
      <c r="G39" s="226"/>
      <c r="H39" s="226"/>
      <c r="I39" s="226"/>
      <c r="J39" s="230"/>
    </row>
    <row r="40" spans="1:10" x14ac:dyDescent="0.2">
      <c r="A40" s="196" t="s">
        <v>260</v>
      </c>
      <c r="B40" s="196"/>
      <c r="C40" s="196"/>
      <c r="D40" s="226"/>
      <c r="E40" s="226"/>
      <c r="F40" s="226"/>
      <c r="G40" s="226"/>
      <c r="H40" s="226"/>
      <c r="I40" s="226"/>
      <c r="J40" s="230"/>
    </row>
    <row r="41" spans="1:10" x14ac:dyDescent="0.2">
      <c r="A41" s="196" t="s">
        <v>261</v>
      </c>
      <c r="B41" s="196"/>
      <c r="C41" s="196"/>
      <c r="D41" s="226"/>
      <c r="E41" s="226"/>
      <c r="F41" s="226"/>
      <c r="G41" s="226"/>
      <c r="H41" s="226"/>
      <c r="I41" s="226"/>
      <c r="J41" s="230"/>
    </row>
    <row r="42" spans="1:10" x14ac:dyDescent="0.2">
      <c r="A42" s="196" t="s">
        <v>262</v>
      </c>
      <c r="B42" s="196"/>
      <c r="C42" s="196"/>
      <c r="D42" s="226"/>
      <c r="E42" s="226"/>
      <c r="F42" s="226"/>
      <c r="G42" s="226"/>
      <c r="H42" s="226"/>
      <c r="I42" s="226"/>
      <c r="J42" s="230"/>
    </row>
    <row r="43" spans="1:10" x14ac:dyDescent="0.2">
      <c r="A43" s="196" t="s">
        <v>268</v>
      </c>
      <c r="B43" s="196"/>
      <c r="C43" s="196"/>
      <c r="D43" s="226"/>
      <c r="E43" s="226"/>
      <c r="F43" s="226"/>
      <c r="G43" s="226"/>
      <c r="H43" s="226"/>
      <c r="I43" s="226"/>
      <c r="J43" s="230"/>
    </row>
    <row r="44" spans="1:10" x14ac:dyDescent="0.2">
      <c r="A44" s="196" t="s">
        <v>269</v>
      </c>
      <c r="B44" s="196"/>
      <c r="C44" s="196"/>
      <c r="D44" s="226"/>
      <c r="E44" s="226"/>
      <c r="F44" s="226"/>
      <c r="G44" s="226"/>
      <c r="H44" s="226"/>
      <c r="I44" s="226"/>
      <c r="J44" s="230"/>
    </row>
    <row r="45" spans="1:10" x14ac:dyDescent="0.2">
      <c r="A45" s="196" t="s">
        <v>273</v>
      </c>
      <c r="B45" s="196"/>
      <c r="C45" s="196"/>
      <c r="D45" s="226"/>
      <c r="E45" s="226"/>
      <c r="F45" s="226"/>
      <c r="G45" s="226"/>
      <c r="H45" s="226"/>
      <c r="I45" s="226"/>
      <c r="J45" s="230"/>
    </row>
    <row r="46" spans="1:10" x14ac:dyDescent="0.2">
      <c r="A46" s="228" t="s">
        <v>274</v>
      </c>
      <c r="B46" s="228"/>
      <c r="C46" s="228"/>
      <c r="D46" s="231"/>
      <c r="E46" s="231"/>
      <c r="F46" s="231"/>
      <c r="G46" s="231"/>
      <c r="H46" s="231"/>
      <c r="I46" s="231"/>
      <c r="J46" s="232"/>
    </row>
    <row r="47" spans="1:10" x14ac:dyDescent="0.2">
      <c r="A47" s="196" t="s">
        <v>276</v>
      </c>
      <c r="B47" s="196"/>
      <c r="C47" s="196"/>
      <c r="D47" s="226"/>
      <c r="E47" s="226"/>
      <c r="F47" s="226"/>
      <c r="G47" s="226"/>
      <c r="H47" s="226"/>
      <c r="I47" s="226"/>
      <c r="J47" s="230"/>
    </row>
    <row r="48" spans="1:10" x14ac:dyDescent="0.2">
      <c r="A48" s="196" t="s">
        <v>279</v>
      </c>
      <c r="B48" s="196"/>
      <c r="C48" s="196"/>
      <c r="D48" s="226"/>
      <c r="E48" s="226"/>
      <c r="F48" s="226"/>
      <c r="G48" s="226"/>
      <c r="H48" s="226"/>
      <c r="I48" s="226"/>
      <c r="J48" s="230"/>
    </row>
    <row r="49" spans="1:10" x14ac:dyDescent="0.2">
      <c r="A49" s="196" t="s">
        <v>280</v>
      </c>
      <c r="B49" s="196"/>
      <c r="C49" s="196"/>
      <c r="D49" s="226"/>
      <c r="E49" s="226"/>
      <c r="F49" s="226"/>
      <c r="G49" s="226"/>
      <c r="H49" s="226"/>
      <c r="I49" s="226"/>
      <c r="J49" s="230"/>
    </row>
    <row r="50" spans="1:10" x14ac:dyDescent="0.2">
      <c r="A50" s="196" t="s">
        <v>281</v>
      </c>
      <c r="B50" s="196"/>
      <c r="C50" s="196"/>
      <c r="D50" s="226"/>
      <c r="E50" s="226"/>
      <c r="F50" s="226"/>
      <c r="G50" s="226"/>
      <c r="H50" s="226"/>
      <c r="I50" s="226"/>
      <c r="J50" s="230"/>
    </row>
    <row r="51" spans="1:10" x14ac:dyDescent="0.2">
      <c r="A51" s="196" t="s">
        <v>282</v>
      </c>
      <c r="B51" s="196"/>
      <c r="C51" s="196"/>
      <c r="D51" s="226"/>
      <c r="E51" s="226"/>
      <c r="F51" s="226"/>
      <c r="G51" s="226"/>
      <c r="H51" s="226"/>
      <c r="I51" s="226"/>
      <c r="J51" s="230"/>
    </row>
    <row r="52" spans="1:10" x14ac:dyDescent="0.2">
      <c r="A52" s="196" t="s">
        <v>283</v>
      </c>
      <c r="B52" s="196"/>
      <c r="C52" s="196"/>
      <c r="D52" s="226"/>
      <c r="E52" s="226"/>
      <c r="F52" s="226"/>
      <c r="G52" s="226"/>
      <c r="H52" s="226"/>
      <c r="I52" s="226"/>
      <c r="J52" s="230"/>
    </row>
    <row r="53" spans="1:10" x14ac:dyDescent="0.2">
      <c r="A53" s="196" t="s">
        <v>284</v>
      </c>
      <c r="B53" s="196"/>
      <c r="C53" s="196"/>
      <c r="D53" s="226"/>
      <c r="E53" s="226"/>
      <c r="F53" s="226"/>
      <c r="G53" s="226"/>
      <c r="H53" s="226"/>
      <c r="I53" s="226"/>
      <c r="J53" s="230"/>
    </row>
    <row r="54" spans="1:10" x14ac:dyDescent="0.2">
      <c r="A54" s="196" t="s">
        <v>285</v>
      </c>
      <c r="B54" s="196"/>
      <c r="C54" s="196"/>
      <c r="D54" s="226"/>
      <c r="E54" s="226"/>
      <c r="F54" s="226"/>
      <c r="G54" s="226"/>
      <c r="H54" s="226"/>
      <c r="I54" s="226"/>
      <c r="J54" s="230"/>
    </row>
    <row r="55" spans="1:10" x14ac:dyDescent="0.2">
      <c r="A55" s="196" t="s">
        <v>289</v>
      </c>
      <c r="B55" s="196"/>
      <c r="C55" s="196"/>
      <c r="D55" s="226"/>
      <c r="E55" s="226"/>
      <c r="F55" s="226"/>
      <c r="G55" s="226"/>
      <c r="H55" s="226"/>
      <c r="I55" s="226"/>
      <c r="J55" s="230"/>
    </row>
    <row r="56" spans="1:10" x14ac:dyDescent="0.2">
      <c r="A56" s="196" t="s">
        <v>290</v>
      </c>
      <c r="B56" s="196"/>
      <c r="C56" s="196"/>
      <c r="D56" s="226"/>
      <c r="E56" s="226"/>
      <c r="F56" s="226"/>
      <c r="G56" s="226"/>
      <c r="H56" s="226"/>
      <c r="I56" s="226"/>
      <c r="J56" s="230"/>
    </row>
    <row r="57" spans="1:10" x14ac:dyDescent="0.2">
      <c r="A57" s="196" t="s">
        <v>298</v>
      </c>
      <c r="B57" s="196"/>
      <c r="C57" s="196"/>
      <c r="D57" s="226"/>
      <c r="E57" s="226"/>
      <c r="F57" s="226"/>
      <c r="G57" s="226"/>
      <c r="H57" s="226"/>
      <c r="I57" s="226"/>
      <c r="J57" s="230"/>
    </row>
    <row r="58" spans="1:10" x14ac:dyDescent="0.2">
      <c r="A58" s="196"/>
      <c r="B58" s="196"/>
      <c r="C58" s="196"/>
      <c r="D58" s="226"/>
      <c r="E58" s="226"/>
      <c r="F58" s="226"/>
      <c r="G58" s="226"/>
      <c r="H58" s="226"/>
      <c r="I58" s="226"/>
      <c r="J58" s="230"/>
    </row>
    <row r="59" spans="1:10" x14ac:dyDescent="0.2">
      <c r="A59" s="225" t="s">
        <v>299</v>
      </c>
      <c r="B59" s="225"/>
      <c r="C59" s="225"/>
      <c r="D59" s="233"/>
      <c r="E59" s="233"/>
      <c r="F59" s="226"/>
      <c r="G59" s="226"/>
      <c r="H59" s="226"/>
      <c r="I59" s="226"/>
      <c r="J59" s="230"/>
    </row>
    <row r="60" spans="1:10" x14ac:dyDescent="0.2">
      <c r="A60" s="196" t="s">
        <v>300</v>
      </c>
      <c r="B60" s="196"/>
      <c r="C60" s="196"/>
      <c r="D60" s="226"/>
      <c r="E60" s="226"/>
      <c r="F60" s="226"/>
      <c r="G60" s="226"/>
      <c r="H60" s="226"/>
      <c r="I60" s="226"/>
      <c r="J60" s="230"/>
    </row>
    <row r="61" spans="1:10" x14ac:dyDescent="0.2">
      <c r="A61" s="196" t="s">
        <v>301</v>
      </c>
      <c r="B61" s="196"/>
      <c r="C61" s="196"/>
      <c r="D61" s="226"/>
      <c r="E61" s="226"/>
      <c r="F61" s="226"/>
      <c r="G61" s="226"/>
      <c r="H61" s="226"/>
      <c r="I61" s="226"/>
      <c r="J61" s="230"/>
    </row>
    <row r="62" spans="1:10" x14ac:dyDescent="0.2">
      <c r="A62" s="196" t="s">
        <v>302</v>
      </c>
      <c r="B62" s="196"/>
      <c r="C62" s="196"/>
      <c r="D62" s="226"/>
      <c r="E62" s="226"/>
      <c r="F62" s="226"/>
      <c r="G62" s="226"/>
      <c r="H62" s="226"/>
      <c r="I62" s="226"/>
      <c r="J62" s="230"/>
    </row>
    <row r="63" spans="1:10" x14ac:dyDescent="0.2">
      <c r="A63" s="196"/>
      <c r="B63" s="196"/>
      <c r="C63" s="196"/>
      <c r="D63" s="226"/>
      <c r="E63" s="226"/>
      <c r="F63" s="226"/>
      <c r="G63" s="226"/>
      <c r="H63" s="226"/>
      <c r="I63" s="226"/>
      <c r="J63" s="230"/>
    </row>
    <row r="64" spans="1:10" x14ac:dyDescent="0.2">
      <c r="A64" s="225" t="s">
        <v>306</v>
      </c>
      <c r="B64" s="196"/>
      <c r="C64" s="196"/>
      <c r="D64" s="226"/>
      <c r="E64" s="226"/>
      <c r="F64" s="226"/>
      <c r="G64" s="226"/>
      <c r="H64" s="226"/>
      <c r="I64" s="226"/>
      <c r="J64" s="230"/>
    </row>
    <row r="65" spans="1:10" x14ac:dyDescent="0.2">
      <c r="A65" s="196" t="s">
        <v>309</v>
      </c>
      <c r="B65" s="196"/>
      <c r="C65" s="196"/>
      <c r="D65" s="226"/>
      <c r="E65" s="226"/>
      <c r="F65" s="226"/>
      <c r="G65" s="226"/>
      <c r="H65" s="226"/>
      <c r="I65" s="226"/>
      <c r="J65" s="230"/>
    </row>
    <row r="66" spans="1:10" x14ac:dyDescent="0.2">
      <c r="A66" s="196" t="s">
        <v>310</v>
      </c>
      <c r="B66" s="196"/>
      <c r="C66" s="196"/>
      <c r="D66" s="226"/>
      <c r="E66" s="226"/>
      <c r="F66" s="226"/>
      <c r="G66" s="226"/>
      <c r="H66" s="226"/>
      <c r="I66" s="226"/>
      <c r="J66" s="230"/>
    </row>
    <row r="67" spans="1:10" x14ac:dyDescent="0.2">
      <c r="A67" s="196" t="s">
        <v>311</v>
      </c>
      <c r="B67" s="196"/>
      <c r="C67" s="196"/>
      <c r="D67" s="226"/>
      <c r="E67" s="226"/>
      <c r="F67" s="226"/>
      <c r="G67" s="226"/>
      <c r="H67" s="226"/>
      <c r="I67" s="226"/>
      <c r="J67" s="230"/>
    </row>
    <row r="68" spans="1:10" x14ac:dyDescent="0.2">
      <c r="A68" s="196"/>
      <c r="B68" s="196"/>
      <c r="C68" s="196"/>
      <c r="D68" s="226"/>
      <c r="E68" s="226"/>
      <c r="F68" s="226"/>
      <c r="G68" s="226"/>
      <c r="H68" s="226"/>
      <c r="I68" s="226"/>
      <c r="J68" s="230"/>
    </row>
    <row r="69" spans="1:10" x14ac:dyDescent="0.2">
      <c r="A69" s="225" t="s">
        <v>312</v>
      </c>
      <c r="B69" s="196"/>
      <c r="C69" s="196"/>
      <c r="D69" s="226"/>
      <c r="E69" s="226"/>
      <c r="F69" s="226"/>
      <c r="G69" s="226"/>
      <c r="H69" s="226"/>
      <c r="I69" s="226"/>
      <c r="J69" s="230"/>
    </row>
    <row r="70" spans="1:10" x14ac:dyDescent="0.2">
      <c r="A70" s="234" t="s">
        <v>313</v>
      </c>
      <c r="B70" s="196"/>
      <c r="C70" s="196"/>
      <c r="D70" s="226"/>
      <c r="E70" s="226"/>
      <c r="F70" s="226"/>
      <c r="G70" s="226"/>
      <c r="H70" s="226"/>
      <c r="I70" s="226"/>
      <c r="J70" s="230"/>
    </row>
    <row r="71" spans="1:10" x14ac:dyDescent="0.2">
      <c r="A71" s="235" t="s">
        <v>314</v>
      </c>
      <c r="B71" s="196"/>
      <c r="C71" s="196"/>
      <c r="D71" s="226"/>
      <c r="E71" s="226"/>
      <c r="F71" s="226"/>
      <c r="G71" s="226"/>
      <c r="H71" s="226"/>
      <c r="I71" s="226"/>
      <c r="J71" s="230"/>
    </row>
    <row r="72" spans="1:10" x14ac:dyDescent="0.2">
      <c r="A72" s="235" t="s">
        <v>315</v>
      </c>
      <c r="B72" s="196"/>
      <c r="C72" s="196"/>
      <c r="D72" s="226"/>
      <c r="E72" s="226"/>
      <c r="F72" s="226"/>
      <c r="G72" s="226"/>
      <c r="H72" s="226"/>
      <c r="I72" s="226"/>
      <c r="J72" s="230"/>
    </row>
    <row r="73" spans="1:10" x14ac:dyDescent="0.2">
      <c r="A73" s="234" t="s">
        <v>316</v>
      </c>
      <c r="B73" s="196"/>
      <c r="C73" s="196"/>
      <c r="D73" s="226"/>
      <c r="E73" s="226"/>
      <c r="F73" s="226"/>
      <c r="G73" s="226"/>
      <c r="H73" s="226"/>
      <c r="I73" s="226"/>
      <c r="J73" s="230"/>
    </row>
    <row r="74" spans="1:10" x14ac:dyDescent="0.2">
      <c r="A74" s="235" t="s">
        <v>317</v>
      </c>
      <c r="B74" s="196"/>
      <c r="C74" s="196"/>
      <c r="D74" s="226"/>
      <c r="E74" s="226"/>
      <c r="F74" s="226"/>
      <c r="G74" s="226"/>
      <c r="H74" s="226"/>
      <c r="I74" s="226"/>
      <c r="J74" s="230"/>
    </row>
    <row r="75" spans="1:10" x14ac:dyDescent="0.2">
      <c r="A75" s="235" t="s">
        <v>318</v>
      </c>
      <c r="B75" s="196"/>
      <c r="C75" s="196"/>
      <c r="D75" s="226"/>
      <c r="E75" s="226"/>
      <c r="F75" s="226"/>
      <c r="G75" s="226"/>
      <c r="H75" s="226"/>
      <c r="I75" s="226"/>
      <c r="J75" s="230"/>
    </row>
    <row r="76" spans="1:10" x14ac:dyDescent="0.2">
      <c r="A76" s="235" t="s">
        <v>319</v>
      </c>
      <c r="B76" s="196"/>
      <c r="C76" s="196"/>
      <c r="D76" s="226"/>
      <c r="E76" s="226"/>
      <c r="F76" s="226"/>
      <c r="G76" s="226"/>
      <c r="H76" s="226"/>
      <c r="I76" s="226"/>
      <c r="J76" s="230"/>
    </row>
    <row r="77" spans="1:10" x14ac:dyDescent="0.2">
      <c r="A77" s="234" t="s">
        <v>322</v>
      </c>
      <c r="B77" s="196"/>
      <c r="C77" s="196"/>
      <c r="D77" s="226"/>
      <c r="E77" s="226"/>
      <c r="F77" s="226"/>
      <c r="G77" s="226"/>
      <c r="H77" s="226"/>
      <c r="I77" s="226"/>
      <c r="J77" s="230"/>
    </row>
    <row r="78" spans="1:10" x14ac:dyDescent="0.2">
      <c r="A78" s="235" t="s">
        <v>323</v>
      </c>
      <c r="B78" s="196"/>
      <c r="C78" s="196"/>
      <c r="D78" s="226"/>
      <c r="E78" s="226"/>
      <c r="F78" s="226"/>
      <c r="G78" s="226"/>
      <c r="H78" s="226"/>
      <c r="I78" s="226"/>
      <c r="J78" s="230"/>
    </row>
    <row r="79" spans="1:10" x14ac:dyDescent="0.2">
      <c r="A79" s="196" t="s">
        <v>324</v>
      </c>
      <c r="B79" s="196"/>
      <c r="C79" s="196"/>
      <c r="D79" s="226"/>
      <c r="E79" s="226"/>
      <c r="F79" s="226"/>
      <c r="G79" s="226"/>
      <c r="H79" s="226"/>
      <c r="I79" s="226"/>
      <c r="J79" s="230"/>
    </row>
    <row r="80" spans="1:10" x14ac:dyDescent="0.2">
      <c r="A80" s="236" t="s">
        <v>325</v>
      </c>
      <c r="B80" s="196"/>
      <c r="C80" s="196"/>
      <c r="D80" s="226"/>
      <c r="E80" s="226"/>
      <c r="F80" s="226"/>
      <c r="G80" s="226"/>
      <c r="H80" s="226"/>
      <c r="I80" s="226"/>
      <c r="J80" s="230"/>
    </row>
    <row r="81" spans="1:10" x14ac:dyDescent="0.2">
      <c r="A81" s="237" t="s">
        <v>327</v>
      </c>
      <c r="B81" s="196"/>
      <c r="C81" s="196"/>
      <c r="D81" s="226"/>
      <c r="E81" s="226"/>
      <c r="F81" s="226"/>
      <c r="G81" s="226"/>
      <c r="H81" s="226"/>
      <c r="I81" s="226"/>
      <c r="J81" s="230"/>
    </row>
    <row r="82" spans="1:10" x14ac:dyDescent="0.2">
      <c r="A82" s="225"/>
      <c r="B82" s="196"/>
      <c r="C82" s="196"/>
      <c r="D82" s="226"/>
      <c r="E82" s="226"/>
      <c r="F82" s="226"/>
      <c r="G82" s="226"/>
      <c r="H82" s="226"/>
      <c r="I82" s="226"/>
      <c r="J82" s="230"/>
    </row>
    <row r="83" spans="1:10" x14ac:dyDescent="0.2">
      <c r="A83" s="225" t="s">
        <v>329</v>
      </c>
      <c r="B83" s="196"/>
      <c r="C83" s="196"/>
      <c r="D83" s="226"/>
      <c r="E83" s="226"/>
      <c r="F83" s="226"/>
      <c r="G83" s="226"/>
      <c r="H83" s="226"/>
      <c r="I83" s="226"/>
      <c r="J83" s="230"/>
    </row>
    <row r="84" spans="1:10" x14ac:dyDescent="0.2">
      <c r="A84" s="228" t="s">
        <v>254</v>
      </c>
      <c r="B84" s="196"/>
      <c r="C84" s="196"/>
      <c r="D84" s="226"/>
      <c r="E84" s="226"/>
      <c r="F84" s="226"/>
      <c r="G84" s="226"/>
      <c r="H84" s="226"/>
      <c r="I84" s="226"/>
      <c r="J84" s="230"/>
    </row>
    <row r="85" spans="1:10" x14ac:dyDescent="0.2">
      <c r="A85" s="237" t="s">
        <v>332</v>
      </c>
      <c r="B85" s="196"/>
      <c r="C85" s="196"/>
      <c r="D85" s="226"/>
      <c r="E85" s="226"/>
      <c r="F85" s="226"/>
      <c r="G85" s="226"/>
      <c r="H85" s="226"/>
      <c r="I85" s="226"/>
      <c r="J85" s="230"/>
    </row>
    <row r="86" spans="1:10" x14ac:dyDescent="0.2">
      <c r="A86" s="238" t="s">
        <v>333</v>
      </c>
      <c r="B86" s="196"/>
      <c r="C86" s="196"/>
      <c r="D86" s="226"/>
      <c r="E86" s="226"/>
      <c r="F86" s="226"/>
      <c r="G86" s="226"/>
      <c r="H86" s="226"/>
      <c r="I86" s="226"/>
      <c r="J86" s="230"/>
    </row>
    <row r="87" spans="1:10" x14ac:dyDescent="0.2">
      <c r="A87" s="237" t="s">
        <v>338</v>
      </c>
      <c r="B87" s="196"/>
      <c r="C87" s="196"/>
      <c r="D87" s="226"/>
      <c r="E87" s="226"/>
      <c r="F87" s="226"/>
      <c r="G87" s="226"/>
      <c r="H87" s="226"/>
      <c r="I87" s="226"/>
      <c r="J87" s="230"/>
    </row>
    <row r="88" spans="1:10" x14ac:dyDescent="0.2">
      <c r="A88" s="228" t="s">
        <v>322</v>
      </c>
      <c r="B88" s="196"/>
      <c r="C88" s="196"/>
      <c r="D88" s="226"/>
      <c r="E88" s="226"/>
      <c r="F88" s="226"/>
      <c r="G88" s="226"/>
      <c r="H88" s="226"/>
      <c r="I88" s="226"/>
      <c r="J88" s="230"/>
    </row>
    <row r="89" spans="1:10" x14ac:dyDescent="0.2">
      <c r="A89" s="237" t="s">
        <v>349</v>
      </c>
      <c r="B89" s="196"/>
      <c r="C89" s="196"/>
      <c r="D89" s="226"/>
      <c r="E89" s="226"/>
      <c r="F89" s="226"/>
      <c r="G89" s="226"/>
      <c r="H89" s="226"/>
      <c r="I89" s="226"/>
      <c r="J89" s="230"/>
    </row>
    <row r="90" spans="1:10" x14ac:dyDescent="0.2">
      <c r="A90" s="237"/>
      <c r="B90" s="196"/>
      <c r="C90" s="196"/>
      <c r="D90" s="226"/>
      <c r="E90" s="226"/>
      <c r="F90" s="226"/>
      <c r="G90" s="226"/>
      <c r="H90" s="226"/>
      <c r="I90" s="226"/>
      <c r="J90" s="230"/>
    </row>
    <row r="91" spans="1:10" x14ac:dyDescent="0.2">
      <c r="A91" s="239" t="s">
        <v>354</v>
      </c>
      <c r="B91" s="225"/>
      <c r="C91" s="225"/>
      <c r="D91" s="233"/>
      <c r="E91" s="226"/>
      <c r="F91" s="226"/>
      <c r="G91" s="226"/>
      <c r="H91" s="226"/>
      <c r="I91" s="226"/>
      <c r="J91" s="230"/>
    </row>
    <row r="92" spans="1:10" x14ac:dyDescent="0.2">
      <c r="A92" s="238" t="s">
        <v>355</v>
      </c>
      <c r="B92" s="196"/>
      <c r="C92" s="196"/>
      <c r="D92" s="226"/>
      <c r="E92" s="226"/>
      <c r="F92" s="226"/>
      <c r="G92" s="226"/>
      <c r="H92" s="226"/>
      <c r="I92" s="226"/>
      <c r="J92" s="230"/>
    </row>
    <row r="93" spans="1:10" x14ac:dyDescent="0.2">
      <c r="A93" s="237" t="s">
        <v>356</v>
      </c>
      <c r="B93" s="196"/>
      <c r="C93" s="196"/>
      <c r="D93" s="226"/>
      <c r="E93" s="226"/>
      <c r="F93" s="226"/>
      <c r="G93" s="226"/>
      <c r="H93" s="226"/>
      <c r="I93" s="226"/>
      <c r="J93" s="230"/>
    </row>
    <row r="94" spans="1:10" x14ac:dyDescent="0.2">
      <c r="A94" s="237"/>
      <c r="B94" s="196"/>
      <c r="C94" s="196"/>
      <c r="D94" s="196"/>
      <c r="E94" s="196"/>
      <c r="F94" s="196"/>
      <c r="G94" s="196"/>
      <c r="H94" s="196"/>
      <c r="I94" s="196"/>
      <c r="J94" s="186"/>
    </row>
    <row r="95" spans="1:10" x14ac:dyDescent="0.2">
      <c r="A95" s="180" t="s">
        <v>353</v>
      </c>
      <c r="B95" s="196"/>
      <c r="C95" s="196"/>
      <c r="D95" s="196"/>
      <c r="E95" s="196"/>
      <c r="F95" s="196"/>
      <c r="G95" s="196"/>
      <c r="H95" s="196"/>
      <c r="I95" s="196"/>
      <c r="J95" s="186"/>
    </row>
    <row r="96" spans="1:10" x14ac:dyDescent="0.2">
      <c r="A96" s="240" t="s">
        <v>254</v>
      </c>
      <c r="B96" s="196"/>
      <c r="C96" s="196"/>
      <c r="D96" s="196"/>
      <c r="E96" s="196"/>
      <c r="F96" s="196"/>
      <c r="G96" s="196"/>
      <c r="H96" s="196"/>
      <c r="I96" s="196"/>
      <c r="J96" s="186"/>
    </row>
    <row r="97" spans="1:34" x14ac:dyDescent="0.2">
      <c r="A97" s="185" t="s">
        <v>268</v>
      </c>
      <c r="B97" s="196"/>
      <c r="C97" s="196"/>
      <c r="D97" s="196"/>
      <c r="E97" s="196"/>
      <c r="F97" s="196"/>
      <c r="G97" s="196"/>
      <c r="H97" s="196"/>
      <c r="I97" s="196"/>
      <c r="J97" s="186"/>
    </row>
    <row r="98" spans="1:34" x14ac:dyDescent="0.2">
      <c r="A98" s="241"/>
      <c r="B98" s="241"/>
      <c r="C98" s="241"/>
      <c r="D98" s="241"/>
      <c r="E98" s="189"/>
      <c r="F98" s="1764"/>
      <c r="G98" s="1764"/>
      <c r="H98" s="189"/>
      <c r="I98" s="189"/>
      <c r="J98" s="189"/>
    </row>
    <row r="99" spans="1:34" x14ac:dyDescent="0.2">
      <c r="A99" s="242" t="s">
        <v>366</v>
      </c>
      <c r="B99" s="241"/>
      <c r="C99" s="241"/>
      <c r="D99" s="241"/>
      <c r="E99" s="189"/>
      <c r="F99" s="1467"/>
      <c r="G99" s="1467"/>
      <c r="H99" s="189"/>
      <c r="I99" s="189"/>
      <c r="J99" s="189"/>
    </row>
    <row r="100" spans="1:34" s="185" customFormat="1" x14ac:dyDescent="0.2">
      <c r="A100" s="241" t="s">
        <v>367</v>
      </c>
      <c r="B100" s="241" t="s">
        <v>371</v>
      </c>
      <c r="C100" s="241"/>
      <c r="D100" s="241"/>
      <c r="E100" s="189"/>
      <c r="F100" s="1764"/>
      <c r="G100" s="1764"/>
      <c r="H100" s="189"/>
      <c r="I100" s="189"/>
      <c r="J100" s="189"/>
      <c r="K100" s="161"/>
      <c r="O100" s="161"/>
      <c r="P100" s="161"/>
      <c r="Q100" s="161"/>
      <c r="R100" s="161"/>
      <c r="S100" s="161"/>
      <c r="T100" s="161"/>
      <c r="U100" s="161"/>
      <c r="V100" s="161"/>
      <c r="W100" s="161"/>
      <c r="X100" s="161"/>
      <c r="Y100" s="161"/>
      <c r="Z100" s="161"/>
      <c r="AA100" s="161"/>
      <c r="AB100" s="161"/>
      <c r="AC100" s="161"/>
      <c r="AD100" s="161"/>
      <c r="AE100" s="161"/>
      <c r="AF100" s="161"/>
      <c r="AG100" s="161"/>
      <c r="AH100" s="161"/>
    </row>
    <row r="101" spans="1:34" s="185" customFormat="1" x14ac:dyDescent="0.2">
      <c r="A101" s="241" t="s">
        <v>372</v>
      </c>
      <c r="B101" s="241"/>
      <c r="C101" s="241"/>
      <c r="D101" s="241"/>
      <c r="E101" s="189"/>
      <c r="F101" s="1467"/>
      <c r="G101" s="1467"/>
      <c r="H101" s="189"/>
      <c r="I101" s="189"/>
      <c r="J101" s="189"/>
      <c r="K101" s="161"/>
      <c r="O101" s="161"/>
      <c r="P101" s="161"/>
      <c r="Q101" s="161"/>
      <c r="R101" s="161"/>
      <c r="S101" s="161"/>
      <c r="T101" s="161"/>
      <c r="U101" s="161"/>
      <c r="V101" s="161"/>
      <c r="W101" s="161"/>
      <c r="X101" s="161"/>
      <c r="Y101" s="161"/>
      <c r="Z101" s="161"/>
      <c r="AA101" s="161"/>
      <c r="AB101" s="161"/>
      <c r="AC101" s="161"/>
      <c r="AD101" s="161"/>
      <c r="AE101" s="161"/>
      <c r="AF101" s="161"/>
      <c r="AG101" s="161"/>
      <c r="AH101" s="161"/>
    </row>
    <row r="102" spans="1:34" s="185" customFormat="1" x14ac:dyDescent="0.2">
      <c r="A102" s="241" t="s">
        <v>373</v>
      </c>
      <c r="B102" s="241"/>
      <c r="C102" s="241"/>
      <c r="D102" s="241"/>
      <c r="E102" s="189"/>
      <c r="F102" s="1467"/>
      <c r="G102" s="1467"/>
      <c r="H102" s="189"/>
      <c r="I102" s="189"/>
      <c r="J102" s="189"/>
      <c r="K102" s="161"/>
      <c r="O102" s="161"/>
      <c r="P102" s="161"/>
      <c r="Q102" s="161"/>
      <c r="R102" s="161"/>
      <c r="S102" s="161"/>
      <c r="T102" s="161"/>
      <c r="U102" s="161"/>
      <c r="V102" s="161"/>
      <c r="W102" s="161"/>
      <c r="X102" s="161"/>
      <c r="Y102" s="161"/>
      <c r="Z102" s="161"/>
      <c r="AA102" s="161"/>
      <c r="AB102" s="161"/>
      <c r="AC102" s="161"/>
      <c r="AD102" s="161"/>
      <c r="AE102" s="161"/>
      <c r="AF102" s="161"/>
      <c r="AG102" s="161"/>
      <c r="AH102" s="161"/>
    </row>
    <row r="103" spans="1:34" x14ac:dyDescent="0.2">
      <c r="A103" s="241"/>
      <c r="B103" s="241"/>
      <c r="C103" s="241"/>
      <c r="D103" s="241"/>
      <c r="E103" s="189"/>
      <c r="F103" s="1764"/>
      <c r="G103" s="1764"/>
      <c r="H103" s="189"/>
      <c r="I103" s="189"/>
      <c r="J103" s="189"/>
    </row>
    <row r="104" spans="1:34" x14ac:dyDescent="0.2">
      <c r="A104" s="196"/>
      <c r="B104" s="196"/>
      <c r="C104" s="196"/>
      <c r="D104" s="196"/>
      <c r="E104" s="186"/>
      <c r="F104" s="186"/>
      <c r="G104" s="187"/>
      <c r="H104" s="186"/>
      <c r="I104" s="186"/>
      <c r="J104" s="186"/>
    </row>
    <row r="105" spans="1:34" x14ac:dyDescent="0.2">
      <c r="A105" s="241"/>
      <c r="B105" s="241"/>
      <c r="C105" s="241"/>
      <c r="D105" s="241"/>
      <c r="E105" s="189"/>
      <c r="F105" s="1764"/>
      <c r="G105" s="1764"/>
      <c r="H105" s="189"/>
      <c r="I105" s="189"/>
      <c r="J105" s="189"/>
    </row>
    <row r="106" spans="1:34" x14ac:dyDescent="0.2">
      <c r="A106" s="241"/>
      <c r="B106" s="241"/>
      <c r="C106" s="241"/>
      <c r="D106" s="241"/>
      <c r="E106" s="189"/>
      <c r="F106" s="192"/>
      <c r="G106" s="193"/>
      <c r="H106" s="189"/>
      <c r="I106" s="189"/>
      <c r="J106" s="189"/>
    </row>
    <row r="107" spans="1:34" x14ac:dyDescent="0.2">
      <c r="A107" s="241"/>
      <c r="B107" s="241"/>
      <c r="C107" s="241"/>
      <c r="D107" s="241"/>
      <c r="E107" s="189"/>
      <c r="F107" s="189"/>
      <c r="G107" s="194"/>
      <c r="H107" s="189"/>
      <c r="I107" s="189"/>
      <c r="J107" s="189"/>
    </row>
    <row r="108" spans="1:34" x14ac:dyDescent="0.2">
      <c r="A108" s="241"/>
      <c r="B108" s="241"/>
      <c r="C108" s="241"/>
      <c r="D108" s="241"/>
      <c r="E108" s="189"/>
      <c r="F108" s="189"/>
      <c r="G108" s="194"/>
      <c r="H108" s="189"/>
      <c r="I108" s="189"/>
      <c r="J108" s="189"/>
    </row>
    <row r="109" spans="1:34" x14ac:dyDescent="0.2">
      <c r="A109" s="241"/>
      <c r="B109" s="241"/>
      <c r="C109" s="241"/>
      <c r="D109" s="241"/>
      <c r="E109" s="189"/>
      <c r="F109" s="1764"/>
      <c r="G109" s="1764"/>
      <c r="H109" s="189"/>
      <c r="I109" s="189"/>
      <c r="J109" s="189"/>
    </row>
    <row r="110" spans="1:34" x14ac:dyDescent="0.2">
      <c r="A110" s="196"/>
      <c r="B110" s="196"/>
      <c r="C110" s="196"/>
      <c r="D110" s="196"/>
      <c r="E110" s="186"/>
      <c r="F110" s="186"/>
      <c r="G110" s="187"/>
      <c r="H110" s="186"/>
      <c r="I110" s="186"/>
      <c r="J110" s="196"/>
    </row>
  </sheetData>
  <sheetProtection algorithmName="SHA-512" hashValue="MlQihUYDMmNaXglKZ0KJ1yRh4VVQTkXlzII16iNOd7wnbeVldcfw00B7fNpdepP9JjCjFgX+1Fbmh872e0qsZg==" saltValue="lRszUYWyh6T9ddFCfVX0/g==" spinCount="100000" sheet="1" objects="1" scenarios="1" formatCells="0"/>
  <mergeCells count="16">
    <mergeCell ref="B18:C18"/>
    <mergeCell ref="B10:C15"/>
    <mergeCell ref="F103:G103"/>
    <mergeCell ref="F105:G105"/>
    <mergeCell ref="F109:G109"/>
    <mergeCell ref="F100:G100"/>
    <mergeCell ref="A20:B20"/>
    <mergeCell ref="F98:G98"/>
    <mergeCell ref="A1:B1"/>
    <mergeCell ref="A2:B2"/>
    <mergeCell ref="A3:J3"/>
    <mergeCell ref="A10:A15"/>
    <mergeCell ref="A16:A17"/>
    <mergeCell ref="B8:C8"/>
    <mergeCell ref="A9:C9"/>
    <mergeCell ref="B16:C17"/>
  </mergeCells>
  <printOptions horizontalCentered="1"/>
  <pageMargins left="0.78740157480314965" right="0.39370078740157483" top="0.59055118110236227" bottom="0.39370078740157483" header="0.23622047244094491" footer="0.23622047244094491"/>
  <pageSetup paperSize="9" scale="65" fitToHeight="2" orientation="portrait" r:id="rId1"/>
  <headerFooter>
    <oddHeader xml:space="preserve">&amp;R&amp;"Times New Roman,Regular"&amp;10
 5.pielikums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2"/>
  <sheetViews>
    <sheetView view="pageLayout" zoomScaleNormal="100" workbookViewId="0">
      <selection activeCell="L8" sqref="L8"/>
    </sheetView>
  </sheetViews>
  <sheetFormatPr defaultColWidth="9.140625" defaultRowHeight="12.75" x14ac:dyDescent="0.2"/>
  <cols>
    <col min="1" max="1" width="6.140625" style="166" customWidth="1"/>
    <col min="2" max="2" width="26.85546875" style="166" customWidth="1"/>
    <col min="3" max="3" width="12" style="166" customWidth="1"/>
    <col min="4" max="4" width="11.85546875" style="166" hidden="1" customWidth="1"/>
    <col min="5" max="5" width="11.140625" style="166" hidden="1" customWidth="1"/>
    <col min="6" max="6" width="10.28515625" style="166" hidden="1" customWidth="1"/>
    <col min="7" max="7" width="11.140625" style="166" customWidth="1"/>
    <col min="8" max="8" width="9.7109375" style="166" customWidth="1"/>
    <col min="9" max="9" width="19.140625" style="166" customWidth="1"/>
    <col min="10" max="10" width="28.7109375" style="181" hidden="1" customWidth="1"/>
    <col min="11" max="16384" width="9.140625" style="166"/>
  </cols>
  <sheetData>
    <row r="1" spans="1:10" x14ac:dyDescent="0.2">
      <c r="A1" s="2185" t="s">
        <v>117</v>
      </c>
      <c r="B1" s="2185"/>
      <c r="C1" s="963" t="s">
        <v>2194</v>
      </c>
      <c r="D1" s="963"/>
      <c r="E1" s="963"/>
      <c r="F1" s="963"/>
      <c r="G1" s="963"/>
      <c r="H1" s="963"/>
      <c r="I1" s="963"/>
      <c r="J1" s="964"/>
    </row>
    <row r="2" spans="1:10" x14ac:dyDescent="0.2">
      <c r="A2" s="2185" t="s">
        <v>119</v>
      </c>
      <c r="B2" s="2185"/>
      <c r="C2" s="1498">
        <v>90000594245</v>
      </c>
      <c r="D2" s="162"/>
      <c r="E2" s="963"/>
      <c r="F2" s="963"/>
      <c r="G2" s="963"/>
      <c r="H2" s="963"/>
      <c r="I2" s="963"/>
      <c r="J2" s="964"/>
    </row>
    <row r="3" spans="1:10" ht="15.75" x14ac:dyDescent="0.25">
      <c r="A3" s="1773" t="s">
        <v>120</v>
      </c>
      <c r="B3" s="1773"/>
      <c r="C3" s="1773"/>
      <c r="D3" s="1773"/>
      <c r="E3" s="1773"/>
      <c r="F3" s="1773"/>
      <c r="G3" s="1773"/>
      <c r="H3" s="1773"/>
      <c r="I3" s="1773"/>
      <c r="J3" s="1773"/>
    </row>
    <row r="4" spans="1:10" x14ac:dyDescent="0.2">
      <c r="A4" s="965"/>
      <c r="B4" s="965"/>
      <c r="C4" s="965"/>
      <c r="D4" s="965"/>
      <c r="E4" s="965"/>
      <c r="F4" s="965"/>
      <c r="G4" s="965"/>
      <c r="H4" s="965"/>
      <c r="I4" s="965"/>
      <c r="J4" s="966"/>
    </row>
    <row r="5" spans="1:10" ht="15.75" x14ac:dyDescent="0.25">
      <c r="A5" s="963" t="s">
        <v>121</v>
      </c>
      <c r="B5" s="963"/>
      <c r="C5" s="1652" t="s">
        <v>2316</v>
      </c>
      <c r="D5" s="1652"/>
      <c r="E5" s="1653"/>
      <c r="F5" s="1653"/>
      <c r="G5" s="1653"/>
      <c r="H5" s="963"/>
      <c r="I5" s="963"/>
      <c r="J5" s="964"/>
    </row>
    <row r="6" spans="1:10" x14ac:dyDescent="0.2">
      <c r="A6" s="963" t="s">
        <v>123</v>
      </c>
      <c r="B6" s="963"/>
      <c r="C6" s="927" t="s">
        <v>2317</v>
      </c>
      <c r="D6" s="927"/>
      <c r="E6" s="967"/>
      <c r="F6" s="968"/>
      <c r="G6" s="927"/>
      <c r="H6" s="963"/>
      <c r="I6" s="963"/>
      <c r="J6" s="964"/>
    </row>
    <row r="7" spans="1:10" x14ac:dyDescent="0.2">
      <c r="A7" s="963" t="s">
        <v>125</v>
      </c>
      <c r="B7" s="963"/>
      <c r="C7" s="969" t="s">
        <v>2318</v>
      </c>
      <c r="D7" s="969"/>
      <c r="E7" s="967"/>
      <c r="F7" s="968"/>
      <c r="G7" s="927"/>
      <c r="H7" s="963"/>
      <c r="I7" s="963"/>
      <c r="J7" s="964"/>
    </row>
    <row r="8" spans="1:10" ht="57.75" customHeight="1" x14ac:dyDescent="0.2">
      <c r="A8" s="970" t="s">
        <v>1</v>
      </c>
      <c r="B8" s="2165" t="s">
        <v>127</v>
      </c>
      <c r="C8" s="2166"/>
      <c r="D8" s="970" t="s">
        <v>14</v>
      </c>
      <c r="E8" s="970" t="s">
        <v>12</v>
      </c>
      <c r="F8" s="970" t="s">
        <v>128</v>
      </c>
      <c r="G8" s="970" t="s">
        <v>129</v>
      </c>
      <c r="H8" s="970" t="s">
        <v>3357</v>
      </c>
      <c r="I8" s="970" t="s">
        <v>11</v>
      </c>
      <c r="J8" s="970" t="s">
        <v>131</v>
      </c>
    </row>
    <row r="9" spans="1:10" ht="12.75" customHeight="1" x14ac:dyDescent="0.2">
      <c r="A9" s="2167" t="s">
        <v>132</v>
      </c>
      <c r="B9" s="2168"/>
      <c r="C9" s="2169"/>
      <c r="D9" s="971">
        <f>SUM(D10:D11)</f>
        <v>45712</v>
      </c>
      <c r="E9" s="971">
        <f>SUM(E10:E11)</f>
        <v>45712</v>
      </c>
      <c r="F9" s="971">
        <f>SUM(F10:F11)</f>
        <v>45712</v>
      </c>
      <c r="G9" s="971"/>
      <c r="H9" s="971">
        <f>SUM(H10:H11)</f>
        <v>45712</v>
      </c>
      <c r="I9" s="971"/>
      <c r="J9" s="972"/>
    </row>
    <row r="10" spans="1:10" ht="43.5" customHeight="1" x14ac:dyDescent="0.2">
      <c r="A10" s="973">
        <v>1</v>
      </c>
      <c r="B10" s="2163" t="s">
        <v>2319</v>
      </c>
      <c r="C10" s="2164"/>
      <c r="D10" s="975">
        <v>45000</v>
      </c>
      <c r="E10" s="973">
        <v>45000</v>
      </c>
      <c r="F10" s="973">
        <v>45000</v>
      </c>
      <c r="G10" s="976">
        <v>2239</v>
      </c>
      <c r="H10" s="977">
        <v>45000</v>
      </c>
      <c r="I10" s="962" t="s">
        <v>2320</v>
      </c>
      <c r="J10" s="978" t="s">
        <v>2321</v>
      </c>
    </row>
    <row r="11" spans="1:10" ht="40.5" customHeight="1" x14ac:dyDescent="0.2">
      <c r="A11" s="973">
        <v>2</v>
      </c>
      <c r="B11" s="2163" t="s">
        <v>2322</v>
      </c>
      <c r="C11" s="2164"/>
      <c r="D11" s="975">
        <v>712</v>
      </c>
      <c r="E11" s="973">
        <v>712</v>
      </c>
      <c r="F11" s="973">
        <v>712</v>
      </c>
      <c r="G11" s="976">
        <v>2232</v>
      </c>
      <c r="H11" s="977">
        <v>712</v>
      </c>
      <c r="I11" s="962" t="s">
        <v>2320</v>
      </c>
      <c r="J11" s="978" t="s">
        <v>2323</v>
      </c>
    </row>
    <row r="12" spans="1:10" x14ac:dyDescent="0.2">
      <c r="A12" s="979"/>
      <c r="B12" s="979"/>
      <c r="C12" s="979"/>
      <c r="D12" s="979"/>
      <c r="E12" s="979"/>
      <c r="F12" s="979"/>
      <c r="G12" s="979"/>
      <c r="H12" s="979"/>
      <c r="I12" s="979"/>
      <c r="J12" s="980"/>
    </row>
    <row r="13" spans="1:10" x14ac:dyDescent="0.2">
      <c r="A13" s="963" t="s">
        <v>123</v>
      </c>
      <c r="B13" s="963"/>
      <c r="C13" s="927" t="s">
        <v>2324</v>
      </c>
      <c r="D13" s="927"/>
      <c r="E13" s="963"/>
      <c r="F13" s="963"/>
      <c r="G13" s="963"/>
      <c r="H13" s="963"/>
      <c r="I13" s="963"/>
      <c r="J13" s="964"/>
    </row>
    <row r="14" spans="1:10" x14ac:dyDescent="0.2">
      <c r="A14" s="963" t="s">
        <v>125</v>
      </c>
      <c r="B14" s="963"/>
      <c r="C14" s="969" t="s">
        <v>2325</v>
      </c>
      <c r="D14" s="969"/>
      <c r="E14" s="963"/>
      <c r="F14" s="963"/>
      <c r="G14" s="963"/>
      <c r="H14" s="963"/>
      <c r="I14" s="963"/>
      <c r="J14" s="964"/>
    </row>
    <row r="15" spans="1:10" ht="59.25" customHeight="1" x14ac:dyDescent="0.2">
      <c r="A15" s="970" t="s">
        <v>1</v>
      </c>
      <c r="B15" s="2165" t="s">
        <v>127</v>
      </c>
      <c r="C15" s="2166"/>
      <c r="D15" s="970" t="s">
        <v>14</v>
      </c>
      <c r="E15" s="970" t="s">
        <v>12</v>
      </c>
      <c r="F15" s="970" t="s">
        <v>128</v>
      </c>
      <c r="G15" s="970" t="s">
        <v>129</v>
      </c>
      <c r="H15" s="970" t="s">
        <v>3357</v>
      </c>
      <c r="I15" s="970" t="s">
        <v>11</v>
      </c>
      <c r="J15" s="970" t="s">
        <v>131</v>
      </c>
    </row>
    <row r="16" spans="1:10" ht="15" customHeight="1" x14ac:dyDescent="0.2">
      <c r="A16" s="2167" t="s">
        <v>132</v>
      </c>
      <c r="B16" s="2168"/>
      <c r="C16" s="2169"/>
      <c r="D16" s="971">
        <f>SUM(D17:D30)</f>
        <v>28909</v>
      </c>
      <c r="E16" s="971">
        <f>SUM(E17:E30)</f>
        <v>28849</v>
      </c>
      <c r="F16" s="971">
        <f>SUM(F17:F30)</f>
        <v>34917</v>
      </c>
      <c r="G16" s="971"/>
      <c r="H16" s="971">
        <f>SUM(H17:H30)</f>
        <v>28912</v>
      </c>
      <c r="I16" s="971"/>
      <c r="J16" s="972"/>
    </row>
    <row r="17" spans="1:10" ht="12" hidden="1" customHeight="1" x14ac:dyDescent="0.2">
      <c r="A17" s="2170">
        <v>1</v>
      </c>
      <c r="B17" s="2179" t="s">
        <v>2326</v>
      </c>
      <c r="C17" s="2180"/>
      <c r="D17" s="981"/>
      <c r="E17" s="981"/>
      <c r="F17" s="981"/>
      <c r="G17" s="981"/>
      <c r="H17" s="981"/>
      <c r="I17" s="2173" t="s">
        <v>2327</v>
      </c>
      <c r="J17" s="972"/>
    </row>
    <row r="18" spans="1:10" ht="14.25" customHeight="1" x14ac:dyDescent="0.2">
      <c r="A18" s="2171"/>
      <c r="B18" s="2181"/>
      <c r="C18" s="2182"/>
      <c r="D18" s="973">
        <v>339</v>
      </c>
      <c r="E18" s="973">
        <v>339</v>
      </c>
      <c r="F18" s="973">
        <v>339</v>
      </c>
      <c r="G18" s="976">
        <v>2244</v>
      </c>
      <c r="H18" s="977">
        <v>339</v>
      </c>
      <c r="I18" s="2174"/>
      <c r="J18" s="982" t="s">
        <v>2328</v>
      </c>
    </row>
    <row r="19" spans="1:10" ht="14.25" customHeight="1" x14ac:dyDescent="0.2">
      <c r="A19" s="2171"/>
      <c r="B19" s="2181"/>
      <c r="C19" s="2182"/>
      <c r="D19" s="973">
        <v>43</v>
      </c>
      <c r="E19" s="973">
        <v>43</v>
      </c>
      <c r="F19" s="973">
        <v>43</v>
      </c>
      <c r="G19" s="976">
        <v>2224</v>
      </c>
      <c r="H19" s="977">
        <v>43</v>
      </c>
      <c r="I19" s="2174"/>
      <c r="J19" s="982" t="s">
        <v>2329</v>
      </c>
    </row>
    <row r="20" spans="1:10" ht="14.25" customHeight="1" x14ac:dyDescent="0.2">
      <c r="A20" s="2171"/>
      <c r="B20" s="2181"/>
      <c r="C20" s="2182"/>
      <c r="D20" s="973">
        <v>70</v>
      </c>
      <c r="E20" s="973">
        <v>10</v>
      </c>
      <c r="F20" s="973">
        <v>12</v>
      </c>
      <c r="G20" s="976">
        <v>2222</v>
      </c>
      <c r="H20" s="977">
        <v>12</v>
      </c>
      <c r="I20" s="2174"/>
      <c r="J20" s="982" t="s">
        <v>2330</v>
      </c>
    </row>
    <row r="21" spans="1:10" ht="14.25" customHeight="1" x14ac:dyDescent="0.2">
      <c r="A21" s="2171"/>
      <c r="B21" s="2181"/>
      <c r="C21" s="2182"/>
      <c r="D21" s="973">
        <v>96</v>
      </c>
      <c r="E21" s="973">
        <v>96</v>
      </c>
      <c r="F21" s="973">
        <v>96</v>
      </c>
      <c r="G21" s="976">
        <v>2223</v>
      </c>
      <c r="H21" s="977">
        <v>96</v>
      </c>
      <c r="I21" s="2174"/>
      <c r="J21" s="982" t="s">
        <v>2331</v>
      </c>
    </row>
    <row r="22" spans="1:10" ht="14.25" customHeight="1" x14ac:dyDescent="0.2">
      <c r="A22" s="2171"/>
      <c r="B22" s="2181"/>
      <c r="C22" s="2182"/>
      <c r="D22" s="973">
        <v>122</v>
      </c>
      <c r="E22" s="973">
        <v>122</v>
      </c>
      <c r="F22" s="973">
        <v>183</v>
      </c>
      <c r="G22" s="976">
        <v>2210</v>
      </c>
      <c r="H22" s="977">
        <v>183</v>
      </c>
      <c r="I22" s="2174"/>
      <c r="J22" s="983" t="s">
        <v>2332</v>
      </c>
    </row>
    <row r="23" spans="1:10" ht="14.25" customHeight="1" x14ac:dyDescent="0.2">
      <c r="A23" s="2171"/>
      <c r="B23" s="2181"/>
      <c r="C23" s="2182"/>
      <c r="D23" s="973">
        <v>125</v>
      </c>
      <c r="E23" s="973">
        <v>125</v>
      </c>
      <c r="F23" s="973">
        <v>130</v>
      </c>
      <c r="G23" s="976">
        <v>2221</v>
      </c>
      <c r="H23" s="977">
        <v>125</v>
      </c>
      <c r="I23" s="2174"/>
      <c r="J23" s="984" t="s">
        <v>2333</v>
      </c>
    </row>
    <row r="24" spans="1:10" ht="14.25" customHeight="1" x14ac:dyDescent="0.2">
      <c r="A24" s="2171"/>
      <c r="B24" s="2181"/>
      <c r="C24" s="2182"/>
      <c r="D24" s="973">
        <v>240</v>
      </c>
      <c r="E24" s="973">
        <v>240</v>
      </c>
      <c r="F24" s="973">
        <v>240</v>
      </c>
      <c r="G24" s="976">
        <v>2311</v>
      </c>
      <c r="H24" s="977">
        <v>240</v>
      </c>
      <c r="I24" s="2174"/>
      <c r="J24" s="982" t="s">
        <v>2334</v>
      </c>
    </row>
    <row r="25" spans="1:10" ht="14.25" customHeight="1" x14ac:dyDescent="0.2">
      <c r="A25" s="2171"/>
      <c r="B25" s="2181"/>
      <c r="C25" s="2182"/>
      <c r="D25" s="973">
        <v>162</v>
      </c>
      <c r="E25" s="973">
        <v>162</v>
      </c>
      <c r="F25" s="973">
        <v>162</v>
      </c>
      <c r="G25" s="976">
        <v>2312</v>
      </c>
      <c r="H25" s="977">
        <v>162</v>
      </c>
      <c r="I25" s="2174"/>
      <c r="J25" s="982" t="s">
        <v>2335</v>
      </c>
    </row>
    <row r="26" spans="1:10" ht="14.25" customHeight="1" x14ac:dyDescent="0.2">
      <c r="A26" s="2172"/>
      <c r="B26" s="2183"/>
      <c r="C26" s="2184"/>
      <c r="D26" s="985">
        <v>23073</v>
      </c>
      <c r="E26" s="985">
        <v>23073</v>
      </c>
      <c r="F26" s="985">
        <v>23073</v>
      </c>
      <c r="G26" s="976">
        <v>2239</v>
      </c>
      <c r="H26" s="977">
        <v>23073</v>
      </c>
      <c r="I26" s="2174"/>
      <c r="J26" s="983" t="s">
        <v>2336</v>
      </c>
    </row>
    <row r="27" spans="1:10" ht="36" customHeight="1" x14ac:dyDescent="0.2">
      <c r="A27" s="973">
        <v>2</v>
      </c>
      <c r="B27" s="2139" t="s">
        <v>2337</v>
      </c>
      <c r="C27" s="2140"/>
      <c r="D27" s="945">
        <v>1139</v>
      </c>
      <c r="E27" s="985">
        <v>1139</v>
      </c>
      <c r="F27" s="985">
        <v>1139</v>
      </c>
      <c r="G27" s="976">
        <v>2239</v>
      </c>
      <c r="H27" s="977">
        <v>1139</v>
      </c>
      <c r="I27" s="962" t="s">
        <v>2338</v>
      </c>
      <c r="J27" s="982" t="s">
        <v>2339</v>
      </c>
    </row>
    <row r="28" spans="1:10" ht="45.75" hidden="1" customHeight="1" x14ac:dyDescent="0.2">
      <c r="A28" s="973">
        <v>3</v>
      </c>
      <c r="B28" s="2139" t="s">
        <v>2340</v>
      </c>
      <c r="C28" s="2140"/>
      <c r="D28" s="945"/>
      <c r="E28" s="985"/>
      <c r="F28" s="985">
        <v>6000</v>
      </c>
      <c r="G28" s="976">
        <v>2231</v>
      </c>
      <c r="H28" s="977">
        <v>0</v>
      </c>
      <c r="I28" s="962" t="s">
        <v>2338</v>
      </c>
      <c r="J28" s="982" t="s">
        <v>2341</v>
      </c>
    </row>
    <row r="29" spans="1:10" ht="36.75" customHeight="1" x14ac:dyDescent="0.2">
      <c r="A29" s="973">
        <v>4</v>
      </c>
      <c r="B29" s="2139" t="s">
        <v>2342</v>
      </c>
      <c r="C29" s="2140"/>
      <c r="D29" s="945">
        <v>1500</v>
      </c>
      <c r="E29" s="973">
        <v>1500</v>
      </c>
      <c r="F29" s="973">
        <v>1500</v>
      </c>
      <c r="G29" s="976">
        <v>2231</v>
      </c>
      <c r="H29" s="977">
        <v>1500</v>
      </c>
      <c r="I29" s="962" t="s">
        <v>2338</v>
      </c>
      <c r="J29" s="986" t="s">
        <v>2343</v>
      </c>
    </row>
    <row r="30" spans="1:10" ht="48.75" customHeight="1" x14ac:dyDescent="0.2">
      <c r="A30" s="973">
        <v>5</v>
      </c>
      <c r="B30" s="2139" t="s">
        <v>2344</v>
      </c>
      <c r="C30" s="2140"/>
      <c r="D30" s="945">
        <v>2000</v>
      </c>
      <c r="E30" s="973">
        <v>2000</v>
      </c>
      <c r="F30" s="973">
        <v>2000</v>
      </c>
      <c r="G30" s="976">
        <v>2231</v>
      </c>
      <c r="H30" s="977">
        <v>2000</v>
      </c>
      <c r="I30" s="987" t="s">
        <v>2345</v>
      </c>
      <c r="J30" s="986" t="s">
        <v>2346</v>
      </c>
    </row>
    <row r="31" spans="1:10" x14ac:dyDescent="0.2">
      <c r="A31" s="979"/>
      <c r="B31" s="979"/>
      <c r="C31" s="979"/>
      <c r="D31" s="979"/>
      <c r="E31" s="979"/>
      <c r="F31" s="979"/>
      <c r="G31" s="979"/>
      <c r="H31" s="988"/>
      <c r="I31" s="988"/>
      <c r="J31" s="980"/>
    </row>
    <row r="32" spans="1:10" x14ac:dyDescent="0.2">
      <c r="A32" s="963" t="s">
        <v>123</v>
      </c>
      <c r="B32" s="963"/>
      <c r="C32" s="927" t="s">
        <v>2347</v>
      </c>
      <c r="D32" s="927"/>
      <c r="E32" s="963"/>
      <c r="F32" s="963"/>
      <c r="G32" s="963"/>
      <c r="H32" s="963"/>
      <c r="I32" s="963"/>
      <c r="J32" s="964"/>
    </row>
    <row r="33" spans="1:10" x14ac:dyDescent="0.2">
      <c r="A33" s="963" t="s">
        <v>125</v>
      </c>
      <c r="B33" s="963"/>
      <c r="C33" s="969" t="s">
        <v>2348</v>
      </c>
      <c r="D33" s="969"/>
      <c r="E33" s="963"/>
      <c r="F33" s="963"/>
      <c r="G33" s="963"/>
      <c r="H33" s="963"/>
      <c r="I33" s="963"/>
      <c r="J33" s="964"/>
    </row>
    <row r="34" spans="1:10" ht="63.75" x14ac:dyDescent="0.2">
      <c r="A34" s="970" t="s">
        <v>1</v>
      </c>
      <c r="B34" s="2165" t="s">
        <v>127</v>
      </c>
      <c r="C34" s="2166"/>
      <c r="D34" s="970" t="s">
        <v>14</v>
      </c>
      <c r="E34" s="970" t="s">
        <v>12</v>
      </c>
      <c r="F34" s="970" t="s">
        <v>128</v>
      </c>
      <c r="G34" s="970" t="s">
        <v>129</v>
      </c>
      <c r="H34" s="970" t="s">
        <v>3357</v>
      </c>
      <c r="I34" s="970" t="s">
        <v>11</v>
      </c>
      <c r="J34" s="970" t="s">
        <v>131</v>
      </c>
    </row>
    <row r="35" spans="1:10" ht="15" customHeight="1" x14ac:dyDescent="0.2">
      <c r="A35" s="2167" t="s">
        <v>132</v>
      </c>
      <c r="B35" s="2168"/>
      <c r="C35" s="2169"/>
      <c r="D35" s="971">
        <f>SUM(D36:D57)</f>
        <v>64365</v>
      </c>
      <c r="E35" s="971">
        <f>SUM(E36:E57)</f>
        <v>63450</v>
      </c>
      <c r="F35" s="971">
        <f>SUM(F36:F57)</f>
        <v>123614</v>
      </c>
      <c r="G35" s="971"/>
      <c r="H35" s="971">
        <f>SUM(H36:H57)</f>
        <v>61065</v>
      </c>
      <c r="I35" s="971"/>
      <c r="J35" s="972"/>
    </row>
    <row r="36" spans="1:10" ht="42.75" customHeight="1" x14ac:dyDescent="0.2">
      <c r="A36" s="973">
        <v>1</v>
      </c>
      <c r="B36" s="2131" t="s">
        <v>2349</v>
      </c>
      <c r="C36" s="2132"/>
      <c r="D36" s="943">
        <v>7500</v>
      </c>
      <c r="E36" s="973">
        <v>7500</v>
      </c>
      <c r="F36" s="973">
        <v>7500</v>
      </c>
      <c r="G36" s="976">
        <v>2239</v>
      </c>
      <c r="H36" s="977">
        <v>4200</v>
      </c>
      <c r="I36" s="962" t="s">
        <v>2350</v>
      </c>
      <c r="J36" s="978" t="s">
        <v>2351</v>
      </c>
    </row>
    <row r="37" spans="1:10" ht="42.75" customHeight="1" x14ac:dyDescent="0.2">
      <c r="A37" s="973">
        <v>2</v>
      </c>
      <c r="B37" s="2139" t="s">
        <v>3374</v>
      </c>
      <c r="C37" s="2140"/>
      <c r="D37" s="945">
        <v>100</v>
      </c>
      <c r="E37" s="973"/>
      <c r="F37" s="973">
        <v>100</v>
      </c>
      <c r="G37" s="976">
        <v>2239</v>
      </c>
      <c r="H37" s="977">
        <v>100</v>
      </c>
      <c r="I37" s="962" t="s">
        <v>2352</v>
      </c>
      <c r="J37" s="978" t="s">
        <v>2353</v>
      </c>
    </row>
    <row r="38" spans="1:10" ht="37.5" customHeight="1" x14ac:dyDescent="0.2">
      <c r="A38" s="973">
        <v>3</v>
      </c>
      <c r="B38" s="2131" t="s">
        <v>2354</v>
      </c>
      <c r="C38" s="2132"/>
      <c r="D38" s="943">
        <v>4878</v>
      </c>
      <c r="E38" s="973">
        <v>4878</v>
      </c>
      <c r="F38" s="973">
        <v>5770</v>
      </c>
      <c r="G38" s="976">
        <v>2231</v>
      </c>
      <c r="H38" s="977">
        <v>4878</v>
      </c>
      <c r="I38" s="962" t="s">
        <v>2355</v>
      </c>
      <c r="J38" s="978" t="s">
        <v>2356</v>
      </c>
    </row>
    <row r="39" spans="1:10" ht="40.5" customHeight="1" x14ac:dyDescent="0.2">
      <c r="A39" s="973">
        <v>4</v>
      </c>
      <c r="B39" s="2131" t="s">
        <v>2357</v>
      </c>
      <c r="C39" s="2132"/>
      <c r="D39" s="943">
        <v>10000</v>
      </c>
      <c r="E39" s="973">
        <v>10000</v>
      </c>
      <c r="F39" s="973">
        <v>10000</v>
      </c>
      <c r="G39" s="976">
        <v>2232</v>
      </c>
      <c r="H39" s="977">
        <v>10000</v>
      </c>
      <c r="I39" s="962" t="s">
        <v>2358</v>
      </c>
      <c r="J39" s="989" t="s">
        <v>2359</v>
      </c>
    </row>
    <row r="40" spans="1:10" ht="42.75" hidden="1" customHeight="1" x14ac:dyDescent="0.2">
      <c r="A40" s="973">
        <v>5</v>
      </c>
      <c r="B40" s="2139" t="s">
        <v>2360</v>
      </c>
      <c r="C40" s="2140"/>
      <c r="D40" s="945"/>
      <c r="E40" s="973"/>
      <c r="F40" s="973">
        <v>3350</v>
      </c>
      <c r="G40" s="976">
        <v>2231</v>
      </c>
      <c r="H40" s="977">
        <v>0</v>
      </c>
      <c r="I40" s="962" t="s">
        <v>2361</v>
      </c>
      <c r="J40" s="978" t="s">
        <v>2362</v>
      </c>
    </row>
    <row r="41" spans="1:10" ht="41.25" hidden="1" customHeight="1" x14ac:dyDescent="0.2">
      <c r="A41" s="973">
        <v>6</v>
      </c>
      <c r="B41" s="2131" t="s">
        <v>2363</v>
      </c>
      <c r="C41" s="2132"/>
      <c r="D41" s="943"/>
      <c r="E41" s="973"/>
      <c r="F41" s="973">
        <v>1084</v>
      </c>
      <c r="G41" s="976">
        <v>2231</v>
      </c>
      <c r="H41" s="977">
        <v>0</v>
      </c>
      <c r="I41" s="962" t="s">
        <v>2361</v>
      </c>
      <c r="J41" s="978" t="s">
        <v>2364</v>
      </c>
    </row>
    <row r="42" spans="1:10" ht="40.5" hidden="1" customHeight="1" x14ac:dyDescent="0.2">
      <c r="A42" s="973">
        <v>7</v>
      </c>
      <c r="B42" s="2131" t="s">
        <v>2365</v>
      </c>
      <c r="C42" s="2132"/>
      <c r="D42" s="943"/>
      <c r="E42" s="973"/>
      <c r="F42" s="973">
        <v>8192</v>
      </c>
      <c r="G42" s="976">
        <v>2231</v>
      </c>
      <c r="H42" s="977">
        <v>0</v>
      </c>
      <c r="I42" s="962" t="s">
        <v>2361</v>
      </c>
      <c r="J42" s="989" t="s">
        <v>2366</v>
      </c>
    </row>
    <row r="43" spans="1:10" ht="41.25" hidden="1" customHeight="1" x14ac:dyDescent="0.2">
      <c r="A43" s="973">
        <v>8</v>
      </c>
      <c r="B43" s="2131" t="s">
        <v>2367</v>
      </c>
      <c r="C43" s="2132"/>
      <c r="D43" s="943"/>
      <c r="E43" s="973"/>
      <c r="F43" s="973">
        <v>8192</v>
      </c>
      <c r="G43" s="976">
        <v>2231</v>
      </c>
      <c r="H43" s="977">
        <v>0</v>
      </c>
      <c r="I43" s="962" t="s">
        <v>2361</v>
      </c>
      <c r="J43" s="989" t="s">
        <v>2368</v>
      </c>
    </row>
    <row r="44" spans="1:10" ht="42" hidden="1" customHeight="1" x14ac:dyDescent="0.2">
      <c r="A44" s="973">
        <v>9</v>
      </c>
      <c r="B44" s="2131" t="s">
        <v>2369</v>
      </c>
      <c r="C44" s="2132"/>
      <c r="D44" s="943"/>
      <c r="E44" s="973"/>
      <c r="F44" s="973">
        <v>3920</v>
      </c>
      <c r="G44" s="976">
        <v>2231</v>
      </c>
      <c r="H44" s="977">
        <v>0</v>
      </c>
      <c r="I44" s="962" t="s">
        <v>2361</v>
      </c>
      <c r="J44" s="978" t="s">
        <v>2370</v>
      </c>
    </row>
    <row r="45" spans="1:10" ht="45" hidden="1" customHeight="1" x14ac:dyDescent="0.2">
      <c r="A45" s="973">
        <v>10</v>
      </c>
      <c r="B45" s="2131" t="s">
        <v>2371</v>
      </c>
      <c r="C45" s="2132"/>
      <c r="D45" s="943"/>
      <c r="E45" s="973"/>
      <c r="F45" s="973">
        <v>1400</v>
      </c>
      <c r="G45" s="976">
        <v>2231</v>
      </c>
      <c r="H45" s="977">
        <v>0</v>
      </c>
      <c r="I45" s="962" t="s">
        <v>2361</v>
      </c>
      <c r="J45" s="990" t="s">
        <v>2372</v>
      </c>
    </row>
    <row r="46" spans="1:10" ht="50.25" customHeight="1" x14ac:dyDescent="0.2">
      <c r="A46" s="973">
        <v>5</v>
      </c>
      <c r="B46" s="2131" t="s">
        <v>2373</v>
      </c>
      <c r="C46" s="2132"/>
      <c r="D46" s="943">
        <v>7000</v>
      </c>
      <c r="E46" s="973">
        <v>7000</v>
      </c>
      <c r="F46" s="973">
        <v>13000</v>
      </c>
      <c r="G46" s="976">
        <v>2231</v>
      </c>
      <c r="H46" s="977">
        <v>7000</v>
      </c>
      <c r="I46" s="962" t="s">
        <v>2361</v>
      </c>
      <c r="J46" s="990" t="s">
        <v>2374</v>
      </c>
    </row>
    <row r="47" spans="1:10" ht="50.25" customHeight="1" x14ac:dyDescent="0.2">
      <c r="A47" s="973">
        <v>6</v>
      </c>
      <c r="B47" s="2131" t="s">
        <v>2375</v>
      </c>
      <c r="C47" s="2132"/>
      <c r="D47" s="943">
        <v>11000</v>
      </c>
      <c r="E47" s="973">
        <v>11000</v>
      </c>
      <c r="F47" s="973">
        <v>16000</v>
      </c>
      <c r="G47" s="976">
        <v>2231</v>
      </c>
      <c r="H47" s="977">
        <v>11000</v>
      </c>
      <c r="I47" s="962" t="s">
        <v>2376</v>
      </c>
      <c r="J47" s="978" t="s">
        <v>2377</v>
      </c>
    </row>
    <row r="48" spans="1:10" ht="47.25" customHeight="1" x14ac:dyDescent="0.2">
      <c r="A48" s="973">
        <v>7</v>
      </c>
      <c r="B48" s="2131" t="s">
        <v>2378</v>
      </c>
      <c r="C48" s="2132"/>
      <c r="D48" s="943">
        <v>4000</v>
      </c>
      <c r="E48" s="973">
        <v>4000</v>
      </c>
      <c r="F48" s="973">
        <f>7412+3439</f>
        <v>10851</v>
      </c>
      <c r="G48" s="976">
        <v>2231</v>
      </c>
      <c r="H48" s="977">
        <v>4000</v>
      </c>
      <c r="I48" s="962" t="s">
        <v>2379</v>
      </c>
      <c r="J48" s="978" t="s">
        <v>2380</v>
      </c>
    </row>
    <row r="49" spans="1:11" ht="47.25" customHeight="1" x14ac:dyDescent="0.2">
      <c r="A49" s="973">
        <v>8</v>
      </c>
      <c r="B49" s="2131" t="s">
        <v>2381</v>
      </c>
      <c r="C49" s="2132"/>
      <c r="D49" s="943">
        <v>3500</v>
      </c>
      <c r="E49" s="973">
        <v>3500</v>
      </c>
      <c r="F49" s="973">
        <f>4940+1690</f>
        <v>6630</v>
      </c>
      <c r="G49" s="976">
        <v>2231</v>
      </c>
      <c r="H49" s="977">
        <v>3500</v>
      </c>
      <c r="I49" s="962" t="s">
        <v>2379</v>
      </c>
      <c r="J49" s="978" t="s">
        <v>2382</v>
      </c>
    </row>
    <row r="50" spans="1:11" ht="47.25" customHeight="1" x14ac:dyDescent="0.2">
      <c r="A50" s="973">
        <v>9</v>
      </c>
      <c r="B50" s="2131" t="s">
        <v>3375</v>
      </c>
      <c r="C50" s="2132"/>
      <c r="D50" s="943">
        <v>3374</v>
      </c>
      <c r="E50" s="973">
        <v>3374</v>
      </c>
      <c r="F50" s="973">
        <f>4350+1620</f>
        <v>5970</v>
      </c>
      <c r="G50" s="976">
        <v>2231</v>
      </c>
      <c r="H50" s="977">
        <v>3374</v>
      </c>
      <c r="I50" s="962" t="s">
        <v>2379</v>
      </c>
      <c r="J50" s="978" t="s">
        <v>2383</v>
      </c>
    </row>
    <row r="51" spans="1:11" ht="63.75" hidden="1" customHeight="1" x14ac:dyDescent="0.2">
      <c r="A51" s="973">
        <v>16</v>
      </c>
      <c r="B51" s="2131" t="s">
        <v>2384</v>
      </c>
      <c r="C51" s="2132"/>
      <c r="D51" s="943"/>
      <c r="E51" s="973"/>
      <c r="F51" s="973">
        <v>5720</v>
      </c>
      <c r="G51" s="976">
        <v>2231</v>
      </c>
      <c r="H51" s="977">
        <v>0</v>
      </c>
      <c r="I51" s="962" t="s">
        <v>2379</v>
      </c>
      <c r="J51" s="978" t="s">
        <v>2385</v>
      </c>
    </row>
    <row r="52" spans="1:11" ht="39.75" customHeight="1" x14ac:dyDescent="0.2">
      <c r="A52" s="973">
        <v>10</v>
      </c>
      <c r="B52" s="2131" t="s">
        <v>2386</v>
      </c>
      <c r="C52" s="2132"/>
      <c r="D52" s="943">
        <v>9078</v>
      </c>
      <c r="E52" s="973">
        <v>9078</v>
      </c>
      <c r="F52" s="973">
        <v>12000</v>
      </c>
      <c r="G52" s="976">
        <v>3263</v>
      </c>
      <c r="H52" s="977">
        <v>9078</v>
      </c>
      <c r="I52" s="962" t="s">
        <v>2387</v>
      </c>
      <c r="J52" s="990" t="s">
        <v>2388</v>
      </c>
    </row>
    <row r="53" spans="1:11" ht="51" customHeight="1" x14ac:dyDescent="0.2">
      <c r="A53" s="973">
        <v>11</v>
      </c>
      <c r="B53" s="2131" t="s">
        <v>2389</v>
      </c>
      <c r="C53" s="2132"/>
      <c r="D53" s="943">
        <v>200</v>
      </c>
      <c r="E53" s="973">
        <v>200</v>
      </c>
      <c r="F53" s="973">
        <v>200</v>
      </c>
      <c r="G53" s="976">
        <v>2231</v>
      </c>
      <c r="H53" s="977">
        <v>200</v>
      </c>
      <c r="I53" s="962" t="s">
        <v>2390</v>
      </c>
      <c r="J53" s="991" t="s">
        <v>2391</v>
      </c>
    </row>
    <row r="54" spans="1:11" ht="53.25" customHeight="1" x14ac:dyDescent="0.2">
      <c r="A54" s="973">
        <v>12</v>
      </c>
      <c r="B54" s="2131" t="s">
        <v>2392</v>
      </c>
      <c r="C54" s="2132"/>
      <c r="D54" s="943">
        <v>1000</v>
      </c>
      <c r="E54" s="973">
        <v>1000</v>
      </c>
      <c r="F54" s="973">
        <v>1000</v>
      </c>
      <c r="G54" s="976">
        <v>2231</v>
      </c>
      <c r="H54" s="977">
        <v>1000</v>
      </c>
      <c r="I54" s="962" t="s">
        <v>2390</v>
      </c>
      <c r="J54" s="992" t="s">
        <v>2393</v>
      </c>
    </row>
    <row r="55" spans="1:11" ht="47.25" customHeight="1" x14ac:dyDescent="0.2">
      <c r="A55" s="2173">
        <v>13</v>
      </c>
      <c r="B55" s="2146" t="s">
        <v>2394</v>
      </c>
      <c r="C55" s="2147"/>
      <c r="D55" s="943">
        <v>1920</v>
      </c>
      <c r="E55" s="973">
        <v>1920</v>
      </c>
      <c r="F55" s="973">
        <v>2735</v>
      </c>
      <c r="G55" s="976">
        <v>2231</v>
      </c>
      <c r="H55" s="977">
        <v>2735</v>
      </c>
      <c r="I55" s="2176" t="s">
        <v>2395</v>
      </c>
      <c r="J55" s="2158" t="s">
        <v>2396</v>
      </c>
    </row>
    <row r="56" spans="1:11" ht="26.1" hidden="1" customHeight="1" x14ac:dyDescent="0.2">
      <c r="A56" s="2174"/>
      <c r="B56" s="2186"/>
      <c r="C56" s="2187"/>
      <c r="D56" s="943">
        <v>210</v>
      </c>
      <c r="E56" s="973"/>
      <c r="F56" s="973"/>
      <c r="G56" s="976">
        <v>2312</v>
      </c>
      <c r="H56" s="977">
        <v>0</v>
      </c>
      <c r="I56" s="2177"/>
      <c r="J56" s="2159"/>
    </row>
    <row r="57" spans="1:11" ht="21.95" hidden="1" customHeight="1" x14ac:dyDescent="0.2">
      <c r="A57" s="2175"/>
      <c r="B57" s="2148"/>
      <c r="C57" s="2149"/>
      <c r="D57" s="943">
        <v>605</v>
      </c>
      <c r="E57" s="973"/>
      <c r="F57" s="973"/>
      <c r="G57" s="976">
        <v>2264</v>
      </c>
      <c r="H57" s="977">
        <v>0</v>
      </c>
      <c r="I57" s="2178"/>
      <c r="J57" s="2160"/>
    </row>
    <row r="58" spans="1:11" x14ac:dyDescent="0.2">
      <c r="A58" s="1657"/>
      <c r="B58" s="1657"/>
      <c r="C58" s="1657"/>
      <c r="D58" s="1658"/>
      <c r="E58" s="1658"/>
      <c r="F58" s="1658"/>
      <c r="G58" s="1657"/>
      <c r="H58" s="1659"/>
      <c r="I58" s="1658"/>
    </row>
    <row r="59" spans="1:11" hidden="1" x14ac:dyDescent="0.2">
      <c r="A59" s="2161" t="s">
        <v>239</v>
      </c>
      <c r="B59" s="2162"/>
      <c r="C59" s="1654"/>
      <c r="D59" s="1655">
        <f>SUM(D9,D16,D35)</f>
        <v>138986</v>
      </c>
      <c r="E59" s="1655">
        <f>SUM(E9,E16,E35)</f>
        <v>138011</v>
      </c>
      <c r="F59" s="1655">
        <f>SUM(F9,F16,F35)</f>
        <v>204243</v>
      </c>
      <c r="G59" s="1656"/>
      <c r="H59" s="1655">
        <f>SUM(H9,H16,H35)</f>
        <v>135689</v>
      </c>
      <c r="I59" s="1655"/>
      <c r="J59" s="996"/>
    </row>
    <row r="60" spans="1:11" x14ac:dyDescent="0.2">
      <c r="A60" s="166" t="s">
        <v>400</v>
      </c>
    </row>
    <row r="61" spans="1:11" x14ac:dyDescent="0.2">
      <c r="A61" s="997" t="s">
        <v>2230</v>
      </c>
      <c r="D61" s="997"/>
      <c r="E61" s="997"/>
      <c r="F61" s="997"/>
      <c r="G61" s="997"/>
      <c r="H61" s="997"/>
    </row>
    <row r="62" spans="1:11" x14ac:dyDescent="0.2">
      <c r="B62" s="997" t="s">
        <v>2397</v>
      </c>
      <c r="C62" s="997"/>
      <c r="D62" s="997"/>
      <c r="F62" s="997"/>
      <c r="G62" s="997"/>
      <c r="H62" s="997"/>
    </row>
    <row r="63" spans="1:11" x14ac:dyDescent="0.2">
      <c r="A63" s="997" t="s">
        <v>240</v>
      </c>
      <c r="D63" s="993"/>
      <c r="E63" s="997"/>
      <c r="F63" s="997"/>
      <c r="G63" s="997"/>
      <c r="H63" s="997"/>
      <c r="I63" s="997"/>
      <c r="J63" s="998"/>
      <c r="K63" s="993"/>
    </row>
    <row r="64" spans="1:11" x14ac:dyDescent="0.2">
      <c r="B64" s="993" t="s">
        <v>2398</v>
      </c>
      <c r="C64" s="993"/>
      <c r="E64" s="997"/>
      <c r="F64" s="997"/>
      <c r="G64" s="997"/>
      <c r="H64" s="997"/>
      <c r="I64" s="997"/>
      <c r="J64" s="998"/>
      <c r="K64" s="993"/>
    </row>
    <row r="65" spans="1:11" x14ac:dyDescent="0.2">
      <c r="B65" s="997" t="s">
        <v>2399</v>
      </c>
      <c r="C65" s="997"/>
      <c r="E65" s="993"/>
      <c r="F65" s="993"/>
      <c r="G65" s="997"/>
      <c r="H65" s="997"/>
      <c r="I65" s="997"/>
      <c r="J65" s="998"/>
      <c r="K65" s="993"/>
    </row>
    <row r="66" spans="1:11" x14ac:dyDescent="0.2">
      <c r="B66" s="997" t="s">
        <v>2400</v>
      </c>
      <c r="C66" s="997"/>
      <c r="D66" s="997"/>
      <c r="G66" s="997"/>
      <c r="H66" s="997"/>
      <c r="I66" s="997"/>
      <c r="J66" s="998"/>
      <c r="K66" s="993"/>
    </row>
    <row r="67" spans="1:11" x14ac:dyDescent="0.2">
      <c r="B67" s="997" t="s">
        <v>2401</v>
      </c>
      <c r="C67" s="997"/>
      <c r="E67" s="993"/>
      <c r="F67" s="993"/>
      <c r="G67" s="999"/>
      <c r="H67" s="999"/>
      <c r="I67" s="1000"/>
      <c r="J67" s="998"/>
      <c r="K67" s="993"/>
    </row>
    <row r="68" spans="1:11" x14ac:dyDescent="0.2">
      <c r="B68" s="997" t="s">
        <v>2402</v>
      </c>
      <c r="C68" s="997"/>
      <c r="D68" s="997"/>
      <c r="G68" s="997"/>
      <c r="H68" s="997"/>
      <c r="I68" s="997"/>
      <c r="J68" s="998"/>
      <c r="K68" s="993"/>
    </row>
    <row r="69" spans="1:11" x14ac:dyDescent="0.2">
      <c r="A69" s="997" t="s">
        <v>2403</v>
      </c>
      <c r="D69" s="993"/>
      <c r="E69" s="997"/>
      <c r="F69" s="997"/>
      <c r="G69" s="997"/>
      <c r="H69" s="997"/>
      <c r="I69" s="997"/>
      <c r="J69" s="998"/>
      <c r="K69" s="993"/>
    </row>
    <row r="70" spans="1:11" x14ac:dyDescent="0.2">
      <c r="B70" s="2154" t="s">
        <v>2404</v>
      </c>
      <c r="C70" s="2154"/>
      <c r="D70" s="2154"/>
      <c r="E70" s="2154"/>
      <c r="F70" s="2154"/>
      <c r="G70" s="2154"/>
      <c r="H70" s="2154"/>
      <c r="I70" s="2154"/>
    </row>
    <row r="71" spans="1:11" ht="51.75" customHeight="1" x14ac:dyDescent="0.2">
      <c r="B71" s="2155" t="s">
        <v>2405</v>
      </c>
      <c r="C71" s="2155"/>
      <c r="D71" s="2155"/>
      <c r="E71" s="2155"/>
      <c r="F71" s="2155"/>
      <c r="G71" s="2155"/>
      <c r="H71" s="2155"/>
      <c r="I71" s="2155"/>
    </row>
    <row r="72" spans="1:11" ht="23.25" customHeight="1" x14ac:dyDescent="0.2">
      <c r="B72" s="2154" t="s">
        <v>2406</v>
      </c>
      <c r="C72" s="2154"/>
      <c r="D72" s="2154"/>
      <c r="E72" s="2154"/>
      <c r="F72" s="2154"/>
      <c r="G72" s="2154"/>
      <c r="H72" s="2154"/>
      <c r="I72" s="2154"/>
    </row>
    <row r="73" spans="1:11" ht="54" customHeight="1" x14ac:dyDescent="0.2">
      <c r="B73" s="2154" t="s">
        <v>2407</v>
      </c>
      <c r="C73" s="2154"/>
      <c r="D73" s="2154"/>
      <c r="E73" s="2154"/>
      <c r="F73" s="2154"/>
      <c r="G73" s="2154"/>
      <c r="H73" s="2154"/>
      <c r="I73" s="2154"/>
    </row>
    <row r="74" spans="1:11" ht="39" customHeight="1" x14ac:dyDescent="0.2">
      <c r="B74" s="2155" t="s">
        <v>2408</v>
      </c>
      <c r="C74" s="2155"/>
      <c r="D74" s="2155"/>
      <c r="E74" s="2155"/>
      <c r="F74" s="2155"/>
      <c r="G74" s="2155"/>
      <c r="H74" s="2155"/>
      <c r="I74" s="2155"/>
    </row>
    <row r="75" spans="1:11" ht="27" customHeight="1" x14ac:dyDescent="0.2">
      <c r="B75" s="2155" t="s">
        <v>2409</v>
      </c>
      <c r="C75" s="2155"/>
      <c r="D75" s="2155"/>
      <c r="E75" s="2155"/>
      <c r="F75" s="2155"/>
      <c r="G75" s="2155"/>
      <c r="H75" s="2155"/>
      <c r="I75" s="2155"/>
    </row>
    <row r="76" spans="1:11" ht="42" customHeight="1" x14ac:dyDescent="0.2">
      <c r="B76" s="2155" t="s">
        <v>2410</v>
      </c>
      <c r="C76" s="2155"/>
      <c r="D76" s="2155"/>
      <c r="E76" s="2155"/>
      <c r="F76" s="2155"/>
      <c r="G76" s="2155"/>
      <c r="H76" s="2155"/>
      <c r="I76" s="2155"/>
    </row>
    <row r="77" spans="1:11" ht="41.25" customHeight="1" x14ac:dyDescent="0.2">
      <c r="B77" s="2155" t="s">
        <v>2411</v>
      </c>
      <c r="C77" s="2155"/>
      <c r="D77" s="2155"/>
      <c r="E77" s="2155"/>
      <c r="F77" s="2155"/>
      <c r="G77" s="2155"/>
      <c r="H77" s="2155"/>
      <c r="I77" s="2155"/>
    </row>
    <row r="78" spans="1:11" ht="38.25" customHeight="1" x14ac:dyDescent="0.2">
      <c r="B78" s="2155" t="s">
        <v>2412</v>
      </c>
      <c r="C78" s="2155"/>
      <c r="D78" s="2155"/>
      <c r="E78" s="2155"/>
      <c r="F78" s="2155"/>
      <c r="G78" s="2155"/>
      <c r="H78" s="2155"/>
      <c r="I78" s="2155"/>
    </row>
    <row r="79" spans="1:11" ht="39.75" customHeight="1" x14ac:dyDescent="0.2">
      <c r="B79" s="2155" t="s">
        <v>2413</v>
      </c>
      <c r="C79" s="2155"/>
      <c r="D79" s="2155"/>
      <c r="E79" s="2155"/>
      <c r="F79" s="2155"/>
      <c r="G79" s="2155"/>
      <c r="H79" s="2155"/>
      <c r="I79" s="2155"/>
    </row>
    <row r="80" spans="1:11" ht="52.5" customHeight="1" x14ac:dyDescent="0.2">
      <c r="B80" s="2155" t="s">
        <v>2414</v>
      </c>
      <c r="C80" s="2155"/>
      <c r="D80" s="2155"/>
      <c r="E80" s="2155"/>
      <c r="F80" s="2155"/>
      <c r="G80" s="2155"/>
      <c r="H80" s="2155"/>
      <c r="I80" s="2155"/>
    </row>
    <row r="81" spans="1:9" ht="53.25" customHeight="1" x14ac:dyDescent="0.2">
      <c r="B81" s="2156" t="s">
        <v>2415</v>
      </c>
      <c r="C81" s="2156"/>
      <c r="D81" s="2156"/>
      <c r="E81" s="2156"/>
      <c r="F81" s="2156"/>
      <c r="G81" s="2156"/>
      <c r="H81" s="2156"/>
      <c r="I81" s="2156"/>
    </row>
    <row r="82" spans="1:9" ht="24" customHeight="1" x14ac:dyDescent="0.2">
      <c r="A82" s="1001" t="s">
        <v>2416</v>
      </c>
      <c r="B82" s="2157" t="s">
        <v>2417</v>
      </c>
      <c r="C82" s="2157"/>
      <c r="D82" s="2157"/>
      <c r="E82" s="2157"/>
      <c r="F82" s="2157"/>
      <c r="G82" s="2157"/>
      <c r="H82" s="2157"/>
      <c r="I82" s="2157"/>
    </row>
  </sheetData>
  <sheetProtection algorithmName="SHA-512" hashValue="7S1PeO+pK8MY/RIvsLzypTDabiFMH41ndYP89uT7CNd0C+UPwLX8eLusdAiN3l5h+HZ5+/VocLKGdJKL8+FyPg==" saltValue="0MQwodU3Mh2rY37aX9eNjQ==" spinCount="100000" sheet="1" objects="1" scenarios="1"/>
  <mergeCells count="55">
    <mergeCell ref="B55:C57"/>
    <mergeCell ref="B47:C47"/>
    <mergeCell ref="B53:C53"/>
    <mergeCell ref="B52:C52"/>
    <mergeCell ref="B51:C51"/>
    <mergeCell ref="B50:C50"/>
    <mergeCell ref="B49:C49"/>
    <mergeCell ref="B48:C48"/>
    <mergeCell ref="A1:B1"/>
    <mergeCell ref="A2:B2"/>
    <mergeCell ref="A3:J3"/>
    <mergeCell ref="B8:C8"/>
    <mergeCell ref="A9:C9"/>
    <mergeCell ref="B10:C10"/>
    <mergeCell ref="B11:C11"/>
    <mergeCell ref="B15:C15"/>
    <mergeCell ref="A16:C16"/>
    <mergeCell ref="B73:I73"/>
    <mergeCell ref="A17:A26"/>
    <mergeCell ref="I17:I26"/>
    <mergeCell ref="A55:A57"/>
    <mergeCell ref="I55:I57"/>
    <mergeCell ref="B17:C26"/>
    <mergeCell ref="B27:C27"/>
    <mergeCell ref="B28:C28"/>
    <mergeCell ref="B29:C29"/>
    <mergeCell ref="B30:C30"/>
    <mergeCell ref="B34:C34"/>
    <mergeCell ref="A35:C35"/>
    <mergeCell ref="B36:C36"/>
    <mergeCell ref="J55:J57"/>
    <mergeCell ref="A59:B59"/>
    <mergeCell ref="B70:I70"/>
    <mergeCell ref="B71:I71"/>
    <mergeCell ref="B37:C37"/>
    <mergeCell ref="B38:C38"/>
    <mergeCell ref="B39:C39"/>
    <mergeCell ref="B40:C40"/>
    <mergeCell ref="B41:C41"/>
    <mergeCell ref="B42:C42"/>
    <mergeCell ref="B43:C43"/>
    <mergeCell ref="B44:C44"/>
    <mergeCell ref="B45:C45"/>
    <mergeCell ref="B46:C46"/>
    <mergeCell ref="B54:C54"/>
    <mergeCell ref="B72:I72"/>
    <mergeCell ref="B80:I80"/>
    <mergeCell ref="B81:I81"/>
    <mergeCell ref="B82:I82"/>
    <mergeCell ref="B74:I74"/>
    <mergeCell ref="B75:I75"/>
    <mergeCell ref="B76:I76"/>
    <mergeCell ref="B77:I77"/>
    <mergeCell ref="B78:I78"/>
    <mergeCell ref="B79:I79"/>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32.pielikums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9"/>
  <sheetViews>
    <sheetView view="pageLayout" zoomScaleNormal="100" workbookViewId="0">
      <selection activeCell="B23" sqref="B23:C23"/>
    </sheetView>
  </sheetViews>
  <sheetFormatPr defaultColWidth="9.140625" defaultRowHeight="12.75" x14ac:dyDescent="0.2"/>
  <cols>
    <col min="1" max="1" width="6.140625" style="166" customWidth="1"/>
    <col min="2" max="2" width="26.85546875" style="166" customWidth="1"/>
    <col min="3" max="3" width="11.85546875" style="166" customWidth="1"/>
    <col min="4" max="4" width="11.85546875" style="166" hidden="1" customWidth="1"/>
    <col min="5" max="5" width="11.140625" style="166" hidden="1" customWidth="1"/>
    <col min="6" max="6" width="10.28515625" style="166" hidden="1" customWidth="1"/>
    <col min="7" max="7" width="11.140625" style="166" customWidth="1"/>
    <col min="8" max="8" width="9.7109375" style="166" customWidth="1"/>
    <col min="9" max="9" width="19.140625" style="1662" customWidth="1"/>
    <col min="10" max="10" width="28.7109375" style="166" hidden="1" customWidth="1"/>
    <col min="11" max="16384" width="9.140625" style="166"/>
  </cols>
  <sheetData>
    <row r="1" spans="1:10" x14ac:dyDescent="0.2">
      <c r="A1" s="2185" t="s">
        <v>117</v>
      </c>
      <c r="B1" s="2185"/>
      <c r="C1" s="963" t="s">
        <v>2194</v>
      </c>
      <c r="D1" s="963"/>
      <c r="E1" s="963"/>
      <c r="F1" s="963"/>
      <c r="G1" s="963"/>
      <c r="H1" s="963"/>
      <c r="J1" s="963"/>
    </row>
    <row r="2" spans="1:10" x14ac:dyDescent="0.2">
      <c r="A2" s="2185" t="s">
        <v>119</v>
      </c>
      <c r="B2" s="2185"/>
      <c r="C2" s="1556">
        <v>90000594245</v>
      </c>
      <c r="D2" s="1002"/>
      <c r="E2" s="963"/>
      <c r="F2" s="963"/>
      <c r="G2" s="963"/>
      <c r="H2" s="963"/>
      <c r="J2" s="963"/>
    </row>
    <row r="3" spans="1:10" ht="15.75" x14ac:dyDescent="0.25">
      <c r="A3" s="1773" t="s">
        <v>120</v>
      </c>
      <c r="B3" s="1773"/>
      <c r="C3" s="1773"/>
      <c r="D3" s="1773"/>
      <c r="E3" s="1773"/>
      <c r="F3" s="1773"/>
      <c r="G3" s="1773"/>
      <c r="H3" s="1773"/>
      <c r="I3" s="1773"/>
      <c r="J3" s="1773"/>
    </row>
    <row r="4" spans="1:10" x14ac:dyDescent="0.2">
      <c r="A4" s="965"/>
      <c r="B4" s="965"/>
      <c r="C4" s="965"/>
      <c r="D4" s="965"/>
      <c r="E4" s="965"/>
      <c r="F4" s="965"/>
      <c r="G4" s="965"/>
      <c r="H4" s="965"/>
      <c r="I4" s="1663"/>
      <c r="J4" s="965"/>
    </row>
    <row r="5" spans="1:10" ht="15.75" x14ac:dyDescent="0.25">
      <c r="A5" s="963" t="s">
        <v>121</v>
      </c>
      <c r="B5" s="963"/>
      <c r="C5" s="163" t="s">
        <v>2418</v>
      </c>
      <c r="D5" s="163"/>
      <c r="E5" s="963"/>
      <c r="F5" s="963"/>
      <c r="G5" s="963"/>
      <c r="H5" s="963"/>
      <c r="J5" s="963"/>
    </row>
    <row r="6" spans="1:10" x14ac:dyDescent="0.2">
      <c r="A6" s="963" t="s">
        <v>123</v>
      </c>
      <c r="B6" s="963"/>
      <c r="C6" s="963" t="s">
        <v>2419</v>
      </c>
      <c r="D6" s="963"/>
      <c r="E6" s="963"/>
      <c r="F6" s="963"/>
      <c r="G6" s="963"/>
      <c r="H6" s="963"/>
      <c r="J6" s="963"/>
    </row>
    <row r="7" spans="1:10" x14ac:dyDescent="0.2">
      <c r="A7" s="963" t="s">
        <v>125</v>
      </c>
      <c r="B7" s="963"/>
      <c r="C7" s="920" t="s">
        <v>2420</v>
      </c>
      <c r="D7" s="920"/>
      <c r="E7" s="963"/>
      <c r="F7" s="963"/>
      <c r="G7" s="963"/>
      <c r="H7" s="963"/>
      <c r="J7" s="963"/>
    </row>
    <row r="8" spans="1:10" ht="63.75" x14ac:dyDescent="0.2">
      <c r="A8" s="970" t="s">
        <v>1</v>
      </c>
      <c r="B8" s="2165" t="s">
        <v>127</v>
      </c>
      <c r="C8" s="2166"/>
      <c r="D8" s="970" t="s">
        <v>14</v>
      </c>
      <c r="E8" s="970" t="s">
        <v>12</v>
      </c>
      <c r="F8" s="970" t="s">
        <v>128</v>
      </c>
      <c r="G8" s="970" t="s">
        <v>129</v>
      </c>
      <c r="H8" s="970" t="s">
        <v>3357</v>
      </c>
      <c r="I8" s="970" t="s">
        <v>11</v>
      </c>
      <c r="J8" s="970" t="s">
        <v>131</v>
      </c>
    </row>
    <row r="9" spans="1:10" ht="12.75" customHeight="1" x14ac:dyDescent="0.2">
      <c r="A9" s="2167" t="s">
        <v>132</v>
      </c>
      <c r="B9" s="2168"/>
      <c r="C9" s="2169"/>
      <c r="D9" s="971">
        <f>SUM(D10:D10)</f>
        <v>33241</v>
      </c>
      <c r="E9" s="971">
        <f>SUM(E10:E10)</f>
        <v>27460.16</v>
      </c>
      <c r="F9" s="971">
        <f>SUM(F10:F10)</f>
        <v>27102</v>
      </c>
      <c r="G9" s="971"/>
      <c r="H9" s="971">
        <f>SUM(H10:H10)</f>
        <v>27102</v>
      </c>
      <c r="I9" s="1664"/>
      <c r="J9" s="1003"/>
    </row>
    <row r="10" spans="1:10" ht="56.25" customHeight="1" x14ac:dyDescent="0.2">
      <c r="A10" s="1004">
        <v>1</v>
      </c>
      <c r="B10" s="2201" t="s">
        <v>2421</v>
      </c>
      <c r="C10" s="2202"/>
      <c r="D10" s="977">
        <f>30000+3241</f>
        <v>33241</v>
      </c>
      <c r="E10" s="977">
        <f>24506.46+2953.7</f>
        <v>27460.16</v>
      </c>
      <c r="F10" s="977">
        <v>27102</v>
      </c>
      <c r="G10" s="1005">
        <v>3263</v>
      </c>
      <c r="H10" s="977">
        <v>27102</v>
      </c>
      <c r="I10" s="1661" t="s">
        <v>2422</v>
      </c>
      <c r="J10" s="200" t="s">
        <v>2423</v>
      </c>
    </row>
    <row r="11" spans="1:10" x14ac:dyDescent="0.2">
      <c r="A11" s="979"/>
      <c r="B11" s="979"/>
      <c r="C11" s="979"/>
      <c r="D11" s="979"/>
      <c r="E11" s="979"/>
      <c r="F11" s="979"/>
      <c r="G11" s="979"/>
      <c r="H11" s="979"/>
      <c r="I11" s="1665"/>
      <c r="J11" s="979"/>
    </row>
    <row r="12" spans="1:10" x14ac:dyDescent="0.2">
      <c r="A12" s="963" t="s">
        <v>123</v>
      </c>
      <c r="B12" s="963"/>
      <c r="C12" s="963" t="s">
        <v>2424</v>
      </c>
      <c r="D12" s="963"/>
      <c r="E12" s="963"/>
      <c r="F12" s="963"/>
      <c r="G12" s="963"/>
      <c r="H12" s="963"/>
      <c r="J12" s="963"/>
    </row>
    <row r="13" spans="1:10" x14ac:dyDescent="0.2">
      <c r="A13" s="963" t="s">
        <v>125</v>
      </c>
      <c r="B13" s="963"/>
      <c r="C13" s="920" t="s">
        <v>2425</v>
      </c>
      <c r="D13" s="920"/>
      <c r="E13" s="963"/>
      <c r="F13" s="963"/>
      <c r="G13" s="963"/>
      <c r="H13" s="963"/>
      <c r="J13" s="963"/>
    </row>
    <row r="14" spans="1:10" ht="63.75" x14ac:dyDescent="0.2">
      <c r="A14" s="970" t="s">
        <v>1</v>
      </c>
      <c r="B14" s="2165" t="s">
        <v>127</v>
      </c>
      <c r="C14" s="2166"/>
      <c r="D14" s="970" t="s">
        <v>14</v>
      </c>
      <c r="E14" s="970" t="s">
        <v>12</v>
      </c>
      <c r="F14" s="970" t="s">
        <v>128</v>
      </c>
      <c r="G14" s="970" t="s">
        <v>129</v>
      </c>
      <c r="H14" s="970" t="s">
        <v>3357</v>
      </c>
      <c r="I14" s="970" t="s">
        <v>11</v>
      </c>
      <c r="J14" s="970" t="s">
        <v>131</v>
      </c>
    </row>
    <row r="15" spans="1:10" ht="15" customHeight="1" x14ac:dyDescent="0.2">
      <c r="A15" s="2167" t="s">
        <v>132</v>
      </c>
      <c r="B15" s="2168"/>
      <c r="C15" s="2169"/>
      <c r="D15" s="971">
        <f>SUM(D16:D19)</f>
        <v>4850</v>
      </c>
      <c r="E15" s="971">
        <f>SUM(E16:E19)</f>
        <v>4850</v>
      </c>
      <c r="F15" s="971">
        <f>SUM(F16:F19)</f>
        <v>4850</v>
      </c>
      <c r="G15" s="971"/>
      <c r="H15" s="971">
        <f>SUM(H16:H19)</f>
        <v>4850</v>
      </c>
      <c r="I15" s="1664"/>
      <c r="J15" s="1003"/>
    </row>
    <row r="16" spans="1:10" ht="20.25" customHeight="1" x14ac:dyDescent="0.2">
      <c r="A16" s="2170">
        <v>1</v>
      </c>
      <c r="B16" s="2206" t="s">
        <v>2426</v>
      </c>
      <c r="C16" s="2207"/>
      <c r="D16" s="974">
        <v>700</v>
      </c>
      <c r="E16" s="974">
        <v>700</v>
      </c>
      <c r="F16" s="974">
        <v>850</v>
      </c>
      <c r="G16" s="1005">
        <v>2235</v>
      </c>
      <c r="H16" s="974">
        <v>850</v>
      </c>
      <c r="I16" s="2173" t="s">
        <v>2427</v>
      </c>
      <c r="J16" s="1003" t="s">
        <v>2428</v>
      </c>
    </row>
    <row r="17" spans="1:10" ht="20.25" customHeight="1" x14ac:dyDescent="0.2">
      <c r="A17" s="2171"/>
      <c r="B17" s="2208"/>
      <c r="C17" s="2209"/>
      <c r="D17" s="974">
        <v>750</v>
      </c>
      <c r="E17" s="974">
        <v>750</v>
      </c>
      <c r="F17" s="974">
        <v>750</v>
      </c>
      <c r="G17" s="1005">
        <v>2314</v>
      </c>
      <c r="H17" s="974">
        <v>750</v>
      </c>
      <c r="I17" s="2174"/>
      <c r="J17" s="1003" t="s">
        <v>2429</v>
      </c>
    </row>
    <row r="18" spans="1:10" ht="20.25" customHeight="1" x14ac:dyDescent="0.2">
      <c r="A18" s="2172"/>
      <c r="B18" s="2210"/>
      <c r="C18" s="2211"/>
      <c r="D18" s="981">
        <v>300</v>
      </c>
      <c r="E18" s="981">
        <v>300</v>
      </c>
      <c r="F18" s="981">
        <v>150</v>
      </c>
      <c r="G18" s="1005">
        <v>2231</v>
      </c>
      <c r="H18" s="981">
        <v>150</v>
      </c>
      <c r="I18" s="2175"/>
      <c r="J18" s="1003" t="s">
        <v>2430</v>
      </c>
    </row>
    <row r="19" spans="1:10" ht="36" customHeight="1" x14ac:dyDescent="0.2">
      <c r="A19" s="1004">
        <v>2</v>
      </c>
      <c r="B19" s="2201" t="s">
        <v>2431</v>
      </c>
      <c r="C19" s="2202"/>
      <c r="D19" s="1006">
        <v>3100</v>
      </c>
      <c r="E19" s="1006">
        <v>3100</v>
      </c>
      <c r="F19" s="1006">
        <v>3100</v>
      </c>
      <c r="G19" s="1005">
        <v>2231</v>
      </c>
      <c r="H19" s="1006">
        <v>3100</v>
      </c>
      <c r="I19" s="973" t="s">
        <v>2427</v>
      </c>
      <c r="J19" s="1007" t="s">
        <v>2432</v>
      </c>
    </row>
    <row r="20" spans="1:10" x14ac:dyDescent="0.2">
      <c r="A20" s="979"/>
      <c r="B20" s="979"/>
      <c r="C20" s="979"/>
      <c r="D20" s="979"/>
      <c r="E20" s="979"/>
      <c r="F20" s="979"/>
      <c r="G20" s="979"/>
      <c r="H20" s="988"/>
      <c r="I20" s="1666"/>
      <c r="J20" s="979"/>
    </row>
    <row r="21" spans="1:10" x14ac:dyDescent="0.2">
      <c r="A21" s="963" t="s">
        <v>123</v>
      </c>
      <c r="B21" s="963"/>
      <c r="C21" s="166" t="s">
        <v>2433</v>
      </c>
      <c r="E21" s="963"/>
      <c r="F21" s="963"/>
      <c r="G21" s="963"/>
      <c r="H21" s="963"/>
      <c r="J21" s="963"/>
    </row>
    <row r="22" spans="1:10" x14ac:dyDescent="0.2">
      <c r="A22" s="963" t="s">
        <v>125</v>
      </c>
      <c r="B22" s="963"/>
      <c r="C22" s="920" t="s">
        <v>2425</v>
      </c>
      <c r="D22" s="1008"/>
      <c r="E22" s="963"/>
      <c r="F22" s="963"/>
      <c r="G22" s="963"/>
      <c r="H22" s="963"/>
      <c r="J22" s="963"/>
    </row>
    <row r="23" spans="1:10" ht="63.75" x14ac:dyDescent="0.2">
      <c r="A23" s="970" t="s">
        <v>1</v>
      </c>
      <c r="B23" s="2165" t="s">
        <v>127</v>
      </c>
      <c r="C23" s="2166"/>
      <c r="D23" s="970" t="s">
        <v>14</v>
      </c>
      <c r="E23" s="970" t="s">
        <v>12</v>
      </c>
      <c r="F23" s="970" t="s">
        <v>128</v>
      </c>
      <c r="G23" s="970" t="s">
        <v>129</v>
      </c>
      <c r="H23" s="970" t="s">
        <v>3357</v>
      </c>
      <c r="I23" s="970" t="s">
        <v>11</v>
      </c>
      <c r="J23" s="970" t="s">
        <v>131</v>
      </c>
    </row>
    <row r="24" spans="1:10" ht="15" customHeight="1" x14ac:dyDescent="0.2">
      <c r="A24" s="2167" t="s">
        <v>132</v>
      </c>
      <c r="B24" s="2168"/>
      <c r="C24" s="2169"/>
      <c r="D24" s="971">
        <f>SUM(D25:D25)</f>
        <v>11400</v>
      </c>
      <c r="E24" s="971">
        <f>SUM(E25:E25)</f>
        <v>11400</v>
      </c>
      <c r="F24" s="971">
        <f>SUM(F25:F25)</f>
        <v>11400</v>
      </c>
      <c r="G24" s="971"/>
      <c r="H24" s="971">
        <f>SUM(H25:H25)</f>
        <v>11400</v>
      </c>
      <c r="I24" s="1664"/>
      <c r="J24" s="1003"/>
    </row>
    <row r="25" spans="1:10" ht="37.5" customHeight="1" x14ac:dyDescent="0.2">
      <c r="A25" s="1004">
        <v>1</v>
      </c>
      <c r="B25" s="2212" t="s">
        <v>2434</v>
      </c>
      <c r="C25" s="2213"/>
      <c r="D25" s="977">
        <v>11400</v>
      </c>
      <c r="E25" s="977">
        <v>11400</v>
      </c>
      <c r="F25" s="977">
        <v>11400</v>
      </c>
      <c r="G25" s="1005">
        <v>2235</v>
      </c>
      <c r="H25" s="977">
        <v>11400</v>
      </c>
      <c r="I25" s="973" t="s">
        <v>2427</v>
      </c>
      <c r="J25" s="1003" t="s">
        <v>2435</v>
      </c>
    </row>
    <row r="26" spans="1:10" x14ac:dyDescent="0.2">
      <c r="A26" s="1009"/>
      <c r="B26" s="1010"/>
      <c r="C26" s="1010"/>
      <c r="D26" s="1011"/>
      <c r="E26" s="1011"/>
      <c r="F26" s="1011"/>
      <c r="G26" s="1011"/>
      <c r="H26" s="1011"/>
      <c r="I26" s="1667"/>
      <c r="J26" s="1009"/>
    </row>
    <row r="27" spans="1:10" x14ac:dyDescent="0.2">
      <c r="A27" s="963" t="s">
        <v>123</v>
      </c>
      <c r="B27" s="963"/>
      <c r="C27" s="963" t="s">
        <v>2436</v>
      </c>
      <c r="D27" s="963"/>
      <c r="E27" s="963"/>
      <c r="F27" s="963"/>
      <c r="G27" s="963"/>
      <c r="H27" s="963"/>
      <c r="J27" s="963"/>
    </row>
    <row r="28" spans="1:10" x14ac:dyDescent="0.2">
      <c r="A28" s="963" t="s">
        <v>125</v>
      </c>
      <c r="B28" s="963"/>
      <c r="C28" s="920" t="s">
        <v>2425</v>
      </c>
      <c r="D28" s="920"/>
      <c r="E28" s="963"/>
      <c r="F28" s="963"/>
      <c r="G28" s="963"/>
      <c r="H28" s="963"/>
      <c r="J28" s="963"/>
    </row>
    <row r="29" spans="1:10" ht="63.75" x14ac:dyDescent="0.2">
      <c r="A29" s="970" t="s">
        <v>1</v>
      </c>
      <c r="B29" s="2165" t="s">
        <v>127</v>
      </c>
      <c r="C29" s="2166"/>
      <c r="D29" s="970" t="s">
        <v>14</v>
      </c>
      <c r="E29" s="970" t="s">
        <v>12</v>
      </c>
      <c r="F29" s="970" t="s">
        <v>128</v>
      </c>
      <c r="G29" s="970" t="s">
        <v>129</v>
      </c>
      <c r="H29" s="970" t="s">
        <v>3357</v>
      </c>
      <c r="I29" s="970" t="s">
        <v>11</v>
      </c>
      <c r="J29" s="970" t="s">
        <v>131</v>
      </c>
    </row>
    <row r="30" spans="1:10" ht="15" customHeight="1" x14ac:dyDescent="0.2">
      <c r="A30" s="2167" t="s">
        <v>132</v>
      </c>
      <c r="B30" s="2168"/>
      <c r="C30" s="2169"/>
      <c r="D30" s="971">
        <f>SUM(D31:D35)</f>
        <v>5478</v>
      </c>
      <c r="E30" s="971">
        <f>SUM(E31:E35)</f>
        <v>4905.68</v>
      </c>
      <c r="F30" s="971">
        <f>SUM(F31:F35)</f>
        <v>5295.68</v>
      </c>
      <c r="G30" s="971"/>
      <c r="H30" s="971">
        <f>SUM(H31:H35)</f>
        <v>4916</v>
      </c>
      <c r="I30" s="1664"/>
      <c r="J30" s="1003"/>
    </row>
    <row r="31" spans="1:10" ht="37.5" customHeight="1" x14ac:dyDescent="0.2">
      <c r="A31" s="1004">
        <v>1</v>
      </c>
      <c r="B31" s="2214" t="s">
        <v>2437</v>
      </c>
      <c r="C31" s="2215"/>
      <c r="D31" s="921">
        <v>1100</v>
      </c>
      <c r="E31" s="921">
        <v>1100</v>
      </c>
      <c r="F31" s="977">
        <v>1480</v>
      </c>
      <c r="G31" s="1005">
        <v>2231</v>
      </c>
      <c r="H31" s="977">
        <v>1100</v>
      </c>
      <c r="I31" s="973" t="s">
        <v>2427</v>
      </c>
      <c r="J31" s="930" t="s">
        <v>2438</v>
      </c>
    </row>
    <row r="32" spans="1:10" ht="24.75" customHeight="1" x14ac:dyDescent="0.2">
      <c r="A32" s="2170">
        <v>2</v>
      </c>
      <c r="B32" s="2217" t="s">
        <v>2439</v>
      </c>
      <c r="C32" s="2218"/>
      <c r="D32" s="921">
        <v>1760</v>
      </c>
      <c r="E32" s="921">
        <v>1750</v>
      </c>
      <c r="F32" s="921">
        <v>1760</v>
      </c>
      <c r="G32" s="1005">
        <v>2231</v>
      </c>
      <c r="H32" s="921">
        <v>1760</v>
      </c>
      <c r="I32" s="2204" t="s">
        <v>2427</v>
      </c>
      <c r="J32" s="1003" t="s">
        <v>2440</v>
      </c>
    </row>
    <row r="33" spans="1:11" ht="24.75" customHeight="1" x14ac:dyDescent="0.2">
      <c r="A33" s="2172"/>
      <c r="B33" s="2219"/>
      <c r="C33" s="2220"/>
      <c r="D33" s="958">
        <v>50</v>
      </c>
      <c r="E33" s="958">
        <v>50</v>
      </c>
      <c r="F33" s="958">
        <v>50</v>
      </c>
      <c r="G33" s="1005">
        <v>2314</v>
      </c>
      <c r="H33" s="958">
        <v>50</v>
      </c>
      <c r="I33" s="2205"/>
      <c r="J33" s="1003" t="s">
        <v>2441</v>
      </c>
    </row>
    <row r="34" spans="1:11" ht="34.5" customHeight="1" x14ac:dyDescent="0.2">
      <c r="A34" s="2170">
        <v>3</v>
      </c>
      <c r="B34" s="2221" t="s">
        <v>2442</v>
      </c>
      <c r="C34" s="2222"/>
      <c r="D34" s="1012">
        <v>2070</v>
      </c>
      <c r="E34" s="1013">
        <v>2005.68</v>
      </c>
      <c r="F34" s="1013">
        <v>2005.68</v>
      </c>
      <c r="G34" s="1005">
        <v>2231</v>
      </c>
      <c r="H34" s="1013">
        <v>2006</v>
      </c>
      <c r="I34" s="2204" t="s">
        <v>2427</v>
      </c>
      <c r="J34" s="1014" t="s">
        <v>2443</v>
      </c>
      <c r="K34" s="1015"/>
    </row>
    <row r="35" spans="1:11" ht="30" hidden="1" customHeight="1" x14ac:dyDescent="0.2">
      <c r="A35" s="2172"/>
      <c r="B35" s="2223"/>
      <c r="C35" s="2224"/>
      <c r="D35" s="924">
        <v>498</v>
      </c>
      <c r="E35" s="1016">
        <v>0</v>
      </c>
      <c r="F35" s="1016">
        <v>0</v>
      </c>
      <c r="G35" s="1005">
        <v>2231</v>
      </c>
      <c r="H35" s="1016"/>
      <c r="I35" s="2205"/>
      <c r="J35" s="1003" t="s">
        <v>2444</v>
      </c>
      <c r="K35" s="1015"/>
    </row>
    <row r="36" spans="1:11" x14ac:dyDescent="0.2">
      <c r="A36" s="1657"/>
      <c r="B36" s="1657"/>
      <c r="C36" s="1657"/>
      <c r="D36" s="1657"/>
      <c r="E36" s="1657"/>
      <c r="F36" s="1657"/>
      <c r="G36" s="1657"/>
      <c r="H36" s="1657"/>
      <c r="I36" s="1672"/>
    </row>
    <row r="37" spans="1:11" x14ac:dyDescent="0.2">
      <c r="A37" s="963" t="s">
        <v>123</v>
      </c>
      <c r="B37" s="963"/>
      <c r="C37" s="166" t="s">
        <v>2445</v>
      </c>
      <c r="E37" s="963"/>
      <c r="F37" s="963"/>
      <c r="G37" s="963"/>
      <c r="H37" s="963"/>
      <c r="J37" s="963"/>
    </row>
    <row r="38" spans="1:11" x14ac:dyDescent="0.2">
      <c r="A38" s="963" t="s">
        <v>125</v>
      </c>
      <c r="B38" s="963"/>
      <c r="C38" s="920" t="s">
        <v>2425</v>
      </c>
      <c r="D38" s="1017"/>
      <c r="E38" s="963"/>
      <c r="F38" s="963"/>
      <c r="G38" s="963"/>
      <c r="H38" s="963"/>
      <c r="J38" s="963"/>
    </row>
    <row r="39" spans="1:11" ht="63.75" x14ac:dyDescent="0.2">
      <c r="A39" s="970" t="s">
        <v>1</v>
      </c>
      <c r="B39" s="2216" t="s">
        <v>127</v>
      </c>
      <c r="C39" s="2216"/>
      <c r="D39" s="970" t="s">
        <v>14</v>
      </c>
      <c r="E39" s="970" t="s">
        <v>12</v>
      </c>
      <c r="F39" s="970" t="s">
        <v>128</v>
      </c>
      <c r="G39" s="970" t="s">
        <v>129</v>
      </c>
      <c r="H39" s="970" t="s">
        <v>3357</v>
      </c>
      <c r="I39" s="970" t="s">
        <v>11</v>
      </c>
      <c r="J39" s="970" t="s">
        <v>131</v>
      </c>
    </row>
    <row r="40" spans="1:11" ht="15" customHeight="1" x14ac:dyDescent="0.2">
      <c r="A40" s="2200" t="s">
        <v>132</v>
      </c>
      <c r="B40" s="2200"/>
      <c r="C40" s="2200"/>
      <c r="D40" s="971">
        <f>SUM(D41:D56)</f>
        <v>51338</v>
      </c>
      <c r="E40" s="971">
        <f>SUM(E41:E56)</f>
        <v>50849.78</v>
      </c>
      <c r="F40" s="971">
        <f>SUM(F41:F56)</f>
        <v>59063</v>
      </c>
      <c r="G40" s="971"/>
      <c r="H40" s="971">
        <f>SUM(H41:H56)</f>
        <v>51623</v>
      </c>
      <c r="I40" s="1664"/>
      <c r="J40" s="1003"/>
    </row>
    <row r="41" spans="1:11" ht="24.75" customHeight="1" x14ac:dyDescent="0.2">
      <c r="A41" s="2190">
        <v>1</v>
      </c>
      <c r="B41" s="2203" t="s">
        <v>2446</v>
      </c>
      <c r="C41" s="2203"/>
      <c r="D41" s="1559">
        <v>720</v>
      </c>
      <c r="E41" s="1559">
        <v>720</v>
      </c>
      <c r="F41" s="977">
        <v>1005</v>
      </c>
      <c r="G41" s="1005">
        <v>2314</v>
      </c>
      <c r="H41" s="977">
        <v>1005</v>
      </c>
      <c r="I41" s="2197" t="s">
        <v>2427</v>
      </c>
      <c r="J41" s="1003" t="s">
        <v>2447</v>
      </c>
    </row>
    <row r="42" spans="1:11" ht="24.75" customHeight="1" x14ac:dyDescent="0.2">
      <c r="A42" s="2190"/>
      <c r="B42" s="2203"/>
      <c r="C42" s="2203"/>
      <c r="D42" s="1559">
        <v>1100</v>
      </c>
      <c r="E42" s="1559">
        <v>1100</v>
      </c>
      <c r="F42" s="1559">
        <v>1100</v>
      </c>
      <c r="G42" s="1005">
        <v>2231</v>
      </c>
      <c r="H42" s="1559">
        <v>1100</v>
      </c>
      <c r="I42" s="2197"/>
      <c r="J42" s="1003" t="s">
        <v>2448</v>
      </c>
    </row>
    <row r="43" spans="1:11" ht="40.5" customHeight="1" x14ac:dyDescent="0.2">
      <c r="A43" s="1004">
        <v>2</v>
      </c>
      <c r="B43" s="2199" t="s">
        <v>2449</v>
      </c>
      <c r="C43" s="2199"/>
      <c r="D43" s="1558">
        <v>2774</v>
      </c>
      <c r="E43" s="1558">
        <v>2774</v>
      </c>
      <c r="F43" s="1558">
        <v>2774</v>
      </c>
      <c r="G43" s="1005">
        <v>2314</v>
      </c>
      <c r="H43" s="1558">
        <v>2774</v>
      </c>
      <c r="I43" s="943" t="s">
        <v>2427</v>
      </c>
      <c r="J43" s="1003" t="s">
        <v>2450</v>
      </c>
    </row>
    <row r="44" spans="1:11" ht="35.25" customHeight="1" x14ac:dyDescent="0.2">
      <c r="A44" s="1004">
        <v>3</v>
      </c>
      <c r="B44" s="2199" t="s">
        <v>2451</v>
      </c>
      <c r="C44" s="2199"/>
      <c r="D44" s="1559">
        <v>7000</v>
      </c>
      <c r="E44" s="1559">
        <v>7000</v>
      </c>
      <c r="F44" s="1559">
        <v>10440</v>
      </c>
      <c r="G44" s="1005">
        <v>2231</v>
      </c>
      <c r="H44" s="1559">
        <v>7000</v>
      </c>
      <c r="I44" s="943" t="s">
        <v>2427</v>
      </c>
      <c r="J44" s="200" t="s">
        <v>2452</v>
      </c>
    </row>
    <row r="45" spans="1:11" ht="36" customHeight="1" x14ac:dyDescent="0.2">
      <c r="A45" s="1004">
        <v>4</v>
      </c>
      <c r="B45" s="2199" t="s">
        <v>2453</v>
      </c>
      <c r="C45" s="2199"/>
      <c r="D45" s="1669">
        <v>3000</v>
      </c>
      <c r="E45" s="1669">
        <v>3000</v>
      </c>
      <c r="F45" s="1669">
        <v>7000</v>
      </c>
      <c r="G45" s="1005">
        <v>2231</v>
      </c>
      <c r="H45" s="1669">
        <v>3000</v>
      </c>
      <c r="I45" s="943" t="s">
        <v>2427</v>
      </c>
      <c r="J45" s="1018" t="s">
        <v>2454</v>
      </c>
    </row>
    <row r="46" spans="1:11" ht="57.75" customHeight="1" x14ac:dyDescent="0.2">
      <c r="A46" s="2190">
        <v>5</v>
      </c>
      <c r="B46" s="2192" t="s">
        <v>2455</v>
      </c>
      <c r="C46" s="2192"/>
      <c r="D46" s="1559">
        <v>500</v>
      </c>
      <c r="E46" s="1559">
        <v>500</v>
      </c>
      <c r="F46" s="1559">
        <v>900</v>
      </c>
      <c r="G46" s="1005">
        <v>2231</v>
      </c>
      <c r="H46" s="1559">
        <v>900</v>
      </c>
      <c r="I46" s="2197" t="s">
        <v>2427</v>
      </c>
      <c r="J46" s="2193" t="s">
        <v>2456</v>
      </c>
    </row>
    <row r="47" spans="1:11" ht="22.5" hidden="1" customHeight="1" x14ac:dyDescent="0.2">
      <c r="A47" s="2190"/>
      <c r="B47" s="2192"/>
      <c r="C47" s="2192"/>
      <c r="D47" s="1559">
        <v>300</v>
      </c>
      <c r="E47" s="1559">
        <v>100</v>
      </c>
      <c r="F47" s="1559"/>
      <c r="G47" s="1005">
        <v>2231</v>
      </c>
      <c r="H47" s="1559"/>
      <c r="I47" s="2197"/>
      <c r="J47" s="2194"/>
    </row>
    <row r="48" spans="1:11" ht="22.5" hidden="1" customHeight="1" x14ac:dyDescent="0.2">
      <c r="A48" s="2190"/>
      <c r="B48" s="2192"/>
      <c r="C48" s="2192"/>
      <c r="D48" s="921">
        <v>100</v>
      </c>
      <c r="E48" s="921">
        <v>99.78</v>
      </c>
      <c r="F48" s="921"/>
      <c r="G48" s="1005">
        <v>2314</v>
      </c>
      <c r="H48" s="921"/>
      <c r="I48" s="2197"/>
      <c r="J48" s="2195"/>
    </row>
    <row r="49" spans="1:10" ht="42" customHeight="1" x14ac:dyDescent="0.2">
      <c r="A49" s="1004">
        <v>6</v>
      </c>
      <c r="B49" s="2199" t="s">
        <v>2457</v>
      </c>
      <c r="C49" s="2199"/>
      <c r="D49" s="921">
        <v>19050</v>
      </c>
      <c r="E49" s="921">
        <v>19050</v>
      </c>
      <c r="F49" s="921">
        <v>19050</v>
      </c>
      <c r="G49" s="1005">
        <v>2231</v>
      </c>
      <c r="H49" s="921">
        <v>19050</v>
      </c>
      <c r="I49" s="943" t="s">
        <v>2427</v>
      </c>
      <c r="J49" s="1003" t="s">
        <v>2458</v>
      </c>
    </row>
    <row r="50" spans="1:10" ht="20.25" customHeight="1" x14ac:dyDescent="0.2">
      <c r="A50" s="2196">
        <v>7</v>
      </c>
      <c r="B50" s="2192" t="s">
        <v>2459</v>
      </c>
      <c r="C50" s="2192"/>
      <c r="D50" s="1019">
        <v>2000</v>
      </c>
      <c r="E50" s="1019">
        <v>2000</v>
      </c>
      <c r="F50" s="1019">
        <v>2000</v>
      </c>
      <c r="G50" s="1005">
        <v>2231</v>
      </c>
      <c r="H50" s="1019">
        <v>2000</v>
      </c>
      <c r="I50" s="2191" t="s">
        <v>2460</v>
      </c>
      <c r="J50" s="1003" t="s">
        <v>2461</v>
      </c>
    </row>
    <row r="51" spans="1:10" ht="20.25" customHeight="1" x14ac:dyDescent="0.2">
      <c r="A51" s="2196"/>
      <c r="B51" s="2192"/>
      <c r="C51" s="2192"/>
      <c r="D51" s="1669">
        <v>2120</v>
      </c>
      <c r="E51" s="1669">
        <v>2120</v>
      </c>
      <c r="F51" s="1020">
        <v>2120</v>
      </c>
      <c r="G51" s="1005">
        <v>2231</v>
      </c>
      <c r="H51" s="1020">
        <v>2120</v>
      </c>
      <c r="I51" s="2191"/>
      <c r="J51" s="200" t="s">
        <v>2462</v>
      </c>
    </row>
    <row r="52" spans="1:10" ht="20.25" customHeight="1" x14ac:dyDescent="0.2">
      <c r="A52" s="2196"/>
      <c r="B52" s="2192"/>
      <c r="C52" s="2192"/>
      <c r="D52" s="1669">
        <v>5500</v>
      </c>
      <c r="E52" s="1669">
        <v>5500</v>
      </c>
      <c r="F52" s="1669">
        <v>5500</v>
      </c>
      <c r="G52" s="1005">
        <v>6422</v>
      </c>
      <c r="H52" s="1669">
        <v>5500</v>
      </c>
      <c r="I52" s="2191"/>
      <c r="J52" s="1021" t="s">
        <v>2463</v>
      </c>
    </row>
    <row r="53" spans="1:10" ht="20.25" customHeight="1" x14ac:dyDescent="0.2">
      <c r="A53" s="2196"/>
      <c r="B53" s="2192"/>
      <c r="C53" s="2192"/>
      <c r="D53" s="1022">
        <v>400</v>
      </c>
      <c r="E53" s="1022">
        <v>400</v>
      </c>
      <c r="F53" s="1022">
        <v>400</v>
      </c>
      <c r="G53" s="1005">
        <v>2314</v>
      </c>
      <c r="H53" s="1022">
        <v>400</v>
      </c>
      <c r="I53" s="2191"/>
      <c r="J53" s="1023" t="s">
        <v>2464</v>
      </c>
    </row>
    <row r="54" spans="1:10" ht="15" customHeight="1" x14ac:dyDescent="0.2">
      <c r="A54" s="2196">
        <v>8</v>
      </c>
      <c r="B54" s="2199" t="s">
        <v>2465</v>
      </c>
      <c r="C54" s="2199"/>
      <c r="D54" s="1670">
        <v>1440</v>
      </c>
      <c r="E54" s="1670">
        <v>1252</v>
      </c>
      <c r="F54" s="1670">
        <v>1440</v>
      </c>
      <c r="G54" s="1005">
        <v>2231</v>
      </c>
      <c r="H54" s="1670">
        <v>1440</v>
      </c>
      <c r="I54" s="2197" t="s">
        <v>2427</v>
      </c>
      <c r="J54" s="1024" t="s">
        <v>2461</v>
      </c>
    </row>
    <row r="55" spans="1:10" ht="15" customHeight="1" x14ac:dyDescent="0.2">
      <c r="A55" s="2196"/>
      <c r="B55" s="2199"/>
      <c r="C55" s="2199"/>
      <c r="D55" s="1560">
        <v>300</v>
      </c>
      <c r="E55" s="1560">
        <v>200</v>
      </c>
      <c r="F55" s="1560">
        <v>300</v>
      </c>
      <c r="G55" s="1005">
        <v>2231</v>
      </c>
      <c r="H55" s="1560">
        <v>300</v>
      </c>
      <c r="I55" s="2197"/>
      <c r="J55" s="1024" t="s">
        <v>2466</v>
      </c>
    </row>
    <row r="56" spans="1:10" ht="64.5" customHeight="1" x14ac:dyDescent="0.2">
      <c r="A56" s="1004">
        <v>9</v>
      </c>
      <c r="B56" s="2199" t="s">
        <v>2467</v>
      </c>
      <c r="C56" s="2199"/>
      <c r="D56" s="921">
        <v>5034</v>
      </c>
      <c r="E56" s="921">
        <v>5034</v>
      </c>
      <c r="F56" s="921">
        <v>5034</v>
      </c>
      <c r="G56" s="1005">
        <v>2235</v>
      </c>
      <c r="H56" s="921">
        <v>5034</v>
      </c>
      <c r="I56" s="943" t="s">
        <v>2427</v>
      </c>
      <c r="J56" s="1003" t="s">
        <v>2468</v>
      </c>
    </row>
    <row r="58" spans="1:10" ht="12.75" customHeight="1" x14ac:dyDescent="0.2">
      <c r="A58" s="963" t="s">
        <v>123</v>
      </c>
      <c r="B58" s="963"/>
      <c r="C58" s="1660" t="s">
        <v>2469</v>
      </c>
      <c r="D58" s="1660"/>
      <c r="E58" s="1660"/>
      <c r="F58" s="1660"/>
      <c r="G58" s="1660"/>
      <c r="H58" s="963"/>
      <c r="J58" s="963"/>
    </row>
    <row r="59" spans="1:10" x14ac:dyDescent="0.2">
      <c r="A59" s="963" t="s">
        <v>125</v>
      </c>
      <c r="B59" s="963"/>
      <c r="C59" s="920" t="s">
        <v>2425</v>
      </c>
      <c r="D59" s="920"/>
      <c r="E59" s="963"/>
      <c r="F59" s="963"/>
      <c r="G59" s="963"/>
      <c r="H59" s="963"/>
      <c r="J59" s="963"/>
    </row>
    <row r="60" spans="1:10" ht="63.75" x14ac:dyDescent="0.2">
      <c r="A60" s="970" t="s">
        <v>1</v>
      </c>
      <c r="B60" s="2165" t="s">
        <v>127</v>
      </c>
      <c r="C60" s="2166"/>
      <c r="D60" s="970" t="s">
        <v>14</v>
      </c>
      <c r="E60" s="970" t="s">
        <v>12</v>
      </c>
      <c r="F60" s="970" t="s">
        <v>128</v>
      </c>
      <c r="G60" s="970" t="s">
        <v>129</v>
      </c>
      <c r="H60" s="970" t="s">
        <v>3357</v>
      </c>
      <c r="I60" s="970" t="s">
        <v>11</v>
      </c>
      <c r="J60" s="970" t="s">
        <v>131</v>
      </c>
    </row>
    <row r="61" spans="1:10" ht="15" customHeight="1" x14ac:dyDescent="0.2">
      <c r="A61" s="2167" t="s">
        <v>132</v>
      </c>
      <c r="B61" s="2168"/>
      <c r="C61" s="2169"/>
      <c r="D61" s="971">
        <f>SUM(D62:D62)</f>
        <v>1500</v>
      </c>
      <c r="E61" s="971">
        <f>SUM(E62:E62)</f>
        <v>1500</v>
      </c>
      <c r="F61" s="971">
        <f>SUM(F62:F62)</f>
        <v>1500</v>
      </c>
      <c r="G61" s="971"/>
      <c r="H61" s="971">
        <f>SUM(H62:H62)</f>
        <v>1200</v>
      </c>
      <c r="I61" s="1664"/>
      <c r="J61" s="1003"/>
    </row>
    <row r="62" spans="1:10" ht="51.75" customHeight="1" x14ac:dyDescent="0.2">
      <c r="A62" s="1004">
        <v>1</v>
      </c>
      <c r="B62" s="2201" t="s">
        <v>2470</v>
      </c>
      <c r="C62" s="2202"/>
      <c r="D62" s="921">
        <v>1500</v>
      </c>
      <c r="E62" s="921">
        <v>1500</v>
      </c>
      <c r="F62" s="921">
        <v>1500</v>
      </c>
      <c r="G62" s="1005">
        <v>2235</v>
      </c>
      <c r="H62" s="921">
        <v>1200</v>
      </c>
      <c r="I62" s="973" t="s">
        <v>2427</v>
      </c>
      <c r="J62" s="1003" t="s">
        <v>2471</v>
      </c>
    </row>
    <row r="64" spans="1:10" x14ac:dyDescent="0.2">
      <c r="A64" s="963" t="s">
        <v>123</v>
      </c>
      <c r="B64" s="963"/>
      <c r="C64" s="166" t="s">
        <v>2472</v>
      </c>
      <c r="E64" s="963"/>
      <c r="F64" s="963"/>
      <c r="G64" s="963"/>
      <c r="H64" s="963"/>
      <c r="J64" s="963"/>
    </row>
    <row r="65" spans="1:10" x14ac:dyDescent="0.2">
      <c r="A65" s="963" t="s">
        <v>125</v>
      </c>
      <c r="B65" s="963"/>
      <c r="C65" s="920" t="s">
        <v>2425</v>
      </c>
      <c r="D65" s="920"/>
      <c r="E65" s="963"/>
      <c r="F65" s="963"/>
      <c r="G65" s="963"/>
      <c r="H65" s="963"/>
      <c r="J65" s="963"/>
    </row>
    <row r="66" spans="1:10" ht="63.75" x14ac:dyDescent="0.2">
      <c r="A66" s="970" t="s">
        <v>1</v>
      </c>
      <c r="B66" s="2216" t="s">
        <v>127</v>
      </c>
      <c r="C66" s="2216"/>
      <c r="D66" s="970" t="s">
        <v>14</v>
      </c>
      <c r="E66" s="970" t="s">
        <v>12</v>
      </c>
      <c r="F66" s="970" t="s">
        <v>128</v>
      </c>
      <c r="G66" s="970" t="s">
        <v>129</v>
      </c>
      <c r="H66" s="970" t="s">
        <v>3357</v>
      </c>
      <c r="I66" s="970" t="s">
        <v>11</v>
      </c>
      <c r="J66" s="970" t="s">
        <v>131</v>
      </c>
    </row>
    <row r="67" spans="1:10" ht="15" customHeight="1" x14ac:dyDescent="0.2">
      <c r="A67" s="2200" t="s">
        <v>132</v>
      </c>
      <c r="B67" s="2200"/>
      <c r="C67" s="2200"/>
      <c r="D67" s="971">
        <f>SUM(D68:D75)</f>
        <v>2420</v>
      </c>
      <c r="E67" s="971">
        <f>SUM(E68:E75)</f>
        <v>2420</v>
      </c>
      <c r="F67" s="971">
        <f>SUM(F68:F75)</f>
        <v>1170</v>
      </c>
      <c r="G67" s="971"/>
      <c r="H67" s="971">
        <f>SUM(H68:H75)</f>
        <v>1170</v>
      </c>
      <c r="I67" s="1664"/>
      <c r="J67" s="1003"/>
    </row>
    <row r="68" spans="1:10" ht="21.75" customHeight="1" x14ac:dyDescent="0.2">
      <c r="A68" s="2198">
        <v>1</v>
      </c>
      <c r="B68" s="2192" t="s">
        <v>2473</v>
      </c>
      <c r="C68" s="2192"/>
      <c r="D68" s="1559">
        <v>400</v>
      </c>
      <c r="E68" s="1559">
        <v>400</v>
      </c>
      <c r="F68" s="1559">
        <v>400</v>
      </c>
      <c r="G68" s="1005">
        <v>2231</v>
      </c>
      <c r="H68" s="1559">
        <v>400</v>
      </c>
      <c r="I68" s="2191" t="s">
        <v>2474</v>
      </c>
      <c r="J68" s="1025" t="s">
        <v>2475</v>
      </c>
    </row>
    <row r="69" spans="1:10" ht="21.75" customHeight="1" x14ac:dyDescent="0.2">
      <c r="A69" s="2198"/>
      <c r="B69" s="2192"/>
      <c r="C69" s="2192"/>
      <c r="D69" s="1559">
        <v>30</v>
      </c>
      <c r="E69" s="1559">
        <v>30</v>
      </c>
      <c r="F69" s="1559">
        <v>30</v>
      </c>
      <c r="G69" s="1005">
        <v>2311</v>
      </c>
      <c r="H69" s="1559">
        <v>30</v>
      </c>
      <c r="I69" s="2191"/>
      <c r="J69" s="1026" t="s">
        <v>2476</v>
      </c>
    </row>
    <row r="70" spans="1:10" ht="21.75" customHeight="1" x14ac:dyDescent="0.2">
      <c r="A70" s="2198"/>
      <c r="B70" s="2192"/>
      <c r="C70" s="2192"/>
      <c r="D70" s="1671">
        <v>500</v>
      </c>
      <c r="E70" s="1671">
        <v>500</v>
      </c>
      <c r="F70" s="1671">
        <v>100</v>
      </c>
      <c r="G70" s="1005">
        <v>2231</v>
      </c>
      <c r="H70" s="1671">
        <v>100</v>
      </c>
      <c r="I70" s="2191"/>
      <c r="J70" s="1025" t="s">
        <v>2477</v>
      </c>
    </row>
    <row r="71" spans="1:10" ht="15" hidden="1" customHeight="1" x14ac:dyDescent="0.2">
      <c r="A71" s="2190">
        <v>2</v>
      </c>
      <c r="B71" s="2192" t="s">
        <v>2478</v>
      </c>
      <c r="C71" s="2192"/>
      <c r="D71" s="1671">
        <v>500</v>
      </c>
      <c r="E71" s="1671">
        <v>500</v>
      </c>
      <c r="F71" s="1671"/>
      <c r="G71" s="1005">
        <v>2231</v>
      </c>
      <c r="H71" s="1671"/>
      <c r="I71" s="2190" t="s">
        <v>2474</v>
      </c>
      <c r="J71" s="1027" t="s">
        <v>2479</v>
      </c>
    </row>
    <row r="72" spans="1:10" ht="15" hidden="1" customHeight="1" x14ac:dyDescent="0.2">
      <c r="A72" s="2190"/>
      <c r="B72" s="2192"/>
      <c r="C72" s="2192"/>
      <c r="D72" s="1671">
        <v>350</v>
      </c>
      <c r="E72" s="1671">
        <v>350</v>
      </c>
      <c r="F72" s="1671"/>
      <c r="G72" s="1005">
        <v>2231</v>
      </c>
      <c r="H72" s="1671"/>
      <c r="I72" s="2190"/>
      <c r="J72" s="1025" t="s">
        <v>2480</v>
      </c>
    </row>
    <row r="73" spans="1:10" ht="19.5" customHeight="1" x14ac:dyDescent="0.2">
      <c r="A73" s="2190">
        <v>2</v>
      </c>
      <c r="B73" s="2192" t="s">
        <v>2481</v>
      </c>
      <c r="C73" s="2192"/>
      <c r="D73" s="1671">
        <v>200</v>
      </c>
      <c r="E73" s="1671">
        <v>200</v>
      </c>
      <c r="F73" s="1671">
        <v>200</v>
      </c>
      <c r="G73" s="1005">
        <v>2231</v>
      </c>
      <c r="H73" s="1671">
        <v>200</v>
      </c>
      <c r="I73" s="2191" t="s">
        <v>2474</v>
      </c>
      <c r="J73" s="1025" t="s">
        <v>2482</v>
      </c>
    </row>
    <row r="74" spans="1:10" ht="19.5" customHeight="1" x14ac:dyDescent="0.2">
      <c r="A74" s="2190"/>
      <c r="B74" s="2192"/>
      <c r="C74" s="2192"/>
      <c r="D74" s="1671">
        <v>400</v>
      </c>
      <c r="E74" s="1671">
        <v>400</v>
      </c>
      <c r="F74" s="1671">
        <v>400</v>
      </c>
      <c r="G74" s="1005">
        <v>2231</v>
      </c>
      <c r="H74" s="1671">
        <v>400</v>
      </c>
      <c r="I74" s="2191"/>
      <c r="J74" s="1025" t="s">
        <v>2477</v>
      </c>
    </row>
    <row r="75" spans="1:10" ht="19.5" customHeight="1" x14ac:dyDescent="0.2">
      <c r="A75" s="2190"/>
      <c r="B75" s="2192"/>
      <c r="C75" s="2192"/>
      <c r="D75" s="1671">
        <v>40</v>
      </c>
      <c r="E75" s="1671">
        <v>40</v>
      </c>
      <c r="F75" s="1671">
        <v>40</v>
      </c>
      <c r="G75" s="1005">
        <v>2311</v>
      </c>
      <c r="H75" s="1671">
        <v>40</v>
      </c>
      <c r="I75" s="2191"/>
      <c r="J75" s="1027" t="s">
        <v>2483</v>
      </c>
    </row>
    <row r="77" spans="1:10" hidden="1" x14ac:dyDescent="0.2">
      <c r="A77" s="2188" t="s">
        <v>239</v>
      </c>
      <c r="B77" s="2189"/>
      <c r="C77" s="1557"/>
      <c r="D77" s="994">
        <f>SUM(D9,D15,D24,D30,D40,D61,D67)</f>
        <v>110227</v>
      </c>
      <c r="E77" s="994">
        <f>SUM(E9,E15,E24,E30,E40,E61,E67)</f>
        <v>103385.62</v>
      </c>
      <c r="F77" s="994">
        <f>SUM(F9,F15,F24,F30,F40,F61,F67)</f>
        <v>110380.68</v>
      </c>
      <c r="G77" s="995"/>
      <c r="H77" s="994">
        <f>SUM(H9,H15,H24,H30,H40,H61,H67)</f>
        <v>102261</v>
      </c>
      <c r="I77" s="1668"/>
      <c r="J77" s="1028"/>
    </row>
    <row r="78" spans="1:10" x14ac:dyDescent="0.2">
      <c r="A78" s="166" t="s">
        <v>400</v>
      </c>
    </row>
    <row r="79" spans="1:10" x14ac:dyDescent="0.2">
      <c r="A79" s="166" t="s">
        <v>401</v>
      </c>
    </row>
    <row r="80" spans="1:10" x14ac:dyDescent="0.2">
      <c r="A80" s="166" t="s">
        <v>2484</v>
      </c>
    </row>
    <row r="81" spans="1:3" x14ac:dyDescent="0.2">
      <c r="B81" s="1002" t="s">
        <v>2485</v>
      </c>
      <c r="C81" s="1556"/>
    </row>
    <row r="82" spans="1:3" x14ac:dyDescent="0.2">
      <c r="B82" s="1002" t="s">
        <v>2486</v>
      </c>
      <c r="C82" s="1556"/>
    </row>
    <row r="83" spans="1:3" x14ac:dyDescent="0.2">
      <c r="A83" s="166" t="s">
        <v>2487</v>
      </c>
    </row>
    <row r="84" spans="1:3" x14ac:dyDescent="0.2">
      <c r="B84" s="166" t="s">
        <v>2488</v>
      </c>
    </row>
    <row r="85" spans="1:3" x14ac:dyDescent="0.2">
      <c r="B85" s="166" t="s">
        <v>1545</v>
      </c>
    </row>
    <row r="86" spans="1:3" x14ac:dyDescent="0.2">
      <c r="B86" s="166" t="s">
        <v>2489</v>
      </c>
    </row>
    <row r="87" spans="1:3" x14ac:dyDescent="0.2">
      <c r="B87" s="166" t="s">
        <v>2232</v>
      </c>
    </row>
    <row r="88" spans="1:3" x14ac:dyDescent="0.2">
      <c r="B88" s="166" t="s">
        <v>2490</v>
      </c>
    </row>
    <row r="89" spans="1:3" x14ac:dyDescent="0.2">
      <c r="B89" s="166" t="s">
        <v>2491</v>
      </c>
    </row>
  </sheetData>
  <sheetProtection algorithmName="SHA-512" hashValue="lIWc6xtjNHm+N3B0RO/BMPNPXvfKfRrl1qAzB0EGuzvhPqwm65zPkszpGJvd5Xn15jGCDThPPeyMcz8azFeeiw==" saltValue="Jj6/jtlGuipng1b9tez/Dg==" spinCount="100000" sheet="1" objects="1" scenarios="1"/>
  <mergeCells count="59">
    <mergeCell ref="B66:C66"/>
    <mergeCell ref="B32:C33"/>
    <mergeCell ref="B34:C35"/>
    <mergeCell ref="A34:A35"/>
    <mergeCell ref="B39:C39"/>
    <mergeCell ref="A40:C40"/>
    <mergeCell ref="A24:C24"/>
    <mergeCell ref="B25:C25"/>
    <mergeCell ref="B29:C29"/>
    <mergeCell ref="A30:C30"/>
    <mergeCell ref="B31:C31"/>
    <mergeCell ref="I34:I35"/>
    <mergeCell ref="A1:B1"/>
    <mergeCell ref="A2:B2"/>
    <mergeCell ref="A3:J3"/>
    <mergeCell ref="A16:A18"/>
    <mergeCell ref="I16:I18"/>
    <mergeCell ref="A32:A33"/>
    <mergeCell ref="I32:I33"/>
    <mergeCell ref="B8:C8"/>
    <mergeCell ref="A9:C9"/>
    <mergeCell ref="B10:C10"/>
    <mergeCell ref="B14:C14"/>
    <mergeCell ref="A15:C15"/>
    <mergeCell ref="B16:C18"/>
    <mergeCell ref="B19:C19"/>
    <mergeCell ref="B23:C23"/>
    <mergeCell ref="I41:I42"/>
    <mergeCell ref="A46:A48"/>
    <mergeCell ref="I46:I48"/>
    <mergeCell ref="B45:C45"/>
    <mergeCell ref="B46:C48"/>
    <mergeCell ref="B41:C42"/>
    <mergeCell ref="B43:C43"/>
    <mergeCell ref="B44:C44"/>
    <mergeCell ref="A41:A42"/>
    <mergeCell ref="I68:I70"/>
    <mergeCell ref="J46:J48"/>
    <mergeCell ref="I50:I53"/>
    <mergeCell ref="A54:A55"/>
    <mergeCell ref="I54:I55"/>
    <mergeCell ref="A68:A70"/>
    <mergeCell ref="B49:C49"/>
    <mergeCell ref="B50:C53"/>
    <mergeCell ref="A50:A53"/>
    <mergeCell ref="B54:C55"/>
    <mergeCell ref="A67:C67"/>
    <mergeCell ref="B68:C70"/>
    <mergeCell ref="B56:C56"/>
    <mergeCell ref="B60:C60"/>
    <mergeCell ref="A61:C61"/>
    <mergeCell ref="B62:C62"/>
    <mergeCell ref="A77:B77"/>
    <mergeCell ref="A71:A72"/>
    <mergeCell ref="I71:I72"/>
    <mergeCell ref="A73:A75"/>
    <mergeCell ref="I73:I75"/>
    <mergeCell ref="B71:C72"/>
    <mergeCell ref="B73:C75"/>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33.pielikums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72"/>
  <sheetViews>
    <sheetView view="pageLayout" zoomScaleNormal="100" workbookViewId="0">
      <selection activeCell="H4" sqref="H4"/>
    </sheetView>
  </sheetViews>
  <sheetFormatPr defaultRowHeight="12.75" x14ac:dyDescent="0.2"/>
  <cols>
    <col min="1" max="1" width="11.7109375" style="1210" customWidth="1"/>
    <col min="2" max="2" width="43.28515625" style="1210" customWidth="1"/>
    <col min="3" max="4" width="12" style="1210" customWidth="1"/>
    <col min="5" max="6" width="11.85546875" style="1210" customWidth="1"/>
    <col min="7" max="8" width="12.5703125" style="1210" customWidth="1"/>
    <col min="9" max="10" width="11.85546875" style="1210" customWidth="1"/>
    <col min="11" max="16384" width="9.140625" style="1210"/>
  </cols>
  <sheetData>
    <row r="1" spans="1:12" ht="15" x14ac:dyDescent="0.25">
      <c r="A1" s="1209"/>
      <c r="B1" s="1209"/>
      <c r="C1" s="1209"/>
      <c r="D1" s="1209"/>
      <c r="E1" s="1209"/>
      <c r="F1" s="1209"/>
      <c r="G1" s="1209"/>
      <c r="H1" s="1209"/>
      <c r="I1" s="1209"/>
      <c r="J1" s="1209"/>
    </row>
    <row r="2" spans="1:12" ht="15" x14ac:dyDescent="0.25">
      <c r="A2" s="1209"/>
      <c r="B2" s="1211"/>
      <c r="C2" s="1211"/>
      <c r="D2" s="1211"/>
      <c r="E2" s="1211"/>
      <c r="F2" s="1211"/>
      <c r="G2" s="1211"/>
      <c r="H2" s="1211"/>
      <c r="I2" s="1209"/>
      <c r="J2" s="1209"/>
    </row>
    <row r="3" spans="1:12" ht="15" x14ac:dyDescent="0.25">
      <c r="A3" s="1212"/>
      <c r="B3" s="1211"/>
      <c r="C3" s="1211"/>
      <c r="D3" s="1211"/>
      <c r="E3" s="1211"/>
      <c r="F3" s="1211"/>
      <c r="G3" s="1211"/>
      <c r="H3" s="1211"/>
      <c r="I3" s="1209"/>
      <c r="J3" s="1209"/>
    </row>
    <row r="4" spans="1:12" x14ac:dyDescent="0.2">
      <c r="A4" s="1213"/>
      <c r="B4" s="1214"/>
      <c r="C4" s="1214"/>
      <c r="D4" s="1214"/>
      <c r="E4" s="1214"/>
      <c r="F4" s="1214"/>
      <c r="G4" s="1214"/>
      <c r="H4" s="1214"/>
      <c r="I4" s="1215"/>
      <c r="J4" s="1215"/>
    </row>
    <row r="5" spans="1:12" x14ac:dyDescent="0.2">
      <c r="A5" s="1213"/>
      <c r="B5" s="1214"/>
      <c r="C5" s="1214"/>
      <c r="D5" s="1214"/>
      <c r="E5" s="1214"/>
      <c r="F5" s="1214"/>
      <c r="G5" s="1214"/>
      <c r="H5" s="1214"/>
      <c r="I5" s="1215"/>
      <c r="J5" s="1215"/>
    </row>
    <row r="6" spans="1:12" ht="18.75" x14ac:dyDescent="0.3">
      <c r="A6" s="2225" t="s">
        <v>3282</v>
      </c>
      <c r="B6" s="2225"/>
      <c r="C6" s="2225"/>
      <c r="D6" s="2225"/>
      <c r="E6" s="2225"/>
      <c r="F6" s="2225"/>
      <c r="G6" s="2225"/>
      <c r="H6" s="2225"/>
      <c r="I6" s="2225"/>
      <c r="J6" s="2225"/>
    </row>
    <row r="7" spans="1:12" ht="18.75" x14ac:dyDescent="0.3">
      <c r="A7" s="2225" t="s">
        <v>3283</v>
      </c>
      <c r="B7" s="2225"/>
      <c r="C7" s="2225"/>
      <c r="D7" s="2225"/>
      <c r="E7" s="2225"/>
      <c r="F7" s="2225"/>
      <c r="G7" s="2225"/>
      <c r="H7" s="2225"/>
      <c r="I7" s="2225"/>
      <c r="J7" s="2225"/>
      <c r="L7" s="1210" t="s">
        <v>3284</v>
      </c>
    </row>
    <row r="8" spans="1:12" ht="15.75" x14ac:dyDescent="0.25">
      <c r="A8" s="1216"/>
      <c r="B8" s="1216"/>
      <c r="C8" s="1216"/>
      <c r="D8" s="1216"/>
      <c r="E8" s="1216"/>
      <c r="F8" s="1216"/>
      <c r="G8" s="1216"/>
      <c r="H8" s="1216"/>
      <c r="I8" s="1216"/>
      <c r="J8" s="1216"/>
    </row>
    <row r="9" spans="1:12" x14ac:dyDescent="0.2">
      <c r="A9" s="2226" t="s">
        <v>3285</v>
      </c>
      <c r="B9" s="2229" t="s">
        <v>3286</v>
      </c>
      <c r="C9" s="2232" t="s">
        <v>132</v>
      </c>
      <c r="D9" s="2235" t="s">
        <v>132</v>
      </c>
      <c r="E9" s="2237" t="s">
        <v>3287</v>
      </c>
      <c r="F9" s="2238"/>
      <c r="G9" s="2238"/>
      <c r="H9" s="2238"/>
      <c r="I9" s="2238"/>
      <c r="J9" s="2239"/>
    </row>
    <row r="10" spans="1:12" ht="15" customHeight="1" x14ac:dyDescent="0.2">
      <c r="A10" s="2227"/>
      <c r="B10" s="2230"/>
      <c r="C10" s="2233"/>
      <c r="D10" s="2236"/>
      <c r="E10" s="2240" t="s">
        <v>3288</v>
      </c>
      <c r="F10" s="2241"/>
      <c r="G10" s="2240" t="s">
        <v>3289</v>
      </c>
      <c r="H10" s="2241"/>
      <c r="I10" s="2240" t="s">
        <v>3290</v>
      </c>
      <c r="J10" s="2241"/>
    </row>
    <row r="11" spans="1:12" ht="12.75" customHeight="1" x14ac:dyDescent="0.2">
      <c r="A11" s="2227"/>
      <c r="B11" s="2230"/>
      <c r="C11" s="2233"/>
      <c r="D11" s="2236"/>
      <c r="E11" s="2242"/>
      <c r="F11" s="2243"/>
      <c r="G11" s="2242"/>
      <c r="H11" s="2243"/>
      <c r="I11" s="2242"/>
      <c r="J11" s="2243"/>
    </row>
    <row r="12" spans="1:12" ht="40.5" customHeight="1" x14ac:dyDescent="0.2">
      <c r="A12" s="2228"/>
      <c r="B12" s="2231"/>
      <c r="C12" s="2234"/>
      <c r="D12" s="1217" t="s">
        <v>3291</v>
      </c>
      <c r="E12" s="1218" t="s">
        <v>3292</v>
      </c>
      <c r="F12" s="1217" t="s">
        <v>3291</v>
      </c>
      <c r="G12" s="1218" t="s">
        <v>3292</v>
      </c>
      <c r="H12" s="1217" t="s">
        <v>3291</v>
      </c>
      <c r="I12" s="1218" t="s">
        <v>3292</v>
      </c>
      <c r="J12" s="1217" t="s">
        <v>3291</v>
      </c>
    </row>
    <row r="13" spans="1:12" ht="12" customHeight="1" x14ac:dyDescent="0.2">
      <c r="A13" s="1219">
        <v>1</v>
      </c>
      <c r="B13" s="1220">
        <v>2</v>
      </c>
      <c r="C13" s="1221">
        <v>3</v>
      </c>
      <c r="D13" s="1222"/>
      <c r="E13" s="1219">
        <v>4</v>
      </c>
      <c r="F13" s="1223">
        <v>5</v>
      </c>
      <c r="G13" s="1219">
        <v>6</v>
      </c>
      <c r="H13" s="1223">
        <v>7</v>
      </c>
      <c r="I13" s="1219">
        <v>8</v>
      </c>
      <c r="J13" s="1223">
        <v>9</v>
      </c>
    </row>
    <row r="14" spans="1:12" ht="6.75" customHeight="1" x14ac:dyDescent="0.2">
      <c r="A14" s="1219"/>
      <c r="B14" s="1224"/>
      <c r="C14" s="1221"/>
      <c r="D14" s="1222"/>
      <c r="E14" s="1219"/>
      <c r="F14" s="1223"/>
      <c r="G14" s="1219"/>
      <c r="H14" s="1223"/>
      <c r="I14" s="1219"/>
      <c r="J14" s="1223"/>
    </row>
    <row r="15" spans="1:12" ht="3" customHeight="1" x14ac:dyDescent="0.2">
      <c r="A15" s="1219"/>
      <c r="B15" s="1224"/>
      <c r="C15" s="1221"/>
      <c r="D15" s="1222"/>
      <c r="E15" s="1219"/>
      <c r="F15" s="1223"/>
      <c r="G15" s="1219"/>
      <c r="H15" s="1223"/>
      <c r="I15" s="1219"/>
      <c r="J15" s="1223"/>
    </row>
    <row r="16" spans="1:12" ht="32.25" customHeight="1" x14ac:dyDescent="0.2">
      <c r="A16" s="1225"/>
      <c r="B16" s="1226" t="s">
        <v>3293</v>
      </c>
      <c r="C16" s="1227">
        <v>590071.15</v>
      </c>
      <c r="D16" s="1227"/>
      <c r="E16" s="1228">
        <v>168736.75</v>
      </c>
      <c r="F16" s="1229">
        <v>168736.75</v>
      </c>
      <c r="G16" s="1228">
        <v>186398.4</v>
      </c>
      <c r="H16" s="1229">
        <v>186398.4</v>
      </c>
      <c r="I16" s="1228">
        <v>234936</v>
      </c>
      <c r="J16" s="1229">
        <v>234936</v>
      </c>
    </row>
    <row r="17" spans="1:17" ht="13.5" hidden="1" customHeight="1" x14ac:dyDescent="0.2">
      <c r="A17" s="1225"/>
      <c r="B17" s="1226" t="s">
        <v>3294</v>
      </c>
      <c r="C17" s="1227">
        <v>590026.15</v>
      </c>
      <c r="D17" s="1227"/>
      <c r="E17" s="1228">
        <v>168722.75</v>
      </c>
      <c r="F17" s="1229"/>
      <c r="G17" s="1228">
        <v>186381.4</v>
      </c>
      <c r="H17" s="1229"/>
      <c r="I17" s="1228">
        <v>234922</v>
      </c>
      <c r="J17" s="1229"/>
    </row>
    <row r="18" spans="1:17" ht="28.5" customHeight="1" x14ac:dyDescent="0.2">
      <c r="A18" s="1225"/>
      <c r="B18" s="1230" t="s">
        <v>3295</v>
      </c>
      <c r="C18" s="1231"/>
      <c r="D18" s="1231"/>
      <c r="E18" s="1232">
        <v>55566</v>
      </c>
      <c r="F18" s="1233"/>
      <c r="G18" s="1234">
        <v>22612</v>
      </c>
      <c r="H18" s="1235"/>
      <c r="I18" s="1234">
        <v>30149</v>
      </c>
      <c r="J18" s="1233"/>
    </row>
    <row r="19" spans="1:17" ht="6" customHeight="1" x14ac:dyDescent="0.2">
      <c r="A19" s="1225"/>
      <c r="B19" s="1226"/>
      <c r="C19" s="1236"/>
      <c r="D19" s="1236"/>
      <c r="E19" s="1237"/>
      <c r="F19" s="1238"/>
      <c r="G19" s="1237"/>
      <c r="H19" s="1238"/>
      <c r="I19" s="1237"/>
      <c r="J19" s="1238"/>
    </row>
    <row r="20" spans="1:17" ht="15.75" customHeight="1" x14ac:dyDescent="0.2">
      <c r="A20" s="1225"/>
      <c r="B20" s="1239" t="s">
        <v>3296</v>
      </c>
      <c r="C20" s="1236"/>
      <c r="D20" s="1236"/>
      <c r="E20" s="1232">
        <v>55566</v>
      </c>
      <c r="F20" s="1233"/>
      <c r="G20" s="1232"/>
      <c r="H20" s="1233"/>
      <c r="I20" s="1232"/>
      <c r="J20" s="1233"/>
    </row>
    <row r="21" spans="1:17" ht="15.75" customHeight="1" x14ac:dyDescent="0.2">
      <c r="A21" s="1225"/>
      <c r="B21" s="1239" t="s">
        <v>3297</v>
      </c>
      <c r="C21" s="1236"/>
      <c r="D21" s="1236"/>
      <c r="E21" s="1232"/>
      <c r="F21" s="1233"/>
      <c r="G21" s="1232">
        <v>22612</v>
      </c>
      <c r="H21" s="1233"/>
      <c r="I21" s="1232">
        <v>30149</v>
      </c>
      <c r="J21" s="1233"/>
    </row>
    <row r="22" spans="1:17" ht="15.75" customHeight="1" x14ac:dyDescent="0.2">
      <c r="A22" s="1225"/>
      <c r="B22" s="1239" t="s">
        <v>3298</v>
      </c>
      <c r="C22" s="1236"/>
      <c r="D22" s="1236"/>
      <c r="E22" s="1232"/>
      <c r="F22" s="1233"/>
      <c r="G22" s="1232">
        <v>0</v>
      </c>
      <c r="H22" s="1233"/>
      <c r="I22" s="1232">
        <v>0</v>
      </c>
      <c r="J22" s="1233"/>
    </row>
    <row r="23" spans="1:17" ht="15.75" customHeight="1" x14ac:dyDescent="0.2">
      <c r="A23" s="1225"/>
      <c r="B23" s="1240"/>
      <c r="C23" s="1236"/>
      <c r="D23" s="1236"/>
      <c r="E23" s="1232"/>
      <c r="F23" s="1233"/>
      <c r="G23" s="1232"/>
      <c r="H23" s="1233"/>
      <c r="I23" s="1232"/>
      <c r="J23" s="1233"/>
    </row>
    <row r="24" spans="1:17" ht="15.75" customHeight="1" x14ac:dyDescent="0.2">
      <c r="A24" s="1225"/>
      <c r="B24" s="1240" t="s">
        <v>3299</v>
      </c>
      <c r="C24" s="1236"/>
      <c r="D24" s="1236"/>
      <c r="E24" s="1232">
        <v>25</v>
      </c>
      <c r="F24" s="1233"/>
      <c r="G24" s="1232">
        <v>15</v>
      </c>
      <c r="H24" s="1233"/>
      <c r="I24" s="1232">
        <v>20</v>
      </c>
      <c r="J24" s="1233"/>
    </row>
    <row r="25" spans="1:17" ht="15.75" customHeight="1" x14ac:dyDescent="0.2">
      <c r="A25" s="1225"/>
      <c r="B25" s="1240" t="s">
        <v>3300</v>
      </c>
      <c r="C25" s="1236"/>
      <c r="D25" s="1236"/>
      <c r="E25" s="1232">
        <v>25</v>
      </c>
      <c r="F25" s="1233"/>
      <c r="G25" s="1232">
        <v>15</v>
      </c>
      <c r="H25" s="1233"/>
      <c r="I25" s="1232">
        <v>20</v>
      </c>
      <c r="J25" s="1233"/>
    </row>
    <row r="26" spans="1:17" ht="15.75" customHeight="1" x14ac:dyDescent="0.2">
      <c r="A26" s="1225"/>
      <c r="B26" s="1240" t="s">
        <v>3301</v>
      </c>
      <c r="C26" s="1241"/>
      <c r="D26" s="1241"/>
      <c r="E26" s="1242">
        <v>24.57958904109589</v>
      </c>
      <c r="F26" s="1243"/>
      <c r="G26" s="1242">
        <v>38.172310502283104</v>
      </c>
      <c r="H26" s="1243"/>
      <c r="I26" s="1242">
        <v>36.311095890410961</v>
      </c>
      <c r="J26" s="1243"/>
    </row>
    <row r="27" spans="1:17" ht="15.75" customHeight="1" x14ac:dyDescent="0.2">
      <c r="A27" s="1244"/>
      <c r="B27" s="1245" t="s">
        <v>3302</v>
      </c>
      <c r="C27" s="1246">
        <v>21900</v>
      </c>
      <c r="D27" s="1246">
        <v>21900</v>
      </c>
      <c r="E27" s="1247">
        <v>9125</v>
      </c>
      <c r="F27" s="1248">
        <v>9125</v>
      </c>
      <c r="G27" s="1247">
        <v>5475</v>
      </c>
      <c r="H27" s="1248">
        <v>5475</v>
      </c>
      <c r="I27" s="1247">
        <v>7300</v>
      </c>
      <c r="J27" s="1248">
        <v>7300</v>
      </c>
    </row>
    <row r="28" spans="1:17" ht="6.75" customHeight="1" x14ac:dyDescent="0.2">
      <c r="A28" s="1244"/>
      <c r="B28" s="1245"/>
      <c r="C28" s="1249"/>
      <c r="D28" s="1249"/>
      <c r="E28" s="1247"/>
      <c r="F28" s="1248"/>
      <c r="G28" s="1247"/>
      <c r="H28" s="1248"/>
      <c r="I28" s="1247"/>
      <c r="J28" s="1248"/>
    </row>
    <row r="29" spans="1:17" ht="15.75" customHeight="1" x14ac:dyDescent="0.2">
      <c r="A29" s="1250"/>
      <c r="B29" s="1251" t="s">
        <v>3303</v>
      </c>
      <c r="C29" s="1252">
        <v>698353.15</v>
      </c>
      <c r="D29" s="1252">
        <v>590071</v>
      </c>
      <c r="E29" s="1253">
        <v>224288.75</v>
      </c>
      <c r="F29" s="1254">
        <v>168737</v>
      </c>
      <c r="G29" s="1253">
        <v>208993.4</v>
      </c>
      <c r="H29" s="1254">
        <v>186398</v>
      </c>
      <c r="I29" s="1253">
        <v>265071</v>
      </c>
      <c r="J29" s="1254">
        <v>234936</v>
      </c>
      <c r="O29" s="1255"/>
      <c r="Q29" s="1255"/>
    </row>
    <row r="30" spans="1:17" ht="6.75" customHeight="1" x14ac:dyDescent="0.2">
      <c r="A30" s="1250"/>
      <c r="B30" s="1251"/>
      <c r="C30" s="1252"/>
      <c r="D30" s="1252"/>
      <c r="E30" s="1253"/>
      <c r="F30" s="1254"/>
      <c r="G30" s="1253"/>
      <c r="H30" s="1254"/>
      <c r="I30" s="1253"/>
      <c r="J30" s="1254"/>
      <c r="O30" s="1255"/>
      <c r="Q30" s="1255"/>
    </row>
    <row r="31" spans="1:17" ht="15.75" customHeight="1" x14ac:dyDescent="0.2">
      <c r="A31" s="1256">
        <v>1000</v>
      </c>
      <c r="B31" s="1251" t="s">
        <v>3304</v>
      </c>
      <c r="C31" s="1252">
        <v>563350.15</v>
      </c>
      <c r="D31" s="1252">
        <v>477647</v>
      </c>
      <c r="E31" s="1253">
        <v>168709.75</v>
      </c>
      <c r="F31" s="1254">
        <v>126915</v>
      </c>
      <c r="G31" s="1253">
        <v>175482.4</v>
      </c>
      <c r="H31" s="1254">
        <v>156499</v>
      </c>
      <c r="I31" s="1253">
        <v>219158</v>
      </c>
      <c r="J31" s="1254">
        <v>194233</v>
      </c>
      <c r="O31" s="1255"/>
      <c r="Q31" s="1255"/>
    </row>
    <row r="32" spans="1:17" ht="15.75" customHeight="1" x14ac:dyDescent="0.2">
      <c r="A32" s="1257">
        <v>1100</v>
      </c>
      <c r="B32" s="1251" t="s">
        <v>3305</v>
      </c>
      <c r="C32" s="1227">
        <v>445047.15</v>
      </c>
      <c r="D32" s="1227">
        <v>377324</v>
      </c>
      <c r="E32" s="1253">
        <v>133403.75</v>
      </c>
      <c r="F32" s="1254">
        <v>100355</v>
      </c>
      <c r="G32" s="1253">
        <v>138606.39999999999</v>
      </c>
      <c r="H32" s="1254">
        <v>123612</v>
      </c>
      <c r="I32" s="1253">
        <v>173037</v>
      </c>
      <c r="J32" s="1254">
        <v>153357</v>
      </c>
      <c r="O32" s="1255"/>
      <c r="Q32" s="1255"/>
    </row>
    <row r="33" spans="1:17" ht="15.75" customHeight="1" x14ac:dyDescent="0.2">
      <c r="A33" s="1258">
        <v>1110</v>
      </c>
      <c r="B33" s="1251" t="s">
        <v>3305</v>
      </c>
      <c r="C33" s="1252">
        <v>409395</v>
      </c>
      <c r="D33" s="1252">
        <v>347085</v>
      </c>
      <c r="E33" s="1253">
        <v>122858</v>
      </c>
      <c r="F33" s="1254">
        <v>92421</v>
      </c>
      <c r="G33" s="1254">
        <v>129324</v>
      </c>
      <c r="H33" s="1254">
        <v>115332</v>
      </c>
      <c r="I33" s="1253">
        <v>157213</v>
      </c>
      <c r="J33" s="1254">
        <v>139332</v>
      </c>
      <c r="L33" s="1259"/>
      <c r="O33" s="1255"/>
      <c r="Q33" s="1255"/>
    </row>
    <row r="34" spans="1:17" ht="15.75" customHeight="1" x14ac:dyDescent="0.2">
      <c r="A34" s="1260">
        <v>1119</v>
      </c>
      <c r="B34" s="1245" t="s">
        <v>3306</v>
      </c>
      <c r="C34" s="1249">
        <v>409395</v>
      </c>
      <c r="D34" s="1249">
        <v>347085</v>
      </c>
      <c r="E34" s="1247">
        <v>122858</v>
      </c>
      <c r="F34" s="1248">
        <v>92421</v>
      </c>
      <c r="G34" s="1247">
        <v>129324</v>
      </c>
      <c r="H34" s="1248">
        <v>115332</v>
      </c>
      <c r="I34" s="1247">
        <v>157213</v>
      </c>
      <c r="J34" s="1248">
        <v>139332</v>
      </c>
      <c r="O34" s="1255"/>
      <c r="Q34" s="1255"/>
    </row>
    <row r="35" spans="1:17" ht="15.75" customHeight="1" x14ac:dyDescent="0.2">
      <c r="A35" s="1258">
        <v>1140</v>
      </c>
      <c r="B35" s="1251" t="s">
        <v>3307</v>
      </c>
      <c r="C35" s="1227">
        <v>35652.15</v>
      </c>
      <c r="D35" s="1227">
        <v>30239</v>
      </c>
      <c r="E35" s="1228">
        <v>10545.75</v>
      </c>
      <c r="F35" s="1229">
        <v>7934</v>
      </c>
      <c r="G35" s="1228">
        <v>9282.4000000000015</v>
      </c>
      <c r="H35" s="1229">
        <v>8280</v>
      </c>
      <c r="I35" s="1228">
        <v>15824</v>
      </c>
      <c r="J35" s="1229">
        <v>14025</v>
      </c>
      <c r="O35" s="1255"/>
      <c r="Q35" s="1255"/>
    </row>
    <row r="36" spans="1:17" ht="15.75" customHeight="1" x14ac:dyDescent="0.2">
      <c r="A36" s="1244">
        <v>1141</v>
      </c>
      <c r="B36" s="1261" t="s">
        <v>3308</v>
      </c>
      <c r="C36" s="1249">
        <v>28277.15</v>
      </c>
      <c r="D36" s="1249">
        <v>23998</v>
      </c>
      <c r="E36" s="1247">
        <v>8238.75</v>
      </c>
      <c r="F36" s="1248">
        <v>6198</v>
      </c>
      <c r="G36" s="1247">
        <v>7110.4000000000005</v>
      </c>
      <c r="H36" s="1248">
        <v>6342</v>
      </c>
      <c r="I36" s="1247">
        <v>12928</v>
      </c>
      <c r="J36" s="1248">
        <v>11458</v>
      </c>
      <c r="O36" s="1255"/>
      <c r="Q36" s="1255"/>
    </row>
    <row r="37" spans="1:17" ht="15.75" customHeight="1" x14ac:dyDescent="0.2">
      <c r="A37" s="1244">
        <v>1142</v>
      </c>
      <c r="B37" s="1262" t="s">
        <v>3309</v>
      </c>
      <c r="C37" s="1249">
        <v>7375</v>
      </c>
      <c r="D37" s="1249">
        <v>6241</v>
      </c>
      <c r="E37" s="1247">
        <v>2307</v>
      </c>
      <c r="F37" s="1248">
        <v>1736</v>
      </c>
      <c r="G37" s="1247">
        <v>2172</v>
      </c>
      <c r="H37" s="1248">
        <v>1938</v>
      </c>
      <c r="I37" s="1247">
        <v>2896</v>
      </c>
      <c r="J37" s="1248">
        <v>2567</v>
      </c>
      <c r="O37" s="1255"/>
      <c r="Q37" s="1255"/>
    </row>
    <row r="38" spans="1:17" ht="30" customHeight="1" x14ac:dyDescent="0.2">
      <c r="A38" s="1257">
        <v>1200</v>
      </c>
      <c r="B38" s="1263" t="s">
        <v>2972</v>
      </c>
      <c r="C38" s="1227">
        <v>118303</v>
      </c>
      <c r="D38" s="1227">
        <v>100323</v>
      </c>
      <c r="E38" s="1228">
        <v>35306</v>
      </c>
      <c r="F38" s="1229">
        <v>26560</v>
      </c>
      <c r="G38" s="1228">
        <v>36876</v>
      </c>
      <c r="H38" s="1229">
        <v>32887</v>
      </c>
      <c r="I38" s="1228">
        <v>46121</v>
      </c>
      <c r="J38" s="1229">
        <v>40876</v>
      </c>
      <c r="O38" s="1255"/>
      <c r="Q38" s="1255"/>
    </row>
    <row r="39" spans="1:17" ht="30" customHeight="1" x14ac:dyDescent="0.2">
      <c r="A39" s="1244">
        <v>1210</v>
      </c>
      <c r="B39" s="1264" t="s">
        <v>2972</v>
      </c>
      <c r="C39" s="1249">
        <v>107213</v>
      </c>
      <c r="D39" s="1249">
        <v>90899</v>
      </c>
      <c r="E39" s="1247">
        <v>32137</v>
      </c>
      <c r="F39" s="1248">
        <v>24176</v>
      </c>
      <c r="G39" s="1247">
        <v>33391</v>
      </c>
      <c r="H39" s="1248">
        <v>29779</v>
      </c>
      <c r="I39" s="1247">
        <v>41685</v>
      </c>
      <c r="J39" s="1248">
        <v>36944</v>
      </c>
      <c r="O39" s="1255"/>
      <c r="Q39" s="1255"/>
    </row>
    <row r="40" spans="1:17" ht="30" customHeight="1" x14ac:dyDescent="0.2">
      <c r="A40" s="1244">
        <v>1227</v>
      </c>
      <c r="B40" s="1264" t="s">
        <v>3310</v>
      </c>
      <c r="C40" s="1249">
        <v>11090</v>
      </c>
      <c r="D40" s="1249">
        <v>9424</v>
      </c>
      <c r="E40" s="1247">
        <v>3169</v>
      </c>
      <c r="F40" s="1248">
        <v>2384</v>
      </c>
      <c r="G40" s="1247">
        <v>3485</v>
      </c>
      <c r="H40" s="1248">
        <v>3108</v>
      </c>
      <c r="I40" s="1247">
        <v>4436</v>
      </c>
      <c r="J40" s="1248">
        <v>3932</v>
      </c>
      <c r="O40" s="1255"/>
      <c r="Q40" s="1255"/>
    </row>
    <row r="41" spans="1:17" ht="15.75" customHeight="1" x14ac:dyDescent="0.2">
      <c r="A41" s="1256">
        <v>2000</v>
      </c>
      <c r="B41" s="1251" t="s">
        <v>3311</v>
      </c>
      <c r="C41" s="1227">
        <v>135003</v>
      </c>
      <c r="D41" s="1227">
        <v>112424</v>
      </c>
      <c r="E41" s="1228">
        <v>55579</v>
      </c>
      <c r="F41" s="1229">
        <v>41822</v>
      </c>
      <c r="G41" s="1228">
        <v>33511</v>
      </c>
      <c r="H41" s="1229">
        <v>29899</v>
      </c>
      <c r="I41" s="1228">
        <v>45913</v>
      </c>
      <c r="J41" s="1229">
        <v>40703</v>
      </c>
      <c r="O41" s="1255"/>
      <c r="Q41" s="1255"/>
    </row>
    <row r="42" spans="1:17" ht="15.75" customHeight="1" x14ac:dyDescent="0.2">
      <c r="A42" s="1257">
        <v>2200</v>
      </c>
      <c r="B42" s="1251" t="s">
        <v>3312</v>
      </c>
      <c r="C42" s="1227">
        <v>46826</v>
      </c>
      <c r="D42" s="1227">
        <v>38983</v>
      </c>
      <c r="E42" s="1228">
        <v>19400</v>
      </c>
      <c r="F42" s="1229">
        <v>14600</v>
      </c>
      <c r="G42" s="1228">
        <v>11760</v>
      </c>
      <c r="H42" s="1229">
        <v>10494</v>
      </c>
      <c r="I42" s="1228">
        <v>15666</v>
      </c>
      <c r="J42" s="1229">
        <v>13889</v>
      </c>
      <c r="O42" s="1255"/>
      <c r="Q42" s="1255"/>
    </row>
    <row r="43" spans="1:17" ht="15.75" customHeight="1" x14ac:dyDescent="0.2">
      <c r="A43" s="1244">
        <v>2210</v>
      </c>
      <c r="B43" s="1245" t="s">
        <v>3313</v>
      </c>
      <c r="C43" s="1249">
        <v>1912</v>
      </c>
      <c r="D43" s="1249">
        <v>1592</v>
      </c>
      <c r="E43" s="1265">
        <v>799</v>
      </c>
      <c r="F43" s="1266">
        <v>602</v>
      </c>
      <c r="G43" s="1265">
        <v>478</v>
      </c>
      <c r="H43" s="1266">
        <v>427</v>
      </c>
      <c r="I43" s="1265">
        <v>635</v>
      </c>
      <c r="J43" s="1266">
        <v>563</v>
      </c>
      <c r="O43" s="1255"/>
      <c r="Q43" s="1255"/>
    </row>
    <row r="44" spans="1:17" ht="15.75" customHeight="1" x14ac:dyDescent="0.2">
      <c r="A44" s="1244">
        <v>2222</v>
      </c>
      <c r="B44" s="1261" t="s">
        <v>2084</v>
      </c>
      <c r="C44" s="1249">
        <v>8712</v>
      </c>
      <c r="D44" s="1249">
        <v>7248</v>
      </c>
      <c r="E44" s="1265">
        <v>3630</v>
      </c>
      <c r="F44" s="1266">
        <v>2731</v>
      </c>
      <c r="G44" s="1265">
        <v>2178</v>
      </c>
      <c r="H44" s="1266">
        <v>1943</v>
      </c>
      <c r="I44" s="1265">
        <v>2904</v>
      </c>
      <c r="J44" s="1266">
        <v>2574</v>
      </c>
      <c r="L44" s="1259"/>
      <c r="M44" s="1259"/>
      <c r="N44" s="1259"/>
      <c r="O44" s="1267"/>
      <c r="Q44" s="1255"/>
    </row>
    <row r="45" spans="1:17" ht="15.75" customHeight="1" x14ac:dyDescent="0.2">
      <c r="A45" s="1244">
        <v>2223</v>
      </c>
      <c r="B45" s="1261" t="s">
        <v>3314</v>
      </c>
      <c r="C45" s="1249">
        <v>9916</v>
      </c>
      <c r="D45" s="1249">
        <v>8250</v>
      </c>
      <c r="E45" s="1265">
        <v>4132</v>
      </c>
      <c r="F45" s="1266">
        <v>3109</v>
      </c>
      <c r="G45" s="1265">
        <v>2479</v>
      </c>
      <c r="H45" s="1266">
        <v>2211</v>
      </c>
      <c r="I45" s="1265">
        <v>3305</v>
      </c>
      <c r="J45" s="1266">
        <v>2930</v>
      </c>
      <c r="L45" s="1259"/>
      <c r="M45" s="1259"/>
      <c r="N45" s="1259"/>
      <c r="O45" s="1267"/>
      <c r="Q45" s="1255"/>
    </row>
    <row r="46" spans="1:17" ht="15.75" customHeight="1" x14ac:dyDescent="0.2">
      <c r="A46" s="1244">
        <v>2224</v>
      </c>
      <c r="B46" s="1268" t="s">
        <v>3315</v>
      </c>
      <c r="C46" s="1249">
        <v>2463</v>
      </c>
      <c r="D46" s="1249">
        <v>2050</v>
      </c>
      <c r="E46" s="1265">
        <v>1026</v>
      </c>
      <c r="F46" s="1266">
        <v>772</v>
      </c>
      <c r="G46" s="1265">
        <v>616</v>
      </c>
      <c r="H46" s="1266">
        <v>550</v>
      </c>
      <c r="I46" s="1265">
        <v>821</v>
      </c>
      <c r="J46" s="1266">
        <v>728</v>
      </c>
      <c r="L46" s="1259"/>
      <c r="M46" s="1259"/>
      <c r="N46" s="1259"/>
      <c r="O46" s="1267"/>
      <c r="Q46" s="1255"/>
    </row>
    <row r="47" spans="1:17" ht="15.75" customHeight="1" x14ac:dyDescent="0.2">
      <c r="A47" s="1244">
        <v>2232</v>
      </c>
      <c r="B47" s="1268" t="s">
        <v>3316</v>
      </c>
      <c r="C47" s="1249">
        <v>601</v>
      </c>
      <c r="D47" s="1249">
        <v>501</v>
      </c>
      <c r="E47" s="1265">
        <v>252</v>
      </c>
      <c r="F47" s="1266">
        <v>190</v>
      </c>
      <c r="G47" s="1265">
        <v>150</v>
      </c>
      <c r="H47" s="1266">
        <v>134</v>
      </c>
      <c r="I47" s="1265">
        <v>199</v>
      </c>
      <c r="J47" s="1266">
        <v>177</v>
      </c>
      <c r="L47" s="1259"/>
      <c r="M47" s="1259"/>
      <c r="N47" s="1259"/>
      <c r="O47" s="1267"/>
      <c r="Q47" s="1255"/>
    </row>
    <row r="48" spans="1:17" ht="15.75" customHeight="1" x14ac:dyDescent="0.2">
      <c r="A48" s="1244">
        <v>2235</v>
      </c>
      <c r="B48" s="1268" t="s">
        <v>3317</v>
      </c>
      <c r="C48" s="1249">
        <v>538</v>
      </c>
      <c r="D48" s="1249">
        <v>449</v>
      </c>
      <c r="E48" s="1265">
        <v>226</v>
      </c>
      <c r="F48" s="1266">
        <v>171</v>
      </c>
      <c r="G48" s="1265">
        <v>135</v>
      </c>
      <c r="H48" s="1266">
        <v>121</v>
      </c>
      <c r="I48" s="1265">
        <v>177</v>
      </c>
      <c r="J48" s="1266">
        <v>157</v>
      </c>
      <c r="L48" s="1259"/>
      <c r="M48" s="1259"/>
      <c r="N48" s="1259"/>
      <c r="O48" s="1267"/>
      <c r="Q48" s="1255"/>
    </row>
    <row r="49" spans="1:17" ht="15.75" customHeight="1" x14ac:dyDescent="0.2">
      <c r="A49" s="1244">
        <v>2239</v>
      </c>
      <c r="B49" s="1268" t="s">
        <v>3318</v>
      </c>
      <c r="C49" s="1249">
        <v>1678</v>
      </c>
      <c r="D49" s="1249">
        <v>1397</v>
      </c>
      <c r="E49" s="1265">
        <v>699</v>
      </c>
      <c r="F49" s="1266">
        <v>526</v>
      </c>
      <c r="G49" s="1265">
        <v>420</v>
      </c>
      <c r="H49" s="1266">
        <v>375</v>
      </c>
      <c r="I49" s="1265">
        <v>559</v>
      </c>
      <c r="J49" s="1266">
        <v>496</v>
      </c>
      <c r="L49" s="1259"/>
      <c r="M49" s="1259"/>
      <c r="N49" s="1259"/>
      <c r="O49" s="1267"/>
      <c r="Q49" s="1255"/>
    </row>
    <row r="50" spans="1:17" ht="15.75" customHeight="1" x14ac:dyDescent="0.2">
      <c r="A50" s="1244">
        <v>2242</v>
      </c>
      <c r="B50" s="1268" t="s">
        <v>3319</v>
      </c>
      <c r="C50" s="1249">
        <v>1251</v>
      </c>
      <c r="D50" s="1249">
        <v>1058</v>
      </c>
      <c r="E50" s="1265">
        <v>406</v>
      </c>
      <c r="F50" s="1266">
        <v>306</v>
      </c>
      <c r="G50" s="1265">
        <v>365</v>
      </c>
      <c r="H50" s="1266">
        <v>326</v>
      </c>
      <c r="I50" s="1265">
        <v>480</v>
      </c>
      <c r="J50" s="1266">
        <v>426</v>
      </c>
      <c r="L50" s="1259"/>
      <c r="M50" s="1259"/>
      <c r="N50" s="1259"/>
      <c r="O50" s="1267"/>
      <c r="Q50" s="1255"/>
    </row>
    <row r="51" spans="1:17" ht="25.5" x14ac:dyDescent="0.2">
      <c r="A51" s="1244">
        <v>2243</v>
      </c>
      <c r="B51" s="1268" t="s">
        <v>3320</v>
      </c>
      <c r="C51" s="1249">
        <v>1031</v>
      </c>
      <c r="D51" s="1249">
        <v>859</v>
      </c>
      <c r="E51" s="1265">
        <v>429</v>
      </c>
      <c r="F51" s="1266">
        <v>323</v>
      </c>
      <c r="G51" s="1265">
        <v>258</v>
      </c>
      <c r="H51" s="1266">
        <v>231</v>
      </c>
      <c r="I51" s="1265">
        <v>344</v>
      </c>
      <c r="J51" s="1266">
        <v>305</v>
      </c>
      <c r="L51" s="1259"/>
      <c r="M51" s="1259"/>
      <c r="N51" s="1259"/>
      <c r="O51" s="1267"/>
      <c r="Q51" s="1255"/>
    </row>
    <row r="52" spans="1:17" ht="15.75" customHeight="1" x14ac:dyDescent="0.2">
      <c r="A52" s="1244">
        <v>2244</v>
      </c>
      <c r="B52" s="1268" t="s">
        <v>3321</v>
      </c>
      <c r="C52" s="1249">
        <v>4316</v>
      </c>
      <c r="D52" s="1249">
        <v>3592</v>
      </c>
      <c r="E52" s="1265">
        <v>1798</v>
      </c>
      <c r="F52" s="1266">
        <v>1353</v>
      </c>
      <c r="G52" s="1265">
        <v>1079</v>
      </c>
      <c r="H52" s="1266">
        <v>963</v>
      </c>
      <c r="I52" s="1265">
        <v>1439</v>
      </c>
      <c r="J52" s="1266">
        <v>1276</v>
      </c>
      <c r="L52" s="1259"/>
      <c r="M52" s="1259"/>
      <c r="N52" s="1259"/>
      <c r="O52" s="1267"/>
      <c r="Q52" s="1255"/>
    </row>
    <row r="53" spans="1:17" ht="15.75" customHeight="1" x14ac:dyDescent="0.2">
      <c r="A53" s="1244">
        <v>2249</v>
      </c>
      <c r="B53" s="1268" t="s">
        <v>3322</v>
      </c>
      <c r="C53" s="1249">
        <v>8948</v>
      </c>
      <c r="D53" s="1249">
        <v>7444</v>
      </c>
      <c r="E53" s="1265">
        <v>3728</v>
      </c>
      <c r="F53" s="1266">
        <v>2805</v>
      </c>
      <c r="G53" s="1265">
        <v>2237</v>
      </c>
      <c r="H53" s="1266">
        <v>1995</v>
      </c>
      <c r="I53" s="1265">
        <v>2983</v>
      </c>
      <c r="J53" s="1266">
        <v>2644</v>
      </c>
      <c r="L53" s="1259"/>
      <c r="M53" s="1259"/>
      <c r="N53" s="1259"/>
      <c r="O53" s="1267"/>
      <c r="Q53" s="1255"/>
    </row>
    <row r="54" spans="1:17" ht="15.75" customHeight="1" x14ac:dyDescent="0.2">
      <c r="A54" s="1244">
        <v>2250</v>
      </c>
      <c r="B54" s="1268" t="s">
        <v>3323</v>
      </c>
      <c r="C54" s="1249">
        <v>5460</v>
      </c>
      <c r="D54" s="1249">
        <v>4543</v>
      </c>
      <c r="E54" s="1265">
        <v>2275</v>
      </c>
      <c r="F54" s="1266">
        <v>1712</v>
      </c>
      <c r="G54" s="1265">
        <v>1365</v>
      </c>
      <c r="H54" s="1266">
        <v>1218</v>
      </c>
      <c r="I54" s="1265">
        <v>1820</v>
      </c>
      <c r="J54" s="1266">
        <v>1613</v>
      </c>
      <c r="L54" s="1259"/>
      <c r="M54" s="1259"/>
      <c r="N54" s="1259"/>
      <c r="O54" s="1267"/>
      <c r="Q54" s="1255"/>
    </row>
    <row r="55" spans="1:17" ht="26.25" customHeight="1" x14ac:dyDescent="0.2">
      <c r="A55" s="1257">
        <v>2300</v>
      </c>
      <c r="B55" s="1263" t="s">
        <v>3324</v>
      </c>
      <c r="C55" s="1227">
        <v>87582</v>
      </c>
      <c r="D55" s="1227">
        <v>72942</v>
      </c>
      <c r="E55" s="1269">
        <v>35931</v>
      </c>
      <c r="F55" s="1270">
        <v>27034</v>
      </c>
      <c r="G55" s="1253">
        <v>21602</v>
      </c>
      <c r="H55" s="1254">
        <v>19271</v>
      </c>
      <c r="I55" s="1253">
        <v>30049</v>
      </c>
      <c r="J55" s="1254">
        <v>26637</v>
      </c>
      <c r="L55" s="1259"/>
      <c r="M55" s="1259"/>
      <c r="N55" s="1259"/>
      <c r="O55" s="1267"/>
      <c r="Q55" s="1255"/>
    </row>
    <row r="56" spans="1:17" ht="15.75" customHeight="1" x14ac:dyDescent="0.2">
      <c r="A56" s="1244">
        <v>2311</v>
      </c>
      <c r="B56" s="1268" t="s">
        <v>3325</v>
      </c>
      <c r="C56" s="1249">
        <v>801</v>
      </c>
      <c r="D56" s="1249">
        <v>668</v>
      </c>
      <c r="E56" s="1265">
        <v>334</v>
      </c>
      <c r="F56" s="1266">
        <v>252</v>
      </c>
      <c r="G56" s="1265">
        <v>200</v>
      </c>
      <c r="H56" s="1266">
        <v>179</v>
      </c>
      <c r="I56" s="1265">
        <v>267</v>
      </c>
      <c r="J56" s="1266">
        <v>237</v>
      </c>
      <c r="L56" s="1259"/>
      <c r="M56" s="1259"/>
      <c r="N56" s="1259"/>
      <c r="O56" s="1267"/>
      <c r="Q56" s="1255"/>
    </row>
    <row r="57" spans="1:17" ht="15.75" customHeight="1" x14ac:dyDescent="0.2">
      <c r="A57" s="1244">
        <v>2312</v>
      </c>
      <c r="B57" s="1268" t="s">
        <v>3326</v>
      </c>
      <c r="C57" s="1249">
        <v>791</v>
      </c>
      <c r="D57" s="1249">
        <v>659</v>
      </c>
      <c r="E57" s="1265">
        <v>332</v>
      </c>
      <c r="F57" s="1266">
        <v>250</v>
      </c>
      <c r="G57" s="1265">
        <v>198</v>
      </c>
      <c r="H57" s="1266">
        <v>177</v>
      </c>
      <c r="I57" s="1265">
        <v>261</v>
      </c>
      <c r="J57" s="1266">
        <v>232</v>
      </c>
      <c r="L57" s="1259"/>
      <c r="M57" s="1259"/>
      <c r="N57" s="1259"/>
      <c r="O57" s="1267"/>
      <c r="Q57" s="1255"/>
    </row>
    <row r="58" spans="1:17" ht="15.75" customHeight="1" x14ac:dyDescent="0.2">
      <c r="A58" s="1244">
        <v>2321</v>
      </c>
      <c r="B58" s="1268" t="s">
        <v>3327</v>
      </c>
      <c r="C58" s="1249">
        <v>19575</v>
      </c>
      <c r="D58" s="1249">
        <v>16284</v>
      </c>
      <c r="E58" s="1265">
        <v>8156</v>
      </c>
      <c r="F58" s="1266">
        <v>6136</v>
      </c>
      <c r="G58" s="1265">
        <v>4894</v>
      </c>
      <c r="H58" s="1266">
        <v>4365</v>
      </c>
      <c r="I58" s="1265">
        <v>6525</v>
      </c>
      <c r="J58" s="1266">
        <v>5783</v>
      </c>
      <c r="L58" s="1259"/>
      <c r="M58" s="1259"/>
      <c r="N58" s="1259"/>
      <c r="O58" s="1267"/>
      <c r="Q58" s="1255"/>
    </row>
    <row r="59" spans="1:17" ht="15.75" customHeight="1" x14ac:dyDescent="0.2">
      <c r="A59" s="1244">
        <v>2322</v>
      </c>
      <c r="B59" s="1268" t="s">
        <v>3328</v>
      </c>
      <c r="C59" s="1249">
        <v>1699</v>
      </c>
      <c r="D59" s="1249">
        <v>1415</v>
      </c>
      <c r="E59" s="1265">
        <v>708</v>
      </c>
      <c r="F59" s="1266">
        <v>533</v>
      </c>
      <c r="G59" s="1265">
        <v>425</v>
      </c>
      <c r="H59" s="1266">
        <v>380</v>
      </c>
      <c r="I59" s="1265">
        <v>566</v>
      </c>
      <c r="J59" s="1266">
        <v>502</v>
      </c>
      <c r="L59" s="1259"/>
      <c r="M59" s="1259"/>
      <c r="N59" s="1259"/>
      <c r="O59" s="1267"/>
      <c r="Q59" s="1255"/>
    </row>
    <row r="60" spans="1:17" ht="15.75" customHeight="1" x14ac:dyDescent="0.2">
      <c r="A60" s="1244">
        <v>2341</v>
      </c>
      <c r="B60" s="1261" t="s">
        <v>3329</v>
      </c>
      <c r="C60" s="1249">
        <v>7072</v>
      </c>
      <c r="D60" s="1249">
        <v>5960</v>
      </c>
      <c r="E60" s="1265">
        <v>2367</v>
      </c>
      <c r="F60" s="1266">
        <v>1781</v>
      </c>
      <c r="G60" s="1265">
        <v>1474</v>
      </c>
      <c r="H60" s="1266">
        <v>1315</v>
      </c>
      <c r="I60" s="1265">
        <v>3231</v>
      </c>
      <c r="J60" s="1266">
        <v>2864</v>
      </c>
      <c r="L60" s="1259"/>
      <c r="M60" s="1259"/>
      <c r="N60" s="1259"/>
      <c r="O60" s="1267"/>
      <c r="Q60" s="1255"/>
    </row>
    <row r="61" spans="1:17" ht="15.75" customHeight="1" x14ac:dyDescent="0.2">
      <c r="A61" s="1244">
        <v>2351</v>
      </c>
      <c r="B61" s="1261" t="s">
        <v>3330</v>
      </c>
      <c r="C61" s="1249">
        <v>4008</v>
      </c>
      <c r="D61" s="1249">
        <v>3333</v>
      </c>
      <c r="E61" s="1265">
        <v>1684</v>
      </c>
      <c r="F61" s="1266">
        <v>1267</v>
      </c>
      <c r="G61" s="1265">
        <v>1002</v>
      </c>
      <c r="H61" s="1266">
        <v>894</v>
      </c>
      <c r="I61" s="1265">
        <v>1322</v>
      </c>
      <c r="J61" s="1266">
        <v>1172</v>
      </c>
      <c r="O61" s="1255"/>
      <c r="Q61" s="1255"/>
    </row>
    <row r="62" spans="1:17" ht="15.75" customHeight="1" x14ac:dyDescent="0.2">
      <c r="A62" s="1244">
        <v>2352</v>
      </c>
      <c r="B62" s="1261" t="s">
        <v>3331</v>
      </c>
      <c r="C62" s="1249">
        <v>3637</v>
      </c>
      <c r="D62" s="1249">
        <v>3027</v>
      </c>
      <c r="E62" s="1265">
        <v>1515</v>
      </c>
      <c r="F62" s="1266">
        <v>1140</v>
      </c>
      <c r="G62" s="1265">
        <v>909</v>
      </c>
      <c r="H62" s="1266">
        <v>811</v>
      </c>
      <c r="I62" s="1265">
        <v>1213</v>
      </c>
      <c r="J62" s="1266">
        <v>1076</v>
      </c>
      <c r="O62" s="1255"/>
      <c r="Q62" s="1255"/>
    </row>
    <row r="63" spans="1:17" ht="15.75" customHeight="1" x14ac:dyDescent="0.2">
      <c r="A63" s="1244">
        <v>2361</v>
      </c>
      <c r="B63" s="1261" t="s">
        <v>3332</v>
      </c>
      <c r="C63" s="1249">
        <v>364</v>
      </c>
      <c r="D63" s="1249">
        <v>305</v>
      </c>
      <c r="E63" s="1265">
        <v>153</v>
      </c>
      <c r="F63" s="1266">
        <v>116</v>
      </c>
      <c r="G63" s="1265">
        <v>91</v>
      </c>
      <c r="H63" s="1266">
        <v>82</v>
      </c>
      <c r="I63" s="1265">
        <v>120</v>
      </c>
      <c r="J63" s="1266">
        <v>107</v>
      </c>
      <c r="O63" s="1255"/>
      <c r="Q63" s="1255"/>
    </row>
    <row r="64" spans="1:17" ht="15.75" customHeight="1" x14ac:dyDescent="0.2">
      <c r="A64" s="1244">
        <v>2362</v>
      </c>
      <c r="B64" s="1261" t="s">
        <v>3333</v>
      </c>
      <c r="C64" s="1249">
        <v>291</v>
      </c>
      <c r="D64" s="1249">
        <v>244</v>
      </c>
      <c r="E64" s="1265">
        <v>122</v>
      </c>
      <c r="F64" s="1266">
        <v>92</v>
      </c>
      <c r="G64" s="1265">
        <v>73</v>
      </c>
      <c r="H64" s="1266">
        <v>66</v>
      </c>
      <c r="I64" s="1265">
        <v>96</v>
      </c>
      <c r="J64" s="1266">
        <v>86</v>
      </c>
      <c r="O64" s="1255"/>
      <c r="Q64" s="1255"/>
    </row>
    <row r="65" spans="1:17" ht="15.75" customHeight="1" x14ac:dyDescent="0.2">
      <c r="A65" s="1244">
        <v>2363</v>
      </c>
      <c r="B65" s="1261" t="s">
        <v>2461</v>
      </c>
      <c r="C65" s="1249">
        <v>38325</v>
      </c>
      <c r="D65" s="1249">
        <v>31880</v>
      </c>
      <c r="E65" s="1265">
        <v>15969</v>
      </c>
      <c r="F65" s="1266">
        <v>12013</v>
      </c>
      <c r="G65" s="1265">
        <v>9581</v>
      </c>
      <c r="H65" s="1266">
        <v>8545</v>
      </c>
      <c r="I65" s="1265">
        <v>12775</v>
      </c>
      <c r="J65" s="1266">
        <v>11322</v>
      </c>
      <c r="O65" s="1255"/>
      <c r="Q65" s="1255"/>
    </row>
    <row r="66" spans="1:17" ht="45" customHeight="1" x14ac:dyDescent="0.2">
      <c r="A66" s="1244">
        <v>2369</v>
      </c>
      <c r="B66" s="1268" t="s">
        <v>3334</v>
      </c>
      <c r="C66" s="1249">
        <v>11019</v>
      </c>
      <c r="D66" s="1249">
        <v>9167</v>
      </c>
      <c r="E66" s="1265">
        <v>4591</v>
      </c>
      <c r="F66" s="1266">
        <v>3454</v>
      </c>
      <c r="G66" s="1265">
        <v>2755</v>
      </c>
      <c r="H66" s="1266">
        <v>2457</v>
      </c>
      <c r="I66" s="1265">
        <v>3673</v>
      </c>
      <c r="J66" s="1266">
        <v>3256</v>
      </c>
      <c r="O66" s="1255"/>
      <c r="Q66" s="1255"/>
    </row>
    <row r="67" spans="1:17" ht="15.75" customHeight="1" x14ac:dyDescent="0.2">
      <c r="A67" s="1257">
        <v>2500</v>
      </c>
      <c r="B67" s="1251" t="s">
        <v>3335</v>
      </c>
      <c r="C67" s="1227">
        <v>595</v>
      </c>
      <c r="D67" s="1227">
        <v>499</v>
      </c>
      <c r="E67" s="1253">
        <v>248</v>
      </c>
      <c r="F67" s="1254">
        <v>188</v>
      </c>
      <c r="G67" s="1253">
        <v>149</v>
      </c>
      <c r="H67" s="1254">
        <v>134</v>
      </c>
      <c r="I67" s="1253">
        <v>198</v>
      </c>
      <c r="J67" s="1254">
        <v>177</v>
      </c>
      <c r="O67" s="1255"/>
      <c r="Q67" s="1255"/>
    </row>
    <row r="68" spans="1:17" ht="15.75" customHeight="1" x14ac:dyDescent="0.2">
      <c r="A68" s="1260">
        <v>2515</v>
      </c>
      <c r="B68" s="1245" t="s">
        <v>3336</v>
      </c>
      <c r="C68" s="1249">
        <v>286</v>
      </c>
      <c r="D68" s="1249">
        <v>240</v>
      </c>
      <c r="E68" s="1265">
        <v>119</v>
      </c>
      <c r="F68" s="1266">
        <v>90</v>
      </c>
      <c r="G68" s="1265">
        <v>72</v>
      </c>
      <c r="H68" s="1266">
        <v>65</v>
      </c>
      <c r="I68" s="1265">
        <v>95</v>
      </c>
      <c r="J68" s="1266">
        <v>85</v>
      </c>
      <c r="O68" s="1255"/>
      <c r="Q68" s="1255"/>
    </row>
    <row r="69" spans="1:17" ht="15.75" customHeight="1" x14ac:dyDescent="0.2">
      <c r="A69" s="1271">
        <v>2519</v>
      </c>
      <c r="B69" s="1272" t="s">
        <v>3337</v>
      </c>
      <c r="C69" s="1273">
        <v>309</v>
      </c>
      <c r="D69" s="1273">
        <v>259</v>
      </c>
      <c r="E69" s="1274">
        <v>129</v>
      </c>
      <c r="F69" s="1275">
        <v>98</v>
      </c>
      <c r="G69" s="1274">
        <v>77</v>
      </c>
      <c r="H69" s="1275">
        <v>69</v>
      </c>
      <c r="I69" s="1274">
        <v>103</v>
      </c>
      <c r="J69" s="1275">
        <v>92</v>
      </c>
      <c r="O69" s="1255"/>
      <c r="Q69" s="1255"/>
    </row>
    <row r="71" spans="1:17" x14ac:dyDescent="0.2">
      <c r="A71" s="1276"/>
      <c r="C71" s="1259"/>
      <c r="D71" s="1259"/>
      <c r="E71" s="1259"/>
      <c r="F71" s="1259"/>
      <c r="G71" s="1259"/>
      <c r="H71" s="1259"/>
      <c r="I71" s="1259"/>
      <c r="J71" s="1259"/>
    </row>
    <row r="72" spans="1:17" x14ac:dyDescent="0.2">
      <c r="A72" s="1277"/>
      <c r="C72" s="1278"/>
      <c r="D72" s="1278"/>
    </row>
  </sheetData>
  <sheetProtection algorithmName="SHA-512" hashValue="DXFCKAwhvJ5TcGZtABxpG2Bo7CHmfCYmmXN3EsJ2xARnLtkH57uX3seYd65kiVEinAwV1oSYNtkKzqksvCOMyQ==" saltValue="xA9vs/psAmQuwYqdBUoJNQ==" spinCount="100000" sheet="1" objects="1" scenarios="1"/>
  <mergeCells count="10">
    <mergeCell ref="A6:J6"/>
    <mergeCell ref="A7:J7"/>
    <mergeCell ref="A9:A12"/>
    <mergeCell ref="B9:B12"/>
    <mergeCell ref="C9:C12"/>
    <mergeCell ref="D9:D11"/>
    <mergeCell ref="E9:J9"/>
    <mergeCell ref="E10:F11"/>
    <mergeCell ref="G10:H11"/>
    <mergeCell ref="I10:J11"/>
  </mergeCells>
  <pageMargins left="0.78740157480314965" right="0.39370078740157483" top="0.59055118110236227" bottom="0.39370078740157483" header="0.23622047244094491" footer="0.23622047244094491"/>
  <pageSetup paperSize="9" scale="55" orientation="portrait" r:id="rId1"/>
  <headerFooter>
    <oddHeader xml:space="preserve">&amp;R&amp;"Times New Roman,Regular"&amp;10
 34.pielikums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1"/>
  <sheetViews>
    <sheetView view="pageLayout" zoomScaleNormal="100" workbookViewId="0">
      <selection activeCell="L10" sqref="L10"/>
    </sheetView>
  </sheetViews>
  <sheetFormatPr defaultRowHeight="12" x14ac:dyDescent="0.2"/>
  <cols>
    <col min="1" max="1" width="6.140625" style="244" customWidth="1"/>
    <col min="2" max="2" width="17.28515625" style="244" customWidth="1"/>
    <col min="3" max="3" width="13" style="244" customWidth="1"/>
    <col min="4" max="5" width="10" style="244" hidden="1" customWidth="1"/>
    <col min="6" max="6" width="10.28515625" style="244" hidden="1" customWidth="1"/>
    <col min="7" max="7" width="10.5703125" style="244" customWidth="1"/>
    <col min="8" max="8" width="8.28515625" style="244" customWidth="1"/>
    <col min="9" max="9" width="18" style="244" customWidth="1"/>
    <col min="10" max="10" width="28.5703125" style="244" hidden="1" customWidth="1"/>
    <col min="11" max="16384" width="9.140625" style="244"/>
  </cols>
  <sheetData>
    <row r="1" spans="1:10" x14ac:dyDescent="0.2">
      <c r="A1" s="1793" t="s">
        <v>1195</v>
      </c>
      <c r="B1" s="1793"/>
      <c r="C1" s="1793" t="s">
        <v>118</v>
      </c>
      <c r="D1" s="1793"/>
      <c r="E1" s="1793"/>
      <c r="F1" s="1793"/>
      <c r="G1" s="1793"/>
      <c r="H1" s="1793"/>
      <c r="I1" s="1793"/>
      <c r="J1" s="1793"/>
    </row>
    <row r="2" spans="1:10" x14ac:dyDescent="0.2">
      <c r="A2" s="1793" t="s">
        <v>1196</v>
      </c>
      <c r="B2" s="1793"/>
      <c r="C2" s="1793">
        <v>90000056357</v>
      </c>
      <c r="D2" s="1793"/>
      <c r="E2" s="1793"/>
      <c r="F2" s="1793"/>
      <c r="G2" s="1793"/>
      <c r="H2" s="1793"/>
      <c r="I2" s="1793"/>
      <c r="J2" s="1793"/>
    </row>
    <row r="3" spans="1:10" ht="15.75" x14ac:dyDescent="0.25">
      <c r="A3" s="1794" t="s">
        <v>120</v>
      </c>
      <c r="B3" s="1794"/>
      <c r="C3" s="1794"/>
      <c r="D3" s="1794"/>
      <c r="E3" s="1794"/>
      <c r="F3" s="1794"/>
      <c r="G3" s="1794"/>
      <c r="H3" s="1794"/>
      <c r="I3" s="1794"/>
      <c r="J3" s="1794"/>
    </row>
    <row r="4" spans="1:10" ht="15.75" x14ac:dyDescent="0.25">
      <c r="A4" s="246"/>
      <c r="B4" s="246"/>
      <c r="C4" s="246"/>
      <c r="D4" s="246"/>
      <c r="E4" s="246"/>
      <c r="F4" s="246"/>
      <c r="G4" s="246"/>
      <c r="H4" s="246"/>
      <c r="I4" s="246"/>
      <c r="J4" s="246"/>
    </row>
    <row r="5" spans="1:10" ht="15.75" x14ac:dyDescent="0.25">
      <c r="A5" s="1793" t="s">
        <v>1810</v>
      </c>
      <c r="B5" s="1793"/>
      <c r="C5" s="247" t="s">
        <v>1811</v>
      </c>
      <c r="D5" s="247"/>
      <c r="E5" s="247"/>
      <c r="F5" s="247"/>
      <c r="G5" s="247"/>
      <c r="H5" s="247"/>
      <c r="I5" s="247"/>
      <c r="J5" s="247"/>
    </row>
    <row r="6" spans="1:10" x14ac:dyDescent="0.2">
      <c r="A6" s="1793" t="s">
        <v>123</v>
      </c>
      <c r="B6" s="1793"/>
      <c r="C6" s="1793" t="s">
        <v>1812</v>
      </c>
      <c r="D6" s="1793"/>
      <c r="E6" s="1793"/>
      <c r="F6" s="1793"/>
      <c r="G6" s="1793"/>
      <c r="H6" s="1793"/>
      <c r="I6" s="1793"/>
      <c r="J6" s="1793"/>
    </row>
    <row r="7" spans="1:10" x14ac:dyDescent="0.2">
      <c r="A7" s="1793" t="s">
        <v>125</v>
      </c>
      <c r="B7" s="1793"/>
      <c r="C7" s="2244" t="s">
        <v>1813</v>
      </c>
      <c r="D7" s="2244"/>
      <c r="E7" s="2244"/>
      <c r="F7" s="2244"/>
      <c r="G7" s="2244"/>
      <c r="H7" s="2244"/>
      <c r="I7" s="2244"/>
      <c r="J7" s="2244"/>
    </row>
    <row r="8" spans="1:10" ht="48" x14ac:dyDescent="0.2">
      <c r="A8" s="251" t="s">
        <v>1</v>
      </c>
      <c r="B8" s="1797" t="s">
        <v>127</v>
      </c>
      <c r="C8" s="1798"/>
      <c r="D8" s="251" t="s">
        <v>14</v>
      </c>
      <c r="E8" s="251" t="s">
        <v>12</v>
      </c>
      <c r="F8" s="251" t="s">
        <v>128</v>
      </c>
      <c r="G8" s="251" t="s">
        <v>129</v>
      </c>
      <c r="H8" s="251" t="s">
        <v>3357</v>
      </c>
      <c r="I8" s="251" t="s">
        <v>11</v>
      </c>
      <c r="J8" s="683" t="s">
        <v>131</v>
      </c>
    </row>
    <row r="9" spans="1:10" ht="12.75" customHeight="1" x14ac:dyDescent="0.2">
      <c r="A9" s="1982" t="s">
        <v>132</v>
      </c>
      <c r="B9" s="1983"/>
      <c r="C9" s="1984"/>
      <c r="D9" s="397">
        <f>SUM(D10:D11)</f>
        <v>6000</v>
      </c>
      <c r="E9" s="397">
        <f>SUM(E10:E11)</f>
        <v>0</v>
      </c>
      <c r="F9" s="397">
        <f>SUM(F10:F11)</f>
        <v>2000</v>
      </c>
      <c r="G9" s="397"/>
      <c r="H9" s="397">
        <f>SUM(H10:H11)</f>
        <v>0</v>
      </c>
      <c r="I9" s="397"/>
      <c r="J9" s="279"/>
    </row>
    <row r="10" spans="1:10" ht="30.75" customHeight="1" x14ac:dyDescent="0.2">
      <c r="A10" s="258">
        <v>1</v>
      </c>
      <c r="B10" s="1803" t="s">
        <v>1814</v>
      </c>
      <c r="C10" s="1804"/>
      <c r="D10" s="272">
        <v>2000</v>
      </c>
      <c r="E10" s="272">
        <v>0</v>
      </c>
      <c r="F10" s="272">
        <v>2000</v>
      </c>
      <c r="G10" s="404">
        <v>2276</v>
      </c>
      <c r="H10" s="272"/>
      <c r="I10" s="684" t="s">
        <v>1815</v>
      </c>
      <c r="J10" s="279"/>
    </row>
    <row r="11" spans="1:10" ht="30.75" customHeight="1" x14ac:dyDescent="0.2">
      <c r="A11" s="258">
        <v>2</v>
      </c>
      <c r="B11" s="1803" t="s">
        <v>1816</v>
      </c>
      <c r="C11" s="1804"/>
      <c r="D11" s="272">
        <v>4000</v>
      </c>
      <c r="E11" s="272">
        <v>0</v>
      </c>
      <c r="F11" s="272">
        <v>0</v>
      </c>
      <c r="G11" s="371">
        <v>2232</v>
      </c>
      <c r="H11" s="272"/>
      <c r="I11" s="272" t="s">
        <v>1817</v>
      </c>
      <c r="J11" s="279" t="s">
        <v>1818</v>
      </c>
    </row>
    <row r="12" spans="1:10" x14ac:dyDescent="0.2">
      <c r="A12" s="658"/>
      <c r="B12" s="658"/>
      <c r="C12" s="658"/>
      <c r="D12" s="658"/>
      <c r="E12" s="658"/>
      <c r="F12" s="658"/>
      <c r="G12" s="658"/>
      <c r="H12" s="658"/>
      <c r="I12" s="658"/>
      <c r="J12" s="658"/>
    </row>
    <row r="13" spans="1:10" x14ac:dyDescent="0.2">
      <c r="A13" s="244" t="s">
        <v>400</v>
      </c>
    </row>
    <row r="14" spans="1:10" x14ac:dyDescent="0.2">
      <c r="A14" s="244" t="s">
        <v>401</v>
      </c>
    </row>
    <row r="16" spans="1:10" x14ac:dyDescent="0.2">
      <c r="A16" s="244" t="s">
        <v>1819</v>
      </c>
    </row>
    <row r="17" spans="1:11" x14ac:dyDescent="0.2">
      <c r="A17" s="244" t="s">
        <v>1820</v>
      </c>
    </row>
    <row r="20" spans="1:11" x14ac:dyDescent="0.2">
      <c r="A20" s="268"/>
      <c r="B20" s="268"/>
      <c r="C20" s="268"/>
      <c r="D20" s="268"/>
      <c r="E20" s="268"/>
      <c r="F20" s="268"/>
      <c r="G20" s="268"/>
      <c r="H20" s="268"/>
      <c r="I20" s="268"/>
      <c r="J20" s="268"/>
      <c r="K20" s="268"/>
    </row>
    <row r="21" spans="1:11" x14ac:dyDescent="0.2">
      <c r="A21" s="268"/>
      <c r="B21" s="268"/>
      <c r="C21" s="268"/>
      <c r="D21" s="268"/>
      <c r="E21" s="644"/>
      <c r="F21" s="644"/>
      <c r="G21" s="644"/>
      <c r="H21" s="644"/>
      <c r="I21" s="644"/>
      <c r="J21" s="268"/>
      <c r="K21" s="268"/>
    </row>
    <row r="22" spans="1:11" hidden="1" x14ac:dyDescent="0.2">
      <c r="A22" s="268"/>
      <c r="B22" s="268"/>
      <c r="C22" s="268"/>
      <c r="D22" s="268"/>
      <c r="E22" s="644"/>
      <c r="F22" s="644"/>
      <c r="G22" s="644"/>
      <c r="H22" s="644"/>
      <c r="I22" s="644"/>
      <c r="J22" s="268" t="s">
        <v>1821</v>
      </c>
      <c r="K22" s="268"/>
    </row>
    <row r="23" spans="1:11" x14ac:dyDescent="0.2">
      <c r="D23" s="367"/>
      <c r="E23" s="367"/>
      <c r="F23" s="367"/>
      <c r="G23" s="367"/>
      <c r="H23" s="367"/>
      <c r="I23" s="367"/>
    </row>
    <row r="24" spans="1:11" x14ac:dyDescent="0.2">
      <c r="E24" s="367"/>
      <c r="F24" s="367"/>
      <c r="G24" s="367"/>
      <c r="H24" s="367"/>
      <c r="I24" s="367"/>
    </row>
    <row r="25" spans="1:11" x14ac:dyDescent="0.2">
      <c r="E25" s="367"/>
      <c r="F25" s="367"/>
      <c r="G25" s="367"/>
      <c r="H25" s="367"/>
      <c r="I25" s="367"/>
    </row>
    <row r="26" spans="1:11" x14ac:dyDescent="0.2">
      <c r="E26" s="367"/>
      <c r="F26" s="367"/>
      <c r="G26" s="367"/>
      <c r="H26" s="367"/>
      <c r="I26" s="367"/>
    </row>
    <row r="27" spans="1:11" x14ac:dyDescent="0.2">
      <c r="E27" s="367"/>
      <c r="F27" s="367"/>
      <c r="G27" s="367"/>
      <c r="H27" s="367"/>
      <c r="I27" s="367"/>
    </row>
    <row r="28" spans="1:11" x14ac:dyDescent="0.2">
      <c r="E28" s="367"/>
      <c r="F28" s="367"/>
      <c r="G28" s="367"/>
      <c r="H28" s="367"/>
      <c r="I28" s="367"/>
    </row>
    <row r="29" spans="1:11" x14ac:dyDescent="0.2">
      <c r="E29" s="367"/>
      <c r="F29" s="367"/>
      <c r="G29" s="367"/>
      <c r="H29" s="367"/>
      <c r="I29" s="367"/>
    </row>
    <row r="30" spans="1:11" x14ac:dyDescent="0.2">
      <c r="E30" s="367"/>
      <c r="F30" s="367"/>
      <c r="G30" s="367"/>
      <c r="H30" s="367"/>
      <c r="I30" s="367"/>
    </row>
    <row r="31" spans="1:11" x14ac:dyDescent="0.2">
      <c r="E31" s="367"/>
      <c r="F31" s="367"/>
      <c r="G31" s="367"/>
      <c r="H31" s="367"/>
      <c r="I31" s="367"/>
    </row>
  </sheetData>
  <mergeCells count="14">
    <mergeCell ref="B10:C10"/>
    <mergeCell ref="B11:C11"/>
    <mergeCell ref="A6:B6"/>
    <mergeCell ref="C6:J6"/>
    <mergeCell ref="A7:B7"/>
    <mergeCell ref="C7:J7"/>
    <mergeCell ref="B8:C8"/>
    <mergeCell ref="A9:C9"/>
    <mergeCell ref="A5:B5"/>
    <mergeCell ref="A1:B1"/>
    <mergeCell ref="C1:J1"/>
    <mergeCell ref="A2:B2"/>
    <mergeCell ref="C2:J2"/>
    <mergeCell ref="A3:J3"/>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35.pielikums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2"/>
  <sheetViews>
    <sheetView view="pageLayout" zoomScaleNormal="100" workbookViewId="0">
      <selection activeCell="O17" sqref="O17"/>
    </sheetView>
  </sheetViews>
  <sheetFormatPr defaultRowHeight="12" x14ac:dyDescent="0.2"/>
  <cols>
    <col min="1" max="1" width="6.140625" style="244" customWidth="1"/>
    <col min="2" max="2" width="23" style="244" customWidth="1"/>
    <col min="3" max="3" width="12.2851562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19.140625" style="244" customWidth="1"/>
    <col min="10" max="10" width="28.7109375" style="244" hidden="1" customWidth="1"/>
    <col min="11" max="16384" width="9.140625" style="244"/>
  </cols>
  <sheetData>
    <row r="1" spans="1:11" x14ac:dyDescent="0.2">
      <c r="A1" s="1793" t="s">
        <v>117</v>
      </c>
      <c r="B1" s="1793"/>
      <c r="C1" s="1440" t="s">
        <v>118</v>
      </c>
      <c r="D1" s="243"/>
      <c r="E1" s="243"/>
      <c r="F1" s="243"/>
      <c r="G1" s="243"/>
      <c r="H1" s="243"/>
      <c r="I1" s="243"/>
      <c r="J1" s="243"/>
    </row>
    <row r="2" spans="1:11" x14ac:dyDescent="0.2">
      <c r="A2" s="1793" t="s">
        <v>119</v>
      </c>
      <c r="B2" s="1793"/>
      <c r="C2" s="1393">
        <v>90000056357</v>
      </c>
      <c r="D2" s="245"/>
      <c r="E2" s="243"/>
      <c r="F2" s="243"/>
      <c r="G2" s="243"/>
      <c r="H2" s="243"/>
      <c r="I2" s="243"/>
      <c r="J2" s="243"/>
    </row>
    <row r="3" spans="1:11" x14ac:dyDescent="0.2">
      <c r="A3" s="245"/>
      <c r="B3" s="245"/>
      <c r="C3" s="1393"/>
      <c r="D3" s="243"/>
      <c r="E3" s="243"/>
      <c r="F3" s="243"/>
      <c r="G3" s="243"/>
      <c r="H3" s="243"/>
      <c r="I3" s="243"/>
      <c r="J3" s="243"/>
    </row>
    <row r="4" spans="1:11" ht="15.75" x14ac:dyDescent="0.25">
      <c r="A4" s="1794" t="s">
        <v>120</v>
      </c>
      <c r="B4" s="1794"/>
      <c r="C4" s="1794"/>
      <c r="D4" s="1794"/>
      <c r="E4" s="1794"/>
      <c r="F4" s="1794"/>
      <c r="G4" s="1794"/>
      <c r="H4" s="1794"/>
      <c r="I4" s="1794"/>
      <c r="J4" s="1794"/>
    </row>
    <row r="5" spans="1:11" ht="15.75" x14ac:dyDescent="0.25">
      <c r="A5" s="246"/>
      <c r="B5" s="246"/>
      <c r="C5" s="1394"/>
      <c r="D5" s="246"/>
      <c r="E5" s="246"/>
      <c r="F5" s="246"/>
      <c r="G5" s="246"/>
      <c r="H5" s="246"/>
      <c r="I5" s="246"/>
      <c r="J5" s="246"/>
    </row>
    <row r="6" spans="1:11" ht="15.75" x14ac:dyDescent="0.25">
      <c r="A6" s="243" t="s">
        <v>121</v>
      </c>
      <c r="B6" s="243"/>
      <c r="C6" s="247" t="s">
        <v>404</v>
      </c>
      <c r="D6" s="247"/>
      <c r="E6" s="243"/>
      <c r="F6" s="243"/>
      <c r="G6" s="243"/>
      <c r="H6" s="243"/>
      <c r="I6" s="243"/>
      <c r="J6" s="243"/>
    </row>
    <row r="7" spans="1:11" x14ac:dyDescent="0.2">
      <c r="A7" s="243" t="s">
        <v>123</v>
      </c>
      <c r="B7" s="243"/>
      <c r="C7" s="248" t="s">
        <v>376</v>
      </c>
      <c r="D7" s="248"/>
      <c r="E7" s="243"/>
      <c r="F7" s="243"/>
      <c r="G7" s="243"/>
      <c r="H7" s="243"/>
      <c r="I7" s="243"/>
      <c r="J7" s="243"/>
    </row>
    <row r="8" spans="1:11" ht="12.75" x14ac:dyDescent="0.2">
      <c r="A8" s="243" t="s">
        <v>125</v>
      </c>
      <c r="B8" s="243"/>
      <c r="C8" s="249" t="s">
        <v>377</v>
      </c>
      <c r="D8" s="249"/>
      <c r="E8" s="243"/>
      <c r="F8" s="243"/>
      <c r="G8" s="243"/>
      <c r="H8" s="243"/>
      <c r="I8" s="243"/>
      <c r="J8" s="243"/>
      <c r="K8" s="250"/>
    </row>
    <row r="9" spans="1:11" ht="48" x14ac:dyDescent="0.2">
      <c r="A9" s="251" t="s">
        <v>1</v>
      </c>
      <c r="B9" s="1797" t="s">
        <v>127</v>
      </c>
      <c r="C9" s="1798"/>
      <c r="D9" s="251" t="s">
        <v>14</v>
      </c>
      <c r="E9" s="251" t="s">
        <v>12</v>
      </c>
      <c r="F9" s="251" t="s">
        <v>128</v>
      </c>
      <c r="G9" s="251" t="s">
        <v>129</v>
      </c>
      <c r="H9" s="251" t="s">
        <v>3357</v>
      </c>
      <c r="I9" s="251" t="s">
        <v>11</v>
      </c>
      <c r="J9" s="251" t="s">
        <v>131</v>
      </c>
    </row>
    <row r="10" spans="1:11" ht="12.75" customHeight="1" x14ac:dyDescent="0.2">
      <c r="A10" s="1807" t="s">
        <v>132</v>
      </c>
      <c r="B10" s="1808"/>
      <c r="C10" s="1809"/>
      <c r="D10" s="253">
        <f>SUM(D11:D16)</f>
        <v>60173</v>
      </c>
      <c r="E10" s="253">
        <f>SUM(E11:E16)</f>
        <v>33140</v>
      </c>
      <c r="F10" s="253">
        <f>SUM(F11:F16)</f>
        <v>52923.619999999995</v>
      </c>
      <c r="G10" s="253"/>
      <c r="H10" s="449">
        <f>SUM(H11:H16)</f>
        <v>42224</v>
      </c>
      <c r="I10" s="253"/>
      <c r="J10" s="254"/>
    </row>
    <row r="11" spans="1:11" ht="29.25" customHeight="1" x14ac:dyDescent="0.2">
      <c r="A11" s="1795">
        <v>1</v>
      </c>
      <c r="B11" s="1799" t="s">
        <v>405</v>
      </c>
      <c r="C11" s="1800"/>
      <c r="D11" s="255">
        <v>15464</v>
      </c>
      <c r="E11" s="255">
        <v>11737</v>
      </c>
      <c r="F11" s="255">
        <f>14000+3727.62</f>
        <v>17727.62</v>
      </c>
      <c r="G11" s="256">
        <v>3263</v>
      </c>
      <c r="H11" s="416">
        <v>17728</v>
      </c>
      <c r="I11" s="1732" t="s">
        <v>406</v>
      </c>
      <c r="J11" s="254" t="s">
        <v>407</v>
      </c>
    </row>
    <row r="12" spans="1:11" ht="29.25" customHeight="1" x14ac:dyDescent="0.2">
      <c r="A12" s="1796"/>
      <c r="B12" s="1801"/>
      <c r="C12" s="1802"/>
      <c r="D12" s="255">
        <v>210</v>
      </c>
      <c r="E12" s="255">
        <v>210</v>
      </c>
      <c r="F12" s="255">
        <v>210</v>
      </c>
      <c r="G12" s="256">
        <v>2314</v>
      </c>
      <c r="H12" s="416">
        <v>210</v>
      </c>
      <c r="I12" s="1734"/>
      <c r="J12" s="257" t="s">
        <v>408</v>
      </c>
    </row>
    <row r="13" spans="1:11" ht="24" customHeight="1" x14ac:dyDescent="0.2">
      <c r="A13" s="258">
        <v>2</v>
      </c>
      <c r="B13" s="1803" t="s">
        <v>409</v>
      </c>
      <c r="C13" s="1804"/>
      <c r="D13" s="255">
        <v>291</v>
      </c>
      <c r="E13" s="255">
        <v>291</v>
      </c>
      <c r="F13" s="255">
        <v>291</v>
      </c>
      <c r="G13" s="259">
        <v>2239</v>
      </c>
      <c r="H13" s="416">
        <v>291</v>
      </c>
      <c r="I13" s="260" t="s">
        <v>410</v>
      </c>
      <c r="J13" s="254" t="s">
        <v>411</v>
      </c>
    </row>
    <row r="14" spans="1:11" ht="137.25" customHeight="1" x14ac:dyDescent="0.2">
      <c r="A14" s="258">
        <v>3</v>
      </c>
      <c r="B14" s="1803" t="s">
        <v>412</v>
      </c>
      <c r="C14" s="1804"/>
      <c r="D14" s="255">
        <v>12706</v>
      </c>
      <c r="E14" s="255">
        <v>12065</v>
      </c>
      <c r="F14" s="255">
        <f>10000+605</f>
        <v>10605</v>
      </c>
      <c r="G14" s="259">
        <v>2232</v>
      </c>
      <c r="H14" s="416">
        <v>605</v>
      </c>
      <c r="I14" s="255" t="s">
        <v>413</v>
      </c>
      <c r="J14" s="261" t="s">
        <v>414</v>
      </c>
    </row>
    <row r="15" spans="1:11" ht="235.5" customHeight="1" x14ac:dyDescent="0.2">
      <c r="A15" s="258">
        <v>4</v>
      </c>
      <c r="B15" s="1803" t="s">
        <v>415</v>
      </c>
      <c r="C15" s="1804"/>
      <c r="D15" s="255">
        <v>26002</v>
      </c>
      <c r="E15" s="255">
        <v>3337</v>
      </c>
      <c r="F15" s="255">
        <f>10000+8390</f>
        <v>18390</v>
      </c>
      <c r="G15" s="256">
        <v>5240</v>
      </c>
      <c r="H15" s="416">
        <v>18390</v>
      </c>
      <c r="I15" s="255" t="s">
        <v>416</v>
      </c>
      <c r="J15" s="254" t="s">
        <v>417</v>
      </c>
    </row>
    <row r="16" spans="1:11" ht="102.75" customHeight="1" x14ac:dyDescent="0.2">
      <c r="A16" s="258">
        <v>5</v>
      </c>
      <c r="B16" s="1805" t="s">
        <v>418</v>
      </c>
      <c r="C16" s="1806"/>
      <c r="D16" s="255">
        <v>5500</v>
      </c>
      <c r="E16" s="255">
        <v>5500</v>
      </c>
      <c r="F16" s="255">
        <v>5700</v>
      </c>
      <c r="G16" s="259">
        <v>2231</v>
      </c>
      <c r="H16" s="416">
        <v>5000</v>
      </c>
      <c r="I16" s="255" t="s">
        <v>419</v>
      </c>
      <c r="J16" s="254" t="s">
        <v>2498</v>
      </c>
    </row>
    <row r="17" spans="1:11" ht="15" customHeight="1" x14ac:dyDescent="0.2">
      <c r="D17" s="262"/>
      <c r="E17" s="262"/>
      <c r="F17" s="262"/>
      <c r="G17" s="263"/>
      <c r="H17" s="262"/>
      <c r="I17" s="262"/>
    </row>
    <row r="18" spans="1:11" hidden="1" x14ac:dyDescent="0.2">
      <c r="A18" s="1810" t="s">
        <v>239</v>
      </c>
      <c r="B18" s="1811"/>
      <c r="C18" s="1391"/>
      <c r="D18" s="264">
        <f>SUM(D10)</f>
        <v>60173</v>
      </c>
      <c r="E18" s="264">
        <f>SUM(E10)</f>
        <v>33140</v>
      </c>
      <c r="F18" s="264">
        <f>SUM(F10)</f>
        <v>52923.619999999995</v>
      </c>
      <c r="G18" s="264"/>
      <c r="H18" s="264">
        <f>SUM(H10)</f>
        <v>42224</v>
      </c>
      <c r="I18" s="264"/>
      <c r="J18" s="265"/>
    </row>
    <row r="19" spans="1:11" x14ac:dyDescent="0.2">
      <c r="A19" s="244" t="s">
        <v>400</v>
      </c>
    </row>
    <row r="20" spans="1:11" x14ac:dyDescent="0.2">
      <c r="A20" s="244" t="s">
        <v>401</v>
      </c>
    </row>
    <row r="21" spans="1:11" x14ac:dyDescent="0.2">
      <c r="A21" s="1812" t="s">
        <v>420</v>
      </c>
      <c r="B21" s="1812"/>
      <c r="C21" s="1812"/>
      <c r="D21" s="1812"/>
      <c r="E21" s="1812"/>
      <c r="F21" s="1812"/>
      <c r="G21" s="1812"/>
      <c r="H21" s="1812"/>
      <c r="I21" s="1812"/>
      <c r="J21" s="1812"/>
    </row>
    <row r="22" spans="1:11" x14ac:dyDescent="0.2">
      <c r="A22" s="266" t="s">
        <v>421</v>
      </c>
      <c r="B22" s="267"/>
      <c r="C22" s="1392"/>
      <c r="D22" s="267"/>
      <c r="E22" s="267"/>
      <c r="F22" s="267"/>
      <c r="G22" s="267"/>
      <c r="H22" s="267"/>
      <c r="I22" s="267"/>
      <c r="J22" s="267"/>
    </row>
    <row r="23" spans="1:11" x14ac:dyDescent="0.2">
      <c r="A23" s="266" t="s">
        <v>422</v>
      </c>
      <c r="B23" s="267"/>
      <c r="C23" s="1392"/>
      <c r="D23" s="267"/>
      <c r="E23" s="267"/>
      <c r="F23" s="267"/>
      <c r="G23" s="267"/>
      <c r="H23" s="267"/>
      <c r="I23" s="267"/>
      <c r="J23" s="267"/>
    </row>
    <row r="24" spans="1:11" x14ac:dyDescent="0.2">
      <c r="A24" s="266" t="s">
        <v>423</v>
      </c>
      <c r="B24" s="267"/>
      <c r="C24" s="1392"/>
      <c r="D24" s="267"/>
      <c r="E24" s="267"/>
      <c r="F24" s="267"/>
      <c r="G24" s="267"/>
      <c r="H24" s="267"/>
      <c r="I24" s="267"/>
      <c r="J24" s="267"/>
    </row>
    <row r="25" spans="1:11" x14ac:dyDescent="0.2">
      <c r="A25" s="266" t="s">
        <v>424</v>
      </c>
      <c r="B25" s="267"/>
      <c r="C25" s="1392"/>
      <c r="D25" s="267"/>
      <c r="E25" s="267"/>
      <c r="F25" s="267"/>
      <c r="G25" s="267"/>
      <c r="H25" s="267"/>
      <c r="I25" s="267"/>
      <c r="J25" s="267"/>
    </row>
    <row r="26" spans="1:11" x14ac:dyDescent="0.2">
      <c r="A26" s="244" t="s">
        <v>425</v>
      </c>
    </row>
    <row r="27" spans="1:11" x14ac:dyDescent="0.2">
      <c r="A27" s="244" t="s">
        <v>426</v>
      </c>
    </row>
    <row r="28" spans="1:11" x14ac:dyDescent="0.2">
      <c r="A28" s="243" t="s">
        <v>427</v>
      </c>
    </row>
    <row r="29" spans="1:11" x14ac:dyDescent="0.2">
      <c r="A29" s="1792" t="s">
        <v>428</v>
      </c>
      <c r="B29" s="1792"/>
      <c r="C29" s="1792"/>
      <c r="D29" s="1792"/>
      <c r="E29" s="1792"/>
      <c r="F29" s="1792"/>
      <c r="G29" s="1792"/>
      <c r="H29" s="1792"/>
      <c r="I29" s="1792"/>
      <c r="J29" s="1792"/>
    </row>
    <row r="31" spans="1:11" x14ac:dyDescent="0.2">
      <c r="A31" s="244" t="s">
        <v>429</v>
      </c>
    </row>
    <row r="32" spans="1:11" x14ac:dyDescent="0.2">
      <c r="A32" s="268" t="s">
        <v>430</v>
      </c>
      <c r="B32" s="268" t="s">
        <v>431</v>
      </c>
      <c r="C32" s="268"/>
      <c r="D32" s="268"/>
      <c r="E32" s="268"/>
      <c r="F32" s="268"/>
      <c r="G32" s="268"/>
      <c r="H32" s="268"/>
      <c r="I32" s="268"/>
      <c r="J32" s="268"/>
      <c r="K32" s="268"/>
    </row>
    <row r="33" spans="1:11" x14ac:dyDescent="0.2">
      <c r="A33" s="268"/>
      <c r="B33" s="268" t="s">
        <v>432</v>
      </c>
      <c r="C33" s="268"/>
      <c r="D33" s="268"/>
      <c r="E33" s="268"/>
      <c r="F33" s="268"/>
      <c r="G33" s="268"/>
      <c r="H33" s="268"/>
      <c r="I33" s="268"/>
      <c r="J33" s="268"/>
      <c r="K33" s="268"/>
    </row>
    <row r="34" spans="1:11" x14ac:dyDescent="0.2">
      <c r="A34" s="244" t="s">
        <v>243</v>
      </c>
    </row>
    <row r="35" spans="1:11" x14ac:dyDescent="0.2">
      <c r="A35" s="244" t="s">
        <v>433</v>
      </c>
      <c r="B35" s="244" t="s">
        <v>434</v>
      </c>
    </row>
    <row r="36" spans="1:11" x14ac:dyDescent="0.2">
      <c r="B36" s="244" t="s">
        <v>435</v>
      </c>
    </row>
    <row r="37" spans="1:11" x14ac:dyDescent="0.2">
      <c r="A37" s="244" t="s">
        <v>433</v>
      </c>
      <c r="B37" s="244" t="s">
        <v>434</v>
      </c>
    </row>
    <row r="38" spans="1:11" x14ac:dyDescent="0.2">
      <c r="B38" s="244" t="s">
        <v>436</v>
      </c>
    </row>
    <row r="39" spans="1:11" x14ac:dyDescent="0.2">
      <c r="A39" s="244" t="s">
        <v>244</v>
      </c>
    </row>
    <row r="40" spans="1:11" x14ac:dyDescent="0.2">
      <c r="A40" s="244" t="s">
        <v>258</v>
      </c>
    </row>
    <row r="41" spans="1:11" x14ac:dyDescent="0.2">
      <c r="B41" s="244" t="s">
        <v>437</v>
      </c>
    </row>
    <row r="42" spans="1:11" x14ac:dyDescent="0.2">
      <c r="A42" s="244" t="s">
        <v>245</v>
      </c>
    </row>
    <row r="43" spans="1:11" x14ac:dyDescent="0.2">
      <c r="A43" s="244" t="s">
        <v>259</v>
      </c>
    </row>
    <row r="44" spans="1:11" x14ac:dyDescent="0.2">
      <c r="B44" s="244" t="s">
        <v>438</v>
      </c>
    </row>
    <row r="45" spans="1:11" x14ac:dyDescent="0.2">
      <c r="A45" s="244" t="s">
        <v>248</v>
      </c>
    </row>
    <row r="46" spans="1:11" x14ac:dyDescent="0.2">
      <c r="A46" s="244" t="s">
        <v>262</v>
      </c>
    </row>
    <row r="47" spans="1:11" x14ac:dyDescent="0.2">
      <c r="B47" s="244" t="s">
        <v>283</v>
      </c>
    </row>
    <row r="48" spans="1:11" x14ac:dyDescent="0.2">
      <c r="B48" s="244" t="s">
        <v>439</v>
      </c>
    </row>
    <row r="49" spans="1:2" x14ac:dyDescent="0.2">
      <c r="A49" s="244" t="s">
        <v>440</v>
      </c>
    </row>
    <row r="50" spans="1:2" x14ac:dyDescent="0.2">
      <c r="A50" s="244" t="s">
        <v>441</v>
      </c>
      <c r="B50" s="244" t="s">
        <v>442</v>
      </c>
    </row>
    <row r="51" spans="1:2" x14ac:dyDescent="0.2">
      <c r="B51" s="244" t="s">
        <v>443</v>
      </c>
    </row>
    <row r="52" spans="1:2" x14ac:dyDescent="0.2">
      <c r="A52" s="244" t="s">
        <v>250</v>
      </c>
    </row>
    <row r="53" spans="1:2" x14ac:dyDescent="0.2">
      <c r="A53" s="244" t="s">
        <v>444</v>
      </c>
    </row>
    <row r="54" spans="1:2" x14ac:dyDescent="0.2">
      <c r="B54" s="244" t="s">
        <v>445</v>
      </c>
    </row>
    <row r="55" spans="1:2" x14ac:dyDescent="0.2">
      <c r="A55" s="244" t="s">
        <v>269</v>
      </c>
    </row>
    <row r="56" spans="1:2" x14ac:dyDescent="0.2">
      <c r="B56" s="244" t="s">
        <v>446</v>
      </c>
    </row>
    <row r="57" spans="1:2" x14ac:dyDescent="0.2">
      <c r="A57" s="244" t="s">
        <v>251</v>
      </c>
    </row>
    <row r="58" spans="1:2" x14ac:dyDescent="0.2">
      <c r="A58" s="244" t="s">
        <v>271</v>
      </c>
    </row>
    <row r="59" spans="1:2" x14ac:dyDescent="0.2">
      <c r="B59" s="244" t="s">
        <v>447</v>
      </c>
    </row>
    <row r="60" spans="1:2" x14ac:dyDescent="0.2">
      <c r="A60" s="244" t="s">
        <v>448</v>
      </c>
    </row>
    <row r="61" spans="1:2" x14ac:dyDescent="0.2">
      <c r="A61" s="244" t="s">
        <v>449</v>
      </c>
      <c r="B61" s="244" t="s">
        <v>450</v>
      </c>
    </row>
    <row r="62" spans="1:2" x14ac:dyDescent="0.2">
      <c r="B62" s="244" t="s">
        <v>451</v>
      </c>
    </row>
    <row r="63" spans="1:2" x14ac:dyDescent="0.2">
      <c r="A63" s="244" t="s">
        <v>452</v>
      </c>
    </row>
    <row r="64" spans="1:2" x14ac:dyDescent="0.2">
      <c r="A64" s="244" t="s">
        <v>453</v>
      </c>
      <c r="B64" s="244" t="s">
        <v>454</v>
      </c>
    </row>
    <row r="65" spans="1:8" x14ac:dyDescent="0.2">
      <c r="B65" s="244" t="s">
        <v>455</v>
      </c>
    </row>
    <row r="67" spans="1:8" x14ac:dyDescent="0.2">
      <c r="A67" s="269" t="s">
        <v>456</v>
      </c>
    </row>
    <row r="68" spans="1:8" x14ac:dyDescent="0.2">
      <c r="A68" s="243" t="s">
        <v>457</v>
      </c>
    </row>
    <row r="69" spans="1:8" x14ac:dyDescent="0.2">
      <c r="A69" s="244" t="s">
        <v>319</v>
      </c>
    </row>
    <row r="70" spans="1:8" x14ac:dyDescent="0.2">
      <c r="B70" s="243" t="s">
        <v>458</v>
      </c>
      <c r="C70" s="1440"/>
    </row>
    <row r="71" spans="1:8" x14ac:dyDescent="0.2">
      <c r="B71" s="244" t="s">
        <v>459</v>
      </c>
    </row>
    <row r="73" spans="1:8" ht="12.75" customHeight="1" x14ac:dyDescent="0.2">
      <c r="A73" s="1792" t="s">
        <v>460</v>
      </c>
      <c r="B73" s="1792"/>
      <c r="C73" s="1792"/>
      <c r="D73" s="1792"/>
      <c r="E73" s="1792"/>
      <c r="F73" s="1792"/>
      <c r="G73" s="1792"/>
      <c r="H73" s="1792"/>
    </row>
    <row r="74" spans="1:8" x14ac:dyDescent="0.2">
      <c r="A74" s="244" t="s">
        <v>461</v>
      </c>
    </row>
    <row r="75" spans="1:8" x14ac:dyDescent="0.2">
      <c r="B75" s="243" t="s">
        <v>462</v>
      </c>
      <c r="C75" s="1440"/>
    </row>
    <row r="77" spans="1:8" x14ac:dyDescent="0.2">
      <c r="A77" s="269" t="s">
        <v>463</v>
      </c>
    </row>
    <row r="78" spans="1:8" x14ac:dyDescent="0.2">
      <c r="A78" s="243" t="s">
        <v>464</v>
      </c>
    </row>
    <row r="79" spans="1:8" x14ac:dyDescent="0.2">
      <c r="A79" s="244" t="s">
        <v>465</v>
      </c>
    </row>
    <row r="80" spans="1:8" x14ac:dyDescent="0.2">
      <c r="B80" s="243" t="s">
        <v>466</v>
      </c>
      <c r="C80" s="1440"/>
    </row>
    <row r="81" spans="1:10" x14ac:dyDescent="0.2">
      <c r="A81" s="270" t="s">
        <v>467</v>
      </c>
    </row>
    <row r="82" spans="1:10" x14ac:dyDescent="0.2">
      <c r="B82" s="244" t="s">
        <v>468</v>
      </c>
    </row>
    <row r="83" spans="1:10" x14ac:dyDescent="0.2">
      <c r="A83" s="270" t="s">
        <v>469</v>
      </c>
    </row>
    <row r="84" spans="1:10" x14ac:dyDescent="0.2">
      <c r="B84" s="244" t="s">
        <v>470</v>
      </c>
    </row>
    <row r="85" spans="1:10" x14ac:dyDescent="0.2">
      <c r="B85" s="244" t="s">
        <v>471</v>
      </c>
    </row>
    <row r="86" spans="1:10" x14ac:dyDescent="0.2">
      <c r="A86" s="243" t="s">
        <v>472</v>
      </c>
    </row>
    <row r="87" spans="1:10" x14ac:dyDescent="0.2">
      <c r="A87" s="243"/>
      <c r="B87" s="244" t="s">
        <v>473</v>
      </c>
    </row>
    <row r="89" spans="1:10" x14ac:dyDescent="0.2">
      <c r="A89" s="225" t="s">
        <v>306</v>
      </c>
      <c r="B89" s="196"/>
      <c r="C89" s="196"/>
      <c r="D89" s="196"/>
      <c r="E89" s="196"/>
      <c r="F89" s="226"/>
      <c r="G89" s="226"/>
      <c r="H89" s="226"/>
      <c r="I89" s="226"/>
      <c r="J89" s="230"/>
    </row>
    <row r="90" spans="1:10" x14ac:dyDescent="0.2">
      <c r="A90" s="196" t="s">
        <v>309</v>
      </c>
      <c r="B90" s="196"/>
      <c r="C90" s="196"/>
      <c r="D90" s="196"/>
      <c r="E90" s="196"/>
      <c r="F90" s="226"/>
      <c r="G90" s="226"/>
      <c r="H90" s="226"/>
      <c r="I90" s="226"/>
      <c r="J90" s="230"/>
    </row>
    <row r="91" spans="1:10" x14ac:dyDescent="0.2">
      <c r="A91" s="196" t="s">
        <v>310</v>
      </c>
      <c r="B91" s="196"/>
      <c r="C91" s="196"/>
      <c r="D91" s="196"/>
      <c r="E91" s="196"/>
      <c r="F91" s="226"/>
      <c r="G91" s="226"/>
      <c r="H91" s="226"/>
      <c r="I91" s="226"/>
      <c r="J91" s="230"/>
    </row>
    <row r="92" spans="1:10" x14ac:dyDescent="0.2">
      <c r="A92" s="196" t="s">
        <v>311</v>
      </c>
      <c r="B92" s="196"/>
      <c r="C92" s="196"/>
      <c r="D92" s="196"/>
      <c r="E92" s="196"/>
      <c r="F92" s="226"/>
      <c r="G92" s="226"/>
      <c r="H92" s="226"/>
      <c r="I92" s="226"/>
      <c r="J92" s="230"/>
    </row>
  </sheetData>
  <sheetProtection algorithmName="SHA-512" hashValue="eo5ZwyN9AmOvzuzubAyocY8fKoMt6/GOpOpxswW4c6STumPBPPOHo8ZReDKjmxBEriC0thDu/fTZFeQvfRNang==" saltValue="TP2G4bKbzRoThawrzoUB5w==" spinCount="100000" sheet="1" objects="1" scenarios="1" formatCells="0"/>
  <mergeCells count="16">
    <mergeCell ref="A73:H73"/>
    <mergeCell ref="A1:B1"/>
    <mergeCell ref="A2:B2"/>
    <mergeCell ref="A4:J4"/>
    <mergeCell ref="A11:A12"/>
    <mergeCell ref="I11:I12"/>
    <mergeCell ref="B9:C9"/>
    <mergeCell ref="B11:C12"/>
    <mergeCell ref="B13:C13"/>
    <mergeCell ref="B14:C14"/>
    <mergeCell ref="B15:C15"/>
    <mergeCell ref="B16:C16"/>
    <mergeCell ref="A10:C10"/>
    <mergeCell ref="A18:B18"/>
    <mergeCell ref="A21:J21"/>
    <mergeCell ref="A29:J29"/>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6.pielikums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1"/>
  <sheetViews>
    <sheetView view="pageLayout" zoomScaleNormal="100" workbookViewId="0">
      <selection activeCell="L8" sqref="L8"/>
    </sheetView>
  </sheetViews>
  <sheetFormatPr defaultRowHeight="12" x14ac:dyDescent="0.2"/>
  <cols>
    <col min="1" max="1" width="6.140625" style="244" customWidth="1"/>
    <col min="2" max="2" width="23.28515625" style="244" customWidth="1"/>
    <col min="3" max="3" width="12.570312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19.140625" style="283" customWidth="1"/>
    <col min="10" max="10" width="28.7109375" style="244" hidden="1" customWidth="1"/>
    <col min="11" max="16384" width="9.140625" style="244"/>
  </cols>
  <sheetData>
    <row r="1" spans="1:11" x14ac:dyDescent="0.2">
      <c r="A1" s="1793" t="s">
        <v>117</v>
      </c>
      <c r="B1" s="1793"/>
      <c r="C1" s="1440" t="s">
        <v>118</v>
      </c>
      <c r="D1" s="243"/>
      <c r="E1" s="243"/>
      <c r="F1" s="243"/>
      <c r="G1" s="243"/>
      <c r="H1" s="243"/>
      <c r="J1" s="243"/>
    </row>
    <row r="2" spans="1:11" x14ac:dyDescent="0.2">
      <c r="A2" s="1793" t="s">
        <v>119</v>
      </c>
      <c r="B2" s="1793"/>
      <c r="C2" s="1393">
        <v>90000056357</v>
      </c>
      <c r="D2" s="245"/>
      <c r="E2" s="243"/>
      <c r="F2" s="243"/>
      <c r="G2" s="243"/>
      <c r="H2" s="243"/>
      <c r="J2" s="243"/>
    </row>
    <row r="3" spans="1:11" x14ac:dyDescent="0.2">
      <c r="A3" s="245"/>
      <c r="B3" s="245"/>
      <c r="C3" s="1393"/>
      <c r="D3" s="243"/>
      <c r="E3" s="243"/>
      <c r="F3" s="243"/>
      <c r="G3" s="243"/>
      <c r="H3" s="243"/>
      <c r="J3" s="243"/>
    </row>
    <row r="4" spans="1:11" ht="15.75" x14ac:dyDescent="0.25">
      <c r="A4" s="1794" t="s">
        <v>120</v>
      </c>
      <c r="B4" s="1794"/>
      <c r="C4" s="1794"/>
      <c r="D4" s="1794"/>
      <c r="E4" s="1794"/>
      <c r="F4" s="1794"/>
      <c r="G4" s="1794"/>
      <c r="H4" s="1794"/>
      <c r="I4" s="1794"/>
      <c r="J4" s="1794"/>
    </row>
    <row r="5" spans="1:11" ht="15.75" x14ac:dyDescent="0.25">
      <c r="A5" s="246"/>
      <c r="B5" s="246"/>
      <c r="C5" s="1394"/>
      <c r="D5" s="246"/>
      <c r="E5" s="246"/>
      <c r="F5" s="246"/>
      <c r="G5" s="246"/>
      <c r="H5" s="246"/>
      <c r="I5" s="1394"/>
      <c r="J5" s="246"/>
    </row>
    <row r="6" spans="1:11" ht="15.75" x14ac:dyDescent="0.25">
      <c r="A6" s="243" t="s">
        <v>121</v>
      </c>
      <c r="B6" s="243"/>
      <c r="C6" s="247" t="s">
        <v>474</v>
      </c>
      <c r="D6" s="247"/>
      <c r="E6" s="243"/>
      <c r="F6" s="243"/>
      <c r="G6" s="243"/>
      <c r="H6" s="243"/>
      <c r="J6" s="243"/>
    </row>
    <row r="7" spans="1:11" x14ac:dyDescent="0.2">
      <c r="A7" s="243" t="s">
        <v>123</v>
      </c>
      <c r="B7" s="243"/>
      <c r="C7" s="1440" t="s">
        <v>376</v>
      </c>
      <c r="D7" s="243"/>
      <c r="E7" s="243"/>
      <c r="F7" s="243"/>
      <c r="G7" s="243"/>
      <c r="H7" s="243"/>
      <c r="J7" s="243"/>
    </row>
    <row r="8" spans="1:11" ht="12.75" x14ac:dyDescent="0.2">
      <c r="A8" s="243" t="s">
        <v>125</v>
      </c>
      <c r="B8" s="243"/>
      <c r="C8" s="271" t="s">
        <v>377</v>
      </c>
      <c r="D8" s="271"/>
      <c r="E8" s="243"/>
      <c r="F8" s="243"/>
      <c r="G8" s="243"/>
      <c r="H8" s="243"/>
      <c r="J8" s="243"/>
      <c r="K8" s="250"/>
    </row>
    <row r="9" spans="1:11" ht="48" x14ac:dyDescent="0.2">
      <c r="A9" s="251" t="s">
        <v>1</v>
      </c>
      <c r="B9" s="1797" t="s">
        <v>127</v>
      </c>
      <c r="C9" s="1798"/>
      <c r="D9" s="251" t="s">
        <v>14</v>
      </c>
      <c r="E9" s="251" t="s">
        <v>12</v>
      </c>
      <c r="F9" s="251" t="s">
        <v>128</v>
      </c>
      <c r="G9" s="251" t="s">
        <v>129</v>
      </c>
      <c r="H9" s="251" t="s">
        <v>3357</v>
      </c>
      <c r="I9" s="1435" t="s">
        <v>11</v>
      </c>
      <c r="J9" s="251" t="s">
        <v>131</v>
      </c>
    </row>
    <row r="10" spans="1:11" ht="12.75" customHeight="1" x14ac:dyDescent="0.2">
      <c r="A10" s="1807" t="s">
        <v>132</v>
      </c>
      <c r="B10" s="1808"/>
      <c r="C10" s="1809"/>
      <c r="D10" s="253">
        <f>SUM(D11:D18)</f>
        <v>108367</v>
      </c>
      <c r="E10" s="253">
        <f>SUM(E11:E18)</f>
        <v>60067</v>
      </c>
      <c r="F10" s="253">
        <f>SUM(F11:F18)</f>
        <v>100800</v>
      </c>
      <c r="G10" s="253"/>
      <c r="H10" s="253">
        <f>SUM(H11:H18)</f>
        <v>90400</v>
      </c>
      <c r="I10" s="1468"/>
      <c r="J10" s="254"/>
    </row>
    <row r="11" spans="1:11" ht="30" customHeight="1" x14ac:dyDescent="0.2">
      <c r="A11" s="1795">
        <v>1</v>
      </c>
      <c r="B11" s="1799" t="s">
        <v>475</v>
      </c>
      <c r="C11" s="1800"/>
      <c r="D11" s="272">
        <v>20000</v>
      </c>
      <c r="E11" s="272">
        <v>0</v>
      </c>
      <c r="F11" s="272">
        <v>29000</v>
      </c>
      <c r="G11" s="256">
        <v>2239</v>
      </c>
      <c r="H11" s="272">
        <v>29000</v>
      </c>
      <c r="I11" s="1433" t="s">
        <v>476</v>
      </c>
      <c r="J11" s="273" t="s">
        <v>477</v>
      </c>
    </row>
    <row r="12" spans="1:11" ht="74.25" hidden="1" customHeight="1" x14ac:dyDescent="0.2">
      <c r="A12" s="1796"/>
      <c r="B12" s="1801"/>
      <c r="C12" s="1802"/>
      <c r="D12" s="272">
        <v>8500</v>
      </c>
      <c r="E12" s="272">
        <v>0</v>
      </c>
      <c r="F12" s="272">
        <v>8500</v>
      </c>
      <c r="G12" s="259" t="s">
        <v>478</v>
      </c>
      <c r="H12" s="272"/>
      <c r="I12" s="1433" t="s">
        <v>476</v>
      </c>
      <c r="J12" s="273" t="s">
        <v>479</v>
      </c>
    </row>
    <row r="13" spans="1:11" ht="29.25" customHeight="1" x14ac:dyDescent="0.2">
      <c r="A13" s="1795">
        <v>2</v>
      </c>
      <c r="B13" s="1799" t="s">
        <v>480</v>
      </c>
      <c r="C13" s="1800"/>
      <c r="D13" s="1685">
        <v>39283</v>
      </c>
      <c r="E13" s="272">
        <v>34483</v>
      </c>
      <c r="F13" s="272">
        <v>4800</v>
      </c>
      <c r="G13" s="256">
        <v>5110</v>
      </c>
      <c r="H13" s="272">
        <v>4800</v>
      </c>
      <c r="I13" s="1815" t="s">
        <v>481</v>
      </c>
      <c r="J13" s="1817" t="s">
        <v>482</v>
      </c>
    </row>
    <row r="14" spans="1:11" ht="29.25" customHeight="1" x14ac:dyDescent="0.2">
      <c r="A14" s="1796"/>
      <c r="B14" s="1801"/>
      <c r="C14" s="1802"/>
      <c r="D14" s="274"/>
      <c r="E14" s="274"/>
      <c r="F14" s="274">
        <v>10000</v>
      </c>
      <c r="G14" s="275">
        <v>2250</v>
      </c>
      <c r="H14" s="272">
        <v>10000</v>
      </c>
      <c r="I14" s="1816"/>
      <c r="J14" s="1818"/>
    </row>
    <row r="15" spans="1:11" ht="40.5" customHeight="1" x14ac:dyDescent="0.2">
      <c r="A15" s="276">
        <v>3</v>
      </c>
      <c r="B15" s="1803" t="s">
        <v>483</v>
      </c>
      <c r="C15" s="1804"/>
      <c r="D15" s="272">
        <v>4084</v>
      </c>
      <c r="E15" s="272">
        <v>4084</v>
      </c>
      <c r="F15" s="278">
        <f>1500+4500</f>
        <v>6000</v>
      </c>
      <c r="G15" s="259">
        <v>2232</v>
      </c>
      <c r="H15" s="278">
        <v>4100</v>
      </c>
      <c r="I15" s="1401" t="s">
        <v>484</v>
      </c>
      <c r="J15" s="277" t="s">
        <v>485</v>
      </c>
    </row>
    <row r="16" spans="1:11" ht="24" customHeight="1" x14ac:dyDescent="0.2">
      <c r="A16" s="1795">
        <v>4</v>
      </c>
      <c r="B16" s="1799" t="s">
        <v>486</v>
      </c>
      <c r="C16" s="1800"/>
      <c r="D16" s="272">
        <v>35000</v>
      </c>
      <c r="E16" s="272">
        <v>20000</v>
      </c>
      <c r="F16" s="272">
        <v>15000</v>
      </c>
      <c r="G16" s="259">
        <v>3263</v>
      </c>
      <c r="H16" s="272">
        <v>15000</v>
      </c>
      <c r="I16" s="1815" t="s">
        <v>487</v>
      </c>
      <c r="J16" s="273" t="s">
        <v>488</v>
      </c>
    </row>
    <row r="17" spans="1:10" ht="24" customHeight="1" x14ac:dyDescent="0.2">
      <c r="A17" s="1796"/>
      <c r="B17" s="1801"/>
      <c r="C17" s="1802"/>
      <c r="D17" s="272">
        <v>1500</v>
      </c>
      <c r="E17" s="272">
        <v>1500</v>
      </c>
      <c r="F17" s="272">
        <v>2500</v>
      </c>
      <c r="G17" s="256">
        <v>2314</v>
      </c>
      <c r="H17" s="272">
        <v>2500</v>
      </c>
      <c r="I17" s="1816"/>
      <c r="J17" s="273" t="s">
        <v>489</v>
      </c>
    </row>
    <row r="18" spans="1:10" ht="33.75" customHeight="1" x14ac:dyDescent="0.2">
      <c r="A18" s="1432">
        <v>5</v>
      </c>
      <c r="B18" s="1803" t="s">
        <v>490</v>
      </c>
      <c r="C18" s="1804"/>
      <c r="D18" s="272">
        <v>0</v>
      </c>
      <c r="E18" s="272">
        <v>0</v>
      </c>
      <c r="F18" s="272">
        <v>25000</v>
      </c>
      <c r="G18" s="256">
        <v>2232</v>
      </c>
      <c r="H18" s="272">
        <v>25000</v>
      </c>
      <c r="I18" s="1433" t="s">
        <v>491</v>
      </c>
      <c r="J18" s="273" t="s">
        <v>492</v>
      </c>
    </row>
    <row r="19" spans="1:10" hidden="1" x14ac:dyDescent="0.2">
      <c r="A19" s="1810" t="s">
        <v>239</v>
      </c>
      <c r="B19" s="1813"/>
      <c r="C19" s="1471"/>
      <c r="D19" s="280">
        <f>SUM(D11:D18)</f>
        <v>108367</v>
      </c>
      <c r="E19" s="280">
        <f>SUM(E11:E18)</f>
        <v>60067</v>
      </c>
      <c r="F19" s="280">
        <f>SUM(F11:F18)</f>
        <v>100800</v>
      </c>
      <c r="G19" s="281"/>
      <c r="H19" s="280">
        <f>SUM(H11:H18)</f>
        <v>90400</v>
      </c>
      <c r="I19" s="1469"/>
      <c r="J19" s="265"/>
    </row>
    <row r="20" spans="1:10" x14ac:dyDescent="0.2">
      <c r="A20" s="432"/>
      <c r="B20" s="432"/>
      <c r="C20" s="432"/>
      <c r="D20" s="436"/>
      <c r="E20" s="436"/>
      <c r="F20" s="436"/>
      <c r="G20" s="622"/>
      <c r="H20" s="436"/>
      <c r="I20" s="1470"/>
      <c r="J20" s="367"/>
    </row>
    <row r="21" spans="1:10" x14ac:dyDescent="0.2">
      <c r="A21" s="244" t="s">
        <v>400</v>
      </c>
    </row>
    <row r="23" spans="1:10" x14ac:dyDescent="0.2">
      <c r="A23" s="282" t="s">
        <v>493</v>
      </c>
      <c r="B23" s="282"/>
      <c r="C23" s="282"/>
      <c r="D23" s="282"/>
      <c r="E23" s="283"/>
    </row>
    <row r="24" spans="1:10" ht="13.5" customHeight="1" x14ac:dyDescent="0.2">
      <c r="A24" s="269" t="s">
        <v>494</v>
      </c>
      <c r="E24" s="283"/>
    </row>
    <row r="25" spans="1:10" ht="13.5" customHeight="1" x14ac:dyDescent="0.2">
      <c r="A25" s="244" t="s">
        <v>495</v>
      </c>
      <c r="E25" s="283"/>
    </row>
    <row r="26" spans="1:10" ht="13.5" customHeight="1" x14ac:dyDescent="0.2">
      <c r="A26" s="244" t="s">
        <v>496</v>
      </c>
      <c r="E26" s="283"/>
    </row>
    <row r="27" spans="1:10" ht="13.5" customHeight="1" x14ac:dyDescent="0.2">
      <c r="A27" s="244" t="s">
        <v>497</v>
      </c>
      <c r="E27" s="283"/>
    </row>
    <row r="28" spans="1:10" ht="13.5" customHeight="1" x14ac:dyDescent="0.2">
      <c r="A28" s="269" t="s">
        <v>498</v>
      </c>
      <c r="E28" s="283"/>
    </row>
    <row r="29" spans="1:10" ht="13.5" customHeight="1" x14ac:dyDescent="0.2">
      <c r="A29" s="244" t="s">
        <v>499</v>
      </c>
      <c r="E29" s="283"/>
    </row>
    <row r="30" spans="1:10" ht="13.5" customHeight="1" x14ac:dyDescent="0.2">
      <c r="A30" s="244" t="s">
        <v>500</v>
      </c>
      <c r="E30" s="283"/>
    </row>
    <row r="31" spans="1:10" s="274" customFormat="1" ht="13.5" customHeight="1" x14ac:dyDescent="0.25">
      <c r="A31" s="284" t="s">
        <v>501</v>
      </c>
      <c r="H31" s="263"/>
      <c r="I31" s="263"/>
    </row>
    <row r="32" spans="1:10" s="274" customFormat="1" ht="13.5" customHeight="1" x14ac:dyDescent="0.25">
      <c r="A32" s="274" t="s">
        <v>502</v>
      </c>
      <c r="H32" s="263"/>
      <c r="I32" s="263"/>
    </row>
    <row r="33" spans="1:11" s="274" customFormat="1" ht="13.5" customHeight="1" x14ac:dyDescent="0.25">
      <c r="A33" s="274" t="s">
        <v>503</v>
      </c>
      <c r="H33" s="263"/>
      <c r="I33" s="263"/>
    </row>
    <row r="34" spans="1:11" ht="13.5" customHeight="1" x14ac:dyDescent="0.2">
      <c r="A34" s="282" t="s">
        <v>504</v>
      </c>
      <c r="B34" s="282"/>
      <c r="C34" s="282"/>
      <c r="D34" s="282"/>
      <c r="E34" s="283"/>
    </row>
    <row r="35" spans="1:11" x14ac:dyDescent="0.2">
      <c r="A35" s="269" t="s">
        <v>505</v>
      </c>
      <c r="E35" s="283"/>
    </row>
    <row r="36" spans="1:11" x14ac:dyDescent="0.2">
      <c r="A36" s="1814" t="s">
        <v>506</v>
      </c>
      <c r="B36" s="1814"/>
      <c r="C36" s="1814"/>
      <c r="D36" s="1814"/>
      <c r="E36" s="1814"/>
      <c r="F36" s="1814"/>
      <c r="G36" s="1814"/>
      <c r="H36" s="1814"/>
      <c r="I36" s="1814"/>
      <c r="J36" s="1814"/>
    </row>
    <row r="37" spans="1:11" x14ac:dyDescent="0.2">
      <c r="A37" s="244" t="s">
        <v>507</v>
      </c>
      <c r="E37" s="283"/>
    </row>
    <row r="38" spans="1:11" x14ac:dyDescent="0.2">
      <c r="A38" s="285" t="s">
        <v>508</v>
      </c>
      <c r="B38" s="282"/>
      <c r="C38" s="282"/>
      <c r="D38" s="282"/>
      <c r="E38" s="283"/>
    </row>
    <row r="39" spans="1:11" x14ac:dyDescent="0.2">
      <c r="A39" s="286" t="s">
        <v>509</v>
      </c>
      <c r="E39" s="283"/>
    </row>
    <row r="40" spans="1:11" x14ac:dyDescent="0.2">
      <c r="A40" s="287" t="s">
        <v>510</v>
      </c>
      <c r="E40" s="283"/>
    </row>
    <row r="41" spans="1:11" x14ac:dyDescent="0.2">
      <c r="A41" s="282" t="s">
        <v>511</v>
      </c>
      <c r="B41" s="282"/>
      <c r="C41" s="282"/>
      <c r="D41" s="282"/>
      <c r="E41" s="283"/>
    </row>
    <row r="42" spans="1:11" x14ac:dyDescent="0.2">
      <c r="A42" s="269" t="s">
        <v>512</v>
      </c>
      <c r="B42" s="269"/>
      <c r="C42" s="269"/>
      <c r="D42" s="269"/>
      <c r="E42" s="283"/>
    </row>
    <row r="43" spans="1:11" x14ac:dyDescent="0.2">
      <c r="A43" s="244" t="s">
        <v>513</v>
      </c>
      <c r="E43" s="283"/>
    </row>
    <row r="44" spans="1:11" x14ac:dyDescent="0.2">
      <c r="A44" s="244" t="s">
        <v>514</v>
      </c>
      <c r="E44" s="283"/>
    </row>
    <row r="47" spans="1:11" x14ac:dyDescent="0.2">
      <c r="A47" s="268"/>
      <c r="B47" s="268"/>
      <c r="C47" s="268"/>
      <c r="D47" s="268"/>
      <c r="E47" s="268"/>
      <c r="F47" s="268"/>
      <c r="G47" s="268"/>
      <c r="H47" s="268"/>
      <c r="I47" s="679"/>
      <c r="J47" s="268"/>
      <c r="K47" s="268"/>
    </row>
    <row r="48" spans="1:11" x14ac:dyDescent="0.2">
      <c r="A48" s="268"/>
      <c r="B48" s="268"/>
      <c r="C48" s="268"/>
      <c r="D48" s="268"/>
      <c r="E48" s="268"/>
      <c r="F48" s="268"/>
      <c r="G48" s="268"/>
      <c r="H48" s="268"/>
      <c r="I48" s="679"/>
      <c r="J48" s="268"/>
      <c r="K48" s="268"/>
    </row>
    <row r="49" spans="1:11" x14ac:dyDescent="0.2">
      <c r="A49" s="268"/>
      <c r="B49" s="268"/>
      <c r="C49" s="268"/>
      <c r="D49" s="268"/>
      <c r="E49" s="268"/>
      <c r="F49" s="268"/>
      <c r="G49" s="268"/>
      <c r="H49" s="268"/>
      <c r="I49" s="679"/>
      <c r="J49" s="268"/>
      <c r="K49" s="268"/>
    </row>
    <row r="50" spans="1:11" x14ac:dyDescent="0.2">
      <c r="A50" s="268"/>
      <c r="B50" s="268"/>
      <c r="C50" s="268"/>
      <c r="D50" s="268"/>
      <c r="E50" s="268"/>
      <c r="F50" s="268"/>
      <c r="G50" s="268"/>
      <c r="H50" s="268"/>
      <c r="I50" s="679"/>
      <c r="J50" s="268"/>
      <c r="K50" s="268"/>
    </row>
    <row r="51" spans="1:11" x14ac:dyDescent="0.2">
      <c r="A51" s="268"/>
      <c r="B51" s="268"/>
      <c r="C51" s="268"/>
      <c r="D51" s="268"/>
      <c r="E51" s="268"/>
      <c r="F51" s="268"/>
      <c r="G51" s="268"/>
      <c r="H51" s="268"/>
      <c r="I51" s="679"/>
      <c r="J51" s="268"/>
      <c r="K51" s="268"/>
    </row>
  </sheetData>
  <sheetProtection algorithmName="SHA-512" hashValue="Uo+5eG7g/7/C4ZZ/YgneNfRDewMR3p0UMP1SIAc3hVhfyh+YCZtHoqZH6+bjXdbNr0mHpwY3m+MjHZSmWXxnHA==" saltValue="xSE3keVAoluQASbisULt6A==" spinCount="100000" sheet="1" objects="1" scenarios="1" formatCells="0"/>
  <mergeCells count="18">
    <mergeCell ref="A19:B19"/>
    <mergeCell ref="A36:J36"/>
    <mergeCell ref="A13:A14"/>
    <mergeCell ref="I13:I14"/>
    <mergeCell ref="J13:J14"/>
    <mergeCell ref="A16:A17"/>
    <mergeCell ref="B13:C14"/>
    <mergeCell ref="B15:C15"/>
    <mergeCell ref="B16:C17"/>
    <mergeCell ref="I16:I17"/>
    <mergeCell ref="B18:C18"/>
    <mergeCell ref="A1:B1"/>
    <mergeCell ref="A2:B2"/>
    <mergeCell ref="A4:J4"/>
    <mergeCell ref="A11:A12"/>
    <mergeCell ref="B9:C9"/>
    <mergeCell ref="B11:C12"/>
    <mergeCell ref="A10:C10"/>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7.pielikums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69"/>
  <sheetViews>
    <sheetView view="pageLayout" zoomScaleNormal="100" workbookViewId="0">
      <selection activeCell="Q9" sqref="Q9"/>
    </sheetView>
  </sheetViews>
  <sheetFormatPr defaultRowHeight="12" x14ac:dyDescent="0.2"/>
  <cols>
    <col min="1" max="1" width="4.85546875" style="287" customWidth="1"/>
    <col min="2" max="2" width="26.140625" style="287" customWidth="1"/>
    <col min="3" max="3" width="13.42578125" style="287" customWidth="1"/>
    <col min="4" max="4" width="10.7109375" style="287" hidden="1" customWidth="1"/>
    <col min="5" max="5" width="9.5703125" style="287" hidden="1" customWidth="1"/>
    <col min="6" max="6" width="10.7109375" style="287" hidden="1" customWidth="1"/>
    <col min="7" max="7" width="9.5703125" style="287" hidden="1" customWidth="1"/>
    <col min="8" max="8" width="10.7109375" style="287" hidden="1" customWidth="1"/>
    <col min="9" max="9" width="9.5703125" style="287" hidden="1" customWidth="1"/>
    <col min="10" max="10" width="10.42578125" style="287" customWidth="1"/>
    <col min="11" max="11" width="10.7109375" style="287" bestFit="1" customWidth="1"/>
    <col min="12" max="12" width="9.5703125" style="287" bestFit="1" customWidth="1"/>
    <col min="13" max="13" width="19.42578125" style="335" customWidth="1"/>
    <col min="14" max="14" width="49.85546875" style="287" hidden="1" customWidth="1"/>
    <col min="15" max="15" width="9.140625" style="287"/>
    <col min="16" max="16" width="0" style="287" hidden="1" customWidth="1"/>
    <col min="17" max="16384" width="9.140625" style="287"/>
  </cols>
  <sheetData>
    <row r="1" spans="1:16" ht="12.75" customHeight="1" x14ac:dyDescent="0.2">
      <c r="A1" s="288" t="s">
        <v>117</v>
      </c>
      <c r="B1" s="289"/>
      <c r="C1" s="1472" t="s">
        <v>118</v>
      </c>
      <c r="D1" s="1472"/>
      <c r="E1" s="1472"/>
      <c r="F1" s="1472"/>
      <c r="G1" s="1472"/>
      <c r="H1" s="1472"/>
      <c r="I1" s="1472"/>
      <c r="J1" s="1472"/>
      <c r="K1" s="1472"/>
      <c r="L1" s="1472"/>
      <c r="M1" s="328"/>
      <c r="N1" s="1472"/>
    </row>
    <row r="2" spans="1:16" ht="12.75" customHeight="1" x14ac:dyDescent="0.2">
      <c r="A2" s="288" t="s">
        <v>515</v>
      </c>
      <c r="B2" s="289"/>
      <c r="C2" s="1414">
        <v>90000056357</v>
      </c>
      <c r="D2" s="1472"/>
      <c r="E2" s="1472"/>
      <c r="F2" s="1472"/>
      <c r="G2" s="1472"/>
      <c r="H2" s="1472"/>
      <c r="I2" s="1472"/>
      <c r="J2" s="1472"/>
      <c r="K2" s="1472"/>
      <c r="L2" s="1472"/>
      <c r="M2" s="328"/>
      <c r="N2" s="1472"/>
    </row>
    <row r="3" spans="1:16" ht="12.75" customHeight="1" x14ac:dyDescent="0.2">
      <c r="A3" s="288"/>
      <c r="B3" s="289"/>
      <c r="C3" s="289"/>
      <c r="D3" s="290"/>
      <c r="E3" s="290"/>
      <c r="F3" s="290"/>
      <c r="G3" s="290"/>
      <c r="H3" s="290"/>
      <c r="I3" s="290"/>
      <c r="J3" s="290"/>
      <c r="K3" s="290"/>
      <c r="L3" s="290"/>
      <c r="M3" s="308"/>
      <c r="N3" s="291"/>
    </row>
    <row r="4" spans="1:16" ht="15.75" x14ac:dyDescent="0.25">
      <c r="A4" s="1819" t="s">
        <v>516</v>
      </c>
      <c r="B4" s="1819"/>
      <c r="C4" s="1819"/>
      <c r="D4" s="1819"/>
      <c r="E4" s="1819"/>
      <c r="F4" s="1819"/>
      <c r="G4" s="1819"/>
      <c r="H4" s="1819"/>
      <c r="I4" s="1819"/>
      <c r="J4" s="1819"/>
      <c r="K4" s="1819"/>
      <c r="L4" s="1819"/>
      <c r="M4" s="1819"/>
      <c r="N4" s="1819"/>
      <c r="O4" s="292"/>
      <c r="P4" s="292"/>
    </row>
    <row r="5" spans="1:16" ht="10.5" customHeight="1" x14ac:dyDescent="0.25">
      <c r="A5" s="293"/>
      <c r="B5" s="293"/>
      <c r="C5" s="1416"/>
      <c r="D5" s="293"/>
      <c r="E5" s="293"/>
      <c r="F5" s="293"/>
      <c r="G5" s="293"/>
      <c r="H5" s="293"/>
      <c r="I5" s="293"/>
      <c r="J5" s="293"/>
      <c r="K5" s="293"/>
      <c r="L5" s="293"/>
      <c r="M5" s="1482"/>
      <c r="N5" s="293"/>
      <c r="O5" s="292"/>
      <c r="P5" s="292"/>
    </row>
    <row r="6" spans="1:16" ht="17.25" customHeight="1" x14ac:dyDescent="0.25">
      <c r="A6" s="1820" t="s">
        <v>121</v>
      </c>
      <c r="B6" s="1820"/>
      <c r="C6" s="1473" t="s">
        <v>517</v>
      </c>
      <c r="D6" s="1473"/>
      <c r="E6" s="1473"/>
      <c r="F6" s="1473"/>
      <c r="G6" s="1473"/>
      <c r="H6" s="1473"/>
      <c r="I6" s="1473"/>
      <c r="J6" s="1473"/>
      <c r="K6" s="1473"/>
      <c r="L6" s="1473"/>
      <c r="M6" s="1483"/>
      <c r="N6" s="1473"/>
    </row>
    <row r="7" spans="1:16" ht="12.75" customHeight="1" x14ac:dyDescent="0.2">
      <c r="A7" s="288" t="s">
        <v>123</v>
      </c>
      <c r="B7" s="288"/>
      <c r="C7" s="1472" t="s">
        <v>518</v>
      </c>
      <c r="D7" s="1472"/>
      <c r="E7" s="1472"/>
      <c r="F7" s="1472"/>
      <c r="G7" s="1472"/>
      <c r="H7" s="1472"/>
      <c r="I7" s="1472"/>
      <c r="J7" s="1472"/>
      <c r="K7" s="1472"/>
      <c r="L7" s="1472"/>
      <c r="M7" s="328"/>
      <c r="N7" s="1472"/>
    </row>
    <row r="8" spans="1:16" ht="12.75" customHeight="1" x14ac:dyDescent="0.2">
      <c r="A8" s="294" t="s">
        <v>125</v>
      </c>
      <c r="B8" s="294"/>
      <c r="C8" s="1474" t="s">
        <v>519</v>
      </c>
      <c r="D8" s="1474"/>
      <c r="E8" s="1474"/>
      <c r="F8" s="1474"/>
      <c r="G8" s="1474"/>
      <c r="H8" s="1474"/>
      <c r="I8" s="1474"/>
      <c r="J8" s="1474"/>
      <c r="K8" s="1475"/>
      <c r="L8" s="1474"/>
      <c r="M8" s="1484"/>
      <c r="N8" s="1474"/>
    </row>
    <row r="9" spans="1:16" ht="36" customHeight="1" x14ac:dyDescent="0.2">
      <c r="A9" s="1825" t="s">
        <v>1</v>
      </c>
      <c r="B9" s="1839" t="s">
        <v>127</v>
      </c>
      <c r="C9" s="1840"/>
      <c r="D9" s="1825" t="s">
        <v>520</v>
      </c>
      <c r="E9" s="1825"/>
      <c r="F9" s="1825" t="s">
        <v>521</v>
      </c>
      <c r="G9" s="1825"/>
      <c r="H9" s="1825" t="s">
        <v>522</v>
      </c>
      <c r="I9" s="1825"/>
      <c r="J9" s="1825" t="s">
        <v>129</v>
      </c>
      <c r="K9" s="1825" t="s">
        <v>3358</v>
      </c>
      <c r="L9" s="1825"/>
      <c r="M9" s="1825" t="s">
        <v>11</v>
      </c>
      <c r="N9" s="1825" t="s">
        <v>131</v>
      </c>
      <c r="P9" s="287" t="s">
        <v>523</v>
      </c>
    </row>
    <row r="10" spans="1:16" ht="24" x14ac:dyDescent="0.2">
      <c r="A10" s="1825"/>
      <c r="B10" s="1841"/>
      <c r="C10" s="1842"/>
      <c r="D10" s="295" t="s">
        <v>524</v>
      </c>
      <c r="E10" s="295" t="s">
        <v>525</v>
      </c>
      <c r="F10" s="295" t="s">
        <v>524</v>
      </c>
      <c r="G10" s="295" t="s">
        <v>525</v>
      </c>
      <c r="H10" s="295" t="s">
        <v>524</v>
      </c>
      <c r="I10" s="295" t="s">
        <v>525</v>
      </c>
      <c r="J10" s="1825"/>
      <c r="K10" s="295" t="s">
        <v>524</v>
      </c>
      <c r="L10" s="295" t="s">
        <v>525</v>
      </c>
      <c r="M10" s="1825"/>
      <c r="N10" s="1825"/>
    </row>
    <row r="11" spans="1:16" ht="17.25" customHeight="1" x14ac:dyDescent="0.2">
      <c r="A11" s="1856" t="s">
        <v>526</v>
      </c>
      <c r="B11" s="1857"/>
      <c r="C11" s="1858"/>
      <c r="D11" s="296">
        <f>SUM(D12:D24)</f>
        <v>2233871</v>
      </c>
      <c r="E11" s="296">
        <f>SUM(E12:E24)</f>
        <v>0</v>
      </c>
      <c r="F11" s="296">
        <f>SUM(F12:F24)</f>
        <v>2169001</v>
      </c>
      <c r="G11" s="297">
        <f>SUM(G12:G24)</f>
        <v>0</v>
      </c>
      <c r="H11" s="296">
        <f>ROUNDUP(SUM(H12:H24),1)</f>
        <v>2142615</v>
      </c>
      <c r="I11" s="296">
        <f>ROUNDUP(SUM(I12:I24),1)</f>
        <v>5000</v>
      </c>
      <c r="J11" s="297"/>
      <c r="K11" s="296">
        <f>SUM(K12:K24)</f>
        <v>2521157</v>
      </c>
      <c r="L11" s="296">
        <f>SUM(L12:L24)</f>
        <v>5000</v>
      </c>
      <c r="M11" s="600"/>
      <c r="N11" s="298"/>
    </row>
    <row r="12" spans="1:16" ht="38.25" customHeight="1" x14ac:dyDescent="0.2">
      <c r="A12" s="299">
        <v>1</v>
      </c>
      <c r="B12" s="1747" t="s">
        <v>527</v>
      </c>
      <c r="C12" s="1748"/>
      <c r="D12" s="301">
        <v>1760000</v>
      </c>
      <c r="E12" s="301">
        <v>0</v>
      </c>
      <c r="F12" s="301">
        <v>1760000</v>
      </c>
      <c r="G12" s="302">
        <v>0</v>
      </c>
      <c r="H12" s="301">
        <v>1760000</v>
      </c>
      <c r="I12" s="302">
        <v>0</v>
      </c>
      <c r="J12" s="259">
        <v>3320</v>
      </c>
      <c r="K12" s="301">
        <v>2141000</v>
      </c>
      <c r="L12" s="303"/>
      <c r="M12" s="1383" t="s">
        <v>528</v>
      </c>
      <c r="N12" s="300" t="s">
        <v>529</v>
      </c>
    </row>
    <row r="13" spans="1:16" ht="39.75" customHeight="1" x14ac:dyDescent="0.2">
      <c r="A13" s="299">
        <v>2</v>
      </c>
      <c r="B13" s="1747" t="s">
        <v>530</v>
      </c>
      <c r="C13" s="1748"/>
      <c r="D13" s="301">
        <v>187000</v>
      </c>
      <c r="E13" s="301">
        <v>0</v>
      </c>
      <c r="F13" s="301">
        <v>137000</v>
      </c>
      <c r="G13" s="301">
        <v>0</v>
      </c>
      <c r="H13" s="301">
        <v>137000</v>
      </c>
      <c r="I13" s="301">
        <v>0</v>
      </c>
      <c r="J13" s="259">
        <v>3310</v>
      </c>
      <c r="K13" s="301">
        <v>137000</v>
      </c>
      <c r="L13" s="303"/>
      <c r="M13" s="1383" t="s">
        <v>531</v>
      </c>
      <c r="N13" s="300" t="s">
        <v>532</v>
      </c>
      <c r="P13" s="301">
        <v>137000</v>
      </c>
    </row>
    <row r="14" spans="1:16" ht="30.75" customHeight="1" x14ac:dyDescent="0.2">
      <c r="A14" s="299">
        <v>3</v>
      </c>
      <c r="B14" s="1747" t="s">
        <v>533</v>
      </c>
      <c r="C14" s="1748"/>
      <c r="D14" s="301">
        <v>5338</v>
      </c>
      <c r="E14" s="301">
        <v>0</v>
      </c>
      <c r="F14" s="301">
        <v>1900</v>
      </c>
      <c r="G14" s="302">
        <v>0</v>
      </c>
      <c r="H14" s="301">
        <v>5000</v>
      </c>
      <c r="I14" s="302">
        <v>0</v>
      </c>
      <c r="J14" s="259">
        <v>2314</v>
      </c>
      <c r="K14" s="301">
        <v>5000</v>
      </c>
      <c r="L14" s="303"/>
      <c r="M14" s="1383" t="s">
        <v>534</v>
      </c>
      <c r="N14" s="305" t="s">
        <v>535</v>
      </c>
    </row>
    <row r="15" spans="1:16" ht="36" hidden="1" x14ac:dyDescent="0.2">
      <c r="A15" s="299">
        <v>4</v>
      </c>
      <c r="B15" s="300" t="s">
        <v>536</v>
      </c>
      <c r="C15" s="1406"/>
      <c r="D15" s="301">
        <v>2000</v>
      </c>
      <c r="E15" s="301">
        <v>0</v>
      </c>
      <c r="F15" s="301">
        <v>600</v>
      </c>
      <c r="G15" s="302">
        <v>0</v>
      </c>
      <c r="H15" s="301">
        <v>0</v>
      </c>
      <c r="I15" s="302">
        <v>0</v>
      </c>
      <c r="J15" s="259">
        <v>2239</v>
      </c>
      <c r="K15" s="301"/>
      <c r="L15" s="303"/>
      <c r="M15" s="1383" t="s">
        <v>531</v>
      </c>
      <c r="N15" s="305" t="s">
        <v>537</v>
      </c>
    </row>
    <row r="16" spans="1:16" ht="29.25" customHeight="1" x14ac:dyDescent="0.2">
      <c r="A16" s="299">
        <v>4</v>
      </c>
      <c r="B16" s="1747" t="s">
        <v>538</v>
      </c>
      <c r="C16" s="1748"/>
      <c r="D16" s="301">
        <v>117585</v>
      </c>
      <c r="E16" s="301">
        <v>0</v>
      </c>
      <c r="F16" s="301">
        <f>66930+40800+8568</f>
        <v>116298</v>
      </c>
      <c r="G16" s="302">
        <v>0</v>
      </c>
      <c r="H16" s="301">
        <v>65000</v>
      </c>
      <c r="I16" s="302">
        <v>0</v>
      </c>
      <c r="J16" s="259">
        <v>2262</v>
      </c>
      <c r="K16" s="301">
        <v>65000</v>
      </c>
      <c r="L16" s="303"/>
      <c r="M16" s="1383" t="s">
        <v>539</v>
      </c>
      <c r="N16" s="305" t="s">
        <v>540</v>
      </c>
    </row>
    <row r="17" spans="1:16" ht="25.5" customHeight="1" x14ac:dyDescent="0.2">
      <c r="A17" s="299">
        <v>5</v>
      </c>
      <c r="B17" s="1747" t="s">
        <v>541</v>
      </c>
      <c r="C17" s="1748"/>
      <c r="D17" s="302">
        <v>7582</v>
      </c>
      <c r="E17" s="301">
        <v>0</v>
      </c>
      <c r="F17" s="302">
        <v>7542</v>
      </c>
      <c r="G17" s="302">
        <v>0</v>
      </c>
      <c r="H17" s="301">
        <v>10000</v>
      </c>
      <c r="I17" s="302">
        <v>0</v>
      </c>
      <c r="J17" s="259">
        <v>2239</v>
      </c>
      <c r="K17" s="301">
        <v>7542</v>
      </c>
      <c r="L17" s="303"/>
      <c r="M17" s="1383" t="s">
        <v>531</v>
      </c>
      <c r="N17" s="305" t="s">
        <v>542</v>
      </c>
    </row>
    <row r="18" spans="1:16" ht="24.75" customHeight="1" x14ac:dyDescent="0.2">
      <c r="A18" s="1829">
        <v>6</v>
      </c>
      <c r="B18" s="1741" t="s">
        <v>543</v>
      </c>
      <c r="C18" s="1742"/>
      <c r="D18" s="301">
        <v>27738</v>
      </c>
      <c r="E18" s="301">
        <v>0</v>
      </c>
      <c r="F18" s="301">
        <v>26063</v>
      </c>
      <c r="G18" s="301">
        <v>0</v>
      </c>
      <c r="H18" s="301">
        <v>45942</v>
      </c>
      <c r="I18" s="301">
        <v>0</v>
      </c>
      <c r="J18" s="259">
        <v>5240</v>
      </c>
      <c r="K18" s="301">
        <v>45942</v>
      </c>
      <c r="L18" s="303"/>
      <c r="M18" s="1826" t="s">
        <v>544</v>
      </c>
      <c r="N18" s="306" t="s">
        <v>545</v>
      </c>
    </row>
    <row r="19" spans="1:16" ht="24.75" customHeight="1" x14ac:dyDescent="0.2">
      <c r="A19" s="1829"/>
      <c r="B19" s="1743"/>
      <c r="C19" s="1744"/>
      <c r="D19" s="301">
        <v>40654</v>
      </c>
      <c r="E19" s="301">
        <v>0</v>
      </c>
      <c r="F19" s="301">
        <v>40654</v>
      </c>
      <c r="G19" s="301">
        <v>0</v>
      </c>
      <c r="H19" s="301">
        <f>38000-I19</f>
        <v>33000</v>
      </c>
      <c r="I19" s="301">
        <v>5000</v>
      </c>
      <c r="J19" s="259">
        <v>2390</v>
      </c>
      <c r="K19" s="301">
        <f>33000</f>
        <v>33000</v>
      </c>
      <c r="L19" s="303">
        <v>5000</v>
      </c>
      <c r="M19" s="1827"/>
      <c r="N19" s="300" t="s">
        <v>546</v>
      </c>
    </row>
    <row r="20" spans="1:16" ht="24.75" customHeight="1" x14ac:dyDescent="0.2">
      <c r="A20" s="1829"/>
      <c r="B20" s="1743"/>
      <c r="C20" s="1744"/>
      <c r="D20" s="301">
        <v>84358</v>
      </c>
      <c r="E20" s="301">
        <v>0</v>
      </c>
      <c r="F20" s="301">
        <f>84358-7030</f>
        <v>77328</v>
      </c>
      <c r="G20" s="301">
        <v>0</v>
      </c>
      <c r="H20" s="301">
        <v>84358</v>
      </c>
      <c r="I20" s="301">
        <v>0</v>
      </c>
      <c r="J20" s="259">
        <v>2250</v>
      </c>
      <c r="K20" s="301">
        <v>84358</v>
      </c>
      <c r="L20" s="303"/>
      <c r="M20" s="1827"/>
      <c r="N20" s="300" t="s">
        <v>547</v>
      </c>
    </row>
    <row r="21" spans="1:16" ht="24.75" customHeight="1" x14ac:dyDescent="0.2">
      <c r="A21" s="1829"/>
      <c r="B21" s="1743"/>
      <c r="C21" s="1744"/>
      <c r="D21" s="301">
        <v>0</v>
      </c>
      <c r="E21" s="301">
        <v>0</v>
      </c>
      <c r="F21" s="301">
        <v>0</v>
      </c>
      <c r="G21" s="301">
        <v>0</v>
      </c>
      <c r="H21" s="301">
        <v>500</v>
      </c>
      <c r="I21" s="301">
        <v>0</v>
      </c>
      <c r="J21" s="259">
        <v>2239</v>
      </c>
      <c r="K21" s="301">
        <v>500</v>
      </c>
      <c r="L21" s="303"/>
      <c r="M21" s="1827"/>
      <c r="N21" s="307" t="s">
        <v>548</v>
      </c>
    </row>
    <row r="22" spans="1:16" ht="24.75" customHeight="1" x14ac:dyDescent="0.2">
      <c r="A22" s="1829"/>
      <c r="B22" s="1743"/>
      <c r="C22" s="1744"/>
      <c r="D22" s="301">
        <v>1616</v>
      </c>
      <c r="E22" s="301">
        <v>0</v>
      </c>
      <c r="F22" s="301">
        <v>1616</v>
      </c>
      <c r="G22" s="301">
        <v>0</v>
      </c>
      <c r="H22" s="301">
        <v>1815</v>
      </c>
      <c r="I22" s="301">
        <v>0</v>
      </c>
      <c r="J22" s="259">
        <v>5239</v>
      </c>
      <c r="K22" s="301">
        <v>1815</v>
      </c>
      <c r="L22" s="303"/>
      <c r="M22" s="1827"/>
      <c r="N22" s="306" t="s">
        <v>549</v>
      </c>
    </row>
    <row r="23" spans="1:16" ht="61.5" hidden="1" customHeight="1" x14ac:dyDescent="0.2">
      <c r="A23" s="1829"/>
      <c r="B23" s="1743"/>
      <c r="C23" s="1744"/>
      <c r="D23" s="301">
        <v>0</v>
      </c>
      <c r="E23" s="301">
        <v>0</v>
      </c>
      <c r="F23" s="301">
        <v>0</v>
      </c>
      <c r="G23" s="301">
        <v>0</v>
      </c>
      <c r="H23" s="301">
        <v>0</v>
      </c>
      <c r="I23" s="301">
        <v>0</v>
      </c>
      <c r="J23" s="259">
        <v>1150</v>
      </c>
      <c r="K23" s="301"/>
      <c r="L23" s="303"/>
      <c r="M23" s="1827"/>
      <c r="N23" s="1828" t="s">
        <v>550</v>
      </c>
    </row>
    <row r="24" spans="1:16" ht="45.75" hidden="1" customHeight="1" x14ac:dyDescent="0.2">
      <c r="A24" s="1829"/>
      <c r="B24" s="1745"/>
      <c r="C24" s="1746"/>
      <c r="D24" s="301">
        <v>0</v>
      </c>
      <c r="E24" s="301">
        <v>0</v>
      </c>
      <c r="F24" s="301">
        <v>0</v>
      </c>
      <c r="G24" s="301">
        <v>0</v>
      </c>
      <c r="H24" s="301">
        <v>0</v>
      </c>
      <c r="I24" s="301">
        <v>0</v>
      </c>
      <c r="J24" s="259">
        <v>1210</v>
      </c>
      <c r="K24" s="301"/>
      <c r="L24" s="303"/>
      <c r="M24" s="1827"/>
      <c r="N24" s="1828"/>
    </row>
    <row r="25" spans="1:16" x14ac:dyDescent="0.2">
      <c r="A25" s="1486"/>
      <c r="B25" s="1487"/>
      <c r="C25" s="1487"/>
      <c r="D25" s="1488"/>
      <c r="E25" s="1488"/>
      <c r="F25" s="1488"/>
      <c r="G25" s="1488"/>
      <c r="H25" s="1488"/>
      <c r="I25" s="1488"/>
      <c r="J25" s="1488"/>
      <c r="K25" s="546"/>
      <c r="L25" s="1489"/>
      <c r="M25" s="1490"/>
      <c r="N25" s="312"/>
    </row>
    <row r="26" spans="1:16" s="288" customFormat="1" x14ac:dyDescent="0.2">
      <c r="A26" s="288" t="s">
        <v>123</v>
      </c>
      <c r="C26" s="1472" t="s">
        <v>551</v>
      </c>
      <c r="D26" s="1472"/>
      <c r="E26" s="1472"/>
      <c r="F26" s="1472"/>
      <c r="G26" s="1472"/>
      <c r="H26" s="1472"/>
      <c r="I26" s="1472"/>
      <c r="J26" s="1472"/>
      <c r="K26" s="1472"/>
      <c r="L26" s="1472"/>
      <c r="M26" s="328"/>
      <c r="N26" s="1472"/>
    </row>
    <row r="27" spans="1:16" s="288" customFormat="1" x14ac:dyDescent="0.2">
      <c r="A27" s="294" t="s">
        <v>125</v>
      </c>
      <c r="B27" s="294"/>
      <c r="C27" s="1476" t="s">
        <v>552</v>
      </c>
      <c r="D27" s="1476"/>
      <c r="E27" s="1476"/>
      <c r="F27" s="1476"/>
      <c r="G27" s="1476"/>
      <c r="H27" s="1476"/>
      <c r="I27" s="1476"/>
      <c r="J27" s="1476"/>
      <c r="K27" s="1476"/>
      <c r="L27" s="1476"/>
      <c r="M27" s="1478"/>
      <c r="N27" s="1476"/>
    </row>
    <row r="28" spans="1:16" s="288" customFormat="1" ht="27.75" customHeight="1" x14ac:dyDescent="0.2">
      <c r="A28" s="1825" t="s">
        <v>1</v>
      </c>
      <c r="B28" s="1839" t="s">
        <v>127</v>
      </c>
      <c r="C28" s="1840"/>
      <c r="D28" s="1825" t="s">
        <v>520</v>
      </c>
      <c r="E28" s="1825"/>
      <c r="F28" s="1825" t="s">
        <v>521</v>
      </c>
      <c r="G28" s="1825"/>
      <c r="H28" s="1825" t="s">
        <v>522</v>
      </c>
      <c r="I28" s="1825"/>
      <c r="J28" s="1825" t="s">
        <v>129</v>
      </c>
      <c r="K28" s="1825" t="s">
        <v>3357</v>
      </c>
      <c r="L28" s="1825"/>
      <c r="M28" s="1825" t="s">
        <v>11</v>
      </c>
      <c r="N28" s="1825" t="s">
        <v>131</v>
      </c>
      <c r="P28" s="313"/>
    </row>
    <row r="29" spans="1:16" s="288" customFormat="1" ht="30" customHeight="1" x14ac:dyDescent="0.2">
      <c r="A29" s="1825"/>
      <c r="B29" s="1841"/>
      <c r="C29" s="1842"/>
      <c r="D29" s="295" t="s">
        <v>553</v>
      </c>
      <c r="E29" s="295" t="s">
        <v>525</v>
      </c>
      <c r="F29" s="295" t="s">
        <v>553</v>
      </c>
      <c r="G29" s="295" t="s">
        <v>525</v>
      </c>
      <c r="H29" s="295" t="s">
        <v>524</v>
      </c>
      <c r="I29" s="295" t="s">
        <v>525</v>
      </c>
      <c r="J29" s="1825"/>
      <c r="K29" s="295" t="s">
        <v>524</v>
      </c>
      <c r="L29" s="295" t="s">
        <v>525</v>
      </c>
      <c r="M29" s="1825"/>
      <c r="N29" s="1825"/>
    </row>
    <row r="30" spans="1:16" s="288" customFormat="1" ht="12" customHeight="1" x14ac:dyDescent="0.2">
      <c r="A30" s="1856" t="s">
        <v>526</v>
      </c>
      <c r="B30" s="1857"/>
      <c r="C30" s="1858"/>
      <c r="D30" s="296">
        <f>SUM(D31:D45)</f>
        <v>155947</v>
      </c>
      <c r="E30" s="296">
        <f>SUM(E31:E43)</f>
        <v>0</v>
      </c>
      <c r="F30" s="296">
        <f>SUM(F31:F45)</f>
        <v>112250.98000000001</v>
      </c>
      <c r="G30" s="296">
        <f>SUM(G31:G43)</f>
        <v>0</v>
      </c>
      <c r="H30" s="296">
        <f>SUM(H31:H45)</f>
        <v>61845</v>
      </c>
      <c r="I30" s="296">
        <f>SUM(I31:I43)</f>
        <v>0</v>
      </c>
      <c r="J30" s="296"/>
      <c r="K30" s="296">
        <f>SUM(K31:K45)</f>
        <v>56063</v>
      </c>
      <c r="L30" s="296">
        <f>SUM(L31:L43)</f>
        <v>0</v>
      </c>
      <c r="M30" s="600"/>
      <c r="N30" s="298"/>
    </row>
    <row r="31" spans="1:16" s="288" customFormat="1" ht="36" customHeight="1" x14ac:dyDescent="0.2">
      <c r="A31" s="299">
        <v>1</v>
      </c>
      <c r="B31" s="1859" t="s">
        <v>554</v>
      </c>
      <c r="C31" s="1860"/>
      <c r="D31" s="301">
        <v>17158</v>
      </c>
      <c r="E31" s="301">
        <v>0</v>
      </c>
      <c r="F31" s="301">
        <v>17158</v>
      </c>
      <c r="G31" s="301">
        <v>0</v>
      </c>
      <c r="H31" s="301">
        <v>17792</v>
      </c>
      <c r="I31" s="301">
        <v>0</v>
      </c>
      <c r="J31" s="259">
        <v>2239</v>
      </c>
      <c r="K31" s="301">
        <v>17792</v>
      </c>
      <c r="L31" s="301"/>
      <c r="M31" s="1383" t="s">
        <v>555</v>
      </c>
      <c r="N31" s="306" t="s">
        <v>556</v>
      </c>
    </row>
    <row r="32" spans="1:16" s="288" customFormat="1" ht="23.25" customHeight="1" x14ac:dyDescent="0.2">
      <c r="A32" s="1829">
        <v>2</v>
      </c>
      <c r="B32" s="1741" t="s">
        <v>557</v>
      </c>
      <c r="C32" s="1742"/>
      <c r="D32" s="301">
        <v>330</v>
      </c>
      <c r="E32" s="301">
        <v>0</v>
      </c>
      <c r="F32" s="301">
        <v>285</v>
      </c>
      <c r="G32" s="301">
        <v>0</v>
      </c>
      <c r="H32" s="301">
        <v>330</v>
      </c>
      <c r="I32" s="301">
        <v>0</v>
      </c>
      <c r="J32" s="259">
        <v>2121</v>
      </c>
      <c r="K32" s="301">
        <v>330</v>
      </c>
      <c r="L32" s="301"/>
      <c r="M32" s="1826" t="s">
        <v>558</v>
      </c>
      <c r="N32" s="306" t="s">
        <v>559</v>
      </c>
    </row>
    <row r="33" spans="1:14" s="288" customFormat="1" ht="23.25" customHeight="1" x14ac:dyDescent="0.2">
      <c r="A33" s="1829"/>
      <c r="B33" s="1745"/>
      <c r="C33" s="1746"/>
      <c r="D33" s="301">
        <v>1200</v>
      </c>
      <c r="E33" s="301">
        <v>0</v>
      </c>
      <c r="F33" s="301">
        <v>630</v>
      </c>
      <c r="G33" s="301">
        <v>0</v>
      </c>
      <c r="H33" s="301">
        <v>1200</v>
      </c>
      <c r="I33" s="301">
        <v>0</v>
      </c>
      <c r="J33" s="259">
        <v>2122</v>
      </c>
      <c r="K33" s="301">
        <v>1200</v>
      </c>
      <c r="L33" s="301"/>
      <c r="M33" s="1826"/>
      <c r="N33" s="306" t="s">
        <v>559</v>
      </c>
    </row>
    <row r="34" spans="1:14" s="288" customFormat="1" ht="54.75" customHeight="1" x14ac:dyDescent="0.2">
      <c r="A34" s="299">
        <v>3</v>
      </c>
      <c r="B34" s="1747" t="s">
        <v>560</v>
      </c>
      <c r="C34" s="1748"/>
      <c r="D34" s="301">
        <v>10100</v>
      </c>
      <c r="E34" s="301">
        <v>0</v>
      </c>
      <c r="F34" s="301">
        <v>1681.75</v>
      </c>
      <c r="G34" s="301">
        <v>0</v>
      </c>
      <c r="H34" s="301">
        <v>2500</v>
      </c>
      <c r="I34" s="301">
        <v>0</v>
      </c>
      <c r="J34" s="259">
        <v>2231</v>
      </c>
      <c r="K34" s="301">
        <v>2500</v>
      </c>
      <c r="L34" s="301"/>
      <c r="M34" s="1383" t="s">
        <v>561</v>
      </c>
      <c r="N34" s="306" t="s">
        <v>562</v>
      </c>
    </row>
    <row r="35" spans="1:14" s="288" customFormat="1" ht="30.75" customHeight="1" x14ac:dyDescent="0.2">
      <c r="A35" s="299">
        <v>4</v>
      </c>
      <c r="B35" s="1747" t="s">
        <v>563</v>
      </c>
      <c r="C35" s="1748"/>
      <c r="D35" s="301">
        <v>14900</v>
      </c>
      <c r="E35" s="301">
        <v>0</v>
      </c>
      <c r="F35" s="301">
        <v>14899.35</v>
      </c>
      <c r="G35" s="301">
        <v>0</v>
      </c>
      <c r="H35" s="301">
        <v>34323</v>
      </c>
      <c r="I35" s="301">
        <v>0</v>
      </c>
      <c r="J35" s="259">
        <v>2231</v>
      </c>
      <c r="K35" s="301">
        <v>29391</v>
      </c>
      <c r="L35" s="301"/>
      <c r="M35" s="1383" t="s">
        <v>564</v>
      </c>
      <c r="N35" s="306" t="s">
        <v>565</v>
      </c>
    </row>
    <row r="36" spans="1:14" s="288" customFormat="1" ht="113.25" customHeight="1" x14ac:dyDescent="0.2">
      <c r="A36" s="1829">
        <v>5</v>
      </c>
      <c r="B36" s="1741" t="s">
        <v>566</v>
      </c>
      <c r="C36" s="1742"/>
      <c r="D36" s="301">
        <v>1400</v>
      </c>
      <c r="E36" s="301">
        <v>0</v>
      </c>
      <c r="F36" s="301">
        <v>422</v>
      </c>
      <c r="G36" s="301">
        <v>0</v>
      </c>
      <c r="H36" s="301">
        <v>1400</v>
      </c>
      <c r="I36" s="301">
        <v>0</v>
      </c>
      <c r="J36" s="259">
        <v>2231</v>
      </c>
      <c r="K36" s="301">
        <v>1300</v>
      </c>
      <c r="L36" s="301"/>
      <c r="M36" s="1826" t="s">
        <v>567</v>
      </c>
      <c r="N36" s="306" t="s">
        <v>568</v>
      </c>
    </row>
    <row r="37" spans="1:14" s="288" customFormat="1" ht="53.25" hidden="1" customHeight="1" x14ac:dyDescent="0.2">
      <c r="A37" s="1829"/>
      <c r="B37" s="1745"/>
      <c r="C37" s="1746"/>
      <c r="D37" s="301">
        <v>600</v>
      </c>
      <c r="E37" s="301">
        <v>0</v>
      </c>
      <c r="F37" s="301">
        <v>0</v>
      </c>
      <c r="G37" s="301">
        <v>0</v>
      </c>
      <c r="H37" s="301">
        <v>600</v>
      </c>
      <c r="I37" s="301">
        <v>0</v>
      </c>
      <c r="J37" s="259">
        <v>2231</v>
      </c>
      <c r="K37" s="301"/>
      <c r="L37" s="301"/>
      <c r="M37" s="1826"/>
      <c r="N37" s="300" t="s">
        <v>569</v>
      </c>
    </row>
    <row r="38" spans="1:14" s="288" customFormat="1" ht="36" x14ac:dyDescent="0.2">
      <c r="A38" s="299">
        <v>6</v>
      </c>
      <c r="B38" s="1747" t="s">
        <v>570</v>
      </c>
      <c r="C38" s="1748"/>
      <c r="D38" s="301">
        <v>150</v>
      </c>
      <c r="E38" s="301">
        <v>0</v>
      </c>
      <c r="F38" s="301">
        <v>112</v>
      </c>
      <c r="G38" s="301">
        <v>0</v>
      </c>
      <c r="H38" s="301">
        <v>300</v>
      </c>
      <c r="I38" s="301">
        <v>0</v>
      </c>
      <c r="J38" s="259">
        <v>2239</v>
      </c>
      <c r="K38" s="301">
        <v>150</v>
      </c>
      <c r="L38" s="301"/>
      <c r="M38" s="1383" t="s">
        <v>571</v>
      </c>
      <c r="N38" s="306" t="s">
        <v>572</v>
      </c>
    </row>
    <row r="39" spans="1:14" s="288" customFormat="1" ht="24" hidden="1" customHeight="1" x14ac:dyDescent="0.2">
      <c r="A39" s="1735">
        <v>7</v>
      </c>
      <c r="B39" s="1843" t="s">
        <v>573</v>
      </c>
      <c r="C39" s="1410"/>
      <c r="D39" s="301">
        <v>81400</v>
      </c>
      <c r="E39" s="301">
        <v>0</v>
      </c>
      <c r="F39" s="301">
        <v>66438</v>
      </c>
      <c r="G39" s="301">
        <v>0</v>
      </c>
      <c r="H39" s="301">
        <v>0</v>
      </c>
      <c r="I39" s="301">
        <v>0</v>
      </c>
      <c r="J39" s="259">
        <v>2231</v>
      </c>
      <c r="K39" s="301"/>
      <c r="L39" s="301"/>
      <c r="M39" s="1732" t="s">
        <v>574</v>
      </c>
      <c r="N39" s="1830" t="s">
        <v>575</v>
      </c>
    </row>
    <row r="40" spans="1:14" s="288" customFormat="1" ht="24" hidden="1" customHeight="1" x14ac:dyDescent="0.2">
      <c r="A40" s="1736"/>
      <c r="B40" s="1844"/>
      <c r="C40" s="1413"/>
      <c r="D40" s="301">
        <v>1500</v>
      </c>
      <c r="E40" s="301">
        <v>0</v>
      </c>
      <c r="F40" s="301">
        <v>312</v>
      </c>
      <c r="G40" s="301"/>
      <c r="H40" s="301">
        <v>0</v>
      </c>
      <c r="I40" s="301">
        <v>0</v>
      </c>
      <c r="J40" s="259">
        <v>2222</v>
      </c>
      <c r="K40" s="301"/>
      <c r="L40" s="301"/>
      <c r="M40" s="1733"/>
      <c r="N40" s="1831"/>
    </row>
    <row r="41" spans="1:14" s="288" customFormat="1" ht="24" hidden="1" customHeight="1" x14ac:dyDescent="0.2">
      <c r="A41" s="1737"/>
      <c r="B41" s="1845"/>
      <c r="C41" s="1411"/>
      <c r="D41" s="301">
        <v>18500</v>
      </c>
      <c r="E41" s="301">
        <v>0</v>
      </c>
      <c r="F41" s="301">
        <v>9746</v>
      </c>
      <c r="G41" s="301"/>
      <c r="H41" s="301">
        <v>0</v>
      </c>
      <c r="I41" s="301"/>
      <c r="J41" s="259">
        <v>2223</v>
      </c>
      <c r="K41" s="301"/>
      <c r="L41" s="301"/>
      <c r="M41" s="1734"/>
      <c r="N41" s="1832"/>
    </row>
    <row r="42" spans="1:14" s="288" customFormat="1" ht="59.25" customHeight="1" x14ac:dyDescent="0.2">
      <c r="A42" s="1735">
        <v>7</v>
      </c>
      <c r="B42" s="1835" t="s">
        <v>576</v>
      </c>
      <c r="C42" s="1836"/>
      <c r="D42" s="1733">
        <v>4254</v>
      </c>
      <c r="E42" s="301">
        <v>0</v>
      </c>
      <c r="F42" s="301">
        <v>0</v>
      </c>
      <c r="G42" s="301">
        <v>0</v>
      </c>
      <c r="H42" s="301">
        <v>400</v>
      </c>
      <c r="I42" s="301">
        <v>0</v>
      </c>
      <c r="J42" s="259">
        <v>2239</v>
      </c>
      <c r="K42" s="301">
        <f>400+3000</f>
        <v>3400</v>
      </c>
      <c r="L42" s="301"/>
      <c r="M42" s="1833" t="s">
        <v>577</v>
      </c>
      <c r="N42" s="306" t="s">
        <v>578</v>
      </c>
    </row>
    <row r="43" spans="1:14" s="288" customFormat="1" ht="27" hidden="1" customHeight="1" x14ac:dyDescent="0.2">
      <c r="A43" s="1737"/>
      <c r="B43" s="1837"/>
      <c r="C43" s="1838"/>
      <c r="D43" s="1734"/>
      <c r="E43" s="301">
        <v>0</v>
      </c>
      <c r="F43" s="301">
        <v>0</v>
      </c>
      <c r="G43" s="301">
        <v>0</v>
      </c>
      <c r="H43" s="301">
        <v>3000</v>
      </c>
      <c r="I43" s="301">
        <v>0</v>
      </c>
      <c r="J43" s="259">
        <v>2239</v>
      </c>
      <c r="K43" s="301"/>
      <c r="L43" s="301"/>
      <c r="M43" s="1834"/>
      <c r="N43" s="306" t="s">
        <v>579</v>
      </c>
    </row>
    <row r="44" spans="1:14" s="288" customFormat="1" ht="36" hidden="1" x14ac:dyDescent="0.2">
      <c r="A44" s="300">
        <v>9</v>
      </c>
      <c r="B44" s="300" t="s">
        <v>580</v>
      </c>
      <c r="C44" s="1406"/>
      <c r="D44" s="301">
        <v>4281</v>
      </c>
      <c r="E44" s="301">
        <v>0</v>
      </c>
      <c r="F44" s="301">
        <v>566.88</v>
      </c>
      <c r="G44" s="301">
        <v>0</v>
      </c>
      <c r="H44" s="301">
        <v>0</v>
      </c>
      <c r="I44" s="301">
        <v>0</v>
      </c>
      <c r="J44" s="259">
        <v>3263</v>
      </c>
      <c r="K44" s="301"/>
      <c r="L44" s="301"/>
      <c r="M44" s="310" t="s">
        <v>581</v>
      </c>
      <c r="N44" s="306" t="s">
        <v>582</v>
      </c>
    </row>
    <row r="45" spans="1:14" s="288" customFormat="1" ht="36" hidden="1" x14ac:dyDescent="0.2">
      <c r="A45" s="300">
        <v>10</v>
      </c>
      <c r="B45" s="300" t="s">
        <v>583</v>
      </c>
      <c r="C45" s="1406"/>
      <c r="D45" s="301">
        <v>174</v>
      </c>
      <c r="E45" s="301">
        <v>0</v>
      </c>
      <c r="F45" s="301">
        <v>0</v>
      </c>
      <c r="G45" s="301">
        <v>0</v>
      </c>
      <c r="H45" s="301">
        <v>0</v>
      </c>
      <c r="I45" s="301">
        <v>0</v>
      </c>
      <c r="J45" s="259">
        <v>2121</v>
      </c>
      <c r="K45" s="301"/>
      <c r="L45" s="301"/>
      <c r="M45" s="1479" t="s">
        <v>584</v>
      </c>
      <c r="N45" s="315" t="s">
        <v>585</v>
      </c>
    </row>
    <row r="46" spans="1:14" s="288" customFormat="1" x14ac:dyDescent="0.2">
      <c r="A46" s="1487"/>
      <c r="B46" s="1487"/>
      <c r="C46" s="1487"/>
      <c r="D46" s="316"/>
      <c r="E46" s="316"/>
      <c r="F46" s="316"/>
      <c r="G46" s="316"/>
      <c r="H46" s="316"/>
      <c r="I46" s="316"/>
      <c r="J46" s="317"/>
      <c r="K46" s="316"/>
      <c r="L46" s="316"/>
      <c r="M46" s="1488"/>
      <c r="N46" s="318"/>
    </row>
    <row r="47" spans="1:14" s="288" customFormat="1" x14ac:dyDescent="0.2">
      <c r="A47" s="319" t="s">
        <v>123</v>
      </c>
      <c r="B47" s="319"/>
      <c r="C47" s="319" t="s">
        <v>376</v>
      </c>
      <c r="D47" s="319"/>
      <c r="E47" s="319"/>
      <c r="F47" s="319"/>
      <c r="G47" s="319"/>
      <c r="H47" s="319"/>
      <c r="I47" s="319"/>
      <c r="J47" s="319"/>
      <c r="K47" s="319"/>
      <c r="L47" s="319"/>
      <c r="M47" s="335"/>
      <c r="N47" s="319"/>
    </row>
    <row r="48" spans="1:14" s="288" customFormat="1" x14ac:dyDescent="0.2">
      <c r="A48" s="319" t="s">
        <v>125</v>
      </c>
      <c r="B48" s="319"/>
      <c r="C48" s="1477" t="s">
        <v>377</v>
      </c>
      <c r="D48" s="1477"/>
      <c r="E48" s="1477"/>
      <c r="F48" s="1477"/>
      <c r="G48" s="1477"/>
      <c r="H48" s="1477"/>
      <c r="I48" s="1477"/>
      <c r="J48" s="1477"/>
      <c r="K48" s="1477"/>
      <c r="L48" s="1477"/>
      <c r="M48" s="1478"/>
      <c r="N48" s="1477"/>
    </row>
    <row r="49" spans="1:17" s="288" customFormat="1" ht="25.5" customHeight="1" x14ac:dyDescent="0.2">
      <c r="A49" s="1825" t="s">
        <v>1</v>
      </c>
      <c r="B49" s="1839" t="s">
        <v>127</v>
      </c>
      <c r="C49" s="1840"/>
      <c r="D49" s="1825" t="s">
        <v>520</v>
      </c>
      <c r="E49" s="1825"/>
      <c r="F49" s="1825" t="s">
        <v>521</v>
      </c>
      <c r="G49" s="1825"/>
      <c r="H49" s="1825" t="s">
        <v>522</v>
      </c>
      <c r="I49" s="1825"/>
      <c r="J49" s="1825" t="s">
        <v>129</v>
      </c>
      <c r="K49" s="1825" t="s">
        <v>3357</v>
      </c>
      <c r="L49" s="1825"/>
      <c r="M49" s="1825" t="s">
        <v>11</v>
      </c>
      <c r="N49" s="1825" t="s">
        <v>131</v>
      </c>
    </row>
    <row r="50" spans="1:17" s="288" customFormat="1" ht="24" x14ac:dyDescent="0.2">
      <c r="A50" s="1825"/>
      <c r="B50" s="1841"/>
      <c r="C50" s="1842"/>
      <c r="D50" s="295" t="s">
        <v>524</v>
      </c>
      <c r="E50" s="295" t="s">
        <v>525</v>
      </c>
      <c r="F50" s="295" t="s">
        <v>524</v>
      </c>
      <c r="G50" s="295" t="s">
        <v>525</v>
      </c>
      <c r="H50" s="295" t="s">
        <v>524</v>
      </c>
      <c r="I50" s="295" t="s">
        <v>525</v>
      </c>
      <c r="J50" s="1825"/>
      <c r="K50" s="295" t="s">
        <v>524</v>
      </c>
      <c r="L50" s="295" t="s">
        <v>525</v>
      </c>
      <c r="M50" s="1825"/>
      <c r="N50" s="1825"/>
    </row>
    <row r="51" spans="1:17" s="288" customFormat="1" ht="12" customHeight="1" x14ac:dyDescent="0.2">
      <c r="A51" s="1856" t="s">
        <v>526</v>
      </c>
      <c r="B51" s="1857"/>
      <c r="C51" s="1858"/>
      <c r="D51" s="296">
        <f t="shared" ref="D51:I51" si="0">SUM(D52:D68)</f>
        <v>142236</v>
      </c>
      <c r="E51" s="296">
        <f t="shared" si="0"/>
        <v>0</v>
      </c>
      <c r="F51" s="296">
        <f t="shared" si="0"/>
        <v>120757</v>
      </c>
      <c r="G51" s="296">
        <f t="shared" si="0"/>
        <v>0</v>
      </c>
      <c r="H51" s="296">
        <f t="shared" si="0"/>
        <v>171310</v>
      </c>
      <c r="I51" s="296">
        <f t="shared" si="0"/>
        <v>11086</v>
      </c>
      <c r="J51" s="298"/>
      <c r="K51" s="296">
        <f>SUM(K52:K68)</f>
        <v>166410</v>
      </c>
      <c r="L51" s="296">
        <f>SUM(L52:L68)</f>
        <v>11086</v>
      </c>
      <c r="M51" s="600"/>
      <c r="N51" s="298"/>
    </row>
    <row r="52" spans="1:17" s="322" customFormat="1" ht="134.25" customHeight="1" x14ac:dyDescent="0.25">
      <c r="A52" s="1829">
        <v>1</v>
      </c>
      <c r="B52" s="1741" t="s">
        <v>586</v>
      </c>
      <c r="C52" s="1742"/>
      <c r="D52" s="1847">
        <v>32600</v>
      </c>
      <c r="E52" s="1847">
        <v>0</v>
      </c>
      <c r="F52" s="1847">
        <v>16772</v>
      </c>
      <c r="G52" s="320">
        <v>0</v>
      </c>
      <c r="H52" s="278">
        <v>3000</v>
      </c>
      <c r="I52" s="320">
        <v>0</v>
      </c>
      <c r="J52" s="259">
        <v>2231</v>
      </c>
      <c r="K52" s="321">
        <v>33540</v>
      </c>
      <c r="L52" s="298"/>
      <c r="M52" s="1821" t="s">
        <v>3360</v>
      </c>
      <c r="N52" s="305" t="s">
        <v>587</v>
      </c>
      <c r="Q52" s="1824"/>
    </row>
    <row r="53" spans="1:17" s="288" customFormat="1" ht="30.75" hidden="1" customHeight="1" x14ac:dyDescent="0.2">
      <c r="A53" s="1829"/>
      <c r="B53" s="1743"/>
      <c r="C53" s="1744"/>
      <c r="D53" s="1847"/>
      <c r="E53" s="1847"/>
      <c r="F53" s="1847"/>
      <c r="G53" s="320">
        <v>0</v>
      </c>
      <c r="H53" s="278">
        <v>12000</v>
      </c>
      <c r="I53" s="320">
        <v>0</v>
      </c>
      <c r="J53" s="259">
        <v>2231</v>
      </c>
      <c r="K53" s="323"/>
      <c r="L53" s="296"/>
      <c r="M53" s="1822"/>
      <c r="N53" s="300" t="s">
        <v>588</v>
      </c>
      <c r="Q53" s="1824"/>
    </row>
    <row r="54" spans="1:17" s="288" customFormat="1" ht="30.75" hidden="1" customHeight="1" x14ac:dyDescent="0.2">
      <c r="A54" s="1829"/>
      <c r="B54" s="1743"/>
      <c r="C54" s="1744"/>
      <c r="D54" s="1847"/>
      <c r="E54" s="1847"/>
      <c r="F54" s="1847"/>
      <c r="G54" s="320">
        <v>0</v>
      </c>
      <c r="H54" s="278">
        <v>3000</v>
      </c>
      <c r="I54" s="320">
        <v>0</v>
      </c>
      <c r="J54" s="259">
        <v>2231</v>
      </c>
      <c r="K54" s="323"/>
      <c r="L54" s="296"/>
      <c r="M54" s="1822"/>
      <c r="N54" s="300" t="s">
        <v>589</v>
      </c>
      <c r="Q54" s="1824"/>
    </row>
    <row r="55" spans="1:17" s="288" customFormat="1" ht="30" hidden="1" customHeight="1" x14ac:dyDescent="0.2">
      <c r="A55" s="1829"/>
      <c r="B55" s="1743"/>
      <c r="C55" s="1744"/>
      <c r="D55" s="1847"/>
      <c r="E55" s="1847"/>
      <c r="F55" s="1847"/>
      <c r="G55" s="320">
        <v>0</v>
      </c>
      <c r="H55" s="278">
        <v>3000</v>
      </c>
      <c r="I55" s="320">
        <v>0</v>
      </c>
      <c r="J55" s="259">
        <v>2231</v>
      </c>
      <c r="K55" s="323"/>
      <c r="L55" s="296"/>
      <c r="M55" s="1822"/>
      <c r="N55" s="307" t="s">
        <v>590</v>
      </c>
      <c r="Q55" s="1824"/>
    </row>
    <row r="56" spans="1:17" s="288" customFormat="1" ht="18.75" hidden="1" customHeight="1" x14ac:dyDescent="0.2">
      <c r="A56" s="1829"/>
      <c r="B56" s="1743"/>
      <c r="C56" s="1744"/>
      <c r="D56" s="1847"/>
      <c r="E56" s="1847"/>
      <c r="F56" s="1847"/>
      <c r="G56" s="320">
        <v>0</v>
      </c>
      <c r="H56" s="278">
        <v>3000</v>
      </c>
      <c r="I56" s="320">
        <v>0</v>
      </c>
      <c r="J56" s="259">
        <v>2231</v>
      </c>
      <c r="K56" s="323"/>
      <c r="L56" s="296"/>
      <c r="M56" s="1822"/>
      <c r="N56" s="307" t="s">
        <v>591</v>
      </c>
      <c r="Q56" s="1824"/>
    </row>
    <row r="57" spans="1:17" s="288" customFormat="1" ht="18.75" hidden="1" customHeight="1" x14ac:dyDescent="0.2">
      <c r="A57" s="1829"/>
      <c r="B57" s="1743"/>
      <c r="C57" s="1744"/>
      <c r="D57" s="1847"/>
      <c r="E57" s="1847"/>
      <c r="F57" s="1847"/>
      <c r="G57" s="320"/>
      <c r="H57" s="278">
        <v>7000</v>
      </c>
      <c r="I57" s="320">
        <v>0</v>
      </c>
      <c r="J57" s="259">
        <v>2231</v>
      </c>
      <c r="K57" s="323"/>
      <c r="L57" s="296"/>
      <c r="M57" s="1822"/>
      <c r="N57" s="307" t="s">
        <v>592</v>
      </c>
      <c r="Q57" s="1824"/>
    </row>
    <row r="58" spans="1:17" s="288" customFormat="1" ht="18.75" hidden="1" customHeight="1" x14ac:dyDescent="0.2">
      <c r="A58" s="1829"/>
      <c r="B58" s="1743"/>
      <c r="C58" s="1744"/>
      <c r="D58" s="1847"/>
      <c r="E58" s="1847"/>
      <c r="F58" s="1847"/>
      <c r="G58" s="320">
        <v>0</v>
      </c>
      <c r="H58" s="278">
        <v>200</v>
      </c>
      <c r="I58" s="320">
        <v>0</v>
      </c>
      <c r="J58" s="259">
        <v>2231</v>
      </c>
      <c r="K58" s="323"/>
      <c r="L58" s="296"/>
      <c r="M58" s="1822"/>
      <c r="N58" s="307" t="s">
        <v>593</v>
      </c>
      <c r="Q58" s="1824"/>
    </row>
    <row r="59" spans="1:17" s="288" customFormat="1" ht="65.25" hidden="1" customHeight="1" x14ac:dyDescent="0.2">
      <c r="A59" s="1829"/>
      <c r="B59" s="1743"/>
      <c r="C59" s="1744"/>
      <c r="D59" s="1847"/>
      <c r="E59" s="1847"/>
      <c r="F59" s="1847"/>
      <c r="G59" s="320">
        <v>0</v>
      </c>
      <c r="H59" s="278">
        <v>2000</v>
      </c>
      <c r="I59" s="320">
        <v>0</v>
      </c>
      <c r="J59" s="259">
        <v>2231</v>
      </c>
      <c r="K59" s="323"/>
      <c r="L59" s="323"/>
      <c r="M59" s="1823"/>
      <c r="N59" s="300" t="s">
        <v>594</v>
      </c>
      <c r="Q59" s="1824"/>
    </row>
    <row r="60" spans="1:17" s="288" customFormat="1" ht="40.5" customHeight="1" x14ac:dyDescent="0.2">
      <c r="A60" s="1829"/>
      <c r="B60" s="1743"/>
      <c r="C60" s="1744"/>
      <c r="D60" s="278">
        <v>3421</v>
      </c>
      <c r="E60" s="278"/>
      <c r="F60" s="278">
        <v>3421</v>
      </c>
      <c r="G60" s="320">
        <v>0</v>
      </c>
      <c r="H60" s="278">
        <v>30000</v>
      </c>
      <c r="I60" s="320">
        <v>0</v>
      </c>
      <c r="J60" s="259">
        <v>3262</v>
      </c>
      <c r="K60" s="323">
        <v>30000</v>
      </c>
      <c r="L60" s="296"/>
      <c r="M60" s="1480" t="s">
        <v>595</v>
      </c>
      <c r="N60" s="307" t="s">
        <v>596</v>
      </c>
    </row>
    <row r="61" spans="1:17" s="288" customFormat="1" ht="54" hidden="1" customHeight="1" x14ac:dyDescent="0.2">
      <c r="A61" s="1829"/>
      <c r="B61" s="1745"/>
      <c r="C61" s="1746"/>
      <c r="D61" s="1407"/>
      <c r="E61" s="1407"/>
      <c r="F61" s="1407"/>
      <c r="G61" s="320">
        <v>0</v>
      </c>
      <c r="H61" s="278">
        <v>4340</v>
      </c>
      <c r="I61" s="320">
        <v>0</v>
      </c>
      <c r="J61" s="259">
        <v>2231</v>
      </c>
      <c r="K61" s="323"/>
      <c r="L61" s="296"/>
      <c r="M61" s="1480"/>
      <c r="N61" s="307" t="s">
        <v>597</v>
      </c>
    </row>
    <row r="62" spans="1:17" s="288" customFormat="1" ht="29.25" customHeight="1" x14ac:dyDescent="0.2">
      <c r="A62" s="1735">
        <v>2</v>
      </c>
      <c r="B62" s="1741" t="s">
        <v>598</v>
      </c>
      <c r="C62" s="1742"/>
      <c r="D62" s="325">
        <v>20129</v>
      </c>
      <c r="E62" s="325">
        <v>0</v>
      </c>
      <c r="F62" s="325">
        <v>15450</v>
      </c>
      <c r="G62" s="320">
        <v>0</v>
      </c>
      <c r="H62" s="278">
        <v>15000</v>
      </c>
      <c r="I62" s="320">
        <v>0</v>
      </c>
      <c r="J62" s="259">
        <v>3262</v>
      </c>
      <c r="K62" s="323">
        <v>15000</v>
      </c>
      <c r="L62" s="296"/>
      <c r="M62" s="1480" t="s">
        <v>599</v>
      </c>
      <c r="N62" s="307" t="s">
        <v>600</v>
      </c>
    </row>
    <row r="63" spans="1:17" s="288" customFormat="1" ht="29.25" hidden="1" customHeight="1" x14ac:dyDescent="0.2">
      <c r="A63" s="1737"/>
      <c r="B63" s="1745"/>
      <c r="C63" s="1746"/>
      <c r="D63" s="325">
        <v>0</v>
      </c>
      <c r="E63" s="325">
        <v>0</v>
      </c>
      <c r="F63" s="325">
        <v>0</v>
      </c>
      <c r="G63" s="320">
        <v>0</v>
      </c>
      <c r="H63" s="278">
        <v>0</v>
      </c>
      <c r="I63" s="320">
        <v>0</v>
      </c>
      <c r="J63" s="259">
        <v>2231</v>
      </c>
      <c r="K63" s="323"/>
      <c r="L63" s="296"/>
      <c r="M63" s="1480" t="s">
        <v>601</v>
      </c>
      <c r="N63" s="300" t="s">
        <v>602</v>
      </c>
    </row>
    <row r="64" spans="1:17" s="288" customFormat="1" ht="23.25" customHeight="1" x14ac:dyDescent="0.2">
      <c r="A64" s="326">
        <v>3</v>
      </c>
      <c r="B64" s="1747" t="s">
        <v>603</v>
      </c>
      <c r="C64" s="1748"/>
      <c r="D64" s="278">
        <v>3300</v>
      </c>
      <c r="E64" s="278"/>
      <c r="F64" s="278">
        <v>3230</v>
      </c>
      <c r="G64" s="320"/>
      <c r="H64" s="278">
        <v>3180</v>
      </c>
      <c r="I64" s="320">
        <v>0</v>
      </c>
      <c r="J64" s="259">
        <v>2261</v>
      </c>
      <c r="K64" s="323">
        <v>3180</v>
      </c>
      <c r="L64" s="296"/>
      <c r="M64" s="1383" t="s">
        <v>604</v>
      </c>
      <c r="N64" s="300" t="s">
        <v>605</v>
      </c>
    </row>
    <row r="65" spans="1:14" s="288" customFormat="1" ht="45.75" customHeight="1" x14ac:dyDescent="0.2">
      <c r="A65" s="326">
        <v>4</v>
      </c>
      <c r="B65" s="1747" t="s">
        <v>606</v>
      </c>
      <c r="C65" s="1748"/>
      <c r="D65" s="325">
        <v>2000</v>
      </c>
      <c r="E65" s="325">
        <v>0</v>
      </c>
      <c r="F65" s="325">
        <v>1098</v>
      </c>
      <c r="G65" s="320">
        <v>0</v>
      </c>
      <c r="H65" s="278">
        <v>2000</v>
      </c>
      <c r="I65" s="320">
        <v>0</v>
      </c>
      <c r="J65" s="259">
        <v>2262</v>
      </c>
      <c r="K65" s="323">
        <v>1100</v>
      </c>
      <c r="L65" s="296"/>
      <c r="M65" s="1480" t="s">
        <v>607</v>
      </c>
      <c r="N65" s="278" t="s">
        <v>608</v>
      </c>
    </row>
    <row r="66" spans="1:14" s="288" customFormat="1" ht="30.75" customHeight="1" x14ac:dyDescent="0.2">
      <c r="A66" s="326">
        <v>5</v>
      </c>
      <c r="B66" s="1747" t="s">
        <v>543</v>
      </c>
      <c r="C66" s="1748"/>
      <c r="D66" s="301">
        <v>0</v>
      </c>
      <c r="E66" s="301">
        <v>0</v>
      </c>
      <c r="F66" s="301">
        <v>0</v>
      </c>
      <c r="G66" s="301">
        <v>0</v>
      </c>
      <c r="H66" s="301">
        <f>84676-I66</f>
        <v>73590</v>
      </c>
      <c r="I66" s="301">
        <v>11086</v>
      </c>
      <c r="J66" s="259">
        <v>5110</v>
      </c>
      <c r="K66" s="301">
        <v>73590</v>
      </c>
      <c r="L66" s="303">
        <v>11086</v>
      </c>
      <c r="M66" s="1480" t="s">
        <v>544</v>
      </c>
      <c r="N66" s="278" t="s">
        <v>609</v>
      </c>
    </row>
    <row r="67" spans="1:14" s="288" customFormat="1" ht="39" customHeight="1" x14ac:dyDescent="0.2">
      <c r="A67" s="326">
        <v>6</v>
      </c>
      <c r="B67" s="1747" t="s">
        <v>610</v>
      </c>
      <c r="C67" s="1748"/>
      <c r="D67" s="325">
        <v>29000</v>
      </c>
      <c r="E67" s="325">
        <v>0</v>
      </c>
      <c r="F67" s="325">
        <v>29000</v>
      </c>
      <c r="G67" s="320">
        <v>0</v>
      </c>
      <c r="H67" s="278">
        <v>10000</v>
      </c>
      <c r="I67" s="320">
        <v>0</v>
      </c>
      <c r="J67" s="259">
        <v>5250</v>
      </c>
      <c r="K67" s="323">
        <v>10000</v>
      </c>
      <c r="L67" s="296"/>
      <c r="M67" s="1056" t="s">
        <v>611</v>
      </c>
      <c r="N67" s="307" t="s">
        <v>612</v>
      </c>
    </row>
    <row r="68" spans="1:14" s="288" customFormat="1" ht="33.75" hidden="1" customHeight="1" x14ac:dyDescent="0.2">
      <c r="A68" s="326">
        <v>6</v>
      </c>
      <c r="B68" s="300" t="s">
        <v>415</v>
      </c>
      <c r="C68" s="1406"/>
      <c r="D68" s="325">
        <v>51786</v>
      </c>
      <c r="E68" s="325">
        <v>0</v>
      </c>
      <c r="F68" s="325">
        <v>51786</v>
      </c>
      <c r="G68" s="320">
        <v>0</v>
      </c>
      <c r="H68" s="325">
        <v>0</v>
      </c>
      <c r="I68" s="320">
        <v>0</v>
      </c>
      <c r="J68" s="327">
        <v>5240</v>
      </c>
      <c r="K68" s="323"/>
      <c r="L68" s="296"/>
      <c r="M68" s="1481" t="s">
        <v>613</v>
      </c>
      <c r="N68" s="278" t="s">
        <v>614</v>
      </c>
    </row>
    <row r="69" spans="1:14" s="288" customFormat="1" x14ac:dyDescent="0.2">
      <c r="A69" s="328"/>
      <c r="B69" s="309"/>
      <c r="C69" s="1402"/>
      <c r="D69" s="329"/>
      <c r="E69" s="329"/>
      <c r="F69" s="329"/>
      <c r="G69" s="330"/>
      <c r="H69" s="329"/>
      <c r="I69" s="330"/>
      <c r="J69" s="331"/>
      <c r="K69" s="332"/>
      <c r="L69" s="333"/>
      <c r="M69" s="310"/>
      <c r="N69" s="314"/>
    </row>
    <row r="70" spans="1:14" x14ac:dyDescent="0.2">
      <c r="A70" s="287" t="s">
        <v>400</v>
      </c>
      <c r="K70" s="324"/>
      <c r="L70" s="288"/>
      <c r="M70" s="1485"/>
      <c r="N70" s="288"/>
    </row>
    <row r="71" spans="1:14" x14ac:dyDescent="0.2">
      <c r="K71" s="324"/>
      <c r="L71" s="288"/>
      <c r="M71" s="1485"/>
      <c r="N71" s="288"/>
    </row>
    <row r="72" spans="1:14" x14ac:dyDescent="0.2">
      <c r="B72" s="334" t="s">
        <v>110</v>
      </c>
      <c r="C72" s="334"/>
      <c r="D72" s="335"/>
      <c r="E72" s="336"/>
      <c r="F72" s="336"/>
      <c r="G72" s="336"/>
      <c r="H72" s="334"/>
      <c r="I72" s="334"/>
      <c r="K72" s="337"/>
      <c r="L72" s="338"/>
      <c r="M72" s="328"/>
      <c r="N72" s="338"/>
    </row>
    <row r="73" spans="1:14" x14ac:dyDescent="0.2">
      <c r="B73" s="339" t="s">
        <v>615</v>
      </c>
      <c r="C73" s="339"/>
      <c r="D73" s="335"/>
      <c r="E73" s="336"/>
      <c r="F73" s="336"/>
      <c r="G73" s="336"/>
      <c r="H73" s="334"/>
      <c r="I73" s="334"/>
      <c r="K73" s="337"/>
      <c r="L73" s="338"/>
      <c r="M73" s="328"/>
      <c r="N73" s="338"/>
    </row>
    <row r="74" spans="1:14" x14ac:dyDescent="0.2">
      <c r="B74" s="334" t="s">
        <v>616</v>
      </c>
      <c r="C74" s="334"/>
      <c r="D74" s="335"/>
      <c r="E74" s="336"/>
      <c r="F74" s="336"/>
      <c r="G74" s="336"/>
      <c r="H74" s="334"/>
      <c r="I74" s="334"/>
      <c r="K74" s="337"/>
      <c r="L74" s="338"/>
      <c r="M74" s="328"/>
      <c r="N74" s="338"/>
    </row>
    <row r="75" spans="1:14" x14ac:dyDescent="0.2">
      <c r="B75" s="334" t="s">
        <v>617</v>
      </c>
      <c r="C75" s="334"/>
      <c r="D75" s="335"/>
      <c r="E75" s="336"/>
      <c r="F75" s="336"/>
      <c r="G75" s="336"/>
      <c r="H75" s="334"/>
      <c r="I75" s="334"/>
      <c r="K75" s="337"/>
      <c r="L75" s="338"/>
      <c r="M75" s="328"/>
      <c r="N75" s="338"/>
    </row>
    <row r="76" spans="1:14" x14ac:dyDescent="0.2">
      <c r="B76" s="334" t="s">
        <v>618</v>
      </c>
      <c r="C76" s="334"/>
      <c r="D76" s="335"/>
      <c r="E76" s="336"/>
      <c r="F76" s="336"/>
      <c r="G76" s="336"/>
      <c r="H76" s="334"/>
      <c r="I76" s="334"/>
      <c r="K76" s="337"/>
      <c r="L76" s="338"/>
      <c r="M76" s="328"/>
      <c r="N76" s="338"/>
    </row>
    <row r="77" spans="1:14" x14ac:dyDescent="0.2">
      <c r="B77" s="334" t="s">
        <v>619</v>
      </c>
      <c r="C77" s="334"/>
      <c r="D77" s="335"/>
      <c r="E77" s="336"/>
      <c r="F77" s="336"/>
      <c r="G77" s="336"/>
      <c r="H77" s="334"/>
      <c r="I77" s="334"/>
      <c r="K77" s="337"/>
      <c r="L77" s="338"/>
      <c r="M77" s="328"/>
      <c r="N77" s="338"/>
    </row>
    <row r="78" spans="1:14" x14ac:dyDescent="0.2">
      <c r="B78" s="339" t="s">
        <v>620</v>
      </c>
      <c r="C78" s="339"/>
      <c r="D78" s="335"/>
      <c r="E78" s="336"/>
      <c r="F78" s="336"/>
      <c r="G78" s="336"/>
      <c r="H78" s="334"/>
      <c r="I78" s="334"/>
      <c r="K78" s="337"/>
      <c r="L78" s="338"/>
      <c r="M78" s="328"/>
      <c r="N78" s="338"/>
    </row>
    <row r="79" spans="1:14" x14ac:dyDescent="0.2">
      <c r="B79" s="334" t="s">
        <v>621</v>
      </c>
      <c r="C79" s="334"/>
      <c r="D79" s="335"/>
      <c r="E79" s="336"/>
      <c r="F79" s="336"/>
      <c r="G79" s="336"/>
      <c r="H79" s="334"/>
      <c r="I79" s="334"/>
      <c r="K79" s="337"/>
      <c r="L79" s="338"/>
      <c r="M79" s="328"/>
      <c r="N79" s="338"/>
    </row>
    <row r="80" spans="1:14" x14ac:dyDescent="0.2">
      <c r="B80" s="334" t="s">
        <v>622</v>
      </c>
      <c r="C80" s="334"/>
      <c r="D80" s="335"/>
      <c r="E80" s="336"/>
      <c r="F80" s="336"/>
      <c r="G80" s="336"/>
      <c r="H80" s="334"/>
      <c r="I80" s="334"/>
      <c r="K80" s="337"/>
      <c r="L80" s="338"/>
      <c r="M80" s="328"/>
      <c r="N80" s="338"/>
    </row>
    <row r="81" spans="1:14" x14ac:dyDescent="0.2">
      <c r="B81" s="334" t="s">
        <v>623</v>
      </c>
      <c r="C81" s="334"/>
      <c r="D81" s="335"/>
      <c r="E81" s="336"/>
      <c r="F81" s="336"/>
      <c r="G81" s="336"/>
      <c r="H81" s="334"/>
      <c r="I81" s="334"/>
      <c r="K81" s="337"/>
      <c r="L81" s="338"/>
      <c r="M81" s="328"/>
      <c r="N81" s="338"/>
    </row>
    <row r="82" spans="1:14" x14ac:dyDescent="0.2">
      <c r="B82" s="334" t="s">
        <v>624</v>
      </c>
      <c r="C82" s="334"/>
      <c r="D82" s="335"/>
      <c r="E82" s="336"/>
      <c r="F82" s="336"/>
      <c r="G82" s="336"/>
      <c r="H82" s="334"/>
      <c r="I82" s="334"/>
      <c r="K82" s="337"/>
      <c r="L82" s="338"/>
      <c r="M82" s="328"/>
      <c r="N82" s="338"/>
    </row>
    <row r="83" spans="1:14" x14ac:dyDescent="0.2">
      <c r="B83" s="334" t="s">
        <v>625</v>
      </c>
      <c r="C83" s="334"/>
      <c r="D83" s="335"/>
      <c r="E83" s="336"/>
      <c r="F83" s="336"/>
      <c r="G83" s="336"/>
      <c r="H83" s="334"/>
      <c r="I83" s="334"/>
      <c r="K83" s="337"/>
      <c r="L83" s="338"/>
      <c r="M83" s="328"/>
      <c r="N83" s="338"/>
    </row>
    <row r="84" spans="1:14" x14ac:dyDescent="0.2">
      <c r="B84" s="334" t="s">
        <v>626</v>
      </c>
      <c r="C84" s="334"/>
      <c r="D84" s="335"/>
      <c r="E84" s="336"/>
      <c r="F84" s="336"/>
      <c r="G84" s="336"/>
      <c r="H84" s="334"/>
      <c r="I84" s="334"/>
      <c r="K84" s="337"/>
      <c r="L84" s="338"/>
      <c r="M84" s="328"/>
      <c r="N84" s="338"/>
    </row>
    <row r="85" spans="1:14" x14ac:dyDescent="0.2">
      <c r="B85" s="339" t="s">
        <v>627</v>
      </c>
      <c r="C85" s="339"/>
      <c r="D85" s="335"/>
      <c r="E85" s="336"/>
      <c r="F85" s="336"/>
      <c r="G85" s="336"/>
      <c r="H85" s="334"/>
      <c r="I85" s="334"/>
      <c r="K85" s="340"/>
      <c r="L85" s="340"/>
      <c r="M85" s="341"/>
      <c r="N85" s="340"/>
    </row>
    <row r="86" spans="1:14" x14ac:dyDescent="0.2">
      <c r="B86" s="334" t="s">
        <v>628</v>
      </c>
      <c r="C86" s="334"/>
      <c r="D86" s="335"/>
      <c r="E86" s="336"/>
      <c r="F86" s="336"/>
      <c r="G86" s="336"/>
      <c r="H86" s="334"/>
      <c r="I86" s="334"/>
      <c r="K86" s="340"/>
      <c r="L86" s="340"/>
      <c r="M86" s="341"/>
      <c r="N86" s="340"/>
    </row>
    <row r="87" spans="1:14" x14ac:dyDescent="0.2">
      <c r="B87" s="334" t="s">
        <v>629</v>
      </c>
      <c r="C87" s="334"/>
      <c r="D87" s="335"/>
      <c r="E87" s="336"/>
      <c r="F87" s="336"/>
      <c r="G87" s="336"/>
      <c r="H87" s="334"/>
      <c r="I87" s="334"/>
      <c r="K87" s="340"/>
      <c r="L87" s="340"/>
      <c r="M87" s="341"/>
      <c r="N87" s="340"/>
    </row>
    <row r="88" spans="1:14" x14ac:dyDescent="0.2">
      <c r="B88" s="334" t="s">
        <v>630</v>
      </c>
      <c r="C88" s="334"/>
      <c r="D88" s="335"/>
      <c r="E88" s="336"/>
      <c r="F88" s="336"/>
      <c r="G88" s="336"/>
      <c r="H88" s="334"/>
      <c r="I88" s="334"/>
      <c r="K88" s="340"/>
      <c r="L88" s="340"/>
      <c r="M88" s="341"/>
      <c r="N88" s="340"/>
    </row>
    <row r="89" spans="1:14" x14ac:dyDescent="0.2">
      <c r="B89" s="339" t="s">
        <v>631</v>
      </c>
      <c r="C89" s="339"/>
      <c r="D89" s="335"/>
      <c r="E89" s="336"/>
      <c r="F89" s="336"/>
      <c r="G89" s="336"/>
      <c r="H89" s="334"/>
      <c r="I89" s="334"/>
      <c r="K89" s="340"/>
      <c r="L89" s="340"/>
      <c r="M89" s="341"/>
      <c r="N89" s="340"/>
    </row>
    <row r="90" spans="1:14" x14ac:dyDescent="0.2">
      <c r="B90" s="334" t="s">
        <v>632</v>
      </c>
      <c r="C90" s="334"/>
      <c r="D90" s="335"/>
      <c r="E90" s="336"/>
      <c r="F90" s="336"/>
      <c r="G90" s="336"/>
      <c r="H90" s="334"/>
      <c r="I90" s="334"/>
      <c r="K90" s="340"/>
      <c r="L90" s="340"/>
      <c r="M90" s="341"/>
      <c r="N90" s="340"/>
    </row>
    <row r="91" spans="1:14" x14ac:dyDescent="0.2">
      <c r="B91" s="334" t="s">
        <v>633</v>
      </c>
      <c r="C91" s="334"/>
      <c r="D91" s="335"/>
      <c r="E91" s="336"/>
      <c r="F91" s="336"/>
      <c r="G91" s="336"/>
      <c r="H91" s="334"/>
      <c r="I91" s="334"/>
      <c r="K91" s="340"/>
      <c r="L91" s="340"/>
      <c r="M91" s="341"/>
      <c r="N91" s="340"/>
    </row>
    <row r="92" spans="1:14" x14ac:dyDescent="0.2">
      <c r="B92" s="339" t="s">
        <v>634</v>
      </c>
      <c r="C92" s="339"/>
      <c r="D92" s="335"/>
      <c r="E92" s="336"/>
      <c r="F92" s="336"/>
      <c r="G92" s="336"/>
      <c r="H92" s="334"/>
      <c r="I92" s="334"/>
      <c r="K92" s="340"/>
      <c r="L92" s="340"/>
      <c r="M92" s="341"/>
      <c r="N92" s="340"/>
    </row>
    <row r="93" spans="1:14" x14ac:dyDescent="0.2">
      <c r="A93" s="340"/>
      <c r="B93" s="334" t="s">
        <v>635</v>
      </c>
      <c r="C93" s="334"/>
      <c r="D93" s="335"/>
      <c r="E93" s="336"/>
      <c r="F93" s="336"/>
      <c r="G93" s="336"/>
      <c r="H93" s="334"/>
      <c r="I93" s="334"/>
      <c r="J93" s="340"/>
      <c r="K93" s="340"/>
      <c r="L93" s="340"/>
      <c r="M93" s="341"/>
      <c r="N93" s="340"/>
    </row>
    <row r="94" spans="1:14" x14ac:dyDescent="0.2">
      <c r="A94" s="340"/>
      <c r="B94" s="334" t="s">
        <v>636</v>
      </c>
      <c r="C94" s="334"/>
      <c r="D94" s="335"/>
      <c r="E94" s="336"/>
      <c r="F94" s="336"/>
      <c r="G94" s="336"/>
      <c r="H94" s="334"/>
      <c r="I94" s="334"/>
      <c r="J94" s="340"/>
      <c r="K94" s="340"/>
      <c r="L94" s="340"/>
      <c r="M94" s="341"/>
      <c r="N94" s="340"/>
    </row>
    <row r="95" spans="1:14" x14ac:dyDescent="0.2">
      <c r="A95" s="340"/>
      <c r="B95" s="339" t="s">
        <v>637</v>
      </c>
      <c r="C95" s="339"/>
      <c r="D95" s="335"/>
      <c r="E95" s="336"/>
      <c r="F95" s="336"/>
      <c r="G95" s="336"/>
      <c r="H95" s="334"/>
      <c r="I95" s="334"/>
      <c r="J95" s="340"/>
      <c r="K95" s="340"/>
      <c r="L95" s="340"/>
      <c r="M95" s="341"/>
      <c r="N95" s="340"/>
    </row>
    <row r="96" spans="1:14" x14ac:dyDescent="0.2">
      <c r="A96" s="340"/>
      <c r="B96" s="334" t="s">
        <v>638</v>
      </c>
      <c r="C96" s="334"/>
      <c r="D96" s="335"/>
      <c r="E96" s="336"/>
      <c r="F96" s="336"/>
      <c r="G96" s="336"/>
      <c r="H96" s="334"/>
      <c r="I96" s="334"/>
      <c r="J96" s="340"/>
      <c r="K96" s="340"/>
      <c r="L96" s="340"/>
      <c r="M96" s="341"/>
      <c r="N96" s="340"/>
    </row>
    <row r="97" spans="1:14" x14ac:dyDescent="0.2">
      <c r="A97" s="340"/>
      <c r="B97" s="334" t="s">
        <v>639</v>
      </c>
      <c r="C97" s="334"/>
      <c r="D97" s="335"/>
      <c r="E97" s="336"/>
      <c r="F97" s="336"/>
      <c r="G97" s="336"/>
      <c r="H97" s="334"/>
      <c r="I97" s="334"/>
      <c r="J97" s="340"/>
      <c r="K97" s="340"/>
      <c r="L97" s="340"/>
      <c r="M97" s="341"/>
      <c r="N97" s="340"/>
    </row>
    <row r="98" spans="1:14" x14ac:dyDescent="0.2">
      <c r="A98" s="340"/>
      <c r="B98" s="339" t="s">
        <v>640</v>
      </c>
      <c r="C98" s="339"/>
      <c r="D98" s="335"/>
      <c r="E98" s="336"/>
      <c r="F98" s="336"/>
      <c r="G98" s="336"/>
      <c r="H98" s="334"/>
      <c r="I98" s="334"/>
      <c r="J98" s="340"/>
      <c r="K98" s="340"/>
      <c r="L98" s="340"/>
      <c r="M98" s="341"/>
      <c r="N98" s="340"/>
    </row>
    <row r="99" spans="1:14" x14ac:dyDescent="0.2">
      <c r="A99" s="340"/>
      <c r="B99" s="334" t="s">
        <v>641</v>
      </c>
      <c r="C99" s="334"/>
      <c r="D99" s="335"/>
      <c r="E99" s="336"/>
      <c r="F99" s="336"/>
      <c r="G99" s="336"/>
      <c r="H99" s="334"/>
      <c r="I99" s="334"/>
      <c r="J99" s="340"/>
      <c r="K99" s="340"/>
      <c r="L99" s="340"/>
      <c r="M99" s="341"/>
      <c r="N99" s="340"/>
    </row>
    <row r="100" spans="1:14" x14ac:dyDescent="0.2">
      <c r="A100" s="340"/>
      <c r="B100" s="334" t="s">
        <v>642</v>
      </c>
      <c r="C100" s="334"/>
      <c r="D100" s="335"/>
      <c r="E100" s="336"/>
      <c r="F100" s="336"/>
      <c r="G100" s="336"/>
      <c r="H100" s="334"/>
      <c r="I100" s="334"/>
      <c r="J100" s="340"/>
      <c r="K100" s="340"/>
      <c r="L100" s="340"/>
      <c r="M100" s="341"/>
      <c r="N100" s="340"/>
    </row>
    <row r="101" spans="1:14" x14ac:dyDescent="0.2">
      <c r="A101" s="340"/>
      <c r="B101" s="334" t="s">
        <v>643</v>
      </c>
      <c r="C101" s="334"/>
      <c r="D101" s="335"/>
      <c r="E101" s="336"/>
      <c r="F101" s="336"/>
      <c r="G101" s="336"/>
      <c r="H101" s="334"/>
      <c r="I101" s="334"/>
      <c r="J101" s="340"/>
      <c r="K101" s="340"/>
      <c r="L101" s="340"/>
      <c r="M101" s="341"/>
      <c r="N101" s="340"/>
    </row>
    <row r="102" spans="1:14" x14ac:dyDescent="0.2">
      <c r="A102" s="340"/>
      <c r="B102" s="339" t="s">
        <v>644</v>
      </c>
      <c r="C102" s="339"/>
      <c r="D102" s="341"/>
      <c r="E102" s="342"/>
      <c r="F102" s="342"/>
      <c r="G102" s="342"/>
      <c r="H102" s="343"/>
      <c r="I102" s="343"/>
      <c r="J102" s="340"/>
      <c r="K102" s="340"/>
      <c r="L102" s="340"/>
      <c r="M102" s="341"/>
      <c r="N102" s="340"/>
    </row>
    <row r="103" spans="1:14" x14ac:dyDescent="0.2">
      <c r="B103" s="334" t="s">
        <v>645</v>
      </c>
      <c r="C103" s="334"/>
      <c r="D103" s="341"/>
      <c r="E103" s="342"/>
      <c r="F103" s="342"/>
      <c r="G103" s="342"/>
      <c r="H103" s="343"/>
      <c r="I103" s="343"/>
      <c r="K103" s="340"/>
      <c r="L103" s="340"/>
      <c r="M103" s="341"/>
      <c r="N103" s="340"/>
    </row>
    <row r="104" spans="1:14" x14ac:dyDescent="0.2">
      <c r="B104" s="334" t="s">
        <v>646</v>
      </c>
      <c r="C104" s="334"/>
      <c r="D104" s="341"/>
      <c r="E104" s="342"/>
      <c r="F104" s="342"/>
      <c r="G104" s="342"/>
      <c r="H104" s="343"/>
      <c r="I104" s="343"/>
      <c r="K104" s="340"/>
      <c r="L104" s="340"/>
      <c r="M104" s="341"/>
      <c r="N104" s="340"/>
    </row>
    <row r="105" spans="1:14" x14ac:dyDescent="0.2">
      <c r="B105" s="334" t="s">
        <v>647</v>
      </c>
      <c r="C105" s="334"/>
      <c r="D105" s="341"/>
      <c r="E105" s="342"/>
      <c r="F105" s="342"/>
      <c r="G105" s="342"/>
      <c r="H105" s="343"/>
      <c r="I105" s="343"/>
      <c r="K105" s="340"/>
      <c r="L105" s="340"/>
      <c r="M105" s="341"/>
      <c r="N105" s="340"/>
    </row>
    <row r="106" spans="1:14" x14ac:dyDescent="0.2">
      <c r="B106" s="334" t="s">
        <v>648</v>
      </c>
      <c r="C106" s="334"/>
      <c r="D106" s="341"/>
      <c r="E106" s="342"/>
      <c r="F106" s="342"/>
      <c r="G106" s="342"/>
      <c r="H106" s="343"/>
      <c r="I106" s="343"/>
      <c r="K106" s="340"/>
      <c r="L106" s="340"/>
      <c r="M106" s="341"/>
      <c r="N106" s="340"/>
    </row>
    <row r="107" spans="1:14" x14ac:dyDescent="0.2">
      <c r="B107" s="339" t="s">
        <v>649</v>
      </c>
      <c r="C107" s="339"/>
      <c r="D107" s="335"/>
      <c r="E107" s="336"/>
      <c r="F107" s="336"/>
      <c r="G107" s="336"/>
      <c r="H107" s="334"/>
      <c r="I107" s="334"/>
    </row>
    <row r="108" spans="1:14" x14ac:dyDescent="0.2">
      <c r="B108" s="334" t="s">
        <v>650</v>
      </c>
      <c r="C108" s="334"/>
      <c r="D108" s="335"/>
      <c r="E108" s="336"/>
      <c r="F108" s="336"/>
      <c r="G108" s="336"/>
      <c r="H108" s="334"/>
      <c r="I108" s="334"/>
    </row>
    <row r="109" spans="1:14" x14ac:dyDescent="0.2">
      <c r="B109" s="334" t="s">
        <v>651</v>
      </c>
      <c r="C109" s="334"/>
      <c r="D109" s="335"/>
      <c r="E109" s="336"/>
      <c r="F109" s="336"/>
      <c r="G109" s="336"/>
      <c r="H109" s="334"/>
      <c r="I109" s="334"/>
    </row>
    <row r="110" spans="1:14" x14ac:dyDescent="0.2">
      <c r="B110" s="344" t="s">
        <v>652</v>
      </c>
      <c r="C110" s="1436"/>
      <c r="D110" s="344"/>
      <c r="E110" s="344"/>
      <c r="F110" s="344"/>
      <c r="G110" s="344"/>
      <c r="H110" s="344"/>
      <c r="I110" s="344"/>
    </row>
    <row r="111" spans="1:14" x14ac:dyDescent="0.2">
      <c r="B111" s="344" t="s">
        <v>653</v>
      </c>
      <c r="C111" s="1436"/>
      <c r="D111" s="344"/>
      <c r="E111" s="344"/>
      <c r="F111" s="344"/>
      <c r="G111" s="344"/>
      <c r="H111" s="344"/>
      <c r="I111" s="344"/>
    </row>
    <row r="112" spans="1:14" x14ac:dyDescent="0.2">
      <c r="B112" s="339" t="s">
        <v>654</v>
      </c>
      <c r="C112" s="339"/>
      <c r="D112" s="335"/>
      <c r="E112" s="336"/>
      <c r="F112" s="336"/>
      <c r="G112" s="336"/>
      <c r="H112" s="334"/>
      <c r="I112" s="334"/>
    </row>
    <row r="113" spans="2:9" x14ac:dyDescent="0.2">
      <c r="B113" s="334" t="s">
        <v>655</v>
      </c>
      <c r="C113" s="334"/>
      <c r="D113" s="335"/>
      <c r="E113" s="336"/>
      <c r="F113" s="336"/>
      <c r="G113" s="336"/>
      <c r="H113" s="334"/>
      <c r="I113" s="334"/>
    </row>
    <row r="114" spans="2:9" x14ac:dyDescent="0.2">
      <c r="B114" s="334" t="s">
        <v>656</v>
      </c>
      <c r="C114" s="334"/>
      <c r="D114" s="335"/>
      <c r="E114" s="336"/>
      <c r="F114" s="336"/>
      <c r="G114" s="336"/>
      <c r="H114" s="334"/>
      <c r="I114" s="334"/>
    </row>
    <row r="115" spans="2:9" x14ac:dyDescent="0.2">
      <c r="B115" s="339" t="s">
        <v>657</v>
      </c>
      <c r="C115" s="339"/>
      <c r="D115" s="335"/>
      <c r="E115" s="336"/>
      <c r="F115" s="336"/>
      <c r="G115" s="336"/>
      <c r="H115" s="334"/>
      <c r="I115" s="334"/>
    </row>
    <row r="116" spans="2:9" x14ac:dyDescent="0.2">
      <c r="B116" s="334" t="s">
        <v>658</v>
      </c>
      <c r="C116" s="334"/>
      <c r="D116" s="335"/>
      <c r="E116" s="336"/>
      <c r="F116" s="336"/>
      <c r="G116" s="336"/>
      <c r="H116" s="334"/>
      <c r="I116" s="334"/>
    </row>
    <row r="117" spans="2:9" x14ac:dyDescent="0.2">
      <c r="B117" s="334" t="s">
        <v>659</v>
      </c>
      <c r="C117" s="334"/>
      <c r="D117" s="335"/>
      <c r="E117" s="336"/>
      <c r="F117" s="336"/>
      <c r="G117" s="336"/>
      <c r="H117" s="334"/>
      <c r="I117" s="334"/>
    </row>
    <row r="118" spans="2:9" x14ac:dyDescent="0.2">
      <c r="B118" s="334" t="s">
        <v>660</v>
      </c>
      <c r="C118" s="334"/>
      <c r="D118" s="335"/>
      <c r="E118" s="336"/>
      <c r="F118" s="336"/>
      <c r="G118" s="336"/>
      <c r="H118" s="334"/>
      <c r="I118" s="334"/>
    </row>
    <row r="119" spans="2:9" x14ac:dyDescent="0.2">
      <c r="B119" s="334" t="s">
        <v>661</v>
      </c>
      <c r="C119" s="334"/>
      <c r="D119" s="335"/>
      <c r="E119" s="336"/>
      <c r="F119" s="336"/>
      <c r="G119" s="336"/>
      <c r="H119" s="334"/>
      <c r="I119" s="334"/>
    </row>
    <row r="120" spans="2:9" x14ac:dyDescent="0.2">
      <c r="B120" s="334" t="s">
        <v>662</v>
      </c>
      <c r="C120" s="334"/>
      <c r="D120" s="335"/>
      <c r="E120" s="336"/>
      <c r="F120" s="336"/>
      <c r="G120" s="336"/>
      <c r="H120" s="334"/>
      <c r="I120" s="334"/>
    </row>
    <row r="121" spans="2:9" x14ac:dyDescent="0.2">
      <c r="B121" s="334" t="s">
        <v>663</v>
      </c>
      <c r="C121" s="334"/>
      <c r="D121" s="335"/>
      <c r="E121" s="336"/>
      <c r="F121" s="336"/>
      <c r="G121" s="336"/>
      <c r="H121" s="334"/>
      <c r="I121" s="334"/>
    </row>
    <row r="122" spans="2:9" x14ac:dyDescent="0.2">
      <c r="B122" s="334" t="s">
        <v>664</v>
      </c>
      <c r="C122" s="334"/>
      <c r="D122" s="335"/>
      <c r="E122" s="336"/>
      <c r="F122" s="336"/>
      <c r="G122" s="336"/>
      <c r="H122" s="334"/>
      <c r="I122" s="334"/>
    </row>
    <row r="123" spans="2:9" x14ac:dyDescent="0.2">
      <c r="B123" s="334" t="s">
        <v>665</v>
      </c>
      <c r="C123" s="334"/>
      <c r="D123" s="335"/>
      <c r="E123" s="336"/>
      <c r="F123" s="336"/>
      <c r="G123" s="336"/>
      <c r="H123" s="334"/>
      <c r="I123" s="334"/>
    </row>
    <row r="124" spans="2:9" x14ac:dyDescent="0.2">
      <c r="B124" s="286" t="s">
        <v>448</v>
      </c>
      <c r="C124" s="286"/>
      <c r="D124" s="335"/>
      <c r="E124" s="336"/>
      <c r="F124" s="336"/>
      <c r="G124" s="336"/>
      <c r="H124" s="334"/>
      <c r="I124" s="334"/>
    </row>
    <row r="125" spans="2:9" x14ac:dyDescent="0.2">
      <c r="B125" s="334" t="s">
        <v>666</v>
      </c>
      <c r="C125" s="334"/>
      <c r="D125" s="335"/>
      <c r="E125" s="336"/>
      <c r="F125" s="336"/>
      <c r="G125" s="336"/>
      <c r="H125" s="334"/>
      <c r="I125" s="334"/>
    </row>
    <row r="126" spans="2:9" x14ac:dyDescent="0.2">
      <c r="B126" s="334" t="s">
        <v>667</v>
      </c>
      <c r="C126" s="334"/>
      <c r="D126" s="335"/>
      <c r="E126" s="336"/>
      <c r="F126" s="336"/>
      <c r="G126" s="336"/>
      <c r="H126" s="334"/>
      <c r="I126" s="334"/>
    </row>
    <row r="127" spans="2:9" x14ac:dyDescent="0.2">
      <c r="B127" s="334"/>
      <c r="C127" s="334"/>
      <c r="D127" s="335"/>
      <c r="E127" s="336"/>
      <c r="F127" s="336"/>
      <c r="G127" s="336"/>
      <c r="H127" s="334"/>
      <c r="I127" s="334"/>
    </row>
    <row r="128" spans="2:9" x14ac:dyDescent="0.2">
      <c r="B128" s="1846" t="s">
        <v>668</v>
      </c>
      <c r="C128" s="1846"/>
      <c r="D128" s="1846"/>
      <c r="E128" s="1846"/>
      <c r="F128" s="1846"/>
      <c r="G128" s="1846"/>
      <c r="H128" s="1846"/>
      <c r="I128" s="1846"/>
    </row>
    <row r="129" spans="2:10" x14ac:dyDescent="0.2">
      <c r="B129" s="1848" t="s">
        <v>669</v>
      </c>
      <c r="C129" s="1848"/>
      <c r="D129" s="1848"/>
      <c r="E129" s="1848"/>
      <c r="F129" s="1848"/>
      <c r="G129" s="1848"/>
      <c r="H129" s="1848"/>
      <c r="I129" s="345"/>
    </row>
    <row r="130" spans="2:10" x14ac:dyDescent="0.2">
      <c r="B130" s="1846" t="s">
        <v>670</v>
      </c>
      <c r="C130" s="1846"/>
      <c r="D130" s="1846"/>
      <c r="E130" s="1846"/>
      <c r="F130" s="1846"/>
      <c r="G130" s="1846"/>
      <c r="H130" s="1846"/>
      <c r="I130" s="345"/>
    </row>
    <row r="131" spans="2:10" x14ac:dyDescent="0.2">
      <c r="B131" s="346" t="s">
        <v>671</v>
      </c>
      <c r="C131" s="1403"/>
      <c r="D131" s="345"/>
      <c r="E131" s="345"/>
      <c r="F131" s="345"/>
      <c r="G131" s="345"/>
      <c r="H131" s="345"/>
      <c r="I131" s="345"/>
    </row>
    <row r="132" spans="2:10" x14ac:dyDescent="0.2">
      <c r="B132" s="345" t="s">
        <v>672</v>
      </c>
      <c r="C132" s="1404"/>
      <c r="D132" s="345"/>
      <c r="E132" s="345"/>
      <c r="F132" s="345"/>
      <c r="G132" s="345"/>
      <c r="H132" s="345"/>
      <c r="I132" s="345"/>
    </row>
    <row r="133" spans="2:10" x14ac:dyDescent="0.2">
      <c r="B133" s="346" t="s">
        <v>673</v>
      </c>
      <c r="C133" s="1403"/>
      <c r="D133" s="345"/>
      <c r="E133" s="345"/>
      <c r="F133" s="345"/>
      <c r="G133" s="345"/>
      <c r="H133" s="345"/>
      <c r="I133" s="345"/>
    </row>
    <row r="134" spans="2:10" x14ac:dyDescent="0.2">
      <c r="B134" s="345" t="s">
        <v>674</v>
      </c>
      <c r="C134" s="1404"/>
      <c r="D134" s="345"/>
      <c r="E134" s="345"/>
      <c r="F134" s="345"/>
      <c r="G134" s="345"/>
      <c r="H134" s="345"/>
      <c r="I134" s="345"/>
    </row>
    <row r="135" spans="2:10" x14ac:dyDescent="0.2">
      <c r="B135" s="286" t="s">
        <v>675</v>
      </c>
      <c r="C135" s="286"/>
      <c r="D135" s="345"/>
      <c r="E135" s="345"/>
      <c r="F135" s="345"/>
      <c r="G135" s="345"/>
      <c r="H135" s="345"/>
      <c r="I135" s="345"/>
    </row>
    <row r="136" spans="2:10" x14ac:dyDescent="0.2">
      <c r="B136" s="1849" t="s">
        <v>676</v>
      </c>
      <c r="C136" s="1849"/>
      <c r="D136" s="1849"/>
      <c r="E136" s="1849"/>
      <c r="F136" s="1849"/>
      <c r="G136" s="1849"/>
      <c r="H136" s="345"/>
      <c r="I136" s="345"/>
    </row>
    <row r="137" spans="2:10" x14ac:dyDescent="0.2">
      <c r="B137" s="346" t="s">
        <v>677</v>
      </c>
      <c r="C137" s="1403"/>
      <c r="D137" s="345"/>
      <c r="E137" s="345"/>
      <c r="F137" s="345"/>
      <c r="G137" s="345"/>
      <c r="H137" s="345"/>
      <c r="I137" s="345"/>
    </row>
    <row r="138" spans="2:10" x14ac:dyDescent="0.2">
      <c r="B138" s="345" t="s">
        <v>678</v>
      </c>
      <c r="C138" s="1404"/>
      <c r="D138" s="345"/>
      <c r="E138" s="345"/>
      <c r="F138" s="345"/>
      <c r="G138" s="345"/>
      <c r="H138" s="345"/>
      <c r="I138" s="345"/>
    </row>
    <row r="139" spans="2:10" x14ac:dyDescent="0.2">
      <c r="B139" s="346" t="s">
        <v>679</v>
      </c>
      <c r="C139" s="1403"/>
      <c r="D139" s="345"/>
      <c r="E139" s="345"/>
      <c r="F139" s="345"/>
      <c r="G139" s="345"/>
      <c r="H139" s="345"/>
      <c r="I139" s="345"/>
    </row>
    <row r="140" spans="2:10" x14ac:dyDescent="0.2">
      <c r="B140" s="1850" t="s">
        <v>680</v>
      </c>
      <c r="C140" s="1850"/>
      <c r="D140" s="1850"/>
      <c r="E140" s="1850"/>
      <c r="F140" s="1850"/>
      <c r="G140" s="1850"/>
      <c r="H140" s="1850"/>
      <c r="I140" s="1850"/>
    </row>
    <row r="141" spans="2:10" x14ac:dyDescent="0.2">
      <c r="B141" s="1849" t="s">
        <v>681</v>
      </c>
      <c r="C141" s="1849"/>
      <c r="D141" s="1849"/>
      <c r="E141" s="1849"/>
      <c r="F141" s="1849"/>
      <c r="G141" s="318"/>
      <c r="H141" s="318"/>
      <c r="I141" s="347"/>
      <c r="J141" s="347"/>
    </row>
    <row r="142" spans="2:10" x14ac:dyDescent="0.2">
      <c r="B142" s="347" t="s">
        <v>682</v>
      </c>
      <c r="C142" s="347"/>
      <c r="D142" s="309"/>
      <c r="E142" s="309"/>
      <c r="F142" s="309"/>
      <c r="G142" s="318"/>
      <c r="H142" s="318"/>
      <c r="I142" s="347"/>
      <c r="J142" s="347"/>
    </row>
    <row r="143" spans="2:10" x14ac:dyDescent="0.2">
      <c r="B143" s="1851" t="s">
        <v>683</v>
      </c>
      <c r="C143" s="1851"/>
      <c r="D143" s="1851"/>
      <c r="E143" s="1851"/>
      <c r="F143" s="1851"/>
      <c r="G143" s="1851"/>
      <c r="H143" s="1851"/>
      <c r="I143" s="347"/>
      <c r="J143" s="347"/>
    </row>
    <row r="144" spans="2:10" x14ac:dyDescent="0.2">
      <c r="B144" s="1850" t="s">
        <v>684</v>
      </c>
      <c r="C144" s="1850"/>
      <c r="D144" s="1850"/>
      <c r="E144" s="1850"/>
      <c r="F144" s="1850"/>
      <c r="G144" s="1850"/>
      <c r="H144" s="318"/>
      <c r="I144" s="347"/>
      <c r="J144" s="347"/>
    </row>
    <row r="145" spans="2:10" x14ac:dyDescent="0.2">
      <c r="B145" s="1850" t="s">
        <v>685</v>
      </c>
      <c r="C145" s="1850"/>
      <c r="D145" s="1850"/>
      <c r="E145" s="1850"/>
      <c r="F145" s="1850"/>
      <c r="G145" s="1850"/>
      <c r="H145" s="1850"/>
      <c r="I145" s="1850"/>
      <c r="J145" s="347"/>
    </row>
    <row r="146" spans="2:10" x14ac:dyDescent="0.2">
      <c r="B146" s="1852" t="s">
        <v>686</v>
      </c>
      <c r="C146" s="1852"/>
      <c r="D146" s="1852"/>
      <c r="E146" s="1852"/>
      <c r="F146" s="1852"/>
      <c r="G146" s="348"/>
      <c r="H146" s="348"/>
      <c r="I146" s="348"/>
      <c r="J146" s="347"/>
    </row>
    <row r="147" spans="2:10" x14ac:dyDescent="0.2">
      <c r="B147" s="1849" t="s">
        <v>687</v>
      </c>
      <c r="C147" s="1849"/>
      <c r="D147" s="1849"/>
      <c r="E147" s="1849"/>
      <c r="F147" s="1849"/>
      <c r="G147" s="1849"/>
      <c r="H147" s="1849"/>
      <c r="I147" s="348"/>
      <c r="J147" s="347"/>
    </row>
    <row r="148" spans="2:10" x14ac:dyDescent="0.2">
      <c r="B148" s="1849" t="s">
        <v>688</v>
      </c>
      <c r="C148" s="1849"/>
      <c r="D148" s="1849"/>
      <c r="E148" s="1849"/>
      <c r="F148" s="1849"/>
      <c r="G148" s="1849"/>
      <c r="H148" s="1849"/>
      <c r="I148" s="1849"/>
      <c r="J148" s="347"/>
    </row>
    <row r="149" spans="2:10" x14ac:dyDescent="0.2">
      <c r="B149" s="349" t="s">
        <v>689</v>
      </c>
      <c r="C149" s="349"/>
      <c r="D149" s="309"/>
      <c r="E149" s="309"/>
      <c r="F149" s="309"/>
      <c r="G149" s="309"/>
      <c r="H149" s="309"/>
      <c r="I149" s="309"/>
      <c r="J149" s="347"/>
    </row>
    <row r="150" spans="2:10" x14ac:dyDescent="0.2">
      <c r="B150" s="347" t="s">
        <v>690</v>
      </c>
      <c r="C150" s="347"/>
      <c r="D150" s="309"/>
      <c r="E150" s="309"/>
      <c r="F150" s="309"/>
      <c r="G150" s="309"/>
      <c r="H150" s="309"/>
      <c r="I150" s="309"/>
      <c r="J150" s="347"/>
    </row>
    <row r="151" spans="2:10" x14ac:dyDescent="0.2">
      <c r="B151" s="349" t="s">
        <v>691</v>
      </c>
      <c r="C151" s="349"/>
      <c r="D151" s="309"/>
      <c r="E151" s="309"/>
      <c r="F151" s="309"/>
      <c r="G151" s="309"/>
      <c r="H151" s="309"/>
      <c r="I151" s="309"/>
      <c r="J151" s="347"/>
    </row>
    <row r="152" spans="2:10" x14ac:dyDescent="0.2">
      <c r="B152" s="347" t="s">
        <v>692</v>
      </c>
      <c r="C152" s="347"/>
      <c r="D152" s="309"/>
      <c r="E152" s="309"/>
      <c r="F152" s="309"/>
      <c r="G152" s="309"/>
      <c r="H152" s="309"/>
      <c r="I152" s="309"/>
      <c r="J152" s="347"/>
    </row>
    <row r="153" spans="2:10" x14ac:dyDescent="0.2">
      <c r="B153" s="1851" t="s">
        <v>693</v>
      </c>
      <c r="C153" s="1851"/>
      <c r="D153" s="1851"/>
      <c r="E153" s="1851"/>
      <c r="F153" s="1851"/>
      <c r="G153" s="309"/>
      <c r="H153" s="309"/>
      <c r="I153" s="309"/>
      <c r="J153" s="347"/>
    </row>
    <row r="154" spans="2:10" x14ac:dyDescent="0.2">
      <c r="B154" s="1849" t="s">
        <v>694</v>
      </c>
      <c r="C154" s="1849"/>
      <c r="D154" s="1849"/>
      <c r="E154" s="1849"/>
      <c r="F154" s="1849"/>
      <c r="G154" s="1849"/>
      <c r="H154" s="1849"/>
      <c r="I154" s="1849"/>
      <c r="J154" s="1849"/>
    </row>
    <row r="155" spans="2:10" x14ac:dyDescent="0.2">
      <c r="B155" s="1848" t="s">
        <v>695</v>
      </c>
      <c r="C155" s="1848"/>
      <c r="D155" s="1848"/>
      <c r="E155" s="1848"/>
      <c r="F155" s="1848"/>
      <c r="G155" s="1848"/>
      <c r="H155" s="345"/>
      <c r="I155" s="345"/>
    </row>
    <row r="156" spans="2:10" x14ac:dyDescent="0.2">
      <c r="B156" s="1853" t="s">
        <v>696</v>
      </c>
      <c r="C156" s="1853"/>
      <c r="D156" s="1853"/>
      <c r="E156" s="1853"/>
      <c r="F156" s="1853"/>
      <c r="G156" s="1853"/>
      <c r="H156" s="350"/>
      <c r="I156" s="350"/>
    </row>
    <row r="157" spans="2:10" x14ac:dyDescent="0.2">
      <c r="B157" s="351" t="s">
        <v>697</v>
      </c>
      <c r="C157" s="351"/>
      <c r="D157" s="350"/>
      <c r="E157" s="350"/>
      <c r="F157" s="350"/>
      <c r="G157" s="350"/>
      <c r="H157" s="350"/>
      <c r="I157" s="350"/>
    </row>
    <row r="158" spans="2:10" x14ac:dyDescent="0.2">
      <c r="B158" s="352" t="s">
        <v>698</v>
      </c>
      <c r="C158" s="352"/>
      <c r="D158" s="350"/>
      <c r="E158" s="350"/>
      <c r="F158" s="350"/>
      <c r="G158" s="350"/>
      <c r="H158" s="350"/>
      <c r="I158" s="350"/>
    </row>
    <row r="159" spans="2:10" x14ac:dyDescent="0.2">
      <c r="B159" s="1854" t="s">
        <v>699</v>
      </c>
      <c r="C159" s="1854"/>
      <c r="D159" s="1854"/>
      <c r="E159" s="1854"/>
      <c r="F159" s="1854"/>
      <c r="G159" s="1854"/>
      <c r="H159" s="1854"/>
      <c r="I159" s="1854"/>
    </row>
    <row r="160" spans="2:10" x14ac:dyDescent="0.2">
      <c r="B160" s="1849" t="s">
        <v>700</v>
      </c>
      <c r="C160" s="1849"/>
      <c r="D160" s="1849"/>
      <c r="E160" s="1849"/>
      <c r="F160" s="1849"/>
      <c r="G160" s="1849"/>
      <c r="H160" s="353"/>
      <c r="I160" s="353"/>
      <c r="J160" s="353"/>
    </row>
    <row r="161" spans="2:10" x14ac:dyDescent="0.2">
      <c r="B161" s="1849" t="s">
        <v>701</v>
      </c>
      <c r="C161" s="1849"/>
      <c r="D161" s="1849"/>
      <c r="E161" s="1849"/>
      <c r="F161" s="1849"/>
      <c r="G161" s="1849"/>
      <c r="H161" s="1849"/>
      <c r="J161" s="353"/>
    </row>
    <row r="163" spans="2:10" ht="11.25" customHeight="1" x14ac:dyDescent="0.2">
      <c r="B163" s="1855" t="s">
        <v>702</v>
      </c>
      <c r="C163" s="1855"/>
      <c r="D163" s="1855"/>
      <c r="E163" s="1855"/>
      <c r="F163" s="1855"/>
      <c r="G163" s="1855"/>
    </row>
    <row r="164" spans="2:10" x14ac:dyDescent="0.2">
      <c r="B164" s="286" t="s">
        <v>703</v>
      </c>
      <c r="C164" s="286"/>
    </row>
    <row r="165" spans="2:10" x14ac:dyDescent="0.2">
      <c r="B165" s="287" t="s">
        <v>704</v>
      </c>
    </row>
    <row r="167" spans="2:10" x14ac:dyDescent="0.2">
      <c r="B167" s="287" t="s">
        <v>705</v>
      </c>
    </row>
    <row r="168" spans="2:10" x14ac:dyDescent="0.2">
      <c r="B168" s="286" t="s">
        <v>706</v>
      </c>
      <c r="C168" s="286"/>
    </row>
    <row r="169" spans="2:10" x14ac:dyDescent="0.2">
      <c r="B169" s="287" t="s">
        <v>707</v>
      </c>
    </row>
  </sheetData>
  <sheetProtection algorithmName="SHA-512" hashValue="sXoOXy3sISEVH8M4vle6S6+bDRbT2+GkWYhonmS1fhoB9O8jld72KlhcIHTTeZR02xE5JpFu5kupiWGjMl6LQA==" saltValue="GASwexcnsVTzd65ggIgn5A==" spinCount="100000" sheet="1" objects="1" scenarios="1"/>
  <mergeCells count="92">
    <mergeCell ref="B65:C65"/>
    <mergeCell ref="B66:C66"/>
    <mergeCell ref="B67:C67"/>
    <mergeCell ref="A51:C51"/>
    <mergeCell ref="B16:C16"/>
    <mergeCell ref="B17:C17"/>
    <mergeCell ref="B18:C24"/>
    <mergeCell ref="B28:C29"/>
    <mergeCell ref="B31:C31"/>
    <mergeCell ref="A30:C30"/>
    <mergeCell ref="A18:A24"/>
    <mergeCell ref="B9:C10"/>
    <mergeCell ref="A11:C11"/>
    <mergeCell ref="B12:C12"/>
    <mergeCell ref="B13:C13"/>
    <mergeCell ref="B14:C14"/>
    <mergeCell ref="B156:G156"/>
    <mergeCell ref="B159:I159"/>
    <mergeCell ref="B160:G160"/>
    <mergeCell ref="B161:H161"/>
    <mergeCell ref="B163:G163"/>
    <mergeCell ref="B155:G155"/>
    <mergeCell ref="B136:G136"/>
    <mergeCell ref="B140:I140"/>
    <mergeCell ref="B141:F141"/>
    <mergeCell ref="B143:H143"/>
    <mergeCell ref="B144:G144"/>
    <mergeCell ref="B145:I145"/>
    <mergeCell ref="B146:F146"/>
    <mergeCell ref="B147:H147"/>
    <mergeCell ref="B148:I148"/>
    <mergeCell ref="B153:F153"/>
    <mergeCell ref="B154:J154"/>
    <mergeCell ref="B130:H130"/>
    <mergeCell ref="N49:N50"/>
    <mergeCell ref="A52:A61"/>
    <mergeCell ref="D52:D59"/>
    <mergeCell ref="E52:E59"/>
    <mergeCell ref="F52:F59"/>
    <mergeCell ref="A62:A63"/>
    <mergeCell ref="B128:I128"/>
    <mergeCell ref="B129:H129"/>
    <mergeCell ref="A49:A50"/>
    <mergeCell ref="D49:E49"/>
    <mergeCell ref="F49:G49"/>
    <mergeCell ref="H49:I49"/>
    <mergeCell ref="J49:J50"/>
    <mergeCell ref="K49:L49"/>
    <mergeCell ref="B64:C64"/>
    <mergeCell ref="M49:M50"/>
    <mergeCell ref="B49:C50"/>
    <mergeCell ref="B52:C61"/>
    <mergeCell ref="B62:C63"/>
    <mergeCell ref="A39:A41"/>
    <mergeCell ref="B39:B41"/>
    <mergeCell ref="M39:M41"/>
    <mergeCell ref="N39:N41"/>
    <mergeCell ref="A42:A43"/>
    <mergeCell ref="D42:D43"/>
    <mergeCell ref="M42:M43"/>
    <mergeCell ref="B42:C43"/>
    <mergeCell ref="M18:M24"/>
    <mergeCell ref="N23:N24"/>
    <mergeCell ref="B38:C38"/>
    <mergeCell ref="A28:A29"/>
    <mergeCell ref="D28:E28"/>
    <mergeCell ref="F28:G28"/>
    <mergeCell ref="H28:I28"/>
    <mergeCell ref="A32:A33"/>
    <mergeCell ref="M32:M33"/>
    <mergeCell ref="A36:A37"/>
    <mergeCell ref="M36:M37"/>
    <mergeCell ref="B32:C33"/>
    <mergeCell ref="B34:C34"/>
    <mergeCell ref="B35:C35"/>
    <mergeCell ref="B36:C37"/>
    <mergeCell ref="A4:N4"/>
    <mergeCell ref="A6:B6"/>
    <mergeCell ref="M52:M59"/>
    <mergeCell ref="Q52:Q59"/>
    <mergeCell ref="J28:J29"/>
    <mergeCell ref="K28:L28"/>
    <mergeCell ref="M28:M29"/>
    <mergeCell ref="N28:N29"/>
    <mergeCell ref="A9:A10"/>
    <mergeCell ref="D9:E9"/>
    <mergeCell ref="F9:G9"/>
    <mergeCell ref="H9:I9"/>
    <mergeCell ref="J9:J10"/>
    <mergeCell ref="K9:L9"/>
    <mergeCell ref="M9:M10"/>
    <mergeCell ref="N9:N10"/>
  </mergeCells>
  <printOptions horizontalCentered="1"/>
  <pageMargins left="0.78740157480314965" right="0.39370078740157483" top="0.59055118110236227" bottom="0.39370078740157483" header="0.23622047244094491" footer="0.23622047244094491"/>
  <pageSetup paperSize="9" scale="65" fitToHeight="0" orientation="portrait" r:id="rId1"/>
  <headerFooter>
    <oddHeader xml:space="preserve">&amp;R&amp;"Times New Roman,Regular"&amp;10
8.pielikums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0"/>
  <sheetViews>
    <sheetView view="pageLayout" zoomScaleNormal="100" workbookViewId="0">
      <selection activeCell="N1" sqref="N1"/>
    </sheetView>
  </sheetViews>
  <sheetFormatPr defaultRowHeight="12" x14ac:dyDescent="0.2"/>
  <cols>
    <col min="1" max="1" width="6.140625" style="244" customWidth="1"/>
    <col min="2" max="2" width="25" style="244" customWidth="1"/>
    <col min="3" max="3" width="13.5703125" style="244" customWidth="1"/>
    <col min="4" max="4" width="11.85546875" style="244" hidden="1" customWidth="1"/>
    <col min="5" max="5" width="11.140625" style="244" hidden="1" customWidth="1"/>
    <col min="6" max="6" width="10.28515625" style="244" hidden="1" customWidth="1"/>
    <col min="7" max="7" width="10.5703125" style="244" customWidth="1"/>
    <col min="8" max="8" width="9.7109375" style="244" customWidth="1"/>
    <col min="9" max="9" width="20.28515625" style="263" customWidth="1"/>
    <col min="10" max="10" width="28.7109375" style="244" hidden="1" customWidth="1"/>
    <col min="11" max="16384" width="9.140625" style="244"/>
  </cols>
  <sheetData>
    <row r="1" spans="1:14" x14ac:dyDescent="0.2">
      <c r="A1" s="1793" t="s">
        <v>117</v>
      </c>
      <c r="B1" s="1793"/>
      <c r="C1" s="1440" t="s">
        <v>118</v>
      </c>
      <c r="D1" s="1440"/>
      <c r="E1" s="1440"/>
      <c r="F1" s="1440"/>
      <c r="G1" s="1440"/>
      <c r="H1" s="1440"/>
      <c r="J1" s="1440"/>
    </row>
    <row r="2" spans="1:14" x14ac:dyDescent="0.2">
      <c r="A2" s="1793" t="s">
        <v>119</v>
      </c>
      <c r="B2" s="1793"/>
      <c r="C2" s="1393">
        <v>90000056357</v>
      </c>
      <c r="D2" s="1440"/>
      <c r="E2" s="1440"/>
      <c r="F2" s="1440"/>
      <c r="G2" s="1440"/>
      <c r="H2" s="1440"/>
      <c r="J2" s="1440"/>
    </row>
    <row r="3" spans="1:14" ht="15.75" x14ac:dyDescent="0.25">
      <c r="A3" s="1794" t="s">
        <v>120</v>
      </c>
      <c r="B3" s="1794"/>
      <c r="C3" s="1794"/>
      <c r="D3" s="1794"/>
      <c r="E3" s="1794"/>
      <c r="F3" s="1794"/>
      <c r="G3" s="1794"/>
      <c r="H3" s="1794"/>
      <c r="I3" s="1794"/>
      <c r="J3" s="1794"/>
    </row>
    <row r="4" spans="1:14" ht="15.75" x14ac:dyDescent="0.25">
      <c r="A4" s="246"/>
      <c r="B4" s="246"/>
      <c r="C4" s="1394"/>
      <c r="D4" s="246"/>
      <c r="E4" s="246"/>
      <c r="F4" s="246"/>
      <c r="G4" s="246"/>
      <c r="H4" s="246"/>
      <c r="I4" s="1438"/>
      <c r="J4" s="246"/>
    </row>
    <row r="5" spans="1:14" ht="15.75" x14ac:dyDescent="0.25">
      <c r="A5" s="243" t="s">
        <v>121</v>
      </c>
      <c r="B5" s="243"/>
      <c r="C5" s="247" t="s">
        <v>708</v>
      </c>
      <c r="D5" s="247"/>
      <c r="E5" s="247"/>
      <c r="F5" s="247"/>
      <c r="G5" s="247"/>
      <c r="H5" s="247"/>
      <c r="I5" s="1492"/>
      <c r="J5" s="247"/>
      <c r="K5" s="247"/>
    </row>
    <row r="6" spans="1:14" x14ac:dyDescent="0.2">
      <c r="A6" s="243" t="s">
        <v>123</v>
      </c>
      <c r="B6" s="243"/>
      <c r="C6" s="1440" t="s">
        <v>709</v>
      </c>
      <c r="D6" s="1440"/>
      <c r="E6" s="1440"/>
      <c r="F6" s="1440"/>
      <c r="G6" s="1440"/>
      <c r="H6" s="1440"/>
      <c r="J6" s="1440"/>
      <c r="K6" s="1440"/>
    </row>
    <row r="7" spans="1:14" x14ac:dyDescent="0.2">
      <c r="A7" s="243" t="s">
        <v>125</v>
      </c>
      <c r="B7" s="243"/>
      <c r="C7" s="1474" t="s">
        <v>710</v>
      </c>
      <c r="D7" s="1474"/>
      <c r="E7" s="1474"/>
      <c r="F7" s="1474"/>
      <c r="G7" s="1474"/>
      <c r="H7" s="1474"/>
      <c r="I7" s="1484"/>
      <c r="J7" s="1474"/>
      <c r="K7" s="1491"/>
      <c r="L7" s="1491"/>
      <c r="M7" s="1491"/>
      <c r="N7" s="1491"/>
    </row>
    <row r="8" spans="1:14" ht="48" x14ac:dyDescent="0.2">
      <c r="A8" s="251" t="s">
        <v>1</v>
      </c>
      <c r="B8" s="1797" t="s">
        <v>127</v>
      </c>
      <c r="C8" s="1798"/>
      <c r="D8" s="251" t="s">
        <v>14</v>
      </c>
      <c r="E8" s="251" t="s">
        <v>12</v>
      </c>
      <c r="F8" s="251" t="s">
        <v>128</v>
      </c>
      <c r="G8" s="251" t="s">
        <v>129</v>
      </c>
      <c r="H8" s="251" t="s">
        <v>3357</v>
      </c>
      <c r="I8" s="1435" t="s">
        <v>11</v>
      </c>
      <c r="J8" s="251" t="s">
        <v>131</v>
      </c>
      <c r="K8" s="1352"/>
      <c r="L8" s="367"/>
      <c r="M8" s="367"/>
      <c r="N8" s="367"/>
    </row>
    <row r="9" spans="1:14" ht="12.75" customHeight="1" x14ac:dyDescent="0.2">
      <c r="A9" s="1807" t="s">
        <v>132</v>
      </c>
      <c r="B9" s="1808"/>
      <c r="C9" s="1809"/>
      <c r="D9" s="253">
        <f>SUM(D10:D13)</f>
        <v>14764</v>
      </c>
      <c r="E9" s="253">
        <f t="shared" ref="E9:H9" si="0">SUM(E10:E13)</f>
        <v>13196.84</v>
      </c>
      <c r="F9" s="253">
        <f t="shared" si="0"/>
        <v>14047</v>
      </c>
      <c r="G9" s="253"/>
      <c r="H9" s="253">
        <f t="shared" si="0"/>
        <v>13197</v>
      </c>
      <c r="I9" s="450"/>
      <c r="J9" s="254"/>
    </row>
    <row r="10" spans="1:14" ht="29.25" customHeight="1" x14ac:dyDescent="0.2">
      <c r="A10" s="258">
        <v>1</v>
      </c>
      <c r="B10" s="1803" t="s">
        <v>711</v>
      </c>
      <c r="C10" s="1804"/>
      <c r="D10" s="272">
        <v>5490</v>
      </c>
      <c r="E10" s="272">
        <v>5484.98</v>
      </c>
      <c r="F10" s="272">
        <v>5547</v>
      </c>
      <c r="G10" s="256">
        <v>2244</v>
      </c>
      <c r="H10" s="272">
        <v>5547</v>
      </c>
      <c r="I10" s="354" t="s">
        <v>712</v>
      </c>
      <c r="J10" s="254" t="s">
        <v>713</v>
      </c>
    </row>
    <row r="11" spans="1:14" ht="33" customHeight="1" x14ac:dyDescent="0.2">
      <c r="A11" s="258">
        <v>2</v>
      </c>
      <c r="B11" s="1803" t="s">
        <v>714</v>
      </c>
      <c r="C11" s="1804"/>
      <c r="D11" s="272">
        <v>5724</v>
      </c>
      <c r="E11" s="272">
        <v>4750</v>
      </c>
      <c r="F11" s="272">
        <v>5500</v>
      </c>
      <c r="G11" s="259">
        <v>2239</v>
      </c>
      <c r="H11" s="272">
        <v>4750</v>
      </c>
      <c r="I11" s="355" t="s">
        <v>715</v>
      </c>
      <c r="J11" s="254" t="s">
        <v>716</v>
      </c>
    </row>
    <row r="12" spans="1:14" ht="40.5" customHeight="1" x14ac:dyDescent="0.2">
      <c r="A12" s="258">
        <v>3</v>
      </c>
      <c r="B12" s="1803" t="s">
        <v>717</v>
      </c>
      <c r="C12" s="1804"/>
      <c r="D12" s="272">
        <v>3000</v>
      </c>
      <c r="E12" s="272">
        <v>2961.86</v>
      </c>
      <c r="F12" s="272">
        <v>3000</v>
      </c>
      <c r="G12" s="259">
        <v>2232</v>
      </c>
      <c r="H12" s="272">
        <v>2900</v>
      </c>
      <c r="I12" s="355" t="s">
        <v>718</v>
      </c>
      <c r="J12" s="254" t="s">
        <v>719</v>
      </c>
    </row>
    <row r="13" spans="1:14" ht="33.75" hidden="1" customHeight="1" x14ac:dyDescent="0.2">
      <c r="A13" s="258">
        <v>4</v>
      </c>
      <c r="B13" s="1803" t="s">
        <v>720</v>
      </c>
      <c r="C13" s="1804"/>
      <c r="D13" s="272">
        <v>550</v>
      </c>
      <c r="E13" s="272"/>
      <c r="F13" s="272"/>
      <c r="G13" s="259">
        <v>2232</v>
      </c>
      <c r="H13" s="272"/>
      <c r="I13" s="1433" t="s">
        <v>721</v>
      </c>
      <c r="J13" s="254"/>
    </row>
    <row r="14" spans="1:14" x14ac:dyDescent="0.2">
      <c r="A14" s="356"/>
      <c r="B14" s="356"/>
      <c r="C14" s="356"/>
      <c r="D14" s="356"/>
      <c r="E14" s="356"/>
      <c r="F14" s="356"/>
      <c r="G14" s="356"/>
      <c r="H14" s="356"/>
      <c r="I14" s="1493"/>
      <c r="J14" s="356"/>
    </row>
    <row r="15" spans="1:14" x14ac:dyDescent="0.2">
      <c r="A15" s="243" t="s">
        <v>123</v>
      </c>
      <c r="B15" s="243"/>
      <c r="C15" s="1440" t="s">
        <v>722</v>
      </c>
      <c r="D15" s="243"/>
      <c r="E15" s="243"/>
      <c r="F15" s="243"/>
      <c r="G15" s="243"/>
      <c r="H15" s="243"/>
      <c r="J15" s="243"/>
    </row>
    <row r="16" spans="1:14" x14ac:dyDescent="0.2">
      <c r="A16" s="243" t="s">
        <v>125</v>
      </c>
      <c r="B16" s="243"/>
      <c r="C16" s="1474" t="s">
        <v>723</v>
      </c>
      <c r="D16" s="1474"/>
      <c r="E16" s="1474"/>
      <c r="F16" s="1474"/>
      <c r="G16" s="1474"/>
      <c r="H16" s="1474"/>
      <c r="I16" s="1474"/>
      <c r="J16" s="1474"/>
      <c r="K16" s="1491"/>
      <c r="L16" s="1491"/>
      <c r="M16" s="1491"/>
      <c r="N16" s="1491"/>
    </row>
    <row r="17" spans="1:14" ht="48" x14ac:dyDescent="0.2">
      <c r="A17" s="251" t="s">
        <v>1</v>
      </c>
      <c r="B17" s="1797" t="s">
        <v>127</v>
      </c>
      <c r="C17" s="1798"/>
      <c r="D17" s="251" t="s">
        <v>14</v>
      </c>
      <c r="E17" s="251" t="s">
        <v>12</v>
      </c>
      <c r="F17" s="251" t="s">
        <v>128</v>
      </c>
      <c r="G17" s="251" t="s">
        <v>129</v>
      </c>
      <c r="H17" s="251" t="s">
        <v>3357</v>
      </c>
      <c r="I17" s="1435" t="s">
        <v>11</v>
      </c>
      <c r="J17" s="251" t="s">
        <v>131</v>
      </c>
      <c r="K17" s="1562"/>
      <c r="L17" s="367"/>
      <c r="M17" s="367"/>
      <c r="N17" s="367"/>
    </row>
    <row r="18" spans="1:14" ht="15" customHeight="1" x14ac:dyDescent="0.2">
      <c r="A18" s="1807" t="s">
        <v>132</v>
      </c>
      <c r="B18" s="1808"/>
      <c r="C18" s="1809"/>
      <c r="D18" s="253">
        <f>SUM(D19:D22)</f>
        <v>61870</v>
      </c>
      <c r="E18" s="253">
        <f t="shared" ref="E18:H18" si="1">SUM(E19:E22)</f>
        <v>60415.06</v>
      </c>
      <c r="F18" s="253">
        <f t="shared" si="1"/>
        <v>22400</v>
      </c>
      <c r="G18" s="253"/>
      <c r="H18" s="253">
        <f t="shared" si="1"/>
        <v>22340</v>
      </c>
      <c r="I18" s="450"/>
      <c r="J18" s="254"/>
    </row>
    <row r="19" spans="1:14" ht="30.75" customHeight="1" x14ac:dyDescent="0.2">
      <c r="A19" s="1795">
        <v>1</v>
      </c>
      <c r="B19" s="1799" t="s">
        <v>724</v>
      </c>
      <c r="C19" s="1800"/>
      <c r="D19" s="272">
        <v>22970</v>
      </c>
      <c r="E19" s="272">
        <v>22159.27</v>
      </c>
      <c r="F19" s="272">
        <v>19500</v>
      </c>
      <c r="G19" s="256">
        <v>2244</v>
      </c>
      <c r="H19" s="272">
        <v>19440</v>
      </c>
      <c r="I19" s="1861" t="s">
        <v>725</v>
      </c>
      <c r="J19" s="254" t="s">
        <v>726</v>
      </c>
    </row>
    <row r="20" spans="1:14" ht="30.75" customHeight="1" x14ac:dyDescent="0.2">
      <c r="A20" s="1796"/>
      <c r="B20" s="1801"/>
      <c r="C20" s="1802"/>
      <c r="D20" s="272"/>
      <c r="E20" s="272"/>
      <c r="F20" s="272">
        <v>2900</v>
      </c>
      <c r="G20" s="256">
        <v>5240</v>
      </c>
      <c r="H20" s="272">
        <v>2900</v>
      </c>
      <c r="I20" s="1862"/>
      <c r="J20" s="254" t="s">
        <v>727</v>
      </c>
    </row>
    <row r="21" spans="1:14" ht="75.75" hidden="1" customHeight="1" x14ac:dyDescent="0.2">
      <c r="A21" s="258">
        <v>2</v>
      </c>
      <c r="B21" s="1803" t="s">
        <v>728</v>
      </c>
      <c r="C21" s="1804"/>
      <c r="D21" s="272">
        <v>37000</v>
      </c>
      <c r="E21" s="272">
        <v>36355.79</v>
      </c>
      <c r="F21" s="272">
        <v>0</v>
      </c>
      <c r="G21" s="259">
        <v>2239</v>
      </c>
      <c r="H21" s="272"/>
      <c r="I21" s="354" t="s">
        <v>729</v>
      </c>
      <c r="J21" s="254" t="s">
        <v>730</v>
      </c>
    </row>
    <row r="22" spans="1:14" ht="60.75" hidden="1" customHeight="1" x14ac:dyDescent="0.2">
      <c r="A22" s="258">
        <v>3</v>
      </c>
      <c r="B22" s="1803" t="s">
        <v>731</v>
      </c>
      <c r="C22" s="1804"/>
      <c r="D22" s="272">
        <v>1900</v>
      </c>
      <c r="E22" s="272">
        <v>1900</v>
      </c>
      <c r="F22" s="272"/>
      <c r="G22" s="256">
        <v>2244</v>
      </c>
      <c r="H22" s="272"/>
      <c r="I22" s="1433" t="s">
        <v>732</v>
      </c>
      <c r="J22" s="254" t="s">
        <v>733</v>
      </c>
    </row>
    <row r="23" spans="1:14" x14ac:dyDescent="0.2">
      <c r="A23" s="356"/>
      <c r="B23" s="356"/>
      <c r="C23" s="356"/>
      <c r="D23" s="356"/>
      <c r="E23" s="356"/>
      <c r="F23" s="356"/>
      <c r="G23" s="356"/>
      <c r="H23" s="357"/>
      <c r="I23" s="737"/>
      <c r="J23" s="356"/>
    </row>
    <row r="24" spans="1:14" hidden="1" x14ac:dyDescent="0.2">
      <c r="A24" s="319" t="s">
        <v>123</v>
      </c>
      <c r="B24" s="319"/>
      <c r="C24" s="248" t="s">
        <v>734</v>
      </c>
      <c r="D24" s="248"/>
      <c r="E24" s="319"/>
      <c r="F24" s="319"/>
      <c r="G24" s="319"/>
      <c r="H24" s="319"/>
      <c r="J24" s="243"/>
    </row>
    <row r="25" spans="1:14" hidden="1" x14ac:dyDescent="0.2">
      <c r="A25" s="319" t="s">
        <v>125</v>
      </c>
      <c r="B25" s="319"/>
      <c r="C25" s="1059" t="s">
        <v>735</v>
      </c>
      <c r="D25" s="1059"/>
      <c r="E25" s="319"/>
      <c r="F25" s="319"/>
      <c r="G25" s="319"/>
      <c r="H25" s="319"/>
      <c r="J25" s="243"/>
    </row>
    <row r="26" spans="1:14" ht="48" hidden="1" x14ac:dyDescent="0.2">
      <c r="A26" s="251" t="s">
        <v>1</v>
      </c>
      <c r="B26" s="252" t="s">
        <v>127</v>
      </c>
      <c r="C26" s="1437"/>
      <c r="D26" s="251" t="s">
        <v>14</v>
      </c>
      <c r="E26" s="251" t="s">
        <v>12</v>
      </c>
      <c r="F26" s="251" t="s">
        <v>128</v>
      </c>
      <c r="G26" s="251" t="s">
        <v>129</v>
      </c>
      <c r="H26" s="251" t="s">
        <v>130</v>
      </c>
      <c r="I26" s="1435" t="s">
        <v>11</v>
      </c>
      <c r="J26" s="251" t="s">
        <v>131</v>
      </c>
    </row>
    <row r="27" spans="1:14" hidden="1" x14ac:dyDescent="0.2">
      <c r="A27" s="1807" t="s">
        <v>132</v>
      </c>
      <c r="B27" s="1808"/>
      <c r="C27" s="1395"/>
      <c r="D27" s="253">
        <f>SUM(D28:D30)</f>
        <v>20512</v>
      </c>
      <c r="E27" s="253">
        <f>SUM(E28:E30)</f>
        <v>16831.439999999999</v>
      </c>
      <c r="F27" s="253">
        <f>SUM(F28:F30)</f>
        <v>0</v>
      </c>
      <c r="G27" s="253"/>
      <c r="H27" s="253">
        <f>SUM(H28:H30)</f>
        <v>0</v>
      </c>
      <c r="I27" s="450"/>
      <c r="J27" s="254"/>
    </row>
    <row r="28" spans="1:14" ht="144" hidden="1" x14ac:dyDescent="0.2">
      <c r="A28" s="1795">
        <v>1</v>
      </c>
      <c r="B28" s="1795" t="s">
        <v>736</v>
      </c>
      <c r="C28" s="1396"/>
      <c r="D28" s="272">
        <v>712</v>
      </c>
      <c r="E28" s="272">
        <v>711.44</v>
      </c>
      <c r="F28" s="272">
        <v>0</v>
      </c>
      <c r="G28" s="259">
        <v>2239</v>
      </c>
      <c r="H28" s="272"/>
      <c r="I28" s="355" t="s">
        <v>737</v>
      </c>
      <c r="J28" s="279" t="s">
        <v>738</v>
      </c>
    </row>
    <row r="29" spans="1:14" ht="86.25" hidden="1" customHeight="1" x14ac:dyDescent="0.2">
      <c r="A29" s="1863"/>
      <c r="B29" s="1863"/>
      <c r="C29" s="1417"/>
      <c r="D29" s="272">
        <v>1800</v>
      </c>
      <c r="E29" s="272">
        <v>0</v>
      </c>
      <c r="F29" s="272">
        <v>0</v>
      </c>
      <c r="G29" s="259">
        <v>2275</v>
      </c>
      <c r="H29" s="272"/>
      <c r="I29" s="354" t="s">
        <v>739</v>
      </c>
      <c r="J29" s="279" t="s">
        <v>740</v>
      </c>
    </row>
    <row r="30" spans="1:14" ht="192" hidden="1" x14ac:dyDescent="0.2">
      <c r="A30" s="1796"/>
      <c r="B30" s="1796"/>
      <c r="C30" s="1397"/>
      <c r="D30" s="272">
        <v>18000</v>
      </c>
      <c r="E30" s="272">
        <v>16120</v>
      </c>
      <c r="F30" s="272">
        <v>0</v>
      </c>
      <c r="G30" s="259">
        <v>2231</v>
      </c>
      <c r="H30" s="272"/>
      <c r="I30" s="354" t="s">
        <v>737</v>
      </c>
      <c r="J30" s="279" t="s">
        <v>741</v>
      </c>
    </row>
    <row r="31" spans="1:14" hidden="1" x14ac:dyDescent="0.2">
      <c r="D31" s="358"/>
      <c r="E31" s="358"/>
      <c r="F31" s="358"/>
      <c r="H31" s="358"/>
      <c r="I31" s="262"/>
    </row>
    <row r="32" spans="1:14" hidden="1" x14ac:dyDescent="0.2">
      <c r="A32" s="1810" t="s">
        <v>239</v>
      </c>
      <c r="B32" s="1811"/>
      <c r="C32" s="1391"/>
      <c r="D32" s="280">
        <f>SUM(D9,D18,D27)</f>
        <v>97146</v>
      </c>
      <c r="E32" s="280">
        <f>SUM(E9,E18,E27)</f>
        <v>90443.34</v>
      </c>
      <c r="F32" s="280">
        <f>SUM(F9,F18,F27)</f>
        <v>36447</v>
      </c>
      <c r="G32" s="281"/>
      <c r="H32" s="280">
        <f>SUM(H9,H18,H27)</f>
        <v>35537</v>
      </c>
      <c r="I32" s="264"/>
      <c r="J32" s="265"/>
    </row>
    <row r="33" spans="1:3" x14ac:dyDescent="0.2">
      <c r="A33" s="244" t="s">
        <v>400</v>
      </c>
    </row>
    <row r="34" spans="1:3" x14ac:dyDescent="0.2">
      <c r="A34" s="244" t="s">
        <v>401</v>
      </c>
    </row>
    <row r="35" spans="1:3" x14ac:dyDescent="0.2">
      <c r="B35" s="359" t="s">
        <v>742</v>
      </c>
      <c r="C35" s="359"/>
    </row>
    <row r="36" spans="1:3" x14ac:dyDescent="0.2">
      <c r="B36" s="360" t="s">
        <v>743</v>
      </c>
      <c r="C36" s="360"/>
    </row>
    <row r="37" spans="1:3" x14ac:dyDescent="0.2">
      <c r="A37" s="244" t="s">
        <v>744</v>
      </c>
      <c r="B37" s="1495"/>
      <c r="C37" s="361"/>
    </row>
    <row r="38" spans="1:3" x14ac:dyDescent="0.2">
      <c r="B38" s="361" t="s">
        <v>745</v>
      </c>
      <c r="C38" s="361"/>
    </row>
    <row r="39" spans="1:3" x14ac:dyDescent="0.2">
      <c r="A39" s="244" t="s">
        <v>746</v>
      </c>
      <c r="B39" s="361"/>
      <c r="C39" s="361"/>
    </row>
    <row r="40" spans="1:3" x14ac:dyDescent="0.2">
      <c r="B40" s="361" t="s">
        <v>747</v>
      </c>
      <c r="C40" s="361"/>
    </row>
    <row r="41" spans="1:3" x14ac:dyDescent="0.2">
      <c r="A41" s="244" t="s">
        <v>748</v>
      </c>
      <c r="B41" s="361"/>
      <c r="C41" s="361"/>
    </row>
    <row r="42" spans="1:3" x14ac:dyDescent="0.2">
      <c r="A42" s="244" t="s">
        <v>749</v>
      </c>
      <c r="B42" s="361"/>
      <c r="C42" s="361"/>
    </row>
    <row r="43" spans="1:3" x14ac:dyDescent="0.2">
      <c r="A43" s="244" t="s">
        <v>750</v>
      </c>
      <c r="B43" s="361"/>
      <c r="C43" s="361"/>
    </row>
    <row r="44" spans="1:3" x14ac:dyDescent="0.2">
      <c r="B44" s="361" t="s">
        <v>751</v>
      </c>
      <c r="C44" s="361"/>
    </row>
    <row r="45" spans="1:3" x14ac:dyDescent="0.2">
      <c r="A45" s="244" t="s">
        <v>752</v>
      </c>
      <c r="B45" s="361"/>
      <c r="C45" s="361"/>
    </row>
    <row r="46" spans="1:3" x14ac:dyDescent="0.2">
      <c r="B46" s="361" t="s">
        <v>753</v>
      </c>
      <c r="C46" s="361"/>
    </row>
    <row r="47" spans="1:3" x14ac:dyDescent="0.2">
      <c r="A47" s="244" t="s">
        <v>754</v>
      </c>
      <c r="B47" s="361"/>
      <c r="C47" s="361"/>
    </row>
    <row r="48" spans="1:3" x14ac:dyDescent="0.2">
      <c r="B48" s="361" t="s">
        <v>755</v>
      </c>
      <c r="C48" s="361"/>
    </row>
    <row r="49" spans="1:3" x14ac:dyDescent="0.2">
      <c r="A49" s="244" t="s">
        <v>756</v>
      </c>
      <c r="B49" s="361"/>
      <c r="C49" s="361"/>
    </row>
    <row r="50" spans="1:3" x14ac:dyDescent="0.2">
      <c r="B50" s="361" t="s">
        <v>755</v>
      </c>
      <c r="C50" s="361"/>
    </row>
    <row r="51" spans="1:3" x14ac:dyDescent="0.2">
      <c r="A51" s="244" t="s">
        <v>757</v>
      </c>
      <c r="B51" s="361"/>
      <c r="C51" s="361"/>
    </row>
    <row r="52" spans="1:3" x14ac:dyDescent="0.2">
      <c r="B52" s="361" t="s">
        <v>758</v>
      </c>
      <c r="C52" s="361"/>
    </row>
    <row r="53" spans="1:3" x14ac:dyDescent="0.2">
      <c r="A53" s="244" t="s">
        <v>759</v>
      </c>
      <c r="B53" s="361"/>
      <c r="C53" s="361"/>
    </row>
    <row r="54" spans="1:3" x14ac:dyDescent="0.2">
      <c r="B54" s="361" t="s">
        <v>760</v>
      </c>
      <c r="C54" s="361"/>
    </row>
    <row r="55" spans="1:3" x14ac:dyDescent="0.2">
      <c r="A55" s="244" t="s">
        <v>761</v>
      </c>
      <c r="B55" s="361"/>
      <c r="C55" s="361"/>
    </row>
    <row r="56" spans="1:3" x14ac:dyDescent="0.2">
      <c r="B56" s="361" t="s">
        <v>762</v>
      </c>
      <c r="C56" s="361"/>
    </row>
    <row r="57" spans="1:3" x14ac:dyDescent="0.2">
      <c r="B57" s="361" t="s">
        <v>763</v>
      </c>
      <c r="C57" s="361"/>
    </row>
    <row r="58" spans="1:3" x14ac:dyDescent="0.2">
      <c r="B58" s="362"/>
      <c r="C58" s="362"/>
    </row>
    <row r="59" spans="1:3" x14ac:dyDescent="0.2">
      <c r="B59" s="363" t="s">
        <v>764</v>
      </c>
      <c r="C59" s="363"/>
    </row>
    <row r="60" spans="1:3" x14ac:dyDescent="0.2">
      <c r="B60" s="361" t="s">
        <v>765</v>
      </c>
      <c r="C60" s="361"/>
    </row>
    <row r="61" spans="1:3" x14ac:dyDescent="0.2">
      <c r="A61" s="244" t="s">
        <v>766</v>
      </c>
      <c r="B61" s="361"/>
      <c r="C61" s="361"/>
    </row>
    <row r="62" spans="1:3" x14ac:dyDescent="0.2">
      <c r="A62" s="244" t="s">
        <v>767</v>
      </c>
      <c r="B62" s="361"/>
      <c r="C62" s="361"/>
    </row>
    <row r="63" spans="1:3" x14ac:dyDescent="0.2">
      <c r="A63" s="244" t="s">
        <v>768</v>
      </c>
      <c r="B63" s="361"/>
      <c r="C63" s="361"/>
    </row>
    <row r="64" spans="1:3" x14ac:dyDescent="0.2">
      <c r="B64" s="361" t="s">
        <v>769</v>
      </c>
      <c r="C64" s="361"/>
    </row>
    <row r="65" spans="1:11" x14ac:dyDescent="0.2">
      <c r="A65" s="244" t="s">
        <v>770</v>
      </c>
      <c r="B65" s="361"/>
      <c r="C65" s="361"/>
    </row>
    <row r="68" spans="1:11" x14ac:dyDescent="0.2">
      <c r="B68" s="268"/>
      <c r="C68" s="268"/>
      <c r="D68" s="268"/>
      <c r="E68" s="268"/>
      <c r="F68" s="268"/>
      <c r="G68" s="268"/>
      <c r="H68" s="268"/>
      <c r="I68" s="1494"/>
      <c r="J68" s="268"/>
      <c r="K68" s="268"/>
    </row>
    <row r="69" spans="1:11" x14ac:dyDescent="0.2">
      <c r="B69" s="268"/>
      <c r="C69" s="268"/>
      <c r="D69" s="268"/>
      <c r="E69" s="268"/>
      <c r="F69" s="268"/>
      <c r="G69" s="268"/>
      <c r="H69" s="268"/>
      <c r="I69" s="1494"/>
      <c r="J69" s="268"/>
      <c r="K69" s="268"/>
    </row>
    <row r="70" spans="1:11" x14ac:dyDescent="0.2">
      <c r="B70" s="268"/>
      <c r="C70" s="268"/>
      <c r="D70" s="268"/>
      <c r="E70" s="268"/>
      <c r="F70" s="268"/>
      <c r="G70" s="268"/>
      <c r="H70" s="268"/>
      <c r="I70" s="1494"/>
      <c r="J70" s="268"/>
      <c r="K70" s="268"/>
    </row>
  </sheetData>
  <sheetProtection algorithmName="SHA-512" hashValue="jx4I1B5+IfkszJOCby7Fd4xCPkZzke453Ub/cIYVf5ZTVvUi6yk797MbOuNJ1F3BbaWpy3dNPNebcxrDyYP7Lg==" saltValue="g7NPlx1WvZYCIbXglVBadA==" spinCount="100000" sheet="1" objects="1" scenarios="1" formatCells="0"/>
  <mergeCells count="20">
    <mergeCell ref="A27:B27"/>
    <mergeCell ref="A28:A30"/>
    <mergeCell ref="B28:B30"/>
    <mergeCell ref="A32:B32"/>
    <mergeCell ref="A19:A20"/>
    <mergeCell ref="B21:C21"/>
    <mergeCell ref="B22:C22"/>
    <mergeCell ref="B19:C20"/>
    <mergeCell ref="A1:B1"/>
    <mergeCell ref="A2:B2"/>
    <mergeCell ref="A3:J3"/>
    <mergeCell ref="I19:I20"/>
    <mergeCell ref="B8:C8"/>
    <mergeCell ref="A9:C9"/>
    <mergeCell ref="B10:C10"/>
    <mergeCell ref="B11:C11"/>
    <mergeCell ref="B12:C12"/>
    <mergeCell ref="B13:C13"/>
    <mergeCell ref="B17:C17"/>
    <mergeCell ref="A18:C18"/>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9.pielikums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3"/>
  <sheetViews>
    <sheetView view="pageLayout" zoomScaleNormal="100" workbookViewId="0">
      <selection activeCell="L11" sqref="L11"/>
    </sheetView>
  </sheetViews>
  <sheetFormatPr defaultRowHeight="12" x14ac:dyDescent="0.2"/>
  <cols>
    <col min="1" max="1" width="5" style="244" customWidth="1"/>
    <col min="2" max="2" width="24.5703125" style="244" customWidth="1"/>
    <col min="3" max="3" width="12.5703125" style="244" customWidth="1"/>
    <col min="4" max="4" width="11.85546875" style="244" hidden="1" customWidth="1"/>
    <col min="5" max="5" width="11.140625" style="244" hidden="1" customWidth="1"/>
    <col min="6" max="6" width="10.28515625" style="287" hidden="1" customWidth="1"/>
    <col min="7" max="7" width="10.5703125" style="244" customWidth="1"/>
    <col min="8" max="8" width="9.7109375" style="244" customWidth="1"/>
    <col min="9" max="9" width="19.140625" style="244" customWidth="1"/>
    <col min="10" max="10" width="28.7109375" style="244" hidden="1" customWidth="1"/>
    <col min="11" max="11" width="9.85546875" style="335" customWidth="1"/>
    <col min="12" max="16384" width="9.140625" style="244"/>
  </cols>
  <sheetData>
    <row r="1" spans="1:15" ht="12.75" customHeight="1" x14ac:dyDescent="0.2">
      <c r="A1" s="1719" t="s">
        <v>117</v>
      </c>
      <c r="B1" s="1719"/>
      <c r="C1" s="319" t="s">
        <v>118</v>
      </c>
      <c r="D1" s="319"/>
      <c r="E1" s="319"/>
      <c r="F1" s="319"/>
      <c r="G1" s="319"/>
      <c r="H1" s="319"/>
      <c r="I1" s="319"/>
      <c r="J1" s="319"/>
      <c r="L1" s="287"/>
      <c r="M1" s="287"/>
      <c r="N1" s="287"/>
    </row>
    <row r="2" spans="1:15" x14ac:dyDescent="0.2">
      <c r="A2" s="1719" t="s">
        <v>119</v>
      </c>
      <c r="B2" s="1719"/>
      <c r="C2" s="1386">
        <v>90000056357</v>
      </c>
      <c r="D2" s="1289"/>
      <c r="E2" s="319"/>
      <c r="F2" s="319"/>
      <c r="G2" s="319"/>
      <c r="H2" s="319"/>
      <c r="I2" s="319"/>
      <c r="J2" s="319"/>
      <c r="L2" s="287"/>
      <c r="M2" s="287"/>
      <c r="N2" s="287"/>
    </row>
    <row r="3" spans="1:15" x14ac:dyDescent="0.2">
      <c r="A3" s="1289"/>
      <c r="B3" s="1289"/>
      <c r="C3" s="1386"/>
      <c r="D3" s="319"/>
      <c r="E3" s="319"/>
      <c r="F3" s="319"/>
      <c r="G3" s="319"/>
      <c r="H3" s="319"/>
      <c r="I3" s="319"/>
      <c r="J3" s="319"/>
      <c r="L3" s="287"/>
      <c r="M3" s="287"/>
      <c r="N3" s="287"/>
    </row>
    <row r="4" spans="1:15" ht="15.75" x14ac:dyDescent="0.25">
      <c r="A4" s="1720" t="s">
        <v>120</v>
      </c>
      <c r="B4" s="1720"/>
      <c r="C4" s="1720"/>
      <c r="D4" s="1720"/>
      <c r="E4" s="1720"/>
      <c r="F4" s="1720"/>
      <c r="G4" s="1720"/>
      <c r="H4" s="1720"/>
      <c r="I4" s="1720"/>
      <c r="J4" s="1720"/>
      <c r="L4" s="287"/>
      <c r="M4" s="287"/>
      <c r="N4" s="287"/>
    </row>
    <row r="5" spans="1:15" ht="15.75" x14ac:dyDescent="0.25">
      <c r="A5" s="1294"/>
      <c r="B5" s="1294"/>
      <c r="C5" s="1387"/>
      <c r="D5" s="1294"/>
      <c r="E5" s="1294"/>
      <c r="F5" s="1294"/>
      <c r="G5" s="1294"/>
      <c r="H5" s="1294"/>
      <c r="I5" s="1294"/>
      <c r="J5" s="1294"/>
      <c r="L5" s="287"/>
      <c r="M5" s="287"/>
      <c r="N5" s="287"/>
    </row>
    <row r="6" spans="1:15" ht="15.75" x14ac:dyDescent="0.25">
      <c r="A6" s="319" t="s">
        <v>121</v>
      </c>
      <c r="B6" s="319"/>
      <c r="C6" s="365" t="s">
        <v>771</v>
      </c>
      <c r="D6" s="365"/>
      <c r="E6" s="319"/>
      <c r="F6" s="319"/>
      <c r="G6" s="319"/>
      <c r="H6" s="319"/>
      <c r="I6" s="319"/>
      <c r="J6" s="319"/>
      <c r="L6" s="287"/>
      <c r="M6" s="287"/>
      <c r="N6" s="287"/>
    </row>
    <row r="7" spans="1:15" x14ac:dyDescent="0.2">
      <c r="A7" s="319" t="s">
        <v>123</v>
      </c>
      <c r="B7" s="319"/>
      <c r="C7" s="319" t="s">
        <v>772</v>
      </c>
      <c r="D7" s="319"/>
      <c r="E7" s="319"/>
      <c r="F7" s="319"/>
      <c r="G7" s="319"/>
      <c r="H7" s="319"/>
      <c r="I7" s="319"/>
      <c r="J7" s="319"/>
      <c r="L7" s="287"/>
      <c r="M7" s="287"/>
      <c r="N7" s="287"/>
    </row>
    <row r="8" spans="1:15" ht="12.75" x14ac:dyDescent="0.2">
      <c r="A8" s="319" t="s">
        <v>125</v>
      </c>
      <c r="B8" s="319"/>
      <c r="C8" s="1474" t="s">
        <v>773</v>
      </c>
      <c r="D8" s="1474"/>
      <c r="E8" s="1474"/>
      <c r="F8" s="1474"/>
      <c r="G8" s="1474"/>
      <c r="H8" s="1474"/>
      <c r="I8" s="1474"/>
      <c r="J8" s="1474"/>
      <c r="K8" s="1496"/>
      <c r="L8" s="1491"/>
      <c r="M8" s="1491"/>
      <c r="N8" s="1491"/>
    </row>
    <row r="9" spans="1:15" ht="48" x14ac:dyDescent="0.2">
      <c r="A9" s="1284" t="s">
        <v>1</v>
      </c>
      <c r="B9" s="1727" t="s">
        <v>127</v>
      </c>
      <c r="C9" s="1728"/>
      <c r="D9" s="1284" t="s">
        <v>14</v>
      </c>
      <c r="E9" s="1284" t="s">
        <v>12</v>
      </c>
      <c r="F9" s="1284" t="s">
        <v>128</v>
      </c>
      <c r="G9" s="1284" t="s">
        <v>129</v>
      </c>
      <c r="H9" s="1284" t="s">
        <v>3357</v>
      </c>
      <c r="I9" s="1284" t="s">
        <v>11</v>
      </c>
      <c r="J9" s="1284" t="s">
        <v>131</v>
      </c>
      <c r="K9" s="366"/>
      <c r="L9" s="288"/>
      <c r="M9" s="288"/>
      <c r="N9" s="288"/>
      <c r="O9" s="367"/>
    </row>
    <row r="10" spans="1:15" ht="12.75" customHeight="1" x14ac:dyDescent="0.2">
      <c r="A10" s="1729" t="s">
        <v>132</v>
      </c>
      <c r="B10" s="1730"/>
      <c r="C10" s="1731"/>
      <c r="D10" s="298">
        <f>SUM(D11,D30,D31)</f>
        <v>299578</v>
      </c>
      <c r="E10" s="298">
        <f>SUM(E11,E30,E31)</f>
        <v>215542</v>
      </c>
      <c r="F10" s="298">
        <f>SUM(F11,F30,F31)</f>
        <v>211029</v>
      </c>
      <c r="G10" s="298"/>
      <c r="H10" s="298">
        <f>SUM(H11,H30,H31)</f>
        <v>158664</v>
      </c>
      <c r="I10" s="368"/>
      <c r="J10" s="369"/>
      <c r="K10" s="366"/>
      <c r="L10" s="288"/>
      <c r="M10" s="288"/>
      <c r="N10" s="288"/>
      <c r="O10" s="367"/>
    </row>
    <row r="11" spans="1:15" ht="27.75" customHeight="1" x14ac:dyDescent="0.2">
      <c r="A11" s="1735">
        <v>1</v>
      </c>
      <c r="B11" s="1741" t="s">
        <v>774</v>
      </c>
      <c r="C11" s="1742"/>
      <c r="D11" s="1287">
        <v>287369</v>
      </c>
      <c r="E11" s="1287">
        <v>205542</v>
      </c>
      <c r="F11" s="1287">
        <f>SUM(F12:F29)</f>
        <v>197529</v>
      </c>
      <c r="G11" s="371">
        <v>5250</v>
      </c>
      <c r="H11" s="1287">
        <f>SUM(H12:H29)</f>
        <v>148664</v>
      </c>
      <c r="I11" s="1761" t="s">
        <v>775</v>
      </c>
      <c r="J11" s="306"/>
      <c r="K11" s="366"/>
      <c r="L11" s="288"/>
      <c r="M11" s="288"/>
      <c r="N11" s="288"/>
      <c r="O11" s="367"/>
    </row>
    <row r="12" spans="1:15" ht="12" hidden="1" customHeight="1" x14ac:dyDescent="0.2">
      <c r="A12" s="1736"/>
      <c r="B12" s="1743"/>
      <c r="C12" s="1744"/>
      <c r="D12" s="1287"/>
      <c r="E12" s="1287"/>
      <c r="F12" s="1287"/>
      <c r="G12" s="371"/>
      <c r="H12" s="1287"/>
      <c r="I12" s="1762"/>
      <c r="J12" s="306" t="s">
        <v>776</v>
      </c>
      <c r="K12" s="366"/>
      <c r="L12" s="374"/>
      <c r="M12" s="288"/>
      <c r="N12" s="288"/>
      <c r="O12" s="367"/>
    </row>
    <row r="13" spans="1:15" ht="48" hidden="1" x14ac:dyDescent="0.2">
      <c r="A13" s="1736"/>
      <c r="B13" s="1743"/>
      <c r="C13" s="1744"/>
      <c r="D13" s="1287"/>
      <c r="E13" s="1287"/>
      <c r="F13" s="1287">
        <v>15200</v>
      </c>
      <c r="G13" s="371"/>
      <c r="H13" s="1287">
        <v>15200</v>
      </c>
      <c r="I13" s="1762"/>
      <c r="J13" s="306" t="s">
        <v>777</v>
      </c>
      <c r="K13" s="366"/>
      <c r="L13" s="374"/>
      <c r="M13" s="288"/>
      <c r="N13" s="288"/>
      <c r="O13" s="367"/>
    </row>
    <row r="14" spans="1:15" ht="12.75" hidden="1" customHeight="1" x14ac:dyDescent="0.2">
      <c r="A14" s="1736"/>
      <c r="B14" s="1743"/>
      <c r="C14" s="1744"/>
      <c r="D14" s="1287"/>
      <c r="E14" s="1287"/>
      <c r="F14" s="1287"/>
      <c r="G14" s="371"/>
      <c r="H14" s="1287"/>
      <c r="I14" s="1762"/>
      <c r="J14" s="375" t="s">
        <v>778</v>
      </c>
      <c r="K14" s="366"/>
      <c r="L14" s="374"/>
      <c r="M14" s="288"/>
      <c r="N14" s="288"/>
      <c r="O14" s="367"/>
    </row>
    <row r="15" spans="1:15" ht="60" hidden="1" x14ac:dyDescent="0.2">
      <c r="A15" s="1736"/>
      <c r="B15" s="1743"/>
      <c r="C15" s="1744"/>
      <c r="D15" s="1287"/>
      <c r="E15" s="1287"/>
      <c r="F15" s="1287"/>
      <c r="G15" s="371"/>
      <c r="H15" s="1287"/>
      <c r="I15" s="1762"/>
      <c r="J15" s="306" t="s">
        <v>779</v>
      </c>
      <c r="K15" s="376"/>
      <c r="L15" s="374"/>
      <c r="M15" s="288"/>
      <c r="N15" s="288"/>
      <c r="O15" s="367"/>
    </row>
    <row r="16" spans="1:15" ht="12.75" hidden="1" customHeight="1" x14ac:dyDescent="0.2">
      <c r="A16" s="1736"/>
      <c r="B16" s="1743"/>
      <c r="C16" s="1744"/>
      <c r="D16" s="1287"/>
      <c r="E16" s="1287"/>
      <c r="F16" s="1287"/>
      <c r="G16" s="371"/>
      <c r="H16" s="1287"/>
      <c r="I16" s="1762"/>
      <c r="J16" s="375" t="s">
        <v>780</v>
      </c>
      <c r="K16" s="366"/>
      <c r="L16" s="288"/>
      <c r="M16" s="288"/>
      <c r="N16" s="288"/>
      <c r="O16" s="367"/>
    </row>
    <row r="17" spans="1:15" ht="48" hidden="1" customHeight="1" x14ac:dyDescent="0.2">
      <c r="A17" s="1736"/>
      <c r="B17" s="1743"/>
      <c r="C17" s="1744"/>
      <c r="D17" s="1287"/>
      <c r="E17" s="1287"/>
      <c r="F17" s="1287">
        <v>303</v>
      </c>
      <c r="G17" s="371"/>
      <c r="H17" s="1287">
        <v>303</v>
      </c>
      <c r="I17" s="1762"/>
      <c r="J17" s="306" t="s">
        <v>781</v>
      </c>
      <c r="K17" s="366"/>
      <c r="L17" s="288"/>
      <c r="M17" s="288"/>
      <c r="N17" s="288"/>
      <c r="O17" s="367"/>
    </row>
    <row r="18" spans="1:15" ht="74.25" hidden="1" customHeight="1" x14ac:dyDescent="0.2">
      <c r="A18" s="1736"/>
      <c r="B18" s="1743"/>
      <c r="C18" s="1744"/>
      <c r="D18" s="1287"/>
      <c r="E18" s="1287"/>
      <c r="F18" s="1287">
        <v>4818</v>
      </c>
      <c r="G18" s="371"/>
      <c r="H18" s="1287">
        <v>4818</v>
      </c>
      <c r="I18" s="1762"/>
      <c r="J18" s="306" t="s">
        <v>782</v>
      </c>
      <c r="K18" s="366"/>
      <c r="L18" s="288"/>
      <c r="M18" s="288"/>
      <c r="N18" s="288"/>
      <c r="O18" s="367"/>
    </row>
    <row r="19" spans="1:15" ht="72.75" hidden="1" customHeight="1" x14ac:dyDescent="0.2">
      <c r="A19" s="1736"/>
      <c r="B19" s="1743"/>
      <c r="C19" s="1744"/>
      <c r="D19" s="1287"/>
      <c r="E19" s="1287"/>
      <c r="F19" s="1287">
        <v>751</v>
      </c>
      <c r="G19" s="371"/>
      <c r="H19" s="1287">
        <v>751</v>
      </c>
      <c r="I19" s="1762"/>
      <c r="J19" s="377" t="s">
        <v>783</v>
      </c>
      <c r="K19" s="366"/>
      <c r="L19" s="288"/>
      <c r="M19" s="288"/>
      <c r="N19" s="288"/>
      <c r="O19" s="367"/>
    </row>
    <row r="20" spans="1:15" ht="74.25" hidden="1" customHeight="1" x14ac:dyDescent="0.2">
      <c r="A20" s="1736"/>
      <c r="B20" s="1743"/>
      <c r="C20" s="1744"/>
      <c r="D20" s="1287"/>
      <c r="E20" s="1287"/>
      <c r="F20" s="1287">
        <v>32041</v>
      </c>
      <c r="G20" s="371"/>
      <c r="H20" s="1287">
        <v>32041</v>
      </c>
      <c r="I20" s="1762"/>
      <c r="J20" s="377" t="s">
        <v>784</v>
      </c>
      <c r="K20" s="366"/>
      <c r="L20" s="288"/>
      <c r="M20" s="288"/>
      <c r="N20" s="288"/>
      <c r="O20" s="367"/>
    </row>
    <row r="21" spans="1:15" ht="12.75" hidden="1" customHeight="1" x14ac:dyDescent="0.2">
      <c r="A21" s="1736"/>
      <c r="B21" s="1743"/>
      <c r="C21" s="1744"/>
      <c r="D21" s="1287"/>
      <c r="E21" s="1287"/>
      <c r="F21" s="1287">
        <v>6415</v>
      </c>
      <c r="G21" s="371"/>
      <c r="H21" s="1287">
        <v>6415</v>
      </c>
      <c r="I21" s="1762"/>
      <c r="J21" s="306" t="s">
        <v>785</v>
      </c>
      <c r="K21" s="366"/>
      <c r="L21" s="288"/>
      <c r="M21" s="288"/>
      <c r="N21" s="288"/>
      <c r="O21" s="367"/>
    </row>
    <row r="22" spans="1:15" ht="36" hidden="1" x14ac:dyDescent="0.2">
      <c r="A22" s="1736"/>
      <c r="B22" s="1743"/>
      <c r="C22" s="1744"/>
      <c r="D22" s="1287"/>
      <c r="E22" s="1287"/>
      <c r="F22" s="1287">
        <v>80183</v>
      </c>
      <c r="G22" s="371"/>
      <c r="H22" s="1287">
        <v>80183</v>
      </c>
      <c r="I22" s="1762"/>
      <c r="J22" s="306" t="s">
        <v>786</v>
      </c>
      <c r="K22" s="366"/>
      <c r="L22" s="288"/>
      <c r="M22" s="288"/>
      <c r="N22" s="288"/>
      <c r="O22" s="367"/>
    </row>
    <row r="23" spans="1:15" ht="24" hidden="1" x14ac:dyDescent="0.2">
      <c r="A23" s="1736"/>
      <c r="B23" s="1743"/>
      <c r="C23" s="1744"/>
      <c r="D23" s="1287"/>
      <c r="E23" s="1287"/>
      <c r="F23" s="1287">
        <v>1883</v>
      </c>
      <c r="G23" s="371"/>
      <c r="H23" s="1287">
        <v>1883</v>
      </c>
      <c r="I23" s="1762"/>
      <c r="J23" s="306" t="s">
        <v>787</v>
      </c>
      <c r="K23" s="366"/>
      <c r="L23" s="288"/>
      <c r="M23" s="288"/>
      <c r="N23" s="288"/>
      <c r="O23" s="367"/>
    </row>
    <row r="24" spans="1:15" ht="24" hidden="1" x14ac:dyDescent="0.2">
      <c r="A24" s="1736"/>
      <c r="B24" s="1743"/>
      <c r="C24" s="1744"/>
      <c r="D24" s="1287"/>
      <c r="E24" s="1287"/>
      <c r="F24" s="1287">
        <v>3240</v>
      </c>
      <c r="G24" s="371"/>
      <c r="H24" s="1287">
        <v>3240</v>
      </c>
      <c r="I24" s="1762"/>
      <c r="J24" s="306" t="s">
        <v>788</v>
      </c>
      <c r="L24" s="287"/>
      <c r="M24" s="287"/>
      <c r="N24" s="287"/>
    </row>
    <row r="25" spans="1:15" ht="12" hidden="1" customHeight="1" x14ac:dyDescent="0.2">
      <c r="A25" s="1736"/>
      <c r="B25" s="1743"/>
      <c r="C25" s="1744"/>
      <c r="D25" s="1287"/>
      <c r="E25" s="1287"/>
      <c r="F25" s="1287">
        <v>8900</v>
      </c>
      <c r="G25" s="371"/>
      <c r="H25" s="1287"/>
      <c r="I25" s="1762"/>
      <c r="J25" s="306" t="s">
        <v>789</v>
      </c>
      <c r="L25" s="287"/>
      <c r="M25" s="287"/>
      <c r="N25" s="287"/>
    </row>
    <row r="26" spans="1:15" ht="12.75" hidden="1" customHeight="1" x14ac:dyDescent="0.2">
      <c r="A26" s="1736"/>
      <c r="B26" s="1743"/>
      <c r="C26" s="1744"/>
      <c r="D26" s="1287"/>
      <c r="E26" s="1287"/>
      <c r="F26" s="1287"/>
      <c r="G26" s="371"/>
      <c r="H26" s="1287"/>
      <c r="I26" s="1762"/>
      <c r="J26" s="375" t="s">
        <v>790</v>
      </c>
      <c r="L26" s="287"/>
      <c r="M26" s="287"/>
      <c r="N26" s="287"/>
    </row>
    <row r="27" spans="1:15" ht="48" hidden="1" customHeight="1" x14ac:dyDescent="0.2">
      <c r="A27" s="1736"/>
      <c r="B27" s="1743"/>
      <c r="C27" s="1744"/>
      <c r="D27" s="1287"/>
      <c r="E27" s="1287"/>
      <c r="F27" s="1287">
        <v>39965</v>
      </c>
      <c r="G27" s="371"/>
      <c r="H27" s="1287"/>
      <c r="I27" s="1762"/>
      <c r="J27" s="306" t="s">
        <v>791</v>
      </c>
      <c r="L27" s="287"/>
      <c r="M27" s="287"/>
      <c r="N27" s="287"/>
    </row>
    <row r="28" spans="1:15" ht="12.75" hidden="1" customHeight="1" x14ac:dyDescent="0.2">
      <c r="A28" s="1736"/>
      <c r="B28" s="1743"/>
      <c r="C28" s="1744"/>
      <c r="D28" s="1287"/>
      <c r="E28" s="1287"/>
      <c r="F28" s="1287"/>
      <c r="G28" s="371"/>
      <c r="H28" s="1287"/>
      <c r="I28" s="1762"/>
      <c r="J28" s="375" t="s">
        <v>792</v>
      </c>
      <c r="L28" s="287"/>
      <c r="M28" s="287"/>
      <c r="N28" s="287"/>
    </row>
    <row r="29" spans="1:15" ht="36" hidden="1" x14ac:dyDescent="0.2">
      <c r="A29" s="1736"/>
      <c r="B29" s="1743"/>
      <c r="C29" s="1744"/>
      <c r="D29" s="1287"/>
      <c r="E29" s="1287"/>
      <c r="F29" s="1287">
        <v>3830</v>
      </c>
      <c r="G29" s="371"/>
      <c r="H29" s="1287">
        <v>3830</v>
      </c>
      <c r="I29" s="1763"/>
      <c r="J29" s="378" t="s">
        <v>793</v>
      </c>
      <c r="L29" s="287"/>
      <c r="M29" s="287"/>
      <c r="N29" s="287"/>
    </row>
    <row r="30" spans="1:15" ht="24" x14ac:dyDescent="0.2">
      <c r="A30" s="1737"/>
      <c r="B30" s="1745"/>
      <c r="C30" s="1746"/>
      <c r="D30" s="1287">
        <v>12209</v>
      </c>
      <c r="E30" s="1287">
        <v>10000</v>
      </c>
      <c r="F30" s="1287">
        <v>10000</v>
      </c>
      <c r="G30" s="371">
        <v>2241</v>
      </c>
      <c r="H30" s="1287">
        <v>10000</v>
      </c>
      <c r="I30" s="372" t="s">
        <v>775</v>
      </c>
      <c r="J30" s="370" t="s">
        <v>794</v>
      </c>
      <c r="L30" s="287"/>
      <c r="M30" s="287"/>
      <c r="N30" s="287"/>
    </row>
    <row r="31" spans="1:15" ht="36" hidden="1" x14ac:dyDescent="0.2">
      <c r="A31" s="1285">
        <v>2</v>
      </c>
      <c r="B31" s="370" t="s">
        <v>795</v>
      </c>
      <c r="C31" s="370"/>
      <c r="D31" s="303">
        <v>0</v>
      </c>
      <c r="E31" s="303">
        <v>0</v>
      </c>
      <c r="F31" s="303">
        <v>3500</v>
      </c>
      <c r="G31" s="380">
        <v>2239</v>
      </c>
      <c r="H31" s="1287"/>
      <c r="I31" s="1290" t="s">
        <v>796</v>
      </c>
      <c r="J31" s="370"/>
      <c r="L31" s="287"/>
      <c r="M31" s="287"/>
      <c r="N31" s="287"/>
    </row>
    <row r="32" spans="1:15" x14ac:dyDescent="0.2">
      <c r="A32" s="324"/>
      <c r="B32" s="324"/>
      <c r="C32" s="324"/>
      <c r="D32" s="324"/>
      <c r="E32" s="324"/>
      <c r="F32" s="324"/>
      <c r="G32" s="324"/>
      <c r="H32" s="324"/>
      <c r="I32" s="330"/>
      <c r="J32" s="324"/>
      <c r="L32" s="287"/>
      <c r="M32" s="287"/>
      <c r="N32" s="287"/>
    </row>
    <row r="33" spans="1:15" x14ac:dyDescent="0.2">
      <c r="A33" s="319" t="s">
        <v>123</v>
      </c>
      <c r="B33" s="319"/>
      <c r="C33" s="319" t="s">
        <v>797</v>
      </c>
      <c r="D33" s="319"/>
      <c r="E33" s="319"/>
      <c r="F33" s="319"/>
      <c r="G33" s="319"/>
      <c r="H33" s="319"/>
      <c r="I33" s="334"/>
      <c r="J33" s="319"/>
      <c r="L33" s="287"/>
      <c r="M33" s="287"/>
      <c r="N33" s="287"/>
    </row>
    <row r="34" spans="1:15" x14ac:dyDescent="0.2">
      <c r="A34" s="319" t="s">
        <v>125</v>
      </c>
      <c r="B34" s="319"/>
      <c r="C34" s="1474" t="s">
        <v>798</v>
      </c>
      <c r="D34" s="1474"/>
      <c r="E34" s="1474"/>
      <c r="F34" s="1474"/>
      <c r="G34" s="1474"/>
      <c r="H34" s="1474"/>
      <c r="I34" s="1474"/>
      <c r="J34" s="1474"/>
      <c r="K34" s="1491"/>
      <c r="L34" s="1491"/>
      <c r="M34" s="1491"/>
      <c r="N34" s="1491"/>
    </row>
    <row r="35" spans="1:15" ht="48" x14ac:dyDescent="0.2">
      <c r="A35" s="1284" t="s">
        <v>1</v>
      </c>
      <c r="B35" s="1727" t="s">
        <v>127</v>
      </c>
      <c r="C35" s="1728"/>
      <c r="D35" s="1284" t="s">
        <v>14</v>
      </c>
      <c r="E35" s="1284" t="s">
        <v>12</v>
      </c>
      <c r="F35" s="1284" t="s">
        <v>128</v>
      </c>
      <c r="G35" s="1284" t="s">
        <v>129</v>
      </c>
      <c r="H35" s="1284" t="s">
        <v>3357</v>
      </c>
      <c r="I35" s="1284" t="s">
        <v>11</v>
      </c>
      <c r="J35" s="1284" t="s">
        <v>131</v>
      </c>
      <c r="K35" s="366"/>
      <c r="L35" s="288"/>
      <c r="M35" s="288"/>
      <c r="N35" s="288"/>
      <c r="O35" s="367"/>
    </row>
    <row r="36" spans="1:15" ht="12" customHeight="1" x14ac:dyDescent="0.2">
      <c r="A36" s="1729" t="s">
        <v>132</v>
      </c>
      <c r="B36" s="1730"/>
      <c r="C36" s="1731"/>
      <c r="D36" s="298">
        <f>SUM(D37,D40)</f>
        <v>66505</v>
      </c>
      <c r="E36" s="298">
        <f>SUM(E37,E40)</f>
        <v>53346</v>
      </c>
      <c r="F36" s="298">
        <f>SUM(F37,F40)</f>
        <v>10673</v>
      </c>
      <c r="G36" s="298"/>
      <c r="H36" s="298">
        <f>SUM(H37,H40)</f>
        <v>10673</v>
      </c>
      <c r="I36" s="372"/>
      <c r="J36" s="306"/>
      <c r="L36" s="287"/>
      <c r="M36" s="287"/>
      <c r="N36" s="287"/>
    </row>
    <row r="37" spans="1:15" ht="24" customHeight="1" x14ac:dyDescent="0.2">
      <c r="A37" s="1735">
        <v>1</v>
      </c>
      <c r="B37" s="1741" t="s">
        <v>799</v>
      </c>
      <c r="C37" s="1742"/>
      <c r="D37" s="1407">
        <v>66505</v>
      </c>
      <c r="E37" s="1407">
        <v>53346</v>
      </c>
      <c r="F37" s="1407">
        <f>SUM(F38:F39)</f>
        <v>9173</v>
      </c>
      <c r="G37" s="371">
        <v>5250</v>
      </c>
      <c r="H37" s="1407">
        <f>SUM(H38:H39)</f>
        <v>9173</v>
      </c>
      <c r="I37" s="1761" t="s">
        <v>800</v>
      </c>
      <c r="J37" s="306"/>
      <c r="L37" s="287"/>
      <c r="M37" s="287"/>
      <c r="N37" s="287"/>
    </row>
    <row r="38" spans="1:15" ht="15" hidden="1" customHeight="1" x14ac:dyDescent="0.2">
      <c r="A38" s="1736"/>
      <c r="B38" s="1743"/>
      <c r="C38" s="1744"/>
      <c r="D38" s="1407"/>
      <c r="E38" s="1407"/>
      <c r="F38" s="1407">
        <v>4300</v>
      </c>
      <c r="G38" s="371"/>
      <c r="H38" s="1407">
        <v>4300</v>
      </c>
      <c r="I38" s="1762"/>
      <c r="J38" s="306" t="s">
        <v>801</v>
      </c>
      <c r="L38" s="335"/>
      <c r="M38" s="287"/>
      <c r="N38" s="287"/>
    </row>
    <row r="39" spans="1:15" ht="24" hidden="1" x14ac:dyDescent="0.2">
      <c r="A39" s="1736"/>
      <c r="B39" s="1743"/>
      <c r="C39" s="1744"/>
      <c r="D39" s="1407"/>
      <c r="E39" s="1407"/>
      <c r="F39" s="1407">
        <v>4873</v>
      </c>
      <c r="G39" s="371"/>
      <c r="H39" s="1407">
        <v>4873</v>
      </c>
      <c r="I39" s="1763"/>
      <c r="J39" s="306" t="s">
        <v>802</v>
      </c>
      <c r="K39" s="383"/>
      <c r="L39" s="384"/>
      <c r="M39" s="287"/>
      <c r="N39" s="287"/>
    </row>
    <row r="40" spans="1:15" ht="12.75" customHeight="1" x14ac:dyDescent="0.2">
      <c r="A40" s="1737"/>
      <c r="B40" s="1745"/>
      <c r="C40" s="1746"/>
      <c r="D40" s="1407">
        <v>0</v>
      </c>
      <c r="E40" s="1407">
        <v>0</v>
      </c>
      <c r="F40" s="1407">
        <v>1500</v>
      </c>
      <c r="G40" s="371">
        <v>2241</v>
      </c>
      <c r="H40" s="1407">
        <v>1500</v>
      </c>
      <c r="I40" s="372" t="s">
        <v>803</v>
      </c>
      <c r="J40" s="370" t="s">
        <v>794</v>
      </c>
      <c r="L40" s="287"/>
      <c r="M40" s="287"/>
      <c r="N40" s="287"/>
    </row>
    <row r="41" spans="1:15" x14ac:dyDescent="0.2">
      <c r="A41" s="337"/>
      <c r="B41" s="1291"/>
      <c r="C41" s="1415"/>
      <c r="D41" s="311"/>
      <c r="E41" s="311"/>
      <c r="F41" s="311"/>
      <c r="G41" s="311"/>
      <c r="H41" s="311"/>
      <c r="I41" s="311"/>
      <c r="J41" s="337"/>
      <c r="L41" s="287"/>
      <c r="M41" s="287"/>
      <c r="N41" s="287"/>
    </row>
    <row r="42" spans="1:15" x14ac:dyDescent="0.2">
      <c r="A42" s="319" t="s">
        <v>123</v>
      </c>
      <c r="B42" s="319"/>
      <c r="C42" s="248" t="s">
        <v>804</v>
      </c>
      <c r="D42" s="248"/>
      <c r="E42" s="319"/>
      <c r="F42" s="319"/>
      <c r="G42" s="319"/>
      <c r="H42" s="319"/>
      <c r="I42" s="319"/>
      <c r="J42" s="319"/>
      <c r="L42" s="287"/>
      <c r="M42" s="287"/>
      <c r="N42" s="287"/>
    </row>
    <row r="43" spans="1:15" x14ac:dyDescent="0.2">
      <c r="A43" s="319" t="s">
        <v>125</v>
      </c>
      <c r="B43" s="319"/>
      <c r="C43" s="1474" t="s">
        <v>805</v>
      </c>
      <c r="D43" s="1474"/>
      <c r="E43" s="1474"/>
      <c r="F43" s="1474"/>
      <c r="G43" s="1474"/>
      <c r="H43" s="1474"/>
      <c r="I43" s="1474"/>
      <c r="J43" s="1474"/>
      <c r="K43" s="1491"/>
      <c r="L43" s="1491"/>
      <c r="M43" s="1491"/>
      <c r="N43" s="1491"/>
    </row>
    <row r="44" spans="1:15" ht="48" x14ac:dyDescent="0.2">
      <c r="A44" s="1284" t="s">
        <v>1</v>
      </c>
      <c r="B44" s="1727" t="s">
        <v>127</v>
      </c>
      <c r="C44" s="1728"/>
      <c r="D44" s="1284" t="s">
        <v>14</v>
      </c>
      <c r="E44" s="1284" t="s">
        <v>12</v>
      </c>
      <c r="F44" s="1284" t="s">
        <v>128</v>
      </c>
      <c r="G44" s="1284" t="s">
        <v>129</v>
      </c>
      <c r="H44" s="1284" t="s">
        <v>3357</v>
      </c>
      <c r="I44" s="1284" t="s">
        <v>11</v>
      </c>
      <c r="J44" s="1284" t="s">
        <v>131</v>
      </c>
      <c r="K44" s="366"/>
      <c r="L44" s="288"/>
      <c r="M44" s="288"/>
      <c r="N44" s="288"/>
    </row>
    <row r="45" spans="1:15" ht="12" customHeight="1" x14ac:dyDescent="0.2">
      <c r="A45" s="1729" t="s">
        <v>132</v>
      </c>
      <c r="B45" s="1730"/>
      <c r="C45" s="1731"/>
      <c r="D45" s="385">
        <f>SUM(D46,D49)</f>
        <v>710</v>
      </c>
      <c r="E45" s="385">
        <f t="shared" ref="E45:F45" si="0">SUM(E46,E49)</f>
        <v>710</v>
      </c>
      <c r="F45" s="385">
        <f t="shared" si="0"/>
        <v>7910</v>
      </c>
      <c r="G45" s="385"/>
      <c r="H45" s="385">
        <f>SUM(H46,H49)</f>
        <v>9700</v>
      </c>
      <c r="I45" s="368"/>
      <c r="J45" s="369"/>
      <c r="L45" s="287"/>
      <c r="M45" s="287"/>
      <c r="N45" s="287"/>
    </row>
    <row r="46" spans="1:15" ht="36" x14ac:dyDescent="0.2">
      <c r="A46" s="1285">
        <v>1</v>
      </c>
      <c r="B46" s="1747" t="s">
        <v>806</v>
      </c>
      <c r="C46" s="1748"/>
      <c r="D46" s="1287">
        <f>SUM(D47:D48)</f>
        <v>710</v>
      </c>
      <c r="E46" s="1287">
        <f t="shared" ref="E46:H46" si="1">SUM(E47:E48)</f>
        <v>710</v>
      </c>
      <c r="F46" s="1287">
        <f t="shared" si="1"/>
        <v>6410</v>
      </c>
      <c r="G46" s="371">
        <v>5250</v>
      </c>
      <c r="H46" s="1287">
        <f t="shared" si="1"/>
        <v>9700</v>
      </c>
      <c r="I46" s="1290" t="s">
        <v>807</v>
      </c>
      <c r="J46" s="306"/>
      <c r="L46" s="287"/>
      <c r="M46" s="287"/>
      <c r="N46" s="287"/>
    </row>
    <row r="47" spans="1:15" ht="24" hidden="1" x14ac:dyDescent="0.2">
      <c r="A47" s="1735"/>
      <c r="B47" s="1843"/>
      <c r="C47" s="1410"/>
      <c r="D47" s="1287">
        <v>710</v>
      </c>
      <c r="E47" s="1287">
        <v>710</v>
      </c>
      <c r="F47" s="1287">
        <v>6410</v>
      </c>
      <c r="G47" s="371"/>
      <c r="H47" s="1287">
        <v>9700</v>
      </c>
      <c r="I47" s="1287"/>
      <c r="J47" s="306" t="s">
        <v>808</v>
      </c>
      <c r="L47" s="287"/>
      <c r="M47" s="287"/>
      <c r="N47" s="287"/>
    </row>
    <row r="48" spans="1:15" ht="12.75" hidden="1" customHeight="1" x14ac:dyDescent="0.2">
      <c r="A48" s="1736"/>
      <c r="B48" s="1844"/>
      <c r="C48" s="1413"/>
      <c r="D48" s="1287"/>
      <c r="E48" s="1287"/>
      <c r="F48" s="1287"/>
      <c r="G48" s="371"/>
      <c r="H48" s="1287"/>
      <c r="I48" s="1287"/>
      <c r="J48" s="306"/>
      <c r="L48" s="287"/>
      <c r="M48" s="287"/>
      <c r="N48" s="287"/>
    </row>
    <row r="49" spans="1:15" ht="36" hidden="1" x14ac:dyDescent="0.2">
      <c r="A49" s="1736"/>
      <c r="B49" s="1844"/>
      <c r="C49" s="1413"/>
      <c r="D49" s="1287">
        <v>0</v>
      </c>
      <c r="E49" s="1287">
        <v>0</v>
      </c>
      <c r="F49" s="1287">
        <v>1500</v>
      </c>
      <c r="G49" s="371">
        <v>2241</v>
      </c>
      <c r="H49" s="1287"/>
      <c r="I49" s="1290" t="s">
        <v>807</v>
      </c>
      <c r="J49" s="370" t="s">
        <v>794</v>
      </c>
      <c r="L49" s="287"/>
      <c r="M49" s="287"/>
      <c r="N49" s="287"/>
    </row>
    <row r="50" spans="1:15" ht="12.75" hidden="1" customHeight="1" x14ac:dyDescent="0.2">
      <c r="A50" s="1737"/>
      <c r="B50" s="1845"/>
      <c r="C50" s="1411"/>
      <c r="D50" s="381"/>
      <c r="E50" s="381"/>
      <c r="F50" s="381"/>
      <c r="G50" s="382"/>
      <c r="H50" s="381"/>
      <c r="I50" s="381"/>
      <c r="J50" s="369"/>
      <c r="L50" s="287"/>
      <c r="M50" s="287"/>
      <c r="N50" s="287"/>
    </row>
    <row r="51" spans="1:15" ht="12.75" customHeight="1" x14ac:dyDescent="0.2">
      <c r="A51" s="386"/>
      <c r="B51" s="386"/>
      <c r="C51" s="386"/>
      <c r="D51" s="387"/>
      <c r="E51" s="387"/>
      <c r="F51" s="311"/>
      <c r="G51" s="387"/>
      <c r="H51" s="387"/>
      <c r="I51" s="387"/>
      <c r="J51" s="388"/>
    </row>
    <row r="52" spans="1:15" x14ac:dyDescent="0.2">
      <c r="A52" s="1306" t="s">
        <v>123</v>
      </c>
      <c r="B52" s="1306"/>
      <c r="C52" s="389" t="s">
        <v>124</v>
      </c>
      <c r="D52" s="389"/>
      <c r="E52" s="1306"/>
      <c r="F52" s="319"/>
      <c r="G52" s="1306"/>
      <c r="H52" s="1306"/>
      <c r="I52" s="1306"/>
      <c r="J52" s="1306"/>
    </row>
    <row r="53" spans="1:15" x14ac:dyDescent="0.2">
      <c r="A53" s="1306" t="s">
        <v>125</v>
      </c>
      <c r="B53" s="1306"/>
      <c r="C53" s="1474" t="s">
        <v>809</v>
      </c>
      <c r="D53" s="1474"/>
      <c r="E53" s="1474"/>
      <c r="F53" s="1474"/>
      <c r="G53" s="1474"/>
      <c r="H53" s="1474"/>
      <c r="I53" s="1474"/>
      <c r="J53" s="1474"/>
      <c r="K53" s="1491"/>
      <c r="L53" s="1491"/>
      <c r="M53" s="1491"/>
      <c r="N53" s="1491"/>
    </row>
    <row r="54" spans="1:15" ht="48" x14ac:dyDescent="0.2">
      <c r="A54" s="1457" t="s">
        <v>1</v>
      </c>
      <c r="B54" s="1864" t="s">
        <v>127</v>
      </c>
      <c r="C54" s="1864"/>
      <c r="D54" s="1457" t="s">
        <v>14</v>
      </c>
      <c r="E54" s="1457" t="s">
        <v>12</v>
      </c>
      <c r="F54" s="1450" t="s">
        <v>128</v>
      </c>
      <c r="G54" s="1457" t="s">
        <v>129</v>
      </c>
      <c r="H54" s="1457" t="s">
        <v>3357</v>
      </c>
      <c r="I54" s="1457" t="s">
        <v>11</v>
      </c>
      <c r="J54" s="1457" t="s">
        <v>131</v>
      </c>
      <c r="K54" s="1485"/>
      <c r="L54" s="367"/>
      <c r="M54" s="367"/>
      <c r="N54" s="367"/>
      <c r="O54" s="367"/>
    </row>
    <row r="55" spans="1:15" ht="12" customHeight="1" x14ac:dyDescent="0.2">
      <c r="A55" s="1876" t="s">
        <v>132</v>
      </c>
      <c r="B55" s="1876"/>
      <c r="C55" s="1876"/>
      <c r="D55" s="385">
        <f>SUM(D56,D59,D65,D67,D71,D74,D76,D90,D93,D96,D112,D115,D118,D123,D126,D129,D132)</f>
        <v>336658</v>
      </c>
      <c r="E55" s="385">
        <f t="shared" ref="E55:F55" si="2">SUM(E56,E59,E65,E67,E71,E74,E76,E90,E93,E96,E112,E115,E118,E123,E126,E129,E132)</f>
        <v>332774</v>
      </c>
      <c r="F55" s="385">
        <f t="shared" si="2"/>
        <v>440549</v>
      </c>
      <c r="G55" s="385"/>
      <c r="H55" s="385">
        <f>SUM(H56,H59,H65,H67,H71,H74,H76,H90,H93,H96,H112,H115,H118,H123,H126,H129,H132)</f>
        <v>211942</v>
      </c>
      <c r="I55" s="298"/>
      <c r="J55" s="1454"/>
    </row>
    <row r="56" spans="1:15" ht="24" hidden="1" customHeight="1" x14ac:dyDescent="0.2">
      <c r="A56" s="1829">
        <v>1</v>
      </c>
      <c r="B56" s="1866" t="s">
        <v>810</v>
      </c>
      <c r="C56" s="1866"/>
      <c r="D56" s="381">
        <v>25425</v>
      </c>
      <c r="E56" s="381">
        <v>25425</v>
      </c>
      <c r="F56" s="381">
        <f>SUM(F57:F58)</f>
        <v>956</v>
      </c>
      <c r="G56" s="382">
        <v>5240</v>
      </c>
      <c r="H56" s="381">
        <f>SUM(H57:H58)</f>
        <v>0</v>
      </c>
      <c r="I56" s="1449" t="s">
        <v>811</v>
      </c>
      <c r="J56" s="1454"/>
    </row>
    <row r="57" spans="1:15" ht="12.75" hidden="1" customHeight="1" x14ac:dyDescent="0.2">
      <c r="A57" s="1829"/>
      <c r="B57" s="1866"/>
      <c r="C57" s="1452"/>
      <c r="D57" s="1453"/>
      <c r="E57" s="1453"/>
      <c r="F57" s="1453"/>
      <c r="G57" s="371"/>
      <c r="H57" s="1453"/>
      <c r="I57" s="1449"/>
      <c r="J57" s="390"/>
      <c r="K57" s="383"/>
      <c r="L57" s="262"/>
    </row>
    <row r="58" spans="1:15" ht="24" hidden="1" x14ac:dyDescent="0.2">
      <c r="A58" s="1829"/>
      <c r="B58" s="1866"/>
      <c r="C58" s="1452"/>
      <c r="D58" s="1453"/>
      <c r="E58" s="1453"/>
      <c r="F58" s="1453">
        <v>956</v>
      </c>
      <c r="G58" s="371"/>
      <c r="H58" s="1453"/>
      <c r="I58" s="1449"/>
      <c r="J58" s="1454" t="s">
        <v>812</v>
      </c>
    </row>
    <row r="59" spans="1:15" ht="15" customHeight="1" x14ac:dyDescent="0.2">
      <c r="A59" s="1451">
        <v>1</v>
      </c>
      <c r="B59" s="1866" t="s">
        <v>3338</v>
      </c>
      <c r="C59" s="1866"/>
      <c r="D59" s="1453"/>
      <c r="E59" s="1453"/>
      <c r="F59" s="1453">
        <f>SUM(F60:F64)</f>
        <v>44836</v>
      </c>
      <c r="G59" s="371">
        <v>5250</v>
      </c>
      <c r="H59" s="1453">
        <f t="shared" ref="H59" si="3">SUM(H60:H64)</f>
        <v>18672</v>
      </c>
      <c r="I59" s="1449" t="s">
        <v>811</v>
      </c>
      <c r="J59" s="1454"/>
    </row>
    <row r="60" spans="1:15" ht="36" hidden="1" x14ac:dyDescent="0.2">
      <c r="A60" s="1829"/>
      <c r="B60" s="1866"/>
      <c r="C60" s="1452"/>
      <c r="D60" s="1453"/>
      <c r="E60" s="1453"/>
      <c r="F60" s="1453">
        <v>4477</v>
      </c>
      <c r="G60" s="371"/>
      <c r="H60" s="1453"/>
      <c r="I60" s="1449"/>
      <c r="J60" s="1454" t="s">
        <v>813</v>
      </c>
    </row>
    <row r="61" spans="1:15" ht="108" hidden="1" x14ac:dyDescent="0.2">
      <c r="A61" s="1829"/>
      <c r="B61" s="1866"/>
      <c r="C61" s="1452"/>
      <c r="D61" s="1453"/>
      <c r="E61" s="1453"/>
      <c r="F61" s="1453">
        <v>18672</v>
      </c>
      <c r="G61" s="371"/>
      <c r="H61" s="1453">
        <v>18672</v>
      </c>
      <c r="I61" s="1449"/>
      <c r="J61" s="1454" t="s">
        <v>814</v>
      </c>
    </row>
    <row r="62" spans="1:15" ht="48" hidden="1" x14ac:dyDescent="0.2">
      <c r="A62" s="1829"/>
      <c r="B62" s="1866"/>
      <c r="C62" s="1452"/>
      <c r="D62" s="1453"/>
      <c r="E62" s="1453"/>
      <c r="F62" s="1453">
        <v>17430</v>
      </c>
      <c r="G62" s="371"/>
      <c r="H62" s="1453"/>
      <c r="I62" s="1449"/>
      <c r="J62" s="1454" t="s">
        <v>815</v>
      </c>
    </row>
    <row r="63" spans="1:15" ht="36" hidden="1" x14ac:dyDescent="0.2">
      <c r="A63" s="1829"/>
      <c r="B63" s="1866"/>
      <c r="C63" s="1452"/>
      <c r="D63" s="1453"/>
      <c r="E63" s="1453"/>
      <c r="F63" s="1453">
        <v>4257</v>
      </c>
      <c r="G63" s="371"/>
      <c r="H63" s="1453"/>
      <c r="I63" s="1449"/>
      <c r="J63" s="1454" t="s">
        <v>816</v>
      </c>
    </row>
    <row r="64" spans="1:15" ht="12.75" hidden="1" customHeight="1" x14ac:dyDescent="0.2">
      <c r="A64" s="1829"/>
      <c r="B64" s="1866"/>
      <c r="C64" s="1452"/>
      <c r="D64" s="1453"/>
      <c r="E64" s="1453"/>
      <c r="F64" s="1453"/>
      <c r="G64" s="371"/>
      <c r="H64" s="1453"/>
      <c r="I64" s="1449"/>
      <c r="J64" s="1454"/>
    </row>
    <row r="65" spans="1:10" ht="12.75" hidden="1" customHeight="1" x14ac:dyDescent="0.2">
      <c r="A65" s="1829"/>
      <c r="B65" s="1866"/>
      <c r="C65" s="1452"/>
      <c r="D65" s="1453">
        <v>3073</v>
      </c>
      <c r="E65" s="1453">
        <v>3073</v>
      </c>
      <c r="F65" s="1453">
        <v>3000</v>
      </c>
      <c r="G65" s="371">
        <v>2241</v>
      </c>
      <c r="H65" s="1453"/>
      <c r="I65" s="1449" t="s">
        <v>811</v>
      </c>
      <c r="J65" s="1454" t="s">
        <v>794</v>
      </c>
    </row>
    <row r="66" spans="1:10" ht="12.75" hidden="1" customHeight="1" x14ac:dyDescent="0.2">
      <c r="A66" s="1829"/>
      <c r="B66" s="1866"/>
      <c r="C66" s="1452"/>
      <c r="D66" s="1453"/>
      <c r="E66" s="1453"/>
      <c r="F66" s="1453"/>
      <c r="G66" s="371"/>
      <c r="H66" s="1453"/>
      <c r="I66" s="1453"/>
      <c r="J66" s="1454"/>
    </row>
    <row r="67" spans="1:10" ht="24" customHeight="1" x14ac:dyDescent="0.2">
      <c r="A67" s="1829">
        <v>2</v>
      </c>
      <c r="B67" s="1866" t="s">
        <v>817</v>
      </c>
      <c r="C67" s="1866"/>
      <c r="D67" s="1453">
        <v>113586</v>
      </c>
      <c r="E67" s="1453">
        <v>113586</v>
      </c>
      <c r="F67" s="1453">
        <f>SUM(F68:F70)</f>
        <v>84000</v>
      </c>
      <c r="G67" s="371">
        <v>5250</v>
      </c>
      <c r="H67" s="1453">
        <f>SUM(H68:H70)</f>
        <v>50000</v>
      </c>
      <c r="I67" s="1732" t="s">
        <v>818</v>
      </c>
      <c r="J67" s="1454"/>
    </row>
    <row r="68" spans="1:10" ht="21" hidden="1" customHeight="1" x14ac:dyDescent="0.2">
      <c r="A68" s="1829"/>
      <c r="B68" s="1866"/>
      <c r="C68" s="1866"/>
      <c r="D68" s="1453"/>
      <c r="E68" s="1453"/>
      <c r="F68" s="1453">
        <v>4000</v>
      </c>
      <c r="G68" s="371"/>
      <c r="H68" s="1453"/>
      <c r="I68" s="1733"/>
      <c r="J68" s="391" t="s">
        <v>819</v>
      </c>
    </row>
    <row r="69" spans="1:10" ht="21" hidden="1" customHeight="1" x14ac:dyDescent="0.2">
      <c r="A69" s="1829"/>
      <c r="B69" s="1866"/>
      <c r="C69" s="1866"/>
      <c r="D69" s="1453"/>
      <c r="E69" s="1453"/>
      <c r="F69" s="1453">
        <v>80000</v>
      </c>
      <c r="G69" s="371"/>
      <c r="H69" s="1453">
        <v>50000</v>
      </c>
      <c r="I69" s="1733"/>
      <c r="J69" s="391" t="s">
        <v>820</v>
      </c>
    </row>
    <row r="70" spans="1:10" ht="21" hidden="1" customHeight="1" x14ac:dyDescent="0.2">
      <c r="A70" s="1829"/>
      <c r="B70" s="1866"/>
      <c r="C70" s="1866"/>
      <c r="D70" s="1453"/>
      <c r="E70" s="1453"/>
      <c r="F70" s="1453"/>
      <c r="G70" s="371"/>
      <c r="H70" s="1453"/>
      <c r="I70" s="1733"/>
      <c r="J70" s="1454"/>
    </row>
    <row r="71" spans="1:10" ht="24" x14ac:dyDescent="0.2">
      <c r="A71" s="1829"/>
      <c r="B71" s="1866"/>
      <c r="C71" s="1866"/>
      <c r="D71" s="1453">
        <v>11671</v>
      </c>
      <c r="E71" s="1453">
        <v>11671</v>
      </c>
      <c r="F71" s="1453">
        <f>SUM(F72:F73)</f>
        <v>11000</v>
      </c>
      <c r="G71" s="371">
        <v>2241</v>
      </c>
      <c r="H71" s="1453">
        <f>SUM(H72:H73)</f>
        <v>11000</v>
      </c>
      <c r="I71" s="1734"/>
      <c r="J71" s="1454" t="s">
        <v>822</v>
      </c>
    </row>
    <row r="72" spans="1:10" ht="36" hidden="1" x14ac:dyDescent="0.2">
      <c r="A72" s="1829"/>
      <c r="B72" s="1866"/>
      <c r="C72" s="1866"/>
      <c r="D72" s="1453"/>
      <c r="E72" s="1453"/>
      <c r="F72" s="1453">
        <v>11000</v>
      </c>
      <c r="G72" s="371"/>
      <c r="H72" s="1453">
        <v>11000</v>
      </c>
      <c r="I72" s="1453"/>
      <c r="J72" s="391" t="s">
        <v>820</v>
      </c>
    </row>
    <row r="73" spans="1:10" ht="12.75" hidden="1" customHeight="1" x14ac:dyDescent="0.2">
      <c r="A73" s="1829"/>
      <c r="B73" s="1866"/>
      <c r="C73" s="1866"/>
      <c r="D73" s="1453"/>
      <c r="E73" s="1453"/>
      <c r="F73" s="1453"/>
      <c r="G73" s="371"/>
      <c r="H73" s="1453"/>
      <c r="I73" s="1453"/>
      <c r="J73" s="1454"/>
    </row>
    <row r="74" spans="1:10" ht="24" hidden="1" x14ac:dyDescent="0.2">
      <c r="A74" s="1829"/>
      <c r="B74" s="1866"/>
      <c r="C74" s="1866"/>
      <c r="D74" s="1453">
        <v>8820</v>
      </c>
      <c r="E74" s="1453">
        <v>8820</v>
      </c>
      <c r="F74" s="1453">
        <v>5000</v>
      </c>
      <c r="G74" s="371">
        <v>2244</v>
      </c>
      <c r="H74" s="1453"/>
      <c r="I74" s="1449" t="s">
        <v>821</v>
      </c>
      <c r="J74" s="1454" t="s">
        <v>823</v>
      </c>
    </row>
    <row r="75" spans="1:10" ht="12.75" hidden="1" customHeight="1" x14ac:dyDescent="0.2">
      <c r="A75" s="1829"/>
      <c r="B75" s="1866"/>
      <c r="C75" s="1866"/>
      <c r="D75" s="1453"/>
      <c r="E75" s="1453"/>
      <c r="F75" s="1453"/>
      <c r="G75" s="371"/>
      <c r="H75" s="1453"/>
      <c r="I75" s="1453"/>
      <c r="J75" s="1454"/>
    </row>
    <row r="76" spans="1:10" ht="24" x14ac:dyDescent="0.2">
      <c r="A76" s="1451">
        <v>3</v>
      </c>
      <c r="B76" s="1866" t="s">
        <v>824</v>
      </c>
      <c r="C76" s="1866"/>
      <c r="D76" s="1453">
        <v>106291</v>
      </c>
      <c r="E76" s="1453">
        <v>106291</v>
      </c>
      <c r="F76" s="1453">
        <f>SUM(F77:F89)</f>
        <v>139842</v>
      </c>
      <c r="G76" s="371">
        <v>2241</v>
      </c>
      <c r="H76" s="1453">
        <f>SUM(H77:H89)</f>
        <v>67294</v>
      </c>
      <c r="I76" s="1449" t="s">
        <v>825</v>
      </c>
      <c r="J76" s="1454"/>
    </row>
    <row r="77" spans="1:10" hidden="1" x14ac:dyDescent="0.2">
      <c r="A77" s="1829"/>
      <c r="B77" s="1866"/>
      <c r="C77" s="1452"/>
      <c r="D77" s="1453"/>
      <c r="E77" s="1453"/>
      <c r="F77" s="1453"/>
      <c r="G77" s="371"/>
      <c r="H77" s="1453"/>
      <c r="I77" s="1449"/>
      <c r="J77" s="1454"/>
    </row>
    <row r="78" spans="1:10" ht="36" hidden="1" x14ac:dyDescent="0.2">
      <c r="A78" s="1829"/>
      <c r="B78" s="1866"/>
      <c r="C78" s="1452"/>
      <c r="D78" s="1453"/>
      <c r="E78" s="1453"/>
      <c r="F78" s="1453">
        <v>1452</v>
      </c>
      <c r="G78" s="371"/>
      <c r="H78" s="1453">
        <v>1452</v>
      </c>
      <c r="I78" s="1449"/>
      <c r="J78" s="1454" t="s">
        <v>826</v>
      </c>
    </row>
    <row r="79" spans="1:10" ht="36" hidden="1" x14ac:dyDescent="0.2">
      <c r="A79" s="1829"/>
      <c r="B79" s="1866"/>
      <c r="C79" s="1452"/>
      <c r="D79" s="1453"/>
      <c r="E79" s="1453"/>
      <c r="F79" s="1453">
        <v>5082</v>
      </c>
      <c r="G79" s="371"/>
      <c r="H79" s="1453">
        <v>5082</v>
      </c>
      <c r="I79" s="1453"/>
      <c r="J79" s="391" t="s">
        <v>827</v>
      </c>
    </row>
    <row r="80" spans="1:10" ht="12.75" hidden="1" customHeight="1" x14ac:dyDescent="0.2">
      <c r="A80" s="1829"/>
      <c r="B80" s="1866"/>
      <c r="C80" s="1452"/>
      <c r="D80" s="1453"/>
      <c r="E80" s="1453"/>
      <c r="F80" s="1453"/>
      <c r="G80" s="371"/>
      <c r="H80" s="1453"/>
      <c r="I80" s="1453"/>
      <c r="J80" s="392" t="s">
        <v>828</v>
      </c>
    </row>
    <row r="81" spans="1:14" hidden="1" x14ac:dyDescent="0.2">
      <c r="A81" s="1829"/>
      <c r="B81" s="1866"/>
      <c r="C81" s="1452"/>
      <c r="D81" s="1453"/>
      <c r="E81" s="1453"/>
      <c r="F81" s="1453">
        <v>10980</v>
      </c>
      <c r="G81" s="371"/>
      <c r="H81" s="1453">
        <v>10980</v>
      </c>
      <c r="I81" s="1453"/>
      <c r="J81" s="391" t="s">
        <v>829</v>
      </c>
    </row>
    <row r="82" spans="1:14" hidden="1" x14ac:dyDescent="0.2">
      <c r="A82" s="1829"/>
      <c r="B82" s="1866"/>
      <c r="C82" s="1452"/>
      <c r="D82" s="1453"/>
      <c r="E82" s="1453"/>
      <c r="F82" s="1453">
        <v>46020</v>
      </c>
      <c r="G82" s="371"/>
      <c r="H82" s="1453">
        <v>46020</v>
      </c>
      <c r="I82" s="1453"/>
      <c r="J82" s="391" t="s">
        <v>830</v>
      </c>
    </row>
    <row r="83" spans="1:14" hidden="1" x14ac:dyDescent="0.2">
      <c r="A83" s="1829"/>
      <c r="B83" s="1866"/>
      <c r="C83" s="1452"/>
      <c r="D83" s="1453"/>
      <c r="E83" s="1453"/>
      <c r="F83" s="1453">
        <v>3760</v>
      </c>
      <c r="G83" s="371"/>
      <c r="H83" s="1453">
        <v>3760</v>
      </c>
      <c r="I83" s="1453"/>
      <c r="J83" s="391" t="s">
        <v>831</v>
      </c>
    </row>
    <row r="84" spans="1:14" ht="24" hidden="1" x14ac:dyDescent="0.2">
      <c r="A84" s="1829"/>
      <c r="B84" s="1866"/>
      <c r="C84" s="1452"/>
      <c r="D84" s="1453"/>
      <c r="E84" s="1453"/>
      <c r="F84" s="1453">
        <v>3200</v>
      </c>
      <c r="G84" s="371"/>
      <c r="H84" s="1453"/>
      <c r="I84" s="1453"/>
      <c r="J84" s="390" t="s">
        <v>832</v>
      </c>
    </row>
    <row r="85" spans="1:14" ht="36" hidden="1" x14ac:dyDescent="0.2">
      <c r="A85" s="1829"/>
      <c r="B85" s="1866"/>
      <c r="C85" s="1452"/>
      <c r="D85" s="1453"/>
      <c r="E85" s="1453"/>
      <c r="F85" s="1453">
        <v>21618</v>
      </c>
      <c r="G85" s="371"/>
      <c r="H85" s="1453"/>
      <c r="I85" s="1453"/>
      <c r="J85" s="390" t="s">
        <v>833</v>
      </c>
    </row>
    <row r="86" spans="1:14" hidden="1" x14ac:dyDescent="0.2">
      <c r="A86" s="1829"/>
      <c r="B86" s="1866"/>
      <c r="C86" s="1452"/>
      <c r="D86" s="1453"/>
      <c r="E86" s="1453"/>
      <c r="F86" s="1453">
        <v>15600</v>
      </c>
      <c r="G86" s="371"/>
      <c r="H86" s="1453"/>
      <c r="I86" s="1453"/>
      <c r="J86" s="390" t="s">
        <v>834</v>
      </c>
    </row>
    <row r="87" spans="1:14" ht="24" hidden="1" x14ac:dyDescent="0.2">
      <c r="A87" s="1829"/>
      <c r="B87" s="1866"/>
      <c r="C87" s="1452"/>
      <c r="D87" s="1453"/>
      <c r="E87" s="1453"/>
      <c r="F87" s="1453">
        <v>23430</v>
      </c>
      <c r="G87" s="371"/>
      <c r="H87" s="1453"/>
      <c r="I87" s="1453"/>
      <c r="J87" s="390" t="s">
        <v>835</v>
      </c>
    </row>
    <row r="88" spans="1:14" ht="36" hidden="1" x14ac:dyDescent="0.2">
      <c r="A88" s="1829"/>
      <c r="B88" s="1866"/>
      <c r="C88" s="1452"/>
      <c r="D88" s="1453"/>
      <c r="E88" s="1453"/>
      <c r="F88" s="1453">
        <v>8700</v>
      </c>
      <c r="G88" s="371"/>
      <c r="H88" s="1453"/>
      <c r="I88" s="1453"/>
      <c r="J88" s="390" t="s">
        <v>836</v>
      </c>
      <c r="L88" s="287"/>
      <c r="M88" s="287"/>
      <c r="N88" s="287"/>
    </row>
    <row r="89" spans="1:14" ht="12.75" hidden="1" customHeight="1" x14ac:dyDescent="0.2">
      <c r="A89" s="1829"/>
      <c r="B89" s="1866"/>
      <c r="C89" s="1452"/>
      <c r="D89" s="1453"/>
      <c r="E89" s="1453"/>
      <c r="F89" s="1453"/>
      <c r="G89" s="371"/>
      <c r="H89" s="1453"/>
      <c r="I89" s="1453"/>
      <c r="J89" s="1454"/>
    </row>
    <row r="90" spans="1:14" ht="36" hidden="1" customHeight="1" x14ac:dyDescent="0.2">
      <c r="A90" s="1451">
        <v>5</v>
      </c>
      <c r="B90" s="1866" t="s">
        <v>837</v>
      </c>
      <c r="C90" s="1866"/>
      <c r="D90" s="301">
        <v>9144</v>
      </c>
      <c r="E90" s="301">
        <v>9144</v>
      </c>
      <c r="F90" s="301">
        <f>SUM(F91:F92)</f>
        <v>696</v>
      </c>
      <c r="G90" s="393">
        <v>5250</v>
      </c>
      <c r="H90" s="301">
        <f>SUM(H91:H92)</f>
        <v>0</v>
      </c>
      <c r="I90" s="1449" t="s">
        <v>838</v>
      </c>
      <c r="J90" s="1454"/>
    </row>
    <row r="91" spans="1:14" ht="48" hidden="1" x14ac:dyDescent="0.2">
      <c r="A91" s="1829"/>
      <c r="B91" s="1866"/>
      <c r="C91" s="1452"/>
      <c r="D91" s="1453"/>
      <c r="E91" s="1453"/>
      <c r="F91" s="1453">
        <v>696</v>
      </c>
      <c r="G91" s="371"/>
      <c r="H91" s="1453"/>
      <c r="I91" s="1449"/>
      <c r="J91" s="1454" t="s">
        <v>839</v>
      </c>
    </row>
    <row r="92" spans="1:14" ht="12.75" hidden="1" customHeight="1" x14ac:dyDescent="0.2">
      <c r="A92" s="1829"/>
      <c r="B92" s="1866"/>
      <c r="C92" s="1452"/>
      <c r="D92" s="1453"/>
      <c r="E92" s="1453"/>
      <c r="F92" s="1453"/>
      <c r="G92" s="371"/>
      <c r="H92" s="1453"/>
      <c r="I92" s="1453"/>
      <c r="J92" s="1454"/>
    </row>
    <row r="93" spans="1:14" ht="36" hidden="1" x14ac:dyDescent="0.2">
      <c r="A93" s="1451">
        <v>6</v>
      </c>
      <c r="B93" s="1452" t="s">
        <v>840</v>
      </c>
      <c r="C93" s="1452"/>
      <c r="D93" s="1453">
        <v>3097</v>
      </c>
      <c r="E93" s="1453">
        <v>3097</v>
      </c>
      <c r="F93" s="1453">
        <f>SUM(F94:F95)</f>
        <v>0</v>
      </c>
      <c r="G93" s="371">
        <v>5240</v>
      </c>
      <c r="H93" s="1453">
        <f>SUM(H94:H95)</f>
        <v>0</v>
      </c>
      <c r="I93" s="1449" t="s">
        <v>841</v>
      </c>
      <c r="J93" s="1454"/>
    </row>
    <row r="94" spans="1:14" hidden="1" x14ac:dyDescent="0.2">
      <c r="A94" s="1829"/>
      <c r="B94" s="1866"/>
      <c r="C94" s="1452"/>
      <c r="D94" s="1453"/>
      <c r="E94" s="1453"/>
      <c r="F94" s="1453"/>
      <c r="G94" s="371"/>
      <c r="H94" s="1453"/>
      <c r="I94" s="1453"/>
      <c r="J94" s="391"/>
      <c r="K94" s="383"/>
      <c r="L94" s="262"/>
    </row>
    <row r="95" spans="1:14" ht="12.75" hidden="1" customHeight="1" x14ac:dyDescent="0.2">
      <c r="A95" s="1829"/>
      <c r="B95" s="1866"/>
      <c r="C95" s="1452"/>
      <c r="D95" s="1453"/>
      <c r="E95" s="1453"/>
      <c r="F95" s="1453"/>
      <c r="G95" s="371"/>
      <c r="H95" s="1453"/>
      <c r="I95" s="1453"/>
      <c r="J95" s="1454"/>
    </row>
    <row r="96" spans="1:14" ht="21.75" customHeight="1" x14ac:dyDescent="0.2">
      <c r="A96" s="1829">
        <v>4</v>
      </c>
      <c r="B96" s="1866" t="s">
        <v>842</v>
      </c>
      <c r="C96" s="1866"/>
      <c r="D96" s="1453">
        <v>8997</v>
      </c>
      <c r="E96" s="1453">
        <v>8997</v>
      </c>
      <c r="F96" s="1453">
        <f>SUM(F97:F111)</f>
        <v>121055</v>
      </c>
      <c r="G96" s="371">
        <v>5250</v>
      </c>
      <c r="H96" s="1453">
        <f>SUM(H97:H111)</f>
        <v>34645</v>
      </c>
      <c r="I96" s="1732" t="s">
        <v>843</v>
      </c>
      <c r="J96" s="1454"/>
    </row>
    <row r="97" spans="1:10" ht="72" hidden="1" customHeight="1" x14ac:dyDescent="0.2">
      <c r="A97" s="1829"/>
      <c r="B97" s="1866"/>
      <c r="C97" s="1866"/>
      <c r="D97" s="1453"/>
      <c r="E97" s="1453"/>
      <c r="F97" s="1453">
        <v>1257</v>
      </c>
      <c r="G97" s="371"/>
      <c r="H97" s="1453">
        <v>1257</v>
      </c>
      <c r="I97" s="1733"/>
      <c r="J97" s="1454" t="s">
        <v>844</v>
      </c>
    </row>
    <row r="98" spans="1:10" ht="24" hidden="1" customHeight="1" x14ac:dyDescent="0.2">
      <c r="A98" s="1829"/>
      <c r="B98" s="1866"/>
      <c r="C98" s="1866"/>
      <c r="D98" s="1453"/>
      <c r="E98" s="1453"/>
      <c r="F98" s="1453">
        <v>2129</v>
      </c>
      <c r="G98" s="371"/>
      <c r="H98" s="1453">
        <v>2129</v>
      </c>
      <c r="I98" s="1733"/>
      <c r="J98" s="1454" t="s">
        <v>845</v>
      </c>
    </row>
    <row r="99" spans="1:10" ht="51" hidden="1" customHeight="1" x14ac:dyDescent="0.2">
      <c r="A99" s="1829"/>
      <c r="B99" s="1866"/>
      <c r="C99" s="1866"/>
      <c r="D99" s="1453"/>
      <c r="E99" s="1453"/>
      <c r="F99" s="1453">
        <v>10859</v>
      </c>
      <c r="G99" s="371"/>
      <c r="H99" s="1453">
        <v>10859</v>
      </c>
      <c r="I99" s="1733"/>
      <c r="J99" s="1454" t="s">
        <v>846</v>
      </c>
    </row>
    <row r="100" spans="1:10" ht="12" hidden="1" customHeight="1" x14ac:dyDescent="0.2">
      <c r="A100" s="1829"/>
      <c r="B100" s="1866"/>
      <c r="C100" s="1866"/>
      <c r="D100" s="1453"/>
      <c r="E100" s="1453"/>
      <c r="F100" s="1453"/>
      <c r="G100" s="371"/>
      <c r="H100" s="1453"/>
      <c r="I100" s="1733"/>
      <c r="J100" s="394" t="s">
        <v>847</v>
      </c>
    </row>
    <row r="101" spans="1:10" ht="36" hidden="1" customHeight="1" x14ac:dyDescent="0.2">
      <c r="A101" s="1829"/>
      <c r="B101" s="1866"/>
      <c r="C101" s="1866"/>
      <c r="D101" s="1453"/>
      <c r="E101" s="1453"/>
      <c r="F101" s="1453">
        <v>20400</v>
      </c>
      <c r="G101" s="371"/>
      <c r="H101" s="1453">
        <v>20400</v>
      </c>
      <c r="I101" s="1733"/>
      <c r="J101" s="1452" t="s">
        <v>848</v>
      </c>
    </row>
    <row r="102" spans="1:10" ht="60" hidden="1" customHeight="1" x14ac:dyDescent="0.2">
      <c r="A102" s="1829"/>
      <c r="B102" s="1866"/>
      <c r="C102" s="1866"/>
      <c r="D102" s="1453"/>
      <c r="E102" s="1453"/>
      <c r="F102" s="1453">
        <v>17610</v>
      </c>
      <c r="G102" s="371"/>
      <c r="H102" s="1453"/>
      <c r="I102" s="1733"/>
      <c r="J102" s="1452" t="s">
        <v>849</v>
      </c>
    </row>
    <row r="103" spans="1:10" ht="12" hidden="1" customHeight="1" x14ac:dyDescent="0.2">
      <c r="A103" s="1829"/>
      <c r="B103" s="1866"/>
      <c r="C103" s="1866"/>
      <c r="D103" s="1453"/>
      <c r="E103" s="1453"/>
      <c r="F103" s="1453"/>
      <c r="G103" s="371"/>
      <c r="H103" s="1453"/>
      <c r="I103" s="1733"/>
      <c r="J103" s="395" t="s">
        <v>850</v>
      </c>
    </row>
    <row r="104" spans="1:10" ht="72" hidden="1" customHeight="1" x14ac:dyDescent="0.2">
      <c r="A104" s="1829"/>
      <c r="B104" s="1866"/>
      <c r="C104" s="1866"/>
      <c r="D104" s="1453"/>
      <c r="E104" s="1453"/>
      <c r="F104" s="1453">
        <v>53000</v>
      </c>
      <c r="G104" s="371"/>
      <c r="H104" s="1453"/>
      <c r="I104" s="1733"/>
      <c r="J104" s="1452" t="s">
        <v>851</v>
      </c>
    </row>
    <row r="105" spans="1:10" ht="12" hidden="1" customHeight="1" x14ac:dyDescent="0.2">
      <c r="A105" s="1829"/>
      <c r="B105" s="1866"/>
      <c r="C105" s="1866"/>
      <c r="D105" s="1453"/>
      <c r="E105" s="1453"/>
      <c r="F105" s="1453"/>
      <c r="G105" s="371"/>
      <c r="H105" s="1453"/>
      <c r="I105" s="1733"/>
      <c r="J105" s="395" t="s">
        <v>852</v>
      </c>
    </row>
    <row r="106" spans="1:10" ht="36" hidden="1" customHeight="1" x14ac:dyDescent="0.2">
      <c r="A106" s="1829"/>
      <c r="B106" s="1866"/>
      <c r="C106" s="1866"/>
      <c r="D106" s="1453"/>
      <c r="E106" s="1453"/>
      <c r="F106" s="1453">
        <v>6000</v>
      </c>
      <c r="G106" s="371"/>
      <c r="H106" s="1453"/>
      <c r="I106" s="1733"/>
      <c r="J106" s="1452" t="s">
        <v>853</v>
      </c>
    </row>
    <row r="107" spans="1:10" ht="12" hidden="1" customHeight="1" x14ac:dyDescent="0.2">
      <c r="A107" s="1829"/>
      <c r="B107" s="1866"/>
      <c r="C107" s="1866"/>
      <c r="D107" s="1453"/>
      <c r="E107" s="1453"/>
      <c r="F107" s="1453"/>
      <c r="G107" s="371"/>
      <c r="H107" s="1453"/>
      <c r="I107" s="1733"/>
      <c r="J107" s="395" t="s">
        <v>854</v>
      </c>
    </row>
    <row r="108" spans="1:10" ht="48" hidden="1" customHeight="1" x14ac:dyDescent="0.2">
      <c r="A108" s="1829"/>
      <c r="B108" s="1866"/>
      <c r="C108" s="1866"/>
      <c r="D108" s="1453"/>
      <c r="E108" s="1453"/>
      <c r="F108" s="1453">
        <v>7500</v>
      </c>
      <c r="G108" s="371"/>
      <c r="H108" s="1453"/>
      <c r="I108" s="1733"/>
      <c r="J108" s="1452" t="s">
        <v>855</v>
      </c>
    </row>
    <row r="109" spans="1:10" ht="12" hidden="1" customHeight="1" x14ac:dyDescent="0.2">
      <c r="A109" s="1829"/>
      <c r="B109" s="1866"/>
      <c r="C109" s="1866"/>
      <c r="D109" s="1453"/>
      <c r="E109" s="1453"/>
      <c r="F109" s="1453"/>
      <c r="G109" s="371"/>
      <c r="H109" s="1453"/>
      <c r="I109" s="1733"/>
      <c r="J109" s="395" t="s">
        <v>856</v>
      </c>
    </row>
    <row r="110" spans="1:10" ht="36" hidden="1" customHeight="1" x14ac:dyDescent="0.2">
      <c r="A110" s="1829"/>
      <c r="B110" s="1866"/>
      <c r="C110" s="1866"/>
      <c r="D110" s="1453"/>
      <c r="E110" s="1453"/>
      <c r="F110" s="1453">
        <v>2300</v>
      </c>
      <c r="G110" s="371"/>
      <c r="H110" s="1453"/>
      <c r="I110" s="1733"/>
      <c r="J110" s="1452" t="s">
        <v>857</v>
      </c>
    </row>
    <row r="111" spans="1:10" ht="12.75" hidden="1" customHeight="1" x14ac:dyDescent="0.2">
      <c r="A111" s="1829"/>
      <c r="B111" s="1866"/>
      <c r="C111" s="1866"/>
      <c r="D111" s="1453"/>
      <c r="E111" s="1453"/>
      <c r="F111" s="1453"/>
      <c r="G111" s="371"/>
      <c r="H111" s="1453"/>
      <c r="I111" s="1733"/>
      <c r="J111" s="1454"/>
    </row>
    <row r="112" spans="1:10" ht="19.5" customHeight="1" x14ac:dyDescent="0.2">
      <c r="A112" s="1829"/>
      <c r="B112" s="1866"/>
      <c r="C112" s="1866"/>
      <c r="D112" s="1453">
        <v>3988</v>
      </c>
      <c r="E112" s="1453">
        <v>3988</v>
      </c>
      <c r="F112" s="1453">
        <v>4000</v>
      </c>
      <c r="G112" s="371">
        <v>2241</v>
      </c>
      <c r="H112" s="1453">
        <v>4000</v>
      </c>
      <c r="I112" s="1734"/>
      <c r="J112" s="1454" t="s">
        <v>794</v>
      </c>
    </row>
    <row r="113" spans="1:12" ht="12.75" hidden="1" customHeight="1" x14ac:dyDescent="0.2">
      <c r="A113" s="1829"/>
      <c r="B113" s="1866"/>
      <c r="C113" s="1866"/>
      <c r="D113" s="1453"/>
      <c r="E113" s="1453"/>
      <c r="F113" s="1453"/>
      <c r="G113" s="371"/>
      <c r="H113" s="1453"/>
      <c r="I113" s="1453"/>
      <c r="J113" s="1454"/>
    </row>
    <row r="114" spans="1:12" ht="12.75" hidden="1" customHeight="1" x14ac:dyDescent="0.2">
      <c r="A114" s="1829"/>
      <c r="B114" s="1866"/>
      <c r="C114" s="1866"/>
      <c r="D114" s="1453"/>
      <c r="E114" s="1453"/>
      <c r="F114" s="1453"/>
      <c r="G114" s="371"/>
      <c r="H114" s="1453"/>
      <c r="I114" s="1453"/>
      <c r="J114" s="1454"/>
    </row>
    <row r="115" spans="1:12" ht="29.25" customHeight="1" x14ac:dyDescent="0.2">
      <c r="A115" s="1829"/>
      <c r="B115" s="1866"/>
      <c r="C115" s="1866"/>
      <c r="D115" s="1453">
        <v>2192</v>
      </c>
      <c r="E115" s="1453">
        <v>2192</v>
      </c>
      <c r="F115" s="1453">
        <v>2000</v>
      </c>
      <c r="G115" s="371">
        <v>2244</v>
      </c>
      <c r="H115" s="1453">
        <v>2000</v>
      </c>
      <c r="I115" s="1449" t="s">
        <v>858</v>
      </c>
      <c r="J115" s="1454" t="s">
        <v>859</v>
      </c>
    </row>
    <row r="116" spans="1:12" ht="12.75" hidden="1" customHeight="1" x14ac:dyDescent="0.2">
      <c r="A116" s="1829"/>
      <c r="B116" s="1866"/>
      <c r="C116" s="1866"/>
      <c r="D116" s="1453"/>
      <c r="E116" s="1453"/>
      <c r="F116" s="1453"/>
      <c r="G116" s="371"/>
      <c r="H116" s="1453"/>
      <c r="I116" s="1453"/>
      <c r="J116" s="1454"/>
    </row>
    <row r="117" spans="1:12" ht="12.75" hidden="1" customHeight="1" x14ac:dyDescent="0.2">
      <c r="A117" s="1829"/>
      <c r="B117" s="1866"/>
      <c r="C117" s="1866"/>
      <c r="D117" s="1453"/>
      <c r="E117" s="1453"/>
      <c r="F117" s="1453"/>
      <c r="G117" s="371"/>
      <c r="H117" s="1453"/>
      <c r="I117" s="1453"/>
      <c r="J117" s="1454"/>
    </row>
    <row r="118" spans="1:12" ht="30" customHeight="1" x14ac:dyDescent="0.2">
      <c r="A118" s="1451">
        <v>5</v>
      </c>
      <c r="B118" s="1866" t="s">
        <v>860</v>
      </c>
      <c r="C118" s="1866"/>
      <c r="D118" s="1453">
        <v>18174</v>
      </c>
      <c r="E118" s="1453">
        <v>18174</v>
      </c>
      <c r="F118" s="1453">
        <f>SUM(F119:F122)</f>
        <v>11964</v>
      </c>
      <c r="G118" s="371">
        <v>2241</v>
      </c>
      <c r="H118" s="1453">
        <f>SUM(H119:H122)</f>
        <v>3131</v>
      </c>
      <c r="I118" s="1449" t="s">
        <v>861</v>
      </c>
      <c r="J118" s="1454"/>
    </row>
    <row r="119" spans="1:12" ht="36" hidden="1" x14ac:dyDescent="0.2">
      <c r="A119" s="1829"/>
      <c r="B119" s="1866"/>
      <c r="C119" s="1452"/>
      <c r="D119" s="1453"/>
      <c r="E119" s="1453"/>
      <c r="F119" s="1453">
        <v>1316</v>
      </c>
      <c r="G119" s="371"/>
      <c r="H119" s="1453">
        <v>1316</v>
      </c>
      <c r="I119" s="1449"/>
      <c r="J119" s="391" t="s">
        <v>862</v>
      </c>
      <c r="L119" s="262"/>
    </row>
    <row r="120" spans="1:12" ht="36" hidden="1" x14ac:dyDescent="0.2">
      <c r="A120" s="1829"/>
      <c r="B120" s="1866"/>
      <c r="C120" s="1452"/>
      <c r="D120" s="1453"/>
      <c r="E120" s="1453"/>
      <c r="F120" s="1453">
        <v>1815</v>
      </c>
      <c r="G120" s="371"/>
      <c r="H120" s="1453">
        <v>1815</v>
      </c>
      <c r="I120" s="1449"/>
      <c r="J120" s="391" t="s">
        <v>863</v>
      </c>
      <c r="K120" s="383"/>
      <c r="L120" s="262"/>
    </row>
    <row r="121" spans="1:12" ht="36" hidden="1" x14ac:dyDescent="0.2">
      <c r="A121" s="1829"/>
      <c r="B121" s="1866"/>
      <c r="C121" s="1452"/>
      <c r="D121" s="1453"/>
      <c r="E121" s="1453"/>
      <c r="F121" s="1453">
        <v>8833</v>
      </c>
      <c r="G121" s="371"/>
      <c r="H121" s="1453"/>
      <c r="I121" s="1449"/>
      <c r="J121" s="1454" t="s">
        <v>864</v>
      </c>
    </row>
    <row r="122" spans="1:12" ht="12.75" hidden="1" customHeight="1" x14ac:dyDescent="0.2">
      <c r="A122" s="1829"/>
      <c r="B122" s="1866"/>
      <c r="C122" s="1452"/>
      <c r="D122" s="1453"/>
      <c r="E122" s="1453"/>
      <c r="F122" s="1453"/>
      <c r="G122" s="371"/>
      <c r="H122" s="1453"/>
      <c r="I122" s="1453"/>
      <c r="J122" s="1454"/>
    </row>
    <row r="123" spans="1:12" ht="24" hidden="1" x14ac:dyDescent="0.2">
      <c r="A123" s="1451">
        <v>9</v>
      </c>
      <c r="B123" s="1452" t="s">
        <v>865</v>
      </c>
      <c r="C123" s="1452"/>
      <c r="D123" s="1453">
        <v>3464</v>
      </c>
      <c r="E123" s="1453">
        <v>3464</v>
      </c>
      <c r="F123" s="1453"/>
      <c r="G123" s="371">
        <v>5240</v>
      </c>
      <c r="H123" s="1453"/>
      <c r="I123" s="1449" t="s">
        <v>866</v>
      </c>
      <c r="J123" s="1454"/>
    </row>
    <row r="124" spans="1:12" hidden="1" x14ac:dyDescent="0.2">
      <c r="A124" s="1829"/>
      <c r="B124" s="1866"/>
      <c r="C124" s="1452"/>
      <c r="D124" s="1453"/>
      <c r="E124" s="1453"/>
      <c r="F124" s="1453">
        <v>0</v>
      </c>
      <c r="G124" s="371"/>
      <c r="H124" s="1453"/>
      <c r="I124" s="1453"/>
      <c r="J124" s="1454"/>
    </row>
    <row r="125" spans="1:12" ht="12.75" hidden="1" customHeight="1" x14ac:dyDescent="0.2">
      <c r="A125" s="1829"/>
      <c r="B125" s="1866"/>
      <c r="C125" s="1452"/>
      <c r="D125" s="1453"/>
      <c r="E125" s="1453"/>
      <c r="F125" s="1453"/>
      <c r="G125" s="371"/>
      <c r="H125" s="1453"/>
      <c r="I125" s="1453"/>
      <c r="J125" s="1454"/>
    </row>
    <row r="126" spans="1:12" ht="36.75" customHeight="1" x14ac:dyDescent="0.2">
      <c r="A126" s="1451">
        <v>6</v>
      </c>
      <c r="B126" s="1866" t="s">
        <v>867</v>
      </c>
      <c r="C126" s="1866"/>
      <c r="D126" s="1453">
        <v>6884</v>
      </c>
      <c r="E126" s="1453">
        <v>6000</v>
      </c>
      <c r="F126" s="1453">
        <v>5000</v>
      </c>
      <c r="G126" s="371">
        <v>2244</v>
      </c>
      <c r="H126" s="1453">
        <v>5000</v>
      </c>
      <c r="I126" s="1449" t="s">
        <v>868</v>
      </c>
      <c r="J126" s="1454"/>
    </row>
    <row r="127" spans="1:12" hidden="1" x14ac:dyDescent="0.2">
      <c r="A127" s="1829"/>
      <c r="B127" s="1866"/>
      <c r="C127" s="1452"/>
      <c r="D127" s="1453"/>
      <c r="E127" s="1453"/>
      <c r="F127" s="1453"/>
      <c r="G127" s="371"/>
      <c r="H127" s="1453"/>
      <c r="I127" s="1449"/>
      <c r="J127" s="1454"/>
    </row>
    <row r="128" spans="1:12" ht="12.75" hidden="1" customHeight="1" x14ac:dyDescent="0.2">
      <c r="A128" s="1829"/>
      <c r="B128" s="1866"/>
      <c r="C128" s="1452"/>
      <c r="D128" s="1453"/>
      <c r="E128" s="1453"/>
      <c r="F128" s="1453"/>
      <c r="G128" s="371"/>
      <c r="H128" s="1453"/>
      <c r="I128" s="1449"/>
      <c r="J128" s="1454"/>
    </row>
    <row r="129" spans="1:14" ht="41.25" customHeight="1" x14ac:dyDescent="0.2">
      <c r="A129" s="1451">
        <v>7</v>
      </c>
      <c r="B129" s="1866" t="s">
        <v>869</v>
      </c>
      <c r="C129" s="1866"/>
      <c r="D129" s="1453">
        <v>3000</v>
      </c>
      <c r="E129" s="1453">
        <v>0</v>
      </c>
      <c r="F129" s="1453">
        <v>1200</v>
      </c>
      <c r="G129" s="371">
        <v>2241</v>
      </c>
      <c r="H129" s="1453">
        <v>1200</v>
      </c>
      <c r="I129" s="1449" t="s">
        <v>870</v>
      </c>
      <c r="J129" s="1454"/>
    </row>
    <row r="130" spans="1:14" hidden="1" x14ac:dyDescent="0.2">
      <c r="A130" s="1829"/>
      <c r="B130" s="1866"/>
      <c r="C130" s="1452"/>
      <c r="D130" s="1453"/>
      <c r="E130" s="1453"/>
      <c r="F130" s="1453"/>
      <c r="G130" s="371"/>
      <c r="H130" s="1453"/>
      <c r="I130" s="1453"/>
      <c r="J130" s="1454"/>
    </row>
    <row r="131" spans="1:14" ht="12.75" hidden="1" customHeight="1" x14ac:dyDescent="0.2">
      <c r="A131" s="1829"/>
      <c r="B131" s="1866"/>
      <c r="C131" s="1452"/>
      <c r="D131" s="1453"/>
      <c r="E131" s="1453"/>
      <c r="F131" s="1453"/>
      <c r="G131" s="371"/>
      <c r="H131" s="1453"/>
      <c r="I131" s="1453"/>
      <c r="J131" s="1454"/>
    </row>
    <row r="132" spans="1:14" ht="31.5" customHeight="1" x14ac:dyDescent="0.2">
      <c r="A132" s="1451">
        <v>8</v>
      </c>
      <c r="B132" s="1866" t="s">
        <v>795</v>
      </c>
      <c r="C132" s="1866"/>
      <c r="D132" s="1453">
        <v>8852</v>
      </c>
      <c r="E132" s="1453">
        <v>8852</v>
      </c>
      <c r="F132" s="1453">
        <v>6000</v>
      </c>
      <c r="G132" s="371">
        <v>2239</v>
      </c>
      <c r="H132" s="1453">
        <v>15000</v>
      </c>
      <c r="I132" s="1449" t="s">
        <v>871</v>
      </c>
      <c r="J132" s="1454"/>
    </row>
    <row r="133" spans="1:14" hidden="1" x14ac:dyDescent="0.2">
      <c r="A133" s="1735"/>
      <c r="B133" s="1843"/>
      <c r="C133" s="1410"/>
      <c r="D133" s="1287"/>
      <c r="E133" s="1287"/>
      <c r="F133" s="1287"/>
      <c r="G133" s="1287"/>
      <c r="H133" s="1287"/>
      <c r="I133" s="1287"/>
      <c r="J133" s="1298"/>
    </row>
    <row r="134" spans="1:14" ht="12.75" hidden="1" customHeight="1" x14ac:dyDescent="0.2">
      <c r="A134" s="1737"/>
      <c r="B134" s="1845"/>
      <c r="C134" s="1411"/>
      <c r="D134" s="1287"/>
      <c r="E134" s="1287"/>
      <c r="F134" s="1287"/>
      <c r="G134" s="1287"/>
      <c r="H134" s="1287"/>
      <c r="I134" s="1287"/>
      <c r="J134" s="1298"/>
    </row>
    <row r="135" spans="1:14" x14ac:dyDescent="0.2">
      <c r="A135" s="388"/>
      <c r="B135" s="1296"/>
      <c r="C135" s="1430"/>
      <c r="D135" s="387"/>
      <c r="E135" s="387"/>
      <c r="F135" s="311"/>
      <c r="G135" s="387"/>
      <c r="H135" s="387"/>
      <c r="I135" s="387"/>
      <c r="J135" s="388"/>
    </row>
    <row r="136" spans="1:14" x14ac:dyDescent="0.2">
      <c r="A136" s="1306" t="s">
        <v>123</v>
      </c>
      <c r="B136" s="1306"/>
      <c r="C136" s="389" t="s">
        <v>148</v>
      </c>
      <c r="D136" s="389"/>
      <c r="E136" s="1306"/>
      <c r="F136" s="319"/>
      <c r="G136" s="1306"/>
      <c r="H136" s="1306"/>
      <c r="I136" s="1306"/>
      <c r="J136" s="1306"/>
    </row>
    <row r="137" spans="1:14" x14ac:dyDescent="0.2">
      <c r="A137" s="1306" t="s">
        <v>125</v>
      </c>
      <c r="B137" s="1306"/>
      <c r="C137" s="1474" t="s">
        <v>872</v>
      </c>
      <c r="D137" s="1474"/>
      <c r="E137" s="1474"/>
      <c r="F137" s="1474"/>
      <c r="G137" s="1474"/>
      <c r="H137" s="1474"/>
      <c r="I137" s="1474"/>
      <c r="J137" s="1474"/>
      <c r="K137" s="1491"/>
      <c r="L137" s="1491"/>
      <c r="M137" s="1491"/>
      <c r="N137" s="1491"/>
    </row>
    <row r="138" spans="1:14" ht="48" x14ac:dyDescent="0.2">
      <c r="A138" s="1303" t="s">
        <v>1</v>
      </c>
      <c r="B138" s="1797" t="s">
        <v>127</v>
      </c>
      <c r="C138" s="1798"/>
      <c r="D138" s="1303" t="s">
        <v>14</v>
      </c>
      <c r="E138" s="1303" t="s">
        <v>12</v>
      </c>
      <c r="F138" s="1284" t="s">
        <v>128</v>
      </c>
      <c r="G138" s="1303" t="s">
        <v>129</v>
      </c>
      <c r="H138" s="1303" t="s">
        <v>3357</v>
      </c>
      <c r="I138" s="1303" t="s">
        <v>11</v>
      </c>
      <c r="J138" s="1303" t="s">
        <v>131</v>
      </c>
      <c r="K138" s="366"/>
      <c r="L138" s="367"/>
      <c r="M138" s="367"/>
      <c r="N138" s="367"/>
    </row>
    <row r="139" spans="1:14" ht="12" customHeight="1" x14ac:dyDescent="0.2">
      <c r="A139" s="1807" t="s">
        <v>132</v>
      </c>
      <c r="B139" s="1808"/>
      <c r="C139" s="1809"/>
      <c r="D139" s="397">
        <f>SUM(D140,D144,D147,D150,D154,D157,D160,D163)</f>
        <v>189750</v>
      </c>
      <c r="E139" s="397">
        <f>SUM(E140,E144,E147,E150,E154,E157,E160,E163)</f>
        <v>35937</v>
      </c>
      <c r="F139" s="397">
        <f>SUM(F140,F144,F147,F150,F154,F157,F160,F163)</f>
        <v>178521</v>
      </c>
      <c r="G139" s="397"/>
      <c r="H139" s="397">
        <f>SUM(H140,H144,H147,H150,H154,H157,H160,H163)</f>
        <v>170521</v>
      </c>
      <c r="I139" s="397"/>
      <c r="J139" s="1298"/>
    </row>
    <row r="140" spans="1:14" ht="18.75" customHeight="1" x14ac:dyDescent="0.2">
      <c r="A140" s="1304">
        <v>1</v>
      </c>
      <c r="B140" s="1868" t="s">
        <v>873</v>
      </c>
      <c r="C140" s="1869"/>
      <c r="D140" s="321">
        <v>8408</v>
      </c>
      <c r="E140" s="321">
        <v>8404</v>
      </c>
      <c r="F140" s="321">
        <f>SUM(F141:F143)</f>
        <v>10859</v>
      </c>
      <c r="G140" s="298">
        <v>5250</v>
      </c>
      <c r="H140" s="321">
        <f>SUM(H141:H143)</f>
        <v>10859</v>
      </c>
      <c r="I140" s="372" t="s">
        <v>874</v>
      </c>
      <c r="J140" s="1298"/>
    </row>
    <row r="141" spans="1:14" hidden="1" x14ac:dyDescent="0.2">
      <c r="A141" s="1870"/>
      <c r="B141" s="1836"/>
      <c r="C141" s="1422"/>
      <c r="D141" s="321"/>
      <c r="E141" s="321"/>
      <c r="F141" s="321"/>
      <c r="G141" s="298"/>
      <c r="H141" s="321"/>
      <c r="I141" s="372"/>
      <c r="J141" s="1298"/>
      <c r="K141" s="383"/>
      <c r="L141" s="262"/>
    </row>
    <row r="142" spans="1:14" hidden="1" x14ac:dyDescent="0.2">
      <c r="A142" s="1874"/>
      <c r="B142" s="1877"/>
      <c r="C142" s="1424"/>
      <c r="D142" s="321"/>
      <c r="E142" s="321"/>
      <c r="F142" s="321">
        <v>10859</v>
      </c>
      <c r="G142" s="298"/>
      <c r="H142" s="321">
        <v>10859</v>
      </c>
      <c r="I142" s="372"/>
      <c r="J142" s="1298" t="s">
        <v>875</v>
      </c>
    </row>
    <row r="143" spans="1:14" ht="12.75" hidden="1" customHeight="1" x14ac:dyDescent="0.2">
      <c r="A143" s="1871"/>
      <c r="B143" s="1838"/>
      <c r="C143" s="1423"/>
      <c r="D143" s="321"/>
      <c r="E143" s="321"/>
      <c r="F143" s="321"/>
      <c r="G143" s="298"/>
      <c r="H143" s="321"/>
      <c r="I143" s="372"/>
      <c r="J143" s="1298"/>
    </row>
    <row r="144" spans="1:14" ht="45.75" customHeight="1" x14ac:dyDescent="0.2">
      <c r="A144" s="1304">
        <v>2</v>
      </c>
      <c r="B144" s="1868" t="s">
        <v>876</v>
      </c>
      <c r="C144" s="1869"/>
      <c r="D144" s="321">
        <v>15113</v>
      </c>
      <c r="E144" s="321">
        <v>15113</v>
      </c>
      <c r="F144" s="321">
        <f>SUM(F145:F146)</f>
        <v>724</v>
      </c>
      <c r="G144" s="298">
        <v>5250</v>
      </c>
      <c r="H144" s="321">
        <f>SUM(H145:H146)</f>
        <v>724</v>
      </c>
      <c r="I144" s="372" t="s">
        <v>877</v>
      </c>
      <c r="J144" s="1298"/>
    </row>
    <row r="145" spans="1:12" ht="72" hidden="1" x14ac:dyDescent="0.2">
      <c r="A145" s="1870"/>
      <c r="B145" s="1836"/>
      <c r="C145" s="1422"/>
      <c r="D145" s="321"/>
      <c r="E145" s="321"/>
      <c r="F145" s="321">
        <v>724</v>
      </c>
      <c r="G145" s="298"/>
      <c r="H145" s="321">
        <v>724</v>
      </c>
      <c r="I145" s="372"/>
      <c r="J145" s="391" t="s">
        <v>878</v>
      </c>
      <c r="K145" s="383"/>
      <c r="L145" s="262"/>
    </row>
    <row r="146" spans="1:12" ht="12.75" hidden="1" customHeight="1" x14ac:dyDescent="0.2">
      <c r="A146" s="1871"/>
      <c r="B146" s="1838"/>
      <c r="C146" s="1423"/>
      <c r="D146" s="321"/>
      <c r="E146" s="321"/>
      <c r="F146" s="321"/>
      <c r="G146" s="298"/>
      <c r="H146" s="321"/>
      <c r="I146" s="372"/>
      <c r="J146" s="1298"/>
    </row>
    <row r="147" spans="1:12" ht="41.25" customHeight="1" x14ac:dyDescent="0.2">
      <c r="A147" s="1304">
        <v>3</v>
      </c>
      <c r="B147" s="1868" t="s">
        <v>879</v>
      </c>
      <c r="C147" s="1869"/>
      <c r="D147" s="321">
        <v>5945</v>
      </c>
      <c r="E147" s="321">
        <v>0</v>
      </c>
      <c r="F147" s="321">
        <f>SUM(F148:F149)</f>
        <v>5500</v>
      </c>
      <c r="G147" s="298">
        <v>5250</v>
      </c>
      <c r="H147" s="321">
        <f>SUM(H148:H149)</f>
        <v>5500</v>
      </c>
      <c r="I147" s="372" t="s">
        <v>877</v>
      </c>
      <c r="J147" s="1298"/>
    </row>
    <row r="148" spans="1:12" hidden="1" x14ac:dyDescent="0.2">
      <c r="A148" s="1870"/>
      <c r="B148" s="1836"/>
      <c r="C148" s="1422"/>
      <c r="D148" s="321"/>
      <c r="E148" s="321"/>
      <c r="F148" s="321">
        <v>5500</v>
      </c>
      <c r="G148" s="298"/>
      <c r="H148" s="321">
        <v>5500</v>
      </c>
      <c r="I148" s="372"/>
      <c r="J148" s="391" t="s">
        <v>880</v>
      </c>
      <c r="K148" s="383"/>
      <c r="L148" s="262"/>
    </row>
    <row r="149" spans="1:12" ht="12.75" hidden="1" customHeight="1" x14ac:dyDescent="0.2">
      <c r="A149" s="1871"/>
      <c r="B149" s="1838"/>
      <c r="C149" s="1423"/>
      <c r="D149" s="321"/>
      <c r="E149" s="321"/>
      <c r="F149" s="321"/>
      <c r="G149" s="298"/>
      <c r="H149" s="321"/>
      <c r="I149" s="372"/>
      <c r="J149" s="1298"/>
    </row>
    <row r="150" spans="1:12" ht="40.5" customHeight="1" x14ac:dyDescent="0.2">
      <c r="A150" s="1304">
        <v>4</v>
      </c>
      <c r="B150" s="1868" t="s">
        <v>881</v>
      </c>
      <c r="C150" s="1869"/>
      <c r="D150" s="321">
        <v>118349</v>
      </c>
      <c r="E150" s="321">
        <v>1791</v>
      </c>
      <c r="F150" s="321">
        <f>SUM(F151:F153)</f>
        <v>116558</v>
      </c>
      <c r="G150" s="298">
        <v>5250</v>
      </c>
      <c r="H150" s="321">
        <f>SUM(H151:H153)</f>
        <v>116558</v>
      </c>
      <c r="I150" s="372" t="s">
        <v>877</v>
      </c>
      <c r="J150" s="1298"/>
    </row>
    <row r="151" spans="1:12" ht="48" hidden="1" x14ac:dyDescent="0.2">
      <c r="A151" s="1870"/>
      <c r="B151" s="1872"/>
      <c r="C151" s="1419"/>
      <c r="D151" s="398"/>
      <c r="E151" s="398"/>
      <c r="F151" s="321">
        <v>114767</v>
      </c>
      <c r="G151" s="397"/>
      <c r="H151" s="398">
        <v>114767</v>
      </c>
      <c r="I151" s="1307"/>
      <c r="J151" s="391" t="s">
        <v>882</v>
      </c>
      <c r="K151" s="383"/>
      <c r="L151" s="262"/>
    </row>
    <row r="152" spans="1:12" ht="60" hidden="1" x14ac:dyDescent="0.2">
      <c r="A152" s="1874"/>
      <c r="B152" s="1875"/>
      <c r="C152" s="1421"/>
      <c r="D152" s="398"/>
      <c r="E152" s="398"/>
      <c r="F152" s="321">
        <v>1791</v>
      </c>
      <c r="G152" s="397"/>
      <c r="H152" s="398">
        <v>1791</v>
      </c>
      <c r="I152" s="1307"/>
      <c r="J152" s="391" t="s">
        <v>883</v>
      </c>
      <c r="K152" s="383"/>
      <c r="L152" s="262"/>
    </row>
    <row r="153" spans="1:12" ht="12.75" hidden="1" customHeight="1" x14ac:dyDescent="0.2">
      <c r="A153" s="1871"/>
      <c r="B153" s="1873"/>
      <c r="C153" s="1420"/>
      <c r="D153" s="398"/>
      <c r="E153" s="398"/>
      <c r="F153" s="321"/>
      <c r="G153" s="397"/>
      <c r="H153" s="398"/>
      <c r="I153" s="1307"/>
      <c r="J153" s="1298"/>
    </row>
    <row r="154" spans="1:12" ht="42" customHeight="1" x14ac:dyDescent="0.2">
      <c r="A154" s="1304">
        <v>5</v>
      </c>
      <c r="B154" s="1868" t="s">
        <v>884</v>
      </c>
      <c r="C154" s="1869"/>
      <c r="D154" s="321">
        <v>2730</v>
      </c>
      <c r="E154" s="321">
        <v>2000</v>
      </c>
      <c r="F154" s="321">
        <v>4300</v>
      </c>
      <c r="G154" s="298">
        <v>5250</v>
      </c>
      <c r="H154" s="321">
        <v>4300</v>
      </c>
      <c r="I154" s="372" t="s">
        <v>885</v>
      </c>
      <c r="J154" s="1286" t="s">
        <v>886</v>
      </c>
      <c r="L154" s="287"/>
    </row>
    <row r="155" spans="1:12" hidden="1" x14ac:dyDescent="0.2">
      <c r="A155" s="1870"/>
      <c r="B155" s="1872"/>
      <c r="C155" s="1419"/>
      <c r="D155" s="398"/>
      <c r="E155" s="398"/>
      <c r="F155" s="321"/>
      <c r="G155" s="397"/>
      <c r="H155" s="398"/>
      <c r="I155" s="1307"/>
      <c r="J155" s="1298"/>
    </row>
    <row r="156" spans="1:12" ht="12.75" hidden="1" customHeight="1" x14ac:dyDescent="0.2">
      <c r="A156" s="1871"/>
      <c r="B156" s="1873"/>
      <c r="C156" s="1420"/>
      <c r="D156" s="398"/>
      <c r="E156" s="398"/>
      <c r="F156" s="321"/>
      <c r="G156" s="397"/>
      <c r="H156" s="398"/>
      <c r="I156" s="1307"/>
      <c r="J156" s="1298"/>
    </row>
    <row r="157" spans="1:12" ht="30" customHeight="1" x14ac:dyDescent="0.2">
      <c r="A157" s="1304">
        <v>6</v>
      </c>
      <c r="B157" s="1868" t="s">
        <v>887</v>
      </c>
      <c r="C157" s="1869"/>
      <c r="D157" s="321">
        <v>31000</v>
      </c>
      <c r="E157" s="321">
        <v>424</v>
      </c>
      <c r="F157" s="321">
        <v>30580</v>
      </c>
      <c r="G157" s="298">
        <v>5250</v>
      </c>
      <c r="H157" s="321">
        <v>30580</v>
      </c>
      <c r="I157" s="372" t="s">
        <v>888</v>
      </c>
      <c r="J157" s="1298"/>
    </row>
    <row r="158" spans="1:12" hidden="1" x14ac:dyDescent="0.2">
      <c r="A158" s="1870"/>
      <c r="B158" s="1836"/>
      <c r="C158" s="1422"/>
      <c r="D158" s="321"/>
      <c r="E158" s="321"/>
      <c r="F158" s="321"/>
      <c r="G158" s="298"/>
      <c r="H158" s="321"/>
      <c r="I158" s="321"/>
      <c r="J158" s="1298"/>
    </row>
    <row r="159" spans="1:12" ht="12.75" hidden="1" customHeight="1" x14ac:dyDescent="0.2">
      <c r="A159" s="1871"/>
      <c r="B159" s="1838"/>
      <c r="C159" s="1423"/>
      <c r="D159" s="321"/>
      <c r="E159" s="321"/>
      <c r="F159" s="321"/>
      <c r="G159" s="298"/>
      <c r="H159" s="321"/>
      <c r="I159" s="321"/>
      <c r="J159" s="1298"/>
    </row>
    <row r="160" spans="1:12" ht="21.75" customHeight="1" x14ac:dyDescent="0.2">
      <c r="A160" s="1304">
        <v>7</v>
      </c>
      <c r="B160" s="1868" t="s">
        <v>794</v>
      </c>
      <c r="C160" s="1869"/>
      <c r="D160" s="321">
        <v>8205</v>
      </c>
      <c r="E160" s="321">
        <v>8205</v>
      </c>
      <c r="F160" s="321">
        <v>8000</v>
      </c>
      <c r="G160" s="298">
        <v>2241</v>
      </c>
      <c r="H160" s="321">
        <v>2000</v>
      </c>
      <c r="I160" s="372" t="s">
        <v>866</v>
      </c>
      <c r="J160" s="1298"/>
    </row>
    <row r="161" spans="1:14" hidden="1" x14ac:dyDescent="0.2">
      <c r="A161" s="1870"/>
      <c r="B161" s="1872"/>
      <c r="C161" s="1419"/>
      <c r="D161" s="398"/>
      <c r="E161" s="398"/>
      <c r="F161" s="321"/>
      <c r="G161" s="397"/>
      <c r="H161" s="398"/>
      <c r="I161" s="398"/>
      <c r="J161" s="1298"/>
    </row>
    <row r="162" spans="1:14" ht="12.75" hidden="1" customHeight="1" x14ac:dyDescent="0.2">
      <c r="A162" s="1871"/>
      <c r="B162" s="1873"/>
      <c r="C162" s="1420"/>
      <c r="D162" s="398"/>
      <c r="E162" s="398"/>
      <c r="F162" s="321"/>
      <c r="G162" s="397"/>
      <c r="H162" s="398"/>
      <c r="I162" s="398"/>
      <c r="J162" s="1298"/>
    </row>
    <row r="163" spans="1:14" ht="36" hidden="1" x14ac:dyDescent="0.2">
      <c r="A163" s="1295">
        <v>8</v>
      </c>
      <c r="B163" s="370" t="s">
        <v>795</v>
      </c>
      <c r="C163" s="370"/>
      <c r="D163" s="321">
        <v>0</v>
      </c>
      <c r="E163" s="321">
        <v>0</v>
      </c>
      <c r="F163" s="321">
        <v>2000</v>
      </c>
      <c r="G163" s="380">
        <v>2239</v>
      </c>
      <c r="H163" s="321"/>
      <c r="I163" s="1290" t="s">
        <v>889</v>
      </c>
      <c r="J163" s="1286"/>
      <c r="L163" s="287"/>
      <c r="M163" s="287"/>
      <c r="N163" s="287"/>
    </row>
    <row r="164" spans="1:14" hidden="1" x14ac:dyDescent="0.2">
      <c r="A164" s="399"/>
      <c r="B164" s="400"/>
      <c r="C164" s="400"/>
      <c r="D164" s="321"/>
      <c r="E164" s="321"/>
      <c r="F164" s="321"/>
      <c r="G164" s="298"/>
      <c r="H164" s="321"/>
      <c r="I164" s="321"/>
      <c r="J164" s="1286"/>
      <c r="L164" s="287"/>
      <c r="M164" s="287"/>
      <c r="N164" s="287"/>
    </row>
    <row r="165" spans="1:14" x14ac:dyDescent="0.2">
      <c r="A165" s="401"/>
      <c r="B165" s="401"/>
      <c r="C165" s="401"/>
      <c r="D165" s="402"/>
      <c r="E165" s="402"/>
      <c r="F165" s="402"/>
      <c r="G165" s="402"/>
      <c r="H165" s="402"/>
      <c r="I165" s="402"/>
      <c r="J165" s="1283"/>
      <c r="L165" s="287"/>
      <c r="M165" s="287"/>
      <c r="N165" s="287"/>
    </row>
    <row r="166" spans="1:14" x14ac:dyDescent="0.2">
      <c r="A166" s="319" t="s">
        <v>123</v>
      </c>
      <c r="B166" s="319"/>
      <c r="C166" s="248" t="s">
        <v>890</v>
      </c>
      <c r="D166" s="248"/>
      <c r="E166" s="319"/>
      <c r="F166" s="319"/>
      <c r="G166" s="319"/>
      <c r="H166" s="319"/>
      <c r="I166" s="319"/>
      <c r="J166" s="319"/>
      <c r="L166" s="287"/>
      <c r="M166" s="287"/>
      <c r="N166" s="287"/>
    </row>
    <row r="167" spans="1:14" x14ac:dyDescent="0.2">
      <c r="A167" s="319" t="s">
        <v>125</v>
      </c>
      <c r="B167" s="319"/>
      <c r="C167" s="1474" t="s">
        <v>891</v>
      </c>
      <c r="D167" s="1474"/>
      <c r="E167" s="1474"/>
      <c r="F167" s="1474"/>
      <c r="G167" s="1474"/>
      <c r="H167" s="1474"/>
      <c r="I167" s="1474"/>
      <c r="J167" s="1474"/>
      <c r="K167" s="1491"/>
      <c r="L167" s="1491"/>
      <c r="M167" s="1491"/>
      <c r="N167" s="1491"/>
    </row>
    <row r="168" spans="1:14" ht="48" x14ac:dyDescent="0.2">
      <c r="A168" s="1450" t="s">
        <v>1</v>
      </c>
      <c r="B168" s="1825" t="s">
        <v>127</v>
      </c>
      <c r="C168" s="1825"/>
      <c r="D168" s="1450" t="s">
        <v>14</v>
      </c>
      <c r="E168" s="1450" t="s">
        <v>12</v>
      </c>
      <c r="F168" s="1450" t="s">
        <v>128</v>
      </c>
      <c r="G168" s="1450" t="s">
        <v>129</v>
      </c>
      <c r="H168" s="1450" t="s">
        <v>3357</v>
      </c>
      <c r="I168" s="1450" t="s">
        <v>11</v>
      </c>
      <c r="J168" s="1450" t="s">
        <v>131</v>
      </c>
      <c r="K168" s="1485"/>
      <c r="L168" s="288"/>
      <c r="M168" s="288"/>
      <c r="N168" s="288"/>
    </row>
    <row r="169" spans="1:14" ht="12" customHeight="1" x14ac:dyDescent="0.2">
      <c r="A169" s="1876" t="s">
        <v>132</v>
      </c>
      <c r="B169" s="1876"/>
      <c r="C169" s="1876"/>
      <c r="D169" s="298">
        <f>SUM(D170,D172,D178)</f>
        <v>6598</v>
      </c>
      <c r="E169" s="298">
        <f>SUM(E170,E172,E178)</f>
        <v>6598</v>
      </c>
      <c r="F169" s="298">
        <f>SUM(F170,F172,F178)</f>
        <v>62402</v>
      </c>
      <c r="G169" s="298"/>
      <c r="H169" s="298">
        <f>SUM(H170,H172,H178)</f>
        <v>10000</v>
      </c>
      <c r="I169" s="298"/>
      <c r="J169" s="1452"/>
      <c r="L169" s="287"/>
      <c r="M169" s="287"/>
      <c r="N169" s="287"/>
    </row>
    <row r="170" spans="1:14" ht="36" hidden="1" customHeight="1" x14ac:dyDescent="0.2">
      <c r="A170" s="1829">
        <v>1</v>
      </c>
      <c r="B170" s="1866" t="s">
        <v>892</v>
      </c>
      <c r="C170" s="1866"/>
      <c r="D170" s="1453">
        <v>6598</v>
      </c>
      <c r="E170" s="1453">
        <v>6598</v>
      </c>
      <c r="F170" s="1453">
        <v>6000</v>
      </c>
      <c r="G170" s="371">
        <v>2241</v>
      </c>
      <c r="H170" s="1453"/>
      <c r="I170" s="1449" t="s">
        <v>3359</v>
      </c>
      <c r="J170" s="1452" t="s">
        <v>794</v>
      </c>
      <c r="L170" s="287"/>
      <c r="M170" s="287"/>
      <c r="N170" s="287"/>
    </row>
    <row r="171" spans="1:14" ht="15" hidden="1" customHeight="1" x14ac:dyDescent="0.2">
      <c r="A171" s="1829"/>
      <c r="B171" s="1866"/>
      <c r="C171" s="1866"/>
      <c r="D171" s="1453"/>
      <c r="E171" s="1453"/>
      <c r="F171" s="1453"/>
      <c r="G171" s="371"/>
      <c r="H171" s="1453"/>
      <c r="I171" s="1449"/>
      <c r="J171" s="1452"/>
      <c r="L171" s="287"/>
      <c r="M171" s="287"/>
      <c r="N171" s="287"/>
    </row>
    <row r="172" spans="1:14" ht="36" x14ac:dyDescent="0.2">
      <c r="A172" s="1829"/>
      <c r="B172" s="1866"/>
      <c r="C172" s="1866"/>
      <c r="D172" s="1453">
        <v>0</v>
      </c>
      <c r="E172" s="1453">
        <v>0</v>
      </c>
      <c r="F172" s="1453">
        <f>SUM(F173:F177)</f>
        <v>54902</v>
      </c>
      <c r="G172" s="371">
        <v>5250</v>
      </c>
      <c r="H172" s="1453">
        <v>10000</v>
      </c>
      <c r="I172" s="1449" t="s">
        <v>893</v>
      </c>
      <c r="J172" s="1452" t="s">
        <v>894</v>
      </c>
      <c r="L172" s="287"/>
      <c r="M172" s="287"/>
      <c r="N172" s="287"/>
    </row>
    <row r="173" spans="1:14" ht="60" hidden="1" customHeight="1" x14ac:dyDescent="0.2">
      <c r="A173" s="1829"/>
      <c r="B173" s="1866"/>
      <c r="C173" s="1866"/>
      <c r="D173" s="1453"/>
      <c r="E173" s="1453"/>
      <c r="F173" s="1453">
        <v>22884</v>
      </c>
      <c r="G173" s="371"/>
      <c r="H173" s="1453"/>
      <c r="I173" s="1449"/>
      <c r="J173" s="1452" t="s">
        <v>895</v>
      </c>
      <c r="L173" s="287"/>
      <c r="M173" s="287"/>
      <c r="N173" s="287"/>
    </row>
    <row r="174" spans="1:14" ht="84" hidden="1" customHeight="1" x14ac:dyDescent="0.2">
      <c r="A174" s="1829"/>
      <c r="B174" s="1866"/>
      <c r="C174" s="1866"/>
      <c r="D174" s="1453"/>
      <c r="E174" s="1453"/>
      <c r="F174" s="1453">
        <v>21853</v>
      </c>
      <c r="G174" s="371"/>
      <c r="H174" s="1453"/>
      <c r="I174" s="1449"/>
      <c r="J174" s="1452" t="s">
        <v>896</v>
      </c>
      <c r="L174" s="287"/>
      <c r="M174" s="287"/>
      <c r="N174" s="287"/>
    </row>
    <row r="175" spans="1:14" ht="36" hidden="1" customHeight="1" x14ac:dyDescent="0.2">
      <c r="A175" s="1829"/>
      <c r="B175" s="1866"/>
      <c r="C175" s="1866"/>
      <c r="D175" s="1453"/>
      <c r="E175" s="1453"/>
      <c r="F175" s="1453">
        <v>3243</v>
      </c>
      <c r="G175" s="371"/>
      <c r="H175" s="1453"/>
      <c r="I175" s="1449"/>
      <c r="J175" s="1452" t="s">
        <v>897</v>
      </c>
      <c r="L175" s="287"/>
      <c r="M175" s="287"/>
      <c r="N175" s="287"/>
    </row>
    <row r="176" spans="1:14" ht="72" hidden="1" customHeight="1" x14ac:dyDescent="0.2">
      <c r="A176" s="1829"/>
      <c r="B176" s="1866"/>
      <c r="C176" s="1866"/>
      <c r="D176" s="1453"/>
      <c r="E176" s="1453"/>
      <c r="F176" s="1453">
        <v>6922</v>
      </c>
      <c r="G176" s="371"/>
      <c r="H176" s="1453"/>
      <c r="I176" s="1449"/>
      <c r="J176" s="1452" t="s">
        <v>898</v>
      </c>
      <c r="L176" s="287"/>
      <c r="M176" s="287"/>
      <c r="N176" s="287"/>
    </row>
    <row r="177" spans="1:14" ht="12.75" hidden="1" customHeight="1" x14ac:dyDescent="0.2">
      <c r="A177" s="1829"/>
      <c r="B177" s="1866"/>
      <c r="C177" s="1866"/>
      <c r="D177" s="1453"/>
      <c r="E177" s="1453"/>
      <c r="F177" s="1453"/>
      <c r="G177" s="371"/>
      <c r="H177" s="1453"/>
      <c r="I177" s="1449"/>
      <c r="J177" s="1452"/>
      <c r="L177" s="287"/>
      <c r="M177" s="287"/>
      <c r="N177" s="287"/>
    </row>
    <row r="178" spans="1:14" ht="36" hidden="1" x14ac:dyDescent="0.2">
      <c r="A178" s="1285">
        <v>2</v>
      </c>
      <c r="B178" s="370" t="s">
        <v>795</v>
      </c>
      <c r="C178" s="370"/>
      <c r="D178" s="321">
        <v>0</v>
      </c>
      <c r="E178" s="321">
        <v>0</v>
      </c>
      <c r="F178" s="321">
        <v>1500</v>
      </c>
      <c r="G178" s="380">
        <v>2239</v>
      </c>
      <c r="H178" s="1287"/>
      <c r="I178" s="1290" t="s">
        <v>899</v>
      </c>
      <c r="J178" s="1286"/>
      <c r="L178" s="287"/>
      <c r="M178" s="287"/>
      <c r="N178" s="287"/>
    </row>
    <row r="179" spans="1:14" hidden="1" x14ac:dyDescent="0.2">
      <c r="A179" s="1285"/>
      <c r="B179" s="370"/>
      <c r="C179" s="370"/>
      <c r="D179" s="1287"/>
      <c r="E179" s="1287"/>
      <c r="F179" s="1287"/>
      <c r="G179" s="371"/>
      <c r="H179" s="1287"/>
      <c r="I179" s="1290"/>
      <c r="J179" s="1286"/>
      <c r="L179" s="287"/>
      <c r="M179" s="287"/>
      <c r="N179" s="287"/>
    </row>
    <row r="180" spans="1:14" hidden="1" x14ac:dyDescent="0.2">
      <c r="A180" s="1285"/>
      <c r="B180" s="370"/>
      <c r="C180" s="370"/>
      <c r="D180" s="1287"/>
      <c r="E180" s="1287"/>
      <c r="F180" s="1287"/>
      <c r="G180" s="371"/>
      <c r="H180" s="1287"/>
      <c r="I180" s="1287"/>
      <c r="J180" s="1286"/>
      <c r="L180" s="287"/>
      <c r="M180" s="287"/>
      <c r="N180" s="287"/>
    </row>
    <row r="181" spans="1:14" x14ac:dyDescent="0.2">
      <c r="A181" s="1486"/>
      <c r="B181" s="1487"/>
      <c r="C181" s="1487"/>
      <c r="D181" s="1561"/>
      <c r="E181" s="1561"/>
      <c r="F181" s="1561"/>
      <c r="G181" s="1561"/>
      <c r="H181" s="1561"/>
      <c r="I181" s="1561"/>
      <c r="J181" s="1487"/>
      <c r="L181" s="287"/>
      <c r="M181" s="287"/>
      <c r="N181" s="287"/>
    </row>
    <row r="182" spans="1:14" x14ac:dyDescent="0.2">
      <c r="A182" s="319" t="s">
        <v>123</v>
      </c>
      <c r="B182" s="319"/>
      <c r="C182" s="248" t="s">
        <v>900</v>
      </c>
      <c r="D182" s="248"/>
      <c r="E182" s="319"/>
      <c r="F182" s="319"/>
      <c r="G182" s="319"/>
      <c r="H182" s="319"/>
      <c r="I182" s="319"/>
      <c r="J182" s="319"/>
      <c r="L182" s="287"/>
      <c r="M182" s="287"/>
      <c r="N182" s="287"/>
    </row>
    <row r="183" spans="1:14" x14ac:dyDescent="0.2">
      <c r="A183" s="319" t="s">
        <v>125</v>
      </c>
      <c r="B183" s="319"/>
      <c r="C183" s="1474" t="s">
        <v>901</v>
      </c>
      <c r="D183" s="1474"/>
      <c r="E183" s="1474"/>
      <c r="F183" s="1474"/>
      <c r="G183" s="1474"/>
      <c r="H183" s="1474"/>
      <c r="I183" s="1474"/>
      <c r="J183" s="1474"/>
      <c r="K183" s="1491"/>
      <c r="L183" s="1491"/>
      <c r="M183" s="1491"/>
      <c r="N183" s="1491"/>
    </row>
    <row r="184" spans="1:14" ht="48" x14ac:dyDescent="0.2">
      <c r="A184" s="1284" t="s">
        <v>1</v>
      </c>
      <c r="B184" s="1727" t="s">
        <v>127</v>
      </c>
      <c r="C184" s="1728"/>
      <c r="D184" s="1284" t="s">
        <v>14</v>
      </c>
      <c r="E184" s="1284" t="s">
        <v>12</v>
      </c>
      <c r="F184" s="1284" t="s">
        <v>128</v>
      </c>
      <c r="G184" s="1284" t="s">
        <v>129</v>
      </c>
      <c r="H184" s="1284" t="s">
        <v>3357</v>
      </c>
      <c r="I184" s="1284" t="s">
        <v>11</v>
      </c>
      <c r="J184" s="1284" t="s">
        <v>131</v>
      </c>
      <c r="K184" s="366"/>
      <c r="L184" s="288"/>
      <c r="M184" s="288"/>
      <c r="N184" s="288"/>
    </row>
    <row r="185" spans="1:14" ht="12" customHeight="1" x14ac:dyDescent="0.2">
      <c r="A185" s="1729" t="s">
        <v>132</v>
      </c>
      <c r="B185" s="1730"/>
      <c r="C185" s="1731"/>
      <c r="D185" s="298">
        <f>SUM(D186,D195,D196)</f>
        <v>304004</v>
      </c>
      <c r="E185" s="298">
        <f>SUM(E186,E195,E196)</f>
        <v>87895</v>
      </c>
      <c r="F185" s="298">
        <f>SUM(F186,F195,F196)</f>
        <v>247640</v>
      </c>
      <c r="G185" s="298"/>
      <c r="H185" s="298">
        <f>SUM(H186,H195,H196)</f>
        <v>249640</v>
      </c>
      <c r="I185" s="298"/>
      <c r="J185" s="1286"/>
      <c r="L185" s="287"/>
      <c r="M185" s="287"/>
      <c r="N185" s="287"/>
    </row>
    <row r="186" spans="1:14" ht="18" customHeight="1" x14ac:dyDescent="0.2">
      <c r="A186" s="1735">
        <v>1</v>
      </c>
      <c r="B186" s="1741" t="s">
        <v>902</v>
      </c>
      <c r="C186" s="1742"/>
      <c r="D186" s="1287">
        <v>304004</v>
      </c>
      <c r="E186" s="1287">
        <v>87895</v>
      </c>
      <c r="F186" s="1287">
        <f>SUM(F187:F195)</f>
        <v>241640</v>
      </c>
      <c r="G186" s="371">
        <v>5250</v>
      </c>
      <c r="H186" s="1287">
        <f>SUM(H187:H195)</f>
        <v>247640</v>
      </c>
      <c r="I186" s="1732" t="s">
        <v>903</v>
      </c>
      <c r="J186" s="1286"/>
      <c r="L186" s="287"/>
      <c r="M186" s="287"/>
      <c r="N186" s="287"/>
    </row>
    <row r="187" spans="1:14" ht="15" hidden="1" customHeight="1" x14ac:dyDescent="0.2">
      <c r="A187" s="1736"/>
      <c r="B187" s="1743"/>
      <c r="C187" s="1744"/>
      <c r="D187" s="1287"/>
      <c r="E187" s="1287"/>
      <c r="F187" s="1287"/>
      <c r="G187" s="371"/>
      <c r="H187" s="1287"/>
      <c r="I187" s="1733"/>
      <c r="J187" s="394" t="s">
        <v>904</v>
      </c>
    </row>
    <row r="188" spans="1:14" ht="72" hidden="1" x14ac:dyDescent="0.2">
      <c r="A188" s="1736"/>
      <c r="B188" s="1743"/>
      <c r="C188" s="1744"/>
      <c r="D188" s="1287"/>
      <c r="E188" s="1287"/>
      <c r="F188" s="1287">
        <v>4840</v>
      </c>
      <c r="G188" s="371"/>
      <c r="H188" s="1287">
        <v>4840</v>
      </c>
      <c r="I188" s="1733"/>
      <c r="J188" s="391" t="s">
        <v>905</v>
      </c>
      <c r="K188" s="383"/>
      <c r="L188" s="262"/>
    </row>
    <row r="189" spans="1:14" ht="107.25" hidden="1" customHeight="1" x14ac:dyDescent="0.2">
      <c r="A189" s="1736"/>
      <c r="B189" s="1743"/>
      <c r="C189" s="1744"/>
      <c r="D189" s="1287"/>
      <c r="E189" s="1287"/>
      <c r="F189" s="1287">
        <v>10000</v>
      </c>
      <c r="G189" s="371"/>
      <c r="H189" s="1287">
        <v>10000</v>
      </c>
      <c r="I189" s="1733"/>
      <c r="J189" s="391" t="s">
        <v>906</v>
      </c>
      <c r="K189" s="403"/>
    </row>
    <row r="190" spans="1:14" ht="24" hidden="1" x14ac:dyDescent="0.2">
      <c r="A190" s="1736"/>
      <c r="B190" s="1743"/>
      <c r="C190" s="1744"/>
      <c r="D190" s="1287"/>
      <c r="E190" s="1287"/>
      <c r="F190" s="1287">
        <v>205700</v>
      </c>
      <c r="G190" s="371"/>
      <c r="H190" s="1287">
        <f>205700-4810</f>
        <v>200890</v>
      </c>
      <c r="I190" s="1733"/>
      <c r="J190" s="1298" t="s">
        <v>907</v>
      </c>
    </row>
    <row r="191" spans="1:14" ht="24" hidden="1" x14ac:dyDescent="0.2">
      <c r="A191" s="1736"/>
      <c r="B191" s="1743"/>
      <c r="C191" s="1744"/>
      <c r="D191" s="1287"/>
      <c r="E191" s="1287"/>
      <c r="F191" s="1287">
        <v>8400</v>
      </c>
      <c r="G191" s="371"/>
      <c r="H191" s="1287">
        <v>8400</v>
      </c>
      <c r="I191" s="1733"/>
      <c r="J191" s="1298" t="s">
        <v>908</v>
      </c>
    </row>
    <row r="192" spans="1:14" ht="24" hidden="1" x14ac:dyDescent="0.2">
      <c r="A192" s="1736"/>
      <c r="B192" s="1743"/>
      <c r="C192" s="1744"/>
      <c r="D192" s="1287"/>
      <c r="E192" s="1287"/>
      <c r="F192" s="1287">
        <v>1500</v>
      </c>
      <c r="G192" s="371"/>
      <c r="H192" s="1287">
        <v>1500</v>
      </c>
      <c r="I192" s="1733"/>
      <c r="J192" s="1298" t="s">
        <v>909</v>
      </c>
    </row>
    <row r="193" spans="1:14" ht="48" hidden="1" x14ac:dyDescent="0.2">
      <c r="A193" s="1736"/>
      <c r="B193" s="1743"/>
      <c r="C193" s="1744"/>
      <c r="D193" s="1287"/>
      <c r="E193" s="1287"/>
      <c r="F193" s="1287"/>
      <c r="G193" s="371"/>
      <c r="H193" s="1287">
        <v>11810</v>
      </c>
      <c r="I193" s="1733"/>
      <c r="J193" s="1298" t="s">
        <v>910</v>
      </c>
    </row>
    <row r="194" spans="1:14" ht="60" hidden="1" x14ac:dyDescent="0.2">
      <c r="A194" s="1736"/>
      <c r="B194" s="1743"/>
      <c r="C194" s="1744"/>
      <c r="D194" s="1287"/>
      <c r="E194" s="1287"/>
      <c r="F194" s="1287">
        <v>8200</v>
      </c>
      <c r="G194" s="371"/>
      <c r="H194" s="1287">
        <v>8200</v>
      </c>
      <c r="I194" s="1733"/>
      <c r="J194" s="1298" t="s">
        <v>911</v>
      </c>
    </row>
    <row r="195" spans="1:14" ht="19.5" customHeight="1" x14ac:dyDescent="0.2">
      <c r="A195" s="1737"/>
      <c r="B195" s="1745"/>
      <c r="C195" s="1746"/>
      <c r="D195" s="1287">
        <v>0</v>
      </c>
      <c r="E195" s="1287">
        <v>0</v>
      </c>
      <c r="F195" s="1287">
        <v>3000</v>
      </c>
      <c r="G195" s="371">
        <v>2241</v>
      </c>
      <c r="H195" s="1287">
        <v>2000</v>
      </c>
      <c r="I195" s="1734"/>
      <c r="J195" s="1298" t="s">
        <v>794</v>
      </c>
    </row>
    <row r="196" spans="1:14" ht="36" hidden="1" x14ac:dyDescent="0.2">
      <c r="A196" s="1297">
        <v>2</v>
      </c>
      <c r="B196" s="370" t="s">
        <v>795</v>
      </c>
      <c r="C196" s="370"/>
      <c r="D196" s="321">
        <v>0</v>
      </c>
      <c r="E196" s="321">
        <v>0</v>
      </c>
      <c r="F196" s="321">
        <v>3000</v>
      </c>
      <c r="G196" s="380">
        <v>2239</v>
      </c>
      <c r="H196" s="1287"/>
      <c r="I196" s="1300" t="s">
        <v>912</v>
      </c>
      <c r="J196" s="1298"/>
    </row>
    <row r="197" spans="1:14" hidden="1" x14ac:dyDescent="0.2">
      <c r="A197" s="1795"/>
      <c r="B197" s="1817"/>
      <c r="C197" s="1398"/>
      <c r="D197" s="272"/>
      <c r="E197" s="272"/>
      <c r="F197" s="1287"/>
      <c r="G197" s="404"/>
      <c r="H197" s="272"/>
      <c r="I197" s="1300"/>
      <c r="J197" s="1298"/>
    </row>
    <row r="198" spans="1:14" ht="12.75" hidden="1" customHeight="1" x14ac:dyDescent="0.2">
      <c r="A198" s="1796"/>
      <c r="B198" s="1818"/>
      <c r="C198" s="1400"/>
      <c r="D198" s="272"/>
      <c r="E198" s="272"/>
      <c r="F198" s="1287"/>
      <c r="G198" s="404"/>
      <c r="H198" s="272"/>
      <c r="I198" s="1300"/>
      <c r="J198" s="1298"/>
    </row>
    <row r="199" spans="1:14" ht="12.75" customHeight="1" x14ac:dyDescent="0.2">
      <c r="A199" s="405"/>
      <c r="B199" s="405"/>
      <c r="C199" s="405"/>
      <c r="D199" s="406"/>
      <c r="E199" s="406"/>
      <c r="F199" s="407"/>
      <c r="G199" s="406"/>
      <c r="H199" s="406"/>
      <c r="I199" s="406"/>
      <c r="J199" s="1302"/>
    </row>
    <row r="200" spans="1:14" x14ac:dyDescent="0.2">
      <c r="A200" s="1306" t="s">
        <v>123</v>
      </c>
      <c r="B200" s="1306"/>
      <c r="C200" s="389" t="s">
        <v>163</v>
      </c>
      <c r="D200" s="389"/>
      <c r="E200" s="1306"/>
      <c r="F200" s="319"/>
      <c r="G200" s="1306"/>
      <c r="H200" s="1306"/>
      <c r="I200" s="1306"/>
      <c r="J200" s="1306"/>
    </row>
    <row r="201" spans="1:14" x14ac:dyDescent="0.2">
      <c r="A201" s="1306" t="s">
        <v>125</v>
      </c>
      <c r="B201" s="1306"/>
      <c r="C201" s="1474" t="s">
        <v>164</v>
      </c>
      <c r="D201" s="1474"/>
      <c r="E201" s="1474"/>
      <c r="F201" s="1474"/>
      <c r="G201" s="1474"/>
      <c r="H201" s="1474"/>
      <c r="I201" s="1474"/>
      <c r="J201" s="1474"/>
      <c r="K201" s="1491"/>
      <c r="L201" s="1491"/>
      <c r="M201" s="1491"/>
      <c r="N201" s="1491"/>
    </row>
    <row r="202" spans="1:14" ht="48" x14ac:dyDescent="0.2">
      <c r="A202" s="1303" t="s">
        <v>1</v>
      </c>
      <c r="B202" s="1797" t="s">
        <v>127</v>
      </c>
      <c r="C202" s="1798"/>
      <c r="D202" s="1303" t="s">
        <v>14</v>
      </c>
      <c r="E202" s="1303" t="s">
        <v>12</v>
      </c>
      <c r="F202" s="1284" t="s">
        <v>128</v>
      </c>
      <c r="G202" s="1303" t="s">
        <v>129</v>
      </c>
      <c r="H202" s="1303" t="s">
        <v>3357</v>
      </c>
      <c r="I202" s="1303" t="s">
        <v>11</v>
      </c>
      <c r="J202" s="1303" t="s">
        <v>131</v>
      </c>
      <c r="K202" s="366"/>
      <c r="L202" s="367"/>
      <c r="M202" s="367"/>
      <c r="N202" s="367"/>
    </row>
    <row r="203" spans="1:14" ht="12" customHeight="1" x14ac:dyDescent="0.2">
      <c r="A203" s="1807" t="s">
        <v>132</v>
      </c>
      <c r="B203" s="1808"/>
      <c r="C203" s="1809"/>
      <c r="D203" s="397">
        <f>SUM(D204,D216,D219)</f>
        <v>175082</v>
      </c>
      <c r="E203" s="397">
        <f>SUM(E204,E216,E219)</f>
        <v>146876</v>
      </c>
      <c r="F203" s="397">
        <f>SUM(F204,F216,F219)</f>
        <v>61056</v>
      </c>
      <c r="G203" s="397"/>
      <c r="H203" s="397">
        <f>SUM(H204,H216,H219)</f>
        <v>30000</v>
      </c>
      <c r="I203" s="1307"/>
      <c r="J203" s="1298"/>
    </row>
    <row r="204" spans="1:14" ht="21" customHeight="1" x14ac:dyDescent="0.2">
      <c r="A204" s="1795">
        <v>1</v>
      </c>
      <c r="B204" s="1741" t="s">
        <v>913</v>
      </c>
      <c r="C204" s="1742"/>
      <c r="D204" s="1287">
        <v>172532</v>
      </c>
      <c r="E204" s="1287">
        <v>144326</v>
      </c>
      <c r="F204" s="1287">
        <f>SUM(F205:F215)</f>
        <v>57006</v>
      </c>
      <c r="G204" s="371">
        <v>5250</v>
      </c>
      <c r="H204" s="1287">
        <f>SUM(H205:H215)</f>
        <v>27450</v>
      </c>
      <c r="I204" s="1732" t="s">
        <v>914</v>
      </c>
      <c r="J204" s="1298"/>
    </row>
    <row r="205" spans="1:14" ht="12" hidden="1" customHeight="1" x14ac:dyDescent="0.2">
      <c r="A205" s="1863"/>
      <c r="B205" s="1743"/>
      <c r="C205" s="1744"/>
      <c r="D205" s="1287"/>
      <c r="E205" s="1287"/>
      <c r="F205" s="1287"/>
      <c r="G205" s="371"/>
      <c r="H205" s="1287"/>
      <c r="I205" s="1733"/>
      <c r="J205" s="1298"/>
      <c r="K205" s="383"/>
      <c r="L205" s="262"/>
    </row>
    <row r="206" spans="1:14" ht="24" hidden="1" customHeight="1" x14ac:dyDescent="0.2">
      <c r="A206" s="1863"/>
      <c r="B206" s="1743"/>
      <c r="C206" s="1744"/>
      <c r="D206" s="1287"/>
      <c r="E206" s="1287"/>
      <c r="F206" s="1287"/>
      <c r="G206" s="371"/>
      <c r="H206" s="1287"/>
      <c r="I206" s="1733"/>
      <c r="J206" s="394" t="s">
        <v>915</v>
      </c>
      <c r="L206" s="263"/>
    </row>
    <row r="207" spans="1:14" ht="48" hidden="1" customHeight="1" x14ac:dyDescent="0.2">
      <c r="A207" s="1863"/>
      <c r="B207" s="1743"/>
      <c r="C207" s="1744"/>
      <c r="D207" s="1287"/>
      <c r="E207" s="1287"/>
      <c r="F207" s="1287">
        <v>19965</v>
      </c>
      <c r="G207" s="371"/>
      <c r="H207" s="1287">
        <f>4000-2975</f>
        <v>1025</v>
      </c>
      <c r="I207" s="1733"/>
      <c r="J207" s="1298" t="s">
        <v>916</v>
      </c>
      <c r="L207" s="263"/>
    </row>
    <row r="208" spans="1:14" ht="24" hidden="1" customHeight="1" x14ac:dyDescent="0.2">
      <c r="A208" s="1863"/>
      <c r="B208" s="1743"/>
      <c r="C208" s="1744"/>
      <c r="D208" s="1287"/>
      <c r="E208" s="1287"/>
      <c r="F208" s="1287"/>
      <c r="G208" s="371"/>
      <c r="H208" s="1287"/>
      <c r="I208" s="1733"/>
      <c r="J208" s="394" t="s">
        <v>917</v>
      </c>
    </row>
    <row r="209" spans="1:14" ht="72" hidden="1" customHeight="1" x14ac:dyDescent="0.2">
      <c r="A209" s="1863"/>
      <c r="B209" s="1743"/>
      <c r="C209" s="1744"/>
      <c r="D209" s="1287"/>
      <c r="E209" s="1287"/>
      <c r="F209" s="1287">
        <v>1089</v>
      </c>
      <c r="G209" s="371"/>
      <c r="H209" s="1287">
        <v>1089</v>
      </c>
      <c r="I209" s="1733"/>
      <c r="J209" s="391" t="s">
        <v>918</v>
      </c>
    </row>
    <row r="210" spans="1:14" ht="60" hidden="1" customHeight="1" x14ac:dyDescent="0.2">
      <c r="A210" s="1863"/>
      <c r="B210" s="1743"/>
      <c r="C210" s="1744"/>
      <c r="D210" s="1287"/>
      <c r="E210" s="1287"/>
      <c r="F210" s="1287">
        <v>23884</v>
      </c>
      <c r="G210" s="371"/>
      <c r="H210" s="1287">
        <v>23884</v>
      </c>
      <c r="I210" s="1733"/>
      <c r="J210" s="1298" t="s">
        <v>919</v>
      </c>
    </row>
    <row r="211" spans="1:14" ht="24" hidden="1" customHeight="1" x14ac:dyDescent="0.2">
      <c r="A211" s="1863"/>
      <c r="B211" s="1743"/>
      <c r="C211" s="1744"/>
      <c r="D211" s="1287"/>
      <c r="E211" s="1287"/>
      <c r="F211" s="1287"/>
      <c r="G211" s="371"/>
      <c r="H211" s="1287"/>
      <c r="I211" s="1733"/>
      <c r="J211" s="394" t="s">
        <v>920</v>
      </c>
    </row>
    <row r="212" spans="1:14" ht="12.75" hidden="1" customHeight="1" x14ac:dyDescent="0.2">
      <c r="A212" s="1863"/>
      <c r="B212" s="1743"/>
      <c r="C212" s="1744"/>
      <c r="D212" s="1287"/>
      <c r="E212" s="1287"/>
      <c r="F212" s="1287">
        <v>10616</v>
      </c>
      <c r="G212" s="371"/>
      <c r="H212" s="1287"/>
      <c r="I212" s="1733"/>
      <c r="J212" s="1298" t="s">
        <v>921</v>
      </c>
    </row>
    <row r="213" spans="1:14" ht="24" hidden="1" customHeight="1" x14ac:dyDescent="0.2">
      <c r="A213" s="1863"/>
      <c r="B213" s="1743"/>
      <c r="C213" s="1744"/>
      <c r="D213" s="1287"/>
      <c r="E213" s="1287"/>
      <c r="F213" s="1287"/>
      <c r="G213" s="371"/>
      <c r="H213" s="1287"/>
      <c r="I213" s="1733"/>
      <c r="J213" s="394" t="s">
        <v>922</v>
      </c>
    </row>
    <row r="214" spans="1:14" ht="12" hidden="1" customHeight="1" x14ac:dyDescent="0.2">
      <c r="A214" s="1863"/>
      <c r="B214" s="1743"/>
      <c r="C214" s="1744"/>
      <c r="D214" s="1287"/>
      <c r="E214" s="1287"/>
      <c r="F214" s="1287">
        <v>1452</v>
      </c>
      <c r="G214" s="371"/>
      <c r="H214" s="1287">
        <v>1452</v>
      </c>
      <c r="I214" s="1733"/>
      <c r="J214" s="1298" t="s">
        <v>923</v>
      </c>
    </row>
    <row r="215" spans="1:14" ht="12.75" hidden="1" customHeight="1" x14ac:dyDescent="0.2">
      <c r="A215" s="1863"/>
      <c r="B215" s="1743"/>
      <c r="C215" s="1744"/>
      <c r="D215" s="1287"/>
      <c r="E215" s="1287"/>
      <c r="F215" s="1287"/>
      <c r="G215" s="371"/>
      <c r="H215" s="1287"/>
      <c r="I215" s="1733"/>
      <c r="J215" s="1298"/>
    </row>
    <row r="216" spans="1:14" ht="23.25" customHeight="1" x14ac:dyDescent="0.2">
      <c r="A216" s="1863"/>
      <c r="B216" s="1743"/>
      <c r="C216" s="1744"/>
      <c r="D216" s="1287">
        <v>2550</v>
      </c>
      <c r="E216" s="1287">
        <v>2550</v>
      </c>
      <c r="F216" s="1287">
        <v>2550</v>
      </c>
      <c r="G216" s="371">
        <v>2241</v>
      </c>
      <c r="H216" s="1287">
        <v>2550</v>
      </c>
      <c r="I216" s="1734"/>
      <c r="J216" s="1305" t="s">
        <v>794</v>
      </c>
    </row>
    <row r="217" spans="1:14" ht="12.75" hidden="1" customHeight="1" x14ac:dyDescent="0.2">
      <c r="A217" s="1863"/>
      <c r="B217" s="1743"/>
      <c r="C217" s="1744"/>
      <c r="D217" s="1287"/>
      <c r="E217" s="1287"/>
      <c r="F217" s="1287"/>
      <c r="G217" s="371"/>
      <c r="H217" s="1287"/>
      <c r="I217" s="1287"/>
      <c r="J217" s="1298"/>
    </row>
    <row r="218" spans="1:14" ht="12.75" hidden="1" customHeight="1" x14ac:dyDescent="0.2">
      <c r="A218" s="1796"/>
      <c r="B218" s="1745"/>
      <c r="C218" s="1746"/>
      <c r="D218" s="1287"/>
      <c r="E218" s="1287"/>
      <c r="F218" s="1287"/>
      <c r="G218" s="371"/>
      <c r="H218" s="1287"/>
      <c r="I218" s="1287"/>
      <c r="J218" s="1298"/>
    </row>
    <row r="219" spans="1:14" ht="36" hidden="1" x14ac:dyDescent="0.2">
      <c r="A219" s="1297">
        <v>2</v>
      </c>
      <c r="B219" s="370" t="s">
        <v>795</v>
      </c>
      <c r="C219" s="370"/>
      <c r="D219" s="321">
        <v>0</v>
      </c>
      <c r="E219" s="321">
        <v>0</v>
      </c>
      <c r="F219" s="321">
        <v>1500</v>
      </c>
      <c r="G219" s="380">
        <v>2239</v>
      </c>
      <c r="H219" s="1287"/>
      <c r="I219" s="1290" t="s">
        <v>924</v>
      </c>
      <c r="J219" s="1298"/>
    </row>
    <row r="220" spans="1:14" ht="12.75" hidden="1" customHeight="1" x14ac:dyDescent="0.2">
      <c r="A220" s="1281"/>
      <c r="B220" s="1282"/>
      <c r="C220" s="1400"/>
      <c r="D220" s="272"/>
      <c r="E220" s="272"/>
      <c r="F220" s="1287"/>
      <c r="G220" s="404"/>
      <c r="H220" s="272"/>
      <c r="I220" s="272"/>
      <c r="J220" s="1298"/>
    </row>
    <row r="221" spans="1:14" x14ac:dyDescent="0.2">
      <c r="A221" s="1565"/>
      <c r="B221" s="1566"/>
      <c r="C221" s="1566"/>
      <c r="D221" s="1167"/>
      <c r="E221" s="1167"/>
      <c r="F221" s="546"/>
      <c r="G221" s="1167"/>
      <c r="H221" s="1167"/>
      <c r="I221" s="1167"/>
      <c r="J221" s="1565"/>
    </row>
    <row r="222" spans="1:14" x14ac:dyDescent="0.2">
      <c r="A222" s="1306" t="s">
        <v>123</v>
      </c>
      <c r="B222" s="1306"/>
      <c r="C222" s="389" t="s">
        <v>925</v>
      </c>
      <c r="D222" s="389"/>
      <c r="E222" s="1306"/>
      <c r="F222" s="319"/>
      <c r="G222" s="1306"/>
      <c r="H222" s="1306"/>
      <c r="I222" s="1306"/>
      <c r="J222" s="1306"/>
    </row>
    <row r="223" spans="1:14" x14ac:dyDescent="0.2">
      <c r="A223" s="1306" t="s">
        <v>125</v>
      </c>
      <c r="B223" s="1306"/>
      <c r="C223" s="1474" t="s">
        <v>181</v>
      </c>
      <c r="D223" s="1474"/>
      <c r="E223" s="1474"/>
      <c r="F223" s="1474"/>
      <c r="G223" s="1474"/>
      <c r="H223" s="1474"/>
      <c r="I223" s="1474"/>
      <c r="J223" s="1474"/>
      <c r="K223" s="1491"/>
      <c r="L223" s="1491"/>
      <c r="M223" s="1491"/>
      <c r="N223" s="1491"/>
    </row>
    <row r="224" spans="1:14" ht="48" x14ac:dyDescent="0.2">
      <c r="A224" s="1457" t="s">
        <v>1</v>
      </c>
      <c r="B224" s="1864" t="s">
        <v>127</v>
      </c>
      <c r="C224" s="1864"/>
      <c r="D224" s="1457" t="s">
        <v>14</v>
      </c>
      <c r="E224" s="1457" t="s">
        <v>12</v>
      </c>
      <c r="F224" s="1450" t="s">
        <v>128</v>
      </c>
      <c r="G224" s="1457" t="s">
        <v>129</v>
      </c>
      <c r="H224" s="1457" t="s">
        <v>3357</v>
      </c>
      <c r="I224" s="1457" t="s">
        <v>11</v>
      </c>
      <c r="J224" s="1457" t="s">
        <v>131</v>
      </c>
      <c r="K224" s="366"/>
      <c r="L224" s="367"/>
      <c r="M224" s="367"/>
      <c r="N224" s="367"/>
    </row>
    <row r="225" spans="1:10" ht="12" customHeight="1" x14ac:dyDescent="0.2">
      <c r="A225" s="1865" t="s">
        <v>132</v>
      </c>
      <c r="B225" s="1865"/>
      <c r="C225" s="1865"/>
      <c r="D225" s="397">
        <f>SUM(D226,D228,D230,D233,D237,D240,D242,D246,D249,D253,D256,D260,D263)</f>
        <v>343902</v>
      </c>
      <c r="E225" s="397">
        <f>SUM(E226,E228,E230,E233,E237,E240,E242,E246,E249,E253,E256,E260,E263)</f>
        <v>256676</v>
      </c>
      <c r="F225" s="397">
        <f>SUM(F226,F227,F228,F230,F233,F237,F240,F242,F246,F249,F253,F256,F260,F263)</f>
        <v>342117</v>
      </c>
      <c r="G225" s="397"/>
      <c r="H225" s="397">
        <f>SUM(H226,H227,H228,H230,H233,H237,H240,H242,H246,H249,H253,H256,H260,H263)</f>
        <v>160000</v>
      </c>
      <c r="I225" s="397"/>
      <c r="J225" s="1454"/>
    </row>
    <row r="226" spans="1:10" ht="21" customHeight="1" x14ac:dyDescent="0.2">
      <c r="A226" s="1867">
        <v>1</v>
      </c>
      <c r="B226" s="1866" t="s">
        <v>794</v>
      </c>
      <c r="C226" s="1866"/>
      <c r="D226" s="1453">
        <v>50741</v>
      </c>
      <c r="E226" s="1453">
        <v>50741</v>
      </c>
      <c r="F226" s="1453">
        <v>50000</v>
      </c>
      <c r="G226" s="371">
        <v>2241</v>
      </c>
      <c r="H226" s="1453">
        <v>40000</v>
      </c>
      <c r="I226" s="1826" t="s">
        <v>926</v>
      </c>
      <c r="J226" s="1454"/>
    </row>
    <row r="227" spans="1:10" ht="21" customHeight="1" x14ac:dyDescent="0.2">
      <c r="A227" s="1867"/>
      <c r="B227" s="1866"/>
      <c r="C227" s="1866"/>
      <c r="D227" s="1453"/>
      <c r="E227" s="1453"/>
      <c r="F227" s="1453"/>
      <c r="G227" s="371">
        <v>2275</v>
      </c>
      <c r="H227" s="1453">
        <v>81019</v>
      </c>
      <c r="I227" s="1826"/>
      <c r="J227" s="1454" t="s">
        <v>927</v>
      </c>
    </row>
    <row r="228" spans="1:10" ht="24" hidden="1" x14ac:dyDescent="0.2">
      <c r="A228" s="1455">
        <v>2</v>
      </c>
      <c r="B228" s="1452" t="s">
        <v>928</v>
      </c>
      <c r="C228" s="1452"/>
      <c r="D228" s="1453">
        <v>51065</v>
      </c>
      <c r="E228" s="1453">
        <v>0</v>
      </c>
      <c r="F228" s="1453">
        <f>SUM(F229:F229)</f>
        <v>0</v>
      </c>
      <c r="G228" s="371">
        <v>5250</v>
      </c>
      <c r="H228" s="1453">
        <f>SUM(H229:H229)</f>
        <v>0</v>
      </c>
      <c r="I228" s="1449" t="s">
        <v>926</v>
      </c>
      <c r="J228" s="1454"/>
    </row>
    <row r="229" spans="1:10" ht="12.75" hidden="1" customHeight="1" x14ac:dyDescent="0.2">
      <c r="A229" s="1455"/>
      <c r="B229" s="1452"/>
      <c r="C229" s="1452"/>
      <c r="D229" s="1453"/>
      <c r="E229" s="1453"/>
      <c r="F229" s="1453"/>
      <c r="G229" s="371"/>
      <c r="H229" s="1453"/>
      <c r="I229" s="1453"/>
      <c r="J229" s="1454"/>
    </row>
    <row r="230" spans="1:10" ht="24" hidden="1" x14ac:dyDescent="0.2">
      <c r="A230" s="1455">
        <v>3</v>
      </c>
      <c r="B230" s="1452" t="s">
        <v>929</v>
      </c>
      <c r="C230" s="1452"/>
      <c r="D230" s="1453">
        <v>45425</v>
      </c>
      <c r="E230" s="1453">
        <v>45425</v>
      </c>
      <c r="F230" s="1453">
        <f>SUM(F231:F232)</f>
        <v>23640</v>
      </c>
      <c r="G230" s="371">
        <v>5250</v>
      </c>
      <c r="H230" s="1453">
        <f>SUM(H231:H232)</f>
        <v>0</v>
      </c>
      <c r="I230" s="1449" t="s">
        <v>926</v>
      </c>
      <c r="J230" s="1454"/>
    </row>
    <row r="231" spans="1:10" ht="84" hidden="1" x14ac:dyDescent="0.2">
      <c r="A231" s="1867"/>
      <c r="B231" s="1866"/>
      <c r="C231" s="1452"/>
      <c r="D231" s="1453"/>
      <c r="E231" s="1453"/>
      <c r="F231" s="1453">
        <v>23640</v>
      </c>
      <c r="G231" s="371"/>
      <c r="H231" s="1453"/>
      <c r="I231" s="1449"/>
      <c r="J231" s="1454" t="s">
        <v>930</v>
      </c>
    </row>
    <row r="232" spans="1:10" ht="12.75" hidden="1" customHeight="1" x14ac:dyDescent="0.2">
      <c r="A232" s="1867"/>
      <c r="B232" s="1866"/>
      <c r="C232" s="1452"/>
      <c r="D232" s="1453"/>
      <c r="E232" s="1453"/>
      <c r="F232" s="1453"/>
      <c r="G232" s="371"/>
      <c r="H232" s="1453"/>
      <c r="I232" s="1449"/>
      <c r="J232" s="1454"/>
    </row>
    <row r="233" spans="1:10" ht="24" x14ac:dyDescent="0.2">
      <c r="A233" s="1455">
        <v>2</v>
      </c>
      <c r="B233" s="1866" t="s">
        <v>931</v>
      </c>
      <c r="C233" s="1866"/>
      <c r="D233" s="1453">
        <v>25046</v>
      </c>
      <c r="E233" s="1453">
        <v>25046</v>
      </c>
      <c r="F233" s="1453">
        <f>SUM(F234:F236)</f>
        <v>47761</v>
      </c>
      <c r="G233" s="371">
        <v>5250</v>
      </c>
      <c r="H233" s="1453">
        <f>SUM(H234:H236)</f>
        <v>23561</v>
      </c>
      <c r="I233" s="1449" t="s">
        <v>926</v>
      </c>
      <c r="J233" s="1454"/>
    </row>
    <row r="234" spans="1:10" ht="84" hidden="1" x14ac:dyDescent="0.2">
      <c r="A234" s="1867"/>
      <c r="B234" s="1879"/>
      <c r="C234" s="1454"/>
      <c r="D234" s="272"/>
      <c r="E234" s="272"/>
      <c r="F234" s="1453">
        <v>24200</v>
      </c>
      <c r="G234" s="404"/>
      <c r="H234" s="272"/>
      <c r="I234" s="1456"/>
      <c r="J234" s="1454" t="s">
        <v>932</v>
      </c>
    </row>
    <row r="235" spans="1:10" ht="38.25" hidden="1" customHeight="1" x14ac:dyDescent="0.2">
      <c r="A235" s="1867"/>
      <c r="B235" s="1879"/>
      <c r="C235" s="1454"/>
      <c r="D235" s="272"/>
      <c r="E235" s="272"/>
      <c r="F235" s="1453">
        <v>23561</v>
      </c>
      <c r="G235" s="404"/>
      <c r="H235" s="272">
        <v>23561</v>
      </c>
      <c r="I235" s="1456"/>
      <c r="J235" s="1454" t="s">
        <v>933</v>
      </c>
    </row>
    <row r="236" spans="1:10" ht="12.75" hidden="1" customHeight="1" x14ac:dyDescent="0.2">
      <c r="A236" s="1867"/>
      <c r="B236" s="1879"/>
      <c r="C236" s="1454"/>
      <c r="D236" s="272"/>
      <c r="E236" s="272"/>
      <c r="F236" s="1453"/>
      <c r="G236" s="404"/>
      <c r="H236" s="272"/>
      <c r="I236" s="1456"/>
      <c r="J236" s="1454"/>
    </row>
    <row r="237" spans="1:10" ht="24" hidden="1" x14ac:dyDescent="0.2">
      <c r="A237" s="1455">
        <v>5</v>
      </c>
      <c r="B237" s="1452" t="s">
        <v>934</v>
      </c>
      <c r="C237" s="1452"/>
      <c r="D237" s="1453">
        <v>29694</v>
      </c>
      <c r="E237" s="1453">
        <v>28010</v>
      </c>
      <c r="F237" s="1453">
        <f>SUM(F238:F239)</f>
        <v>33526</v>
      </c>
      <c r="G237" s="371">
        <v>5250</v>
      </c>
      <c r="H237" s="1453">
        <f>SUM(H238:H239)</f>
        <v>0</v>
      </c>
      <c r="I237" s="1449" t="s">
        <v>926</v>
      </c>
      <c r="J237" s="1454"/>
    </row>
    <row r="238" spans="1:10" ht="127.5" hidden="1" customHeight="1" x14ac:dyDescent="0.2">
      <c r="A238" s="1867"/>
      <c r="B238" s="1866"/>
      <c r="C238" s="1452"/>
      <c r="D238" s="1453"/>
      <c r="E238" s="1453"/>
      <c r="F238" s="1453">
        <v>33526</v>
      </c>
      <c r="G238" s="371"/>
      <c r="H238" s="1453"/>
      <c r="I238" s="1449"/>
      <c r="J238" s="1454" t="s">
        <v>935</v>
      </c>
    </row>
    <row r="239" spans="1:10" ht="12.75" hidden="1" customHeight="1" x14ac:dyDescent="0.2">
      <c r="A239" s="1867"/>
      <c r="B239" s="1866"/>
      <c r="C239" s="1452"/>
      <c r="D239" s="1453"/>
      <c r="E239" s="1453"/>
      <c r="F239" s="1453"/>
      <c r="G239" s="371"/>
      <c r="H239" s="1453"/>
      <c r="I239" s="1449"/>
      <c r="J239" s="1454"/>
    </row>
    <row r="240" spans="1:10" ht="24" hidden="1" x14ac:dyDescent="0.2">
      <c r="A240" s="1867"/>
      <c r="B240" s="1866"/>
      <c r="C240" s="1452"/>
      <c r="D240" s="1453">
        <v>1813</v>
      </c>
      <c r="E240" s="1453">
        <v>1813</v>
      </c>
      <c r="F240" s="1453"/>
      <c r="G240" s="371">
        <v>2241</v>
      </c>
      <c r="H240" s="1453"/>
      <c r="I240" s="1449" t="s">
        <v>926</v>
      </c>
      <c r="J240" s="1454"/>
    </row>
    <row r="241" spans="1:12" ht="12.75" hidden="1" customHeight="1" x14ac:dyDescent="0.2">
      <c r="A241" s="1867"/>
      <c r="B241" s="1866"/>
      <c r="C241" s="1452"/>
      <c r="D241" s="1453"/>
      <c r="E241" s="1453"/>
      <c r="F241" s="1453"/>
      <c r="G241" s="371"/>
      <c r="H241" s="1453"/>
      <c r="I241" s="1453"/>
      <c r="J241" s="1454"/>
    </row>
    <row r="242" spans="1:12" ht="24" x14ac:dyDescent="0.2">
      <c r="A242" s="1455">
        <v>3</v>
      </c>
      <c r="B242" s="1866" t="s">
        <v>936</v>
      </c>
      <c r="C242" s="1866"/>
      <c r="D242" s="1453">
        <v>13420</v>
      </c>
      <c r="E242" s="1453">
        <v>0</v>
      </c>
      <c r="F242" s="1453">
        <f>SUM(F243:F245)</f>
        <v>30957</v>
      </c>
      <c r="G242" s="371">
        <v>5250</v>
      </c>
      <c r="H242" s="1453">
        <f>SUM(H243:H245)</f>
        <v>13420</v>
      </c>
      <c r="I242" s="1449" t="s">
        <v>926</v>
      </c>
      <c r="J242" s="1454"/>
    </row>
    <row r="243" spans="1:12" ht="60" hidden="1" x14ac:dyDescent="0.2">
      <c r="A243" s="1795"/>
      <c r="B243" s="1817"/>
      <c r="C243" s="1398"/>
      <c r="D243" s="272"/>
      <c r="E243" s="272"/>
      <c r="F243" s="1287">
        <v>13420</v>
      </c>
      <c r="G243" s="404"/>
      <c r="H243" s="272">
        <v>13420</v>
      </c>
      <c r="I243" s="1300"/>
      <c r="J243" s="1298" t="s">
        <v>937</v>
      </c>
    </row>
    <row r="244" spans="1:12" ht="192" hidden="1" x14ac:dyDescent="0.2">
      <c r="A244" s="1863"/>
      <c r="B244" s="1878"/>
      <c r="C244" s="1399"/>
      <c r="D244" s="272"/>
      <c r="E244" s="272"/>
      <c r="F244" s="1287">
        <v>17537</v>
      </c>
      <c r="G244" s="404"/>
      <c r="H244" s="272"/>
      <c r="I244" s="1300"/>
      <c r="J244" s="1298" t="s">
        <v>938</v>
      </c>
    </row>
    <row r="245" spans="1:12" ht="12.75" hidden="1" customHeight="1" x14ac:dyDescent="0.2">
      <c r="A245" s="1796"/>
      <c r="B245" s="1818"/>
      <c r="C245" s="1400"/>
      <c r="D245" s="272"/>
      <c r="E245" s="272"/>
      <c r="F245" s="1287"/>
      <c r="G245" s="404"/>
      <c r="H245" s="272"/>
      <c r="I245" s="1300"/>
      <c r="J245" s="1298"/>
    </row>
    <row r="246" spans="1:12" ht="24" hidden="1" x14ac:dyDescent="0.2">
      <c r="A246" s="1297">
        <v>7</v>
      </c>
      <c r="B246" s="370" t="s">
        <v>939</v>
      </c>
      <c r="C246" s="370"/>
      <c r="D246" s="1287">
        <v>28648</v>
      </c>
      <c r="E246" s="1287">
        <v>16760</v>
      </c>
      <c r="F246" s="1287">
        <f>SUM(F247:F248)</f>
        <v>32910</v>
      </c>
      <c r="G246" s="371">
        <v>5250</v>
      </c>
      <c r="H246" s="1287">
        <f>SUM(H247:H248)</f>
        <v>0</v>
      </c>
      <c r="I246" s="1290" t="s">
        <v>926</v>
      </c>
      <c r="J246" s="1298"/>
    </row>
    <row r="247" spans="1:12" ht="96" hidden="1" x14ac:dyDescent="0.2">
      <c r="A247" s="1863"/>
      <c r="B247" s="1844"/>
      <c r="C247" s="1413"/>
      <c r="D247" s="1287"/>
      <c r="E247" s="1287"/>
      <c r="F247" s="1287">
        <v>32910</v>
      </c>
      <c r="G247" s="371"/>
      <c r="H247" s="1287"/>
      <c r="I247" s="1290"/>
      <c r="J247" s="1298" t="s">
        <v>940</v>
      </c>
    </row>
    <row r="248" spans="1:12" ht="12.75" hidden="1" customHeight="1" x14ac:dyDescent="0.2">
      <c r="A248" s="1796"/>
      <c r="B248" s="1845"/>
      <c r="C248" s="1411"/>
      <c r="D248" s="1287"/>
      <c r="E248" s="1287"/>
      <c r="F248" s="1287"/>
      <c r="G248" s="371"/>
      <c r="H248" s="1287"/>
      <c r="I248" s="1290"/>
      <c r="J248" s="1298"/>
    </row>
    <row r="249" spans="1:12" ht="24" hidden="1" x14ac:dyDescent="0.2">
      <c r="A249" s="1297">
        <v>8</v>
      </c>
      <c r="B249" s="370" t="s">
        <v>941</v>
      </c>
      <c r="C249" s="370"/>
      <c r="D249" s="1287">
        <v>54579</v>
      </c>
      <c r="E249" s="1287">
        <v>46146</v>
      </c>
      <c r="F249" s="1287">
        <f>SUM(F250:F252)</f>
        <v>46843</v>
      </c>
      <c r="G249" s="371">
        <v>5250</v>
      </c>
      <c r="H249" s="1287">
        <f>SUM(H250:H252)</f>
        <v>0</v>
      </c>
      <c r="I249" s="1290" t="s">
        <v>926</v>
      </c>
      <c r="J249" s="1298"/>
    </row>
    <row r="250" spans="1:12" hidden="1" x14ac:dyDescent="0.2">
      <c r="A250" s="1795"/>
      <c r="B250" s="1843"/>
      <c r="C250" s="1410"/>
      <c r="D250" s="1287"/>
      <c r="E250" s="1287"/>
      <c r="F250" s="1287"/>
      <c r="G250" s="371"/>
      <c r="H250" s="1287"/>
      <c r="I250" s="1290"/>
      <c r="J250" s="409"/>
      <c r="K250" s="383"/>
      <c r="L250" s="262"/>
    </row>
    <row r="251" spans="1:12" ht="60" hidden="1" x14ac:dyDescent="0.2">
      <c r="A251" s="1863"/>
      <c r="B251" s="1844"/>
      <c r="C251" s="1413"/>
      <c r="D251" s="1287"/>
      <c r="E251" s="1287"/>
      <c r="F251" s="1287">
        <v>46843</v>
      </c>
      <c r="G251" s="371"/>
      <c r="H251" s="1287"/>
      <c r="I251" s="1290"/>
      <c r="J251" s="1298" t="s">
        <v>942</v>
      </c>
    </row>
    <row r="252" spans="1:12" ht="12.75" hidden="1" customHeight="1" x14ac:dyDescent="0.2">
      <c r="A252" s="1796"/>
      <c r="B252" s="1845"/>
      <c r="C252" s="1411"/>
      <c r="D252" s="1287"/>
      <c r="E252" s="1287"/>
      <c r="F252" s="1287"/>
      <c r="G252" s="371"/>
      <c r="H252" s="1287"/>
      <c r="I252" s="1287"/>
      <c r="J252" s="1298"/>
    </row>
    <row r="253" spans="1:12" ht="24" hidden="1" x14ac:dyDescent="0.2">
      <c r="A253" s="1297">
        <v>9</v>
      </c>
      <c r="B253" s="370" t="s">
        <v>943</v>
      </c>
      <c r="C253" s="370"/>
      <c r="D253" s="1287">
        <v>16360</v>
      </c>
      <c r="E253" s="1287">
        <v>15624</v>
      </c>
      <c r="F253" s="1287">
        <f>SUM(F254:F255)</f>
        <v>23994</v>
      </c>
      <c r="G253" s="371">
        <v>5250</v>
      </c>
      <c r="H253" s="1287">
        <f>SUM(H254:H255)</f>
        <v>0</v>
      </c>
      <c r="I253" s="1290" t="s">
        <v>926</v>
      </c>
      <c r="J253" s="1298"/>
    </row>
    <row r="254" spans="1:12" ht="36" hidden="1" x14ac:dyDescent="0.2">
      <c r="A254" s="1863"/>
      <c r="B254" s="1844"/>
      <c r="C254" s="1413"/>
      <c r="D254" s="1287"/>
      <c r="E254" s="1287"/>
      <c r="F254" s="1287">
        <v>23994</v>
      </c>
      <c r="G254" s="371"/>
      <c r="H254" s="1287"/>
      <c r="I254" s="1290"/>
      <c r="J254" s="1298" t="s">
        <v>944</v>
      </c>
    </row>
    <row r="255" spans="1:12" ht="12.75" hidden="1" customHeight="1" x14ac:dyDescent="0.2">
      <c r="A255" s="1796"/>
      <c r="B255" s="1845"/>
      <c r="C255" s="1411"/>
      <c r="D255" s="1287"/>
      <c r="E255" s="1287"/>
      <c r="F255" s="1287"/>
      <c r="G255" s="371"/>
      <c r="H255" s="1287"/>
      <c r="I255" s="1290"/>
      <c r="J255" s="1298"/>
    </row>
    <row r="256" spans="1:12" ht="24" hidden="1" x14ac:dyDescent="0.2">
      <c r="A256" s="1297">
        <v>10</v>
      </c>
      <c r="B256" s="370" t="s">
        <v>945</v>
      </c>
      <c r="C256" s="370"/>
      <c r="D256" s="1287">
        <v>27111</v>
      </c>
      <c r="E256" s="1287">
        <v>27111</v>
      </c>
      <c r="F256" s="1287">
        <f>SUM(F257:F259)</f>
        <v>50486</v>
      </c>
      <c r="G256" s="371">
        <v>5250</v>
      </c>
      <c r="H256" s="1287">
        <f>SUM(H257:H259)</f>
        <v>0</v>
      </c>
      <c r="I256" s="1290" t="s">
        <v>926</v>
      </c>
      <c r="J256" s="1298"/>
    </row>
    <row r="257" spans="1:15" hidden="1" x14ac:dyDescent="0.2">
      <c r="A257" s="1795"/>
      <c r="B257" s="1843"/>
      <c r="C257" s="1410"/>
      <c r="D257" s="1287"/>
      <c r="E257" s="1287"/>
      <c r="F257" s="1287"/>
      <c r="G257" s="371"/>
      <c r="H257" s="1287"/>
      <c r="I257" s="1290"/>
      <c r="J257" s="391"/>
      <c r="K257" s="383"/>
      <c r="L257" s="262"/>
    </row>
    <row r="258" spans="1:15" ht="120" hidden="1" x14ac:dyDescent="0.2">
      <c r="A258" s="1863"/>
      <c r="B258" s="1844"/>
      <c r="C258" s="1413"/>
      <c r="D258" s="1287"/>
      <c r="E258" s="1287"/>
      <c r="F258" s="1287">
        <v>50486</v>
      </c>
      <c r="G258" s="371"/>
      <c r="H258" s="1287"/>
      <c r="I258" s="1290"/>
      <c r="J258" s="1298" t="s">
        <v>946</v>
      </c>
    </row>
    <row r="259" spans="1:15" ht="12.75" hidden="1" customHeight="1" x14ac:dyDescent="0.2">
      <c r="A259" s="1796"/>
      <c r="B259" s="1845"/>
      <c r="C259" s="1411"/>
      <c r="D259" s="1287"/>
      <c r="E259" s="1287"/>
      <c r="F259" s="1287"/>
      <c r="G259" s="371"/>
      <c r="H259" s="1287"/>
      <c r="I259" s="1290"/>
      <c r="J259" s="1298"/>
    </row>
    <row r="260" spans="1:15" ht="24" hidden="1" x14ac:dyDescent="0.2">
      <c r="A260" s="1297">
        <v>11</v>
      </c>
      <c r="B260" s="370" t="s">
        <v>947</v>
      </c>
      <c r="C260" s="370"/>
      <c r="D260" s="1287">
        <v>0</v>
      </c>
      <c r="E260" s="1287">
        <v>0</v>
      </c>
      <c r="F260" s="1287"/>
      <c r="G260" s="371">
        <v>5250</v>
      </c>
      <c r="H260" s="1287"/>
      <c r="I260" s="1290" t="s">
        <v>926</v>
      </c>
      <c r="J260" s="1298"/>
    </row>
    <row r="261" spans="1:15" hidden="1" x14ac:dyDescent="0.2">
      <c r="A261" s="1795"/>
      <c r="B261" s="1843"/>
      <c r="C261" s="1410"/>
      <c r="D261" s="1287"/>
      <c r="E261" s="1287"/>
      <c r="F261" s="1287"/>
      <c r="G261" s="371"/>
      <c r="H261" s="1287"/>
      <c r="I261" s="1287"/>
      <c r="J261" s="1298"/>
    </row>
    <row r="262" spans="1:15" ht="12.75" hidden="1" customHeight="1" x14ac:dyDescent="0.2">
      <c r="A262" s="1796"/>
      <c r="B262" s="1845"/>
      <c r="C262" s="1411"/>
      <c r="D262" s="1287"/>
      <c r="E262" s="1287"/>
      <c r="F262" s="1287"/>
      <c r="G262" s="371"/>
      <c r="H262" s="1287"/>
      <c r="I262" s="1287"/>
      <c r="J262" s="1298"/>
    </row>
    <row r="263" spans="1:15" ht="40.5" customHeight="1" x14ac:dyDescent="0.2">
      <c r="A263" s="1297">
        <v>12</v>
      </c>
      <c r="B263" s="1747" t="s">
        <v>795</v>
      </c>
      <c r="C263" s="1748"/>
      <c r="D263" s="321">
        <v>0</v>
      </c>
      <c r="E263" s="321">
        <v>0</v>
      </c>
      <c r="F263" s="321">
        <v>2000</v>
      </c>
      <c r="G263" s="380">
        <v>2239</v>
      </c>
      <c r="H263" s="1287">
        <v>2000</v>
      </c>
      <c r="I263" s="1290" t="s">
        <v>948</v>
      </c>
      <c r="J263" s="1298"/>
    </row>
    <row r="264" spans="1:15" hidden="1" x14ac:dyDescent="0.2">
      <c r="A264" s="1795"/>
      <c r="B264" s="1795"/>
      <c r="C264" s="1396"/>
      <c r="D264" s="272"/>
      <c r="E264" s="272"/>
      <c r="F264" s="1287"/>
      <c r="G264" s="404"/>
      <c r="H264" s="272"/>
      <c r="I264" s="272"/>
      <c r="J264" s="1298"/>
    </row>
    <row r="265" spans="1:15" ht="12.75" hidden="1" customHeight="1" x14ac:dyDescent="0.2">
      <c r="A265" s="1796"/>
      <c r="B265" s="1796"/>
      <c r="C265" s="1397"/>
      <c r="D265" s="272"/>
      <c r="E265" s="272"/>
      <c r="F265" s="1287"/>
      <c r="G265" s="404"/>
      <c r="H265" s="272"/>
      <c r="I265" s="272"/>
      <c r="J265" s="1298"/>
    </row>
    <row r="266" spans="1:15" x14ac:dyDescent="0.2">
      <c r="A266" s="388"/>
      <c r="B266" s="1296"/>
      <c r="C266" s="1430"/>
      <c r="D266" s="387"/>
      <c r="E266" s="387"/>
      <c r="F266" s="311"/>
      <c r="G266" s="387"/>
      <c r="H266" s="387"/>
      <c r="I266" s="387"/>
      <c r="J266" s="388"/>
    </row>
    <row r="267" spans="1:15" x14ac:dyDescent="0.2">
      <c r="A267" s="1306" t="s">
        <v>123</v>
      </c>
      <c r="B267" s="1306"/>
      <c r="C267" s="389" t="s">
        <v>949</v>
      </c>
      <c r="D267" s="389"/>
      <c r="E267" s="1306"/>
      <c r="F267" s="319"/>
      <c r="G267" s="1306"/>
      <c r="H267" s="1306"/>
      <c r="I267" s="1306"/>
      <c r="J267" s="1306"/>
    </row>
    <row r="268" spans="1:15" x14ac:dyDescent="0.2">
      <c r="A268" s="1306" t="s">
        <v>125</v>
      </c>
      <c r="B268" s="1306"/>
      <c r="C268" s="1474" t="s">
        <v>195</v>
      </c>
      <c r="D268" s="1474"/>
      <c r="E268" s="1474"/>
      <c r="F268" s="1474"/>
      <c r="G268" s="1474"/>
      <c r="H268" s="1474"/>
      <c r="I268" s="1474"/>
      <c r="J268" s="1474"/>
      <c r="K268" s="1491"/>
      <c r="L268" s="1491"/>
      <c r="M268" s="1491"/>
      <c r="N268" s="1491"/>
    </row>
    <row r="269" spans="1:15" ht="48" x14ac:dyDescent="0.2">
      <c r="A269" s="1284" t="s">
        <v>1</v>
      </c>
      <c r="B269" s="1727" t="s">
        <v>127</v>
      </c>
      <c r="C269" s="1728"/>
      <c r="D269" s="1284" t="s">
        <v>14</v>
      </c>
      <c r="E269" s="1284" t="s">
        <v>12</v>
      </c>
      <c r="F269" s="1284" t="s">
        <v>128</v>
      </c>
      <c r="G269" s="1284" t="s">
        <v>129</v>
      </c>
      <c r="H269" s="1284" t="s">
        <v>3357</v>
      </c>
      <c r="I269" s="1284" t="s">
        <v>11</v>
      </c>
      <c r="J269" s="1303" t="s">
        <v>131</v>
      </c>
      <c r="K269" s="366"/>
      <c r="L269" s="367"/>
      <c r="M269" s="367"/>
      <c r="N269" s="367"/>
      <c r="O269" s="367"/>
    </row>
    <row r="270" spans="1:15" ht="12" customHeight="1" x14ac:dyDescent="0.2">
      <c r="A270" s="1729" t="s">
        <v>132</v>
      </c>
      <c r="B270" s="1730"/>
      <c r="C270" s="1731"/>
      <c r="D270" s="298">
        <f>SUM(D271,D273,D277,D280,D285,D288,D295,D302,D307,D310,D318,D322,D324,D330,D333,D336)</f>
        <v>527024</v>
      </c>
      <c r="E270" s="298">
        <f>SUM(E271,E273,E277,E280,E285,E288,E295,E302,E307,E310,E318,E322,E324,E330,E333,E336)</f>
        <v>415182</v>
      </c>
      <c r="F270" s="298">
        <f>SUM(F271,F272,F273,F277,F280,F285,F288,F295,F302,F307,F310,F318,F322,F324,F330,F333,F336)</f>
        <v>902520</v>
      </c>
      <c r="G270" s="298"/>
      <c r="H270" s="298">
        <f>SUM(H271,H272,H273,H277,H280,H285,H288,H295,H302,H307,H310,H318,H322,H324,H330,H333,H336)</f>
        <v>1042400</v>
      </c>
      <c r="I270" s="298"/>
      <c r="J270" s="1298"/>
    </row>
    <row r="271" spans="1:15" ht="17.25" customHeight="1" x14ac:dyDescent="0.2">
      <c r="A271" s="1735">
        <v>1</v>
      </c>
      <c r="B271" s="1741" t="s">
        <v>794</v>
      </c>
      <c r="C271" s="1742"/>
      <c r="D271" s="1287">
        <v>80000</v>
      </c>
      <c r="E271" s="1287">
        <v>80000</v>
      </c>
      <c r="F271" s="1287">
        <v>80000</v>
      </c>
      <c r="G271" s="371">
        <v>2241</v>
      </c>
      <c r="H271" s="1287">
        <v>80000</v>
      </c>
      <c r="I271" s="1732" t="s">
        <v>950</v>
      </c>
      <c r="J271" s="1298"/>
    </row>
    <row r="272" spans="1:15" ht="17.25" customHeight="1" x14ac:dyDescent="0.2">
      <c r="A272" s="1736"/>
      <c r="B272" s="1743"/>
      <c r="C272" s="1744"/>
      <c r="D272" s="1287"/>
      <c r="E272" s="1287"/>
      <c r="F272" s="1287"/>
      <c r="G272" s="371">
        <v>2275</v>
      </c>
      <c r="H272" s="1287">
        <f>500000-106020</f>
        <v>393980</v>
      </c>
      <c r="I272" s="1734"/>
      <c r="J272" s="1298" t="s">
        <v>894</v>
      </c>
    </row>
    <row r="273" spans="1:10" ht="26.25" customHeight="1" x14ac:dyDescent="0.2">
      <c r="A273" s="1297">
        <v>2</v>
      </c>
      <c r="B273" s="1747" t="s">
        <v>951</v>
      </c>
      <c r="C273" s="1748"/>
      <c r="D273" s="1287">
        <v>72869</v>
      </c>
      <c r="E273" s="1287">
        <v>66291</v>
      </c>
      <c r="F273" s="1287">
        <f>SUM(F274:F276)</f>
        <v>24263</v>
      </c>
      <c r="G273" s="371">
        <v>5250</v>
      </c>
      <c r="H273" s="1287">
        <f>SUM(H274:H276)</f>
        <v>73</v>
      </c>
      <c r="I273" s="1290" t="s">
        <v>950</v>
      </c>
      <c r="J273" s="1298"/>
    </row>
    <row r="274" spans="1:10" ht="96" hidden="1" x14ac:dyDescent="0.2">
      <c r="A274" s="1795"/>
      <c r="B274" s="1735"/>
      <c r="C274" s="1408"/>
      <c r="D274" s="1287"/>
      <c r="E274" s="1287"/>
      <c r="F274" s="1287">
        <v>73</v>
      </c>
      <c r="G274" s="371"/>
      <c r="H274" s="1287">
        <v>73</v>
      </c>
      <c r="I274" s="1290"/>
      <c r="J274" s="391" t="s">
        <v>952</v>
      </c>
    </row>
    <row r="275" spans="1:10" ht="120" hidden="1" x14ac:dyDescent="0.2">
      <c r="A275" s="1863"/>
      <c r="B275" s="1736"/>
      <c r="C275" s="1412"/>
      <c r="D275" s="1287"/>
      <c r="E275" s="1287"/>
      <c r="F275" s="1287">
        <v>24190</v>
      </c>
      <c r="G275" s="371"/>
      <c r="H275" s="1287"/>
      <c r="I275" s="1290"/>
      <c r="J275" s="1298" t="s">
        <v>953</v>
      </c>
    </row>
    <row r="276" spans="1:10" ht="12.75" hidden="1" customHeight="1" x14ac:dyDescent="0.2">
      <c r="A276" s="1796"/>
      <c r="B276" s="1737"/>
      <c r="C276" s="1409"/>
      <c r="D276" s="1287"/>
      <c r="E276" s="1287"/>
      <c r="F276" s="1287"/>
      <c r="G276" s="371"/>
      <c r="H276" s="1287"/>
      <c r="I276" s="1290"/>
      <c r="J276" s="1298"/>
    </row>
    <row r="277" spans="1:10" ht="24" hidden="1" x14ac:dyDescent="0.2">
      <c r="A277" s="1297">
        <v>3</v>
      </c>
      <c r="B277" s="370" t="s">
        <v>954</v>
      </c>
      <c r="C277" s="370"/>
      <c r="D277" s="1287">
        <v>9015</v>
      </c>
      <c r="E277" s="1287">
        <v>8865</v>
      </c>
      <c r="F277" s="1287">
        <f>SUM(F278:F279)</f>
        <v>23984</v>
      </c>
      <c r="G277" s="371">
        <v>5250</v>
      </c>
      <c r="H277" s="1287">
        <f>SUM(H278:H279)</f>
        <v>0</v>
      </c>
      <c r="I277" s="1290" t="s">
        <v>950</v>
      </c>
      <c r="J277" s="1298"/>
    </row>
    <row r="278" spans="1:10" hidden="1" x14ac:dyDescent="0.2">
      <c r="A278" s="1863"/>
      <c r="B278" s="1736"/>
      <c r="C278" s="1412"/>
      <c r="D278" s="1287"/>
      <c r="E278" s="1287"/>
      <c r="F278" s="1287">
        <v>23984</v>
      </c>
      <c r="G278" s="371"/>
      <c r="H278" s="1287"/>
      <c r="I278" s="1290"/>
      <c r="J278" s="1298" t="s">
        <v>955</v>
      </c>
    </row>
    <row r="279" spans="1:10" ht="12.75" hidden="1" customHeight="1" x14ac:dyDescent="0.2">
      <c r="A279" s="1796"/>
      <c r="B279" s="1737"/>
      <c r="C279" s="1409"/>
      <c r="D279" s="1287"/>
      <c r="E279" s="1287"/>
      <c r="F279" s="1287"/>
      <c r="G279" s="371"/>
      <c r="H279" s="1287"/>
      <c r="I279" s="1287"/>
      <c r="J279" s="1298"/>
    </row>
    <row r="280" spans="1:10" ht="24" hidden="1" x14ac:dyDescent="0.2">
      <c r="A280" s="1297">
        <v>4</v>
      </c>
      <c r="B280" s="370" t="s">
        <v>956</v>
      </c>
      <c r="C280" s="370"/>
      <c r="D280" s="1287">
        <v>71624</v>
      </c>
      <c r="E280" s="1287">
        <v>69400</v>
      </c>
      <c r="F280" s="1287">
        <f>SUM(F281:F284)</f>
        <v>225974</v>
      </c>
      <c r="G280" s="371">
        <v>5250</v>
      </c>
      <c r="H280" s="1287">
        <f>SUM(H281:H284)</f>
        <v>0</v>
      </c>
      <c r="I280" s="1290" t="s">
        <v>950</v>
      </c>
      <c r="J280" s="1298"/>
    </row>
    <row r="281" spans="1:10" ht="60" hidden="1" x14ac:dyDescent="0.2">
      <c r="A281" s="1795"/>
      <c r="B281" s="1843"/>
      <c r="C281" s="1410"/>
      <c r="D281" s="1287"/>
      <c r="E281" s="1287"/>
      <c r="F281" s="1287">
        <v>920</v>
      </c>
      <c r="G281" s="371"/>
      <c r="H281" s="1287"/>
      <c r="I281" s="1290"/>
      <c r="J281" s="391" t="s">
        <v>957</v>
      </c>
    </row>
    <row r="282" spans="1:10" ht="36" hidden="1" x14ac:dyDescent="0.2">
      <c r="A282" s="1863"/>
      <c r="B282" s="1844"/>
      <c r="C282" s="1413"/>
      <c r="D282" s="1287"/>
      <c r="E282" s="1287"/>
      <c r="F282" s="1287">
        <v>19360</v>
      </c>
      <c r="G282" s="371"/>
      <c r="H282" s="1287"/>
      <c r="I282" s="1290"/>
      <c r="J282" s="1298" t="s">
        <v>958</v>
      </c>
    </row>
    <row r="283" spans="1:10" ht="204" hidden="1" x14ac:dyDescent="0.2">
      <c r="A283" s="1863"/>
      <c r="B283" s="1844"/>
      <c r="C283" s="1413"/>
      <c r="D283" s="1287"/>
      <c r="E283" s="1287"/>
      <c r="F283" s="1287">
        <v>205694</v>
      </c>
      <c r="G283" s="371"/>
      <c r="H283" s="1287"/>
      <c r="I283" s="1290"/>
      <c r="J283" s="1298" t="s">
        <v>959</v>
      </c>
    </row>
    <row r="284" spans="1:10" ht="12.75" hidden="1" customHeight="1" x14ac:dyDescent="0.2">
      <c r="A284" s="1796"/>
      <c r="B284" s="1845"/>
      <c r="C284" s="1411"/>
      <c r="D284" s="1287"/>
      <c r="E284" s="1287"/>
      <c r="F284" s="1287"/>
      <c r="G284" s="371"/>
      <c r="H284" s="1287"/>
      <c r="I284" s="1290"/>
      <c r="J284" s="1298"/>
    </row>
    <row r="285" spans="1:10" ht="24" hidden="1" x14ac:dyDescent="0.2">
      <c r="A285" s="1297">
        <v>5</v>
      </c>
      <c r="B285" s="370" t="s">
        <v>960</v>
      </c>
      <c r="C285" s="370"/>
      <c r="D285" s="1287">
        <v>8000</v>
      </c>
      <c r="E285" s="1287">
        <v>0</v>
      </c>
      <c r="F285" s="1287"/>
      <c r="G285" s="371">
        <v>5250</v>
      </c>
      <c r="H285" s="1287"/>
      <c r="I285" s="1290" t="s">
        <v>950</v>
      </c>
      <c r="J285" s="1298"/>
    </row>
    <row r="286" spans="1:10" hidden="1" x14ac:dyDescent="0.2">
      <c r="A286" s="1795"/>
      <c r="B286" s="1843"/>
      <c r="C286" s="1410"/>
      <c r="D286" s="1287"/>
      <c r="E286" s="1287"/>
      <c r="F286" s="1287"/>
      <c r="G286" s="371"/>
      <c r="H286" s="1287"/>
      <c r="I286" s="1287"/>
      <c r="J286" s="1298"/>
    </row>
    <row r="287" spans="1:10" ht="12.75" hidden="1" customHeight="1" x14ac:dyDescent="0.2">
      <c r="A287" s="1796"/>
      <c r="B287" s="1845"/>
      <c r="C287" s="1411"/>
      <c r="D287" s="1287"/>
      <c r="E287" s="1287"/>
      <c r="F287" s="1287"/>
      <c r="G287" s="371"/>
      <c r="H287" s="1287"/>
      <c r="I287" s="1287"/>
      <c r="J287" s="1298"/>
    </row>
    <row r="288" spans="1:10" ht="24" x14ac:dyDescent="0.2">
      <c r="A288" s="1297">
        <v>2</v>
      </c>
      <c r="B288" s="1747" t="s">
        <v>961</v>
      </c>
      <c r="C288" s="1748"/>
      <c r="D288" s="1287">
        <v>116764</v>
      </c>
      <c r="E288" s="1287">
        <v>40300</v>
      </c>
      <c r="F288" s="1287">
        <f>SUM(F289:F294)</f>
        <v>244424</v>
      </c>
      <c r="G288" s="371">
        <v>5250</v>
      </c>
      <c r="H288" s="1287">
        <f>SUM(H289:H294)</f>
        <v>250848</v>
      </c>
      <c r="I288" s="1290" t="s">
        <v>950</v>
      </c>
      <c r="J288" s="1298"/>
    </row>
    <row r="289" spans="1:12" ht="72" hidden="1" x14ac:dyDescent="0.2">
      <c r="A289" s="1795"/>
      <c r="B289" s="1817"/>
      <c r="C289" s="1398"/>
      <c r="D289" s="272"/>
      <c r="E289" s="272"/>
      <c r="F289" s="1287">
        <v>848</v>
      </c>
      <c r="G289" s="404"/>
      <c r="H289" s="272">
        <v>848</v>
      </c>
      <c r="I289" s="272"/>
      <c r="J289" s="391" t="s">
        <v>962</v>
      </c>
    </row>
    <row r="290" spans="1:12" ht="48" hidden="1" x14ac:dyDescent="0.2">
      <c r="A290" s="1863"/>
      <c r="B290" s="1878"/>
      <c r="C290" s="1399"/>
      <c r="D290" s="272"/>
      <c r="E290" s="272"/>
      <c r="F290" s="1287">
        <v>30768</v>
      </c>
      <c r="G290" s="404"/>
      <c r="H290" s="272"/>
      <c r="I290" s="272"/>
      <c r="J290" s="391" t="s">
        <v>963</v>
      </c>
    </row>
    <row r="291" spans="1:12" ht="36" hidden="1" x14ac:dyDescent="0.2">
      <c r="A291" s="1863"/>
      <c r="B291" s="1878"/>
      <c r="C291" s="1399"/>
      <c r="D291" s="272"/>
      <c r="E291" s="272"/>
      <c r="F291" s="1287">
        <v>205368</v>
      </c>
      <c r="G291" s="404"/>
      <c r="H291" s="272"/>
      <c r="I291" s="272"/>
      <c r="J291" s="391" t="s">
        <v>964</v>
      </c>
    </row>
    <row r="292" spans="1:12" ht="24" hidden="1" x14ac:dyDescent="0.2">
      <c r="A292" s="1863"/>
      <c r="B292" s="1878"/>
      <c r="C292" s="1399"/>
      <c r="D292" s="272"/>
      <c r="E292" s="272"/>
      <c r="F292" s="1287">
        <v>7440</v>
      </c>
      <c r="G292" s="404"/>
      <c r="H292" s="272"/>
      <c r="I292" s="272"/>
      <c r="J292" s="391" t="s">
        <v>965</v>
      </c>
    </row>
    <row r="293" spans="1:12" ht="24" hidden="1" x14ac:dyDescent="0.2">
      <c r="A293" s="1863"/>
      <c r="B293" s="1878"/>
      <c r="C293" s="1399"/>
      <c r="D293" s="272"/>
      <c r="E293" s="272"/>
      <c r="F293" s="1287"/>
      <c r="G293" s="404"/>
      <c r="H293" s="272">
        <v>250000</v>
      </c>
      <c r="I293" s="272"/>
      <c r="J293" s="391" t="s">
        <v>966</v>
      </c>
    </row>
    <row r="294" spans="1:12" hidden="1" x14ac:dyDescent="0.2">
      <c r="A294" s="1863"/>
      <c r="B294" s="1878"/>
      <c r="C294" s="1399"/>
      <c r="D294" s="272"/>
      <c r="E294" s="272"/>
      <c r="F294" s="1287"/>
      <c r="G294" s="404"/>
      <c r="H294" s="272"/>
      <c r="I294" s="272"/>
      <c r="J294" s="391"/>
      <c r="K294" s="383"/>
      <c r="L294" s="262"/>
    </row>
    <row r="295" spans="1:12" ht="24" x14ac:dyDescent="0.2">
      <c r="A295" s="1297">
        <v>4</v>
      </c>
      <c r="B295" s="1747" t="s">
        <v>967</v>
      </c>
      <c r="C295" s="1748"/>
      <c r="D295" s="1287">
        <v>48424</v>
      </c>
      <c r="E295" s="1287">
        <v>45612</v>
      </c>
      <c r="F295" s="1287">
        <f>SUM(F297:F301)</f>
        <v>113688</v>
      </c>
      <c r="G295" s="371">
        <v>5250</v>
      </c>
      <c r="H295" s="1287">
        <f>SUM(H297:H301)</f>
        <v>30000</v>
      </c>
      <c r="I295" s="1290" t="s">
        <v>950</v>
      </c>
      <c r="J295" s="1298"/>
    </row>
    <row r="296" spans="1:12" hidden="1" x14ac:dyDescent="0.2">
      <c r="A296" s="1280"/>
      <c r="B296" s="410"/>
      <c r="C296" s="410"/>
      <c r="D296" s="410"/>
      <c r="E296" s="410"/>
      <c r="F296" s="410"/>
      <c r="G296" s="411"/>
      <c r="H296" s="410"/>
      <c r="I296" s="410"/>
      <c r="J296" s="394" t="s">
        <v>968</v>
      </c>
    </row>
    <row r="297" spans="1:12" ht="63" hidden="1" customHeight="1" x14ac:dyDescent="0.2">
      <c r="A297" s="1863"/>
      <c r="B297" s="1844"/>
      <c r="C297" s="1413"/>
      <c r="D297" s="1287"/>
      <c r="E297" s="1287"/>
      <c r="F297" s="1287">
        <v>89780</v>
      </c>
      <c r="G297" s="371"/>
      <c r="H297" s="1287"/>
      <c r="I297" s="1290"/>
      <c r="J297" s="1298" t="s">
        <v>969</v>
      </c>
    </row>
    <row r="298" spans="1:12" ht="12.75" hidden="1" customHeight="1" x14ac:dyDescent="0.2">
      <c r="A298" s="1863"/>
      <c r="B298" s="1844"/>
      <c r="C298" s="1413"/>
      <c r="D298" s="1287"/>
      <c r="E298" s="1287"/>
      <c r="F298" s="1287"/>
      <c r="G298" s="371"/>
      <c r="H298" s="1287"/>
      <c r="I298" s="1290"/>
      <c r="J298" s="394" t="s">
        <v>970</v>
      </c>
    </row>
    <row r="299" spans="1:12" ht="48" hidden="1" x14ac:dyDescent="0.2">
      <c r="A299" s="1863"/>
      <c r="B299" s="1844"/>
      <c r="C299" s="1413"/>
      <c r="D299" s="1287"/>
      <c r="E299" s="1287"/>
      <c r="F299" s="1287">
        <v>23908</v>
      </c>
      <c r="G299" s="371"/>
      <c r="H299" s="1287"/>
      <c r="I299" s="1290"/>
      <c r="J299" s="1298" t="s">
        <v>971</v>
      </c>
    </row>
    <row r="300" spans="1:12" ht="23.25" hidden="1" customHeight="1" x14ac:dyDescent="0.2">
      <c r="A300" s="1863"/>
      <c r="B300" s="1844"/>
      <c r="C300" s="1413"/>
      <c r="D300" s="1287"/>
      <c r="E300" s="1287"/>
      <c r="F300" s="1287"/>
      <c r="G300" s="371"/>
      <c r="H300" s="1287">
        <v>30000</v>
      </c>
      <c r="I300" s="1290"/>
      <c r="J300" s="1298" t="s">
        <v>972</v>
      </c>
    </row>
    <row r="301" spans="1:12" ht="12.75" hidden="1" customHeight="1" x14ac:dyDescent="0.2">
      <c r="A301" s="1796"/>
      <c r="B301" s="1845"/>
      <c r="C301" s="1411"/>
      <c r="D301" s="1287"/>
      <c r="E301" s="1287"/>
      <c r="F301" s="1287"/>
      <c r="G301" s="371"/>
      <c r="H301" s="1287"/>
      <c r="I301" s="1290"/>
      <c r="J301" s="1298"/>
    </row>
    <row r="302" spans="1:12" ht="24" hidden="1" x14ac:dyDescent="0.2">
      <c r="A302" s="1297">
        <v>8</v>
      </c>
      <c r="B302" s="1747" t="s">
        <v>973</v>
      </c>
      <c r="C302" s="1748"/>
      <c r="D302" s="1287">
        <v>52289</v>
      </c>
      <c r="E302" s="1287">
        <v>52289</v>
      </c>
      <c r="F302" s="1287">
        <f>SUM(F303:F306)</f>
        <v>63620</v>
      </c>
      <c r="G302" s="371">
        <v>5250</v>
      </c>
      <c r="H302" s="1287">
        <f>SUM(H303:H306)</f>
        <v>0</v>
      </c>
      <c r="I302" s="1290" t="s">
        <v>950</v>
      </c>
      <c r="J302" s="1298"/>
    </row>
    <row r="303" spans="1:12" ht="96" hidden="1" x14ac:dyDescent="0.2">
      <c r="A303" s="1863"/>
      <c r="B303" s="1878"/>
      <c r="C303" s="1399"/>
      <c r="D303" s="272"/>
      <c r="E303" s="272"/>
      <c r="F303" s="1287">
        <v>31000</v>
      </c>
      <c r="G303" s="404"/>
      <c r="H303" s="272"/>
      <c r="I303" s="1300"/>
      <c r="J303" s="1298" t="s">
        <v>974</v>
      </c>
    </row>
    <row r="304" spans="1:12" ht="36" hidden="1" x14ac:dyDescent="0.2">
      <c r="A304" s="1863"/>
      <c r="B304" s="1878"/>
      <c r="C304" s="1399"/>
      <c r="D304" s="272"/>
      <c r="E304" s="272"/>
      <c r="F304" s="1287">
        <v>20000</v>
      </c>
      <c r="G304" s="404"/>
      <c r="H304" s="272"/>
      <c r="I304" s="1300"/>
      <c r="J304" s="1298" t="s">
        <v>975</v>
      </c>
      <c r="K304" s="403"/>
    </row>
    <row r="305" spans="1:12" ht="48" hidden="1" x14ac:dyDescent="0.2">
      <c r="A305" s="1863"/>
      <c r="B305" s="1878"/>
      <c r="C305" s="1399"/>
      <c r="D305" s="272"/>
      <c r="E305" s="272"/>
      <c r="F305" s="1287">
        <v>12620</v>
      </c>
      <c r="G305" s="404"/>
      <c r="H305" s="272"/>
      <c r="I305" s="1300"/>
      <c r="J305" s="1298" t="s">
        <v>976</v>
      </c>
    </row>
    <row r="306" spans="1:12" ht="12.75" hidden="1" customHeight="1" x14ac:dyDescent="0.2">
      <c r="A306" s="1796"/>
      <c r="B306" s="1818"/>
      <c r="C306" s="1400"/>
      <c r="D306" s="272"/>
      <c r="E306" s="272"/>
      <c r="F306" s="1287"/>
      <c r="G306" s="404"/>
      <c r="H306" s="272"/>
      <c r="I306" s="272"/>
      <c r="J306" s="1298"/>
    </row>
    <row r="307" spans="1:12" ht="26.25" hidden="1" customHeight="1" x14ac:dyDescent="0.2">
      <c r="A307" s="1297">
        <v>9</v>
      </c>
      <c r="B307" s="1747" t="s">
        <v>977</v>
      </c>
      <c r="C307" s="1748"/>
      <c r="D307" s="1287">
        <v>7583</v>
      </c>
      <c r="E307" s="1287">
        <v>7583</v>
      </c>
      <c r="F307" s="1287">
        <f>SUM(F308:F309)</f>
        <v>16236</v>
      </c>
      <c r="G307" s="371">
        <v>5250</v>
      </c>
      <c r="H307" s="1287">
        <f>SUM(H308:H309)</f>
        <v>0</v>
      </c>
      <c r="I307" s="1290" t="s">
        <v>950</v>
      </c>
      <c r="J307" s="1298"/>
    </row>
    <row r="308" spans="1:12" ht="72" hidden="1" x14ac:dyDescent="0.2">
      <c r="A308" s="1863"/>
      <c r="B308" s="1844"/>
      <c r="C308" s="1413"/>
      <c r="D308" s="1287"/>
      <c r="E308" s="1287"/>
      <c r="F308" s="1287">
        <v>16236</v>
      </c>
      <c r="G308" s="371"/>
      <c r="H308" s="1287"/>
      <c r="I308" s="1290"/>
      <c r="J308" s="1298" t="s">
        <v>978</v>
      </c>
    </row>
    <row r="309" spans="1:12" ht="12.75" hidden="1" customHeight="1" x14ac:dyDescent="0.2">
      <c r="A309" s="1796"/>
      <c r="B309" s="1845"/>
      <c r="C309" s="1411"/>
      <c r="D309" s="1287"/>
      <c r="E309" s="1287"/>
      <c r="F309" s="1287"/>
      <c r="G309" s="371"/>
      <c r="H309" s="1287"/>
      <c r="I309" s="1290"/>
      <c r="J309" s="1298"/>
    </row>
    <row r="310" spans="1:12" ht="24" x14ac:dyDescent="0.2">
      <c r="A310" s="1297">
        <v>5</v>
      </c>
      <c r="B310" s="1747" t="s">
        <v>207</v>
      </c>
      <c r="C310" s="1748"/>
      <c r="D310" s="1287">
        <v>37000</v>
      </c>
      <c r="E310" s="1287">
        <v>37000</v>
      </c>
      <c r="F310" s="1287">
        <f>SUM(F311:F317)</f>
        <v>24180</v>
      </c>
      <c r="G310" s="371">
        <v>5250</v>
      </c>
      <c r="H310" s="1287">
        <f>SUM(H311:H317)</f>
        <v>287499</v>
      </c>
      <c r="I310" s="1290" t="s">
        <v>950</v>
      </c>
      <c r="J310" s="1298"/>
    </row>
    <row r="311" spans="1:12" ht="60" hidden="1" x14ac:dyDescent="0.2">
      <c r="A311" s="1795"/>
      <c r="B311" s="1795"/>
      <c r="C311" s="1396"/>
      <c r="D311" s="272"/>
      <c r="E311" s="272"/>
      <c r="F311" s="1287"/>
      <c r="G311" s="404"/>
      <c r="H311" s="272">
        <v>25099</v>
      </c>
      <c r="I311" s="1300"/>
      <c r="J311" s="1298" t="s">
        <v>979</v>
      </c>
      <c r="K311" s="412"/>
      <c r="L311" s="413"/>
    </row>
    <row r="312" spans="1:12" ht="84" hidden="1" x14ac:dyDescent="0.2">
      <c r="A312" s="1863"/>
      <c r="B312" s="1863"/>
      <c r="C312" s="1417"/>
      <c r="D312" s="272"/>
      <c r="E312" s="272"/>
      <c r="F312" s="1287">
        <v>24180</v>
      </c>
      <c r="G312" s="404"/>
      <c r="H312" s="272"/>
      <c r="I312" s="1300"/>
      <c r="J312" s="1298" t="s">
        <v>980</v>
      </c>
    </row>
    <row r="313" spans="1:12" ht="108" hidden="1" x14ac:dyDescent="0.2">
      <c r="A313" s="1863"/>
      <c r="B313" s="1863"/>
      <c r="C313" s="1417"/>
      <c r="D313" s="272"/>
      <c r="E313" s="272"/>
      <c r="F313" s="414"/>
      <c r="G313" s="415"/>
      <c r="H313" s="416">
        <v>50000</v>
      </c>
      <c r="I313" s="1300"/>
      <c r="J313" s="417" t="s">
        <v>981</v>
      </c>
    </row>
    <row r="314" spans="1:12" ht="168" hidden="1" x14ac:dyDescent="0.2">
      <c r="A314" s="1863"/>
      <c r="B314" s="1863"/>
      <c r="C314" s="1417"/>
      <c r="D314" s="272"/>
      <c r="E314" s="272"/>
      <c r="F314" s="414"/>
      <c r="G314" s="415"/>
      <c r="H314" s="416">
        <v>14520</v>
      </c>
      <c r="I314" s="1300"/>
      <c r="J314" s="417" t="s">
        <v>982</v>
      </c>
    </row>
    <row r="315" spans="1:12" ht="36" hidden="1" x14ac:dyDescent="0.2">
      <c r="A315" s="1863"/>
      <c r="B315" s="1863"/>
      <c r="C315" s="1417"/>
      <c r="D315" s="272"/>
      <c r="E315" s="272"/>
      <c r="F315" s="414"/>
      <c r="G315" s="415"/>
      <c r="H315" s="416">
        <v>194000</v>
      </c>
      <c r="I315" s="1300"/>
      <c r="J315" s="417" t="s">
        <v>983</v>
      </c>
    </row>
    <row r="316" spans="1:12" ht="60" hidden="1" x14ac:dyDescent="0.2">
      <c r="A316" s="1863"/>
      <c r="B316" s="1863"/>
      <c r="C316" s="1417"/>
      <c r="D316" s="272"/>
      <c r="E316" s="272"/>
      <c r="F316" s="414"/>
      <c r="G316" s="415"/>
      <c r="H316" s="416">
        <v>3880</v>
      </c>
      <c r="I316" s="1300"/>
      <c r="J316" s="417" t="s">
        <v>984</v>
      </c>
    </row>
    <row r="317" spans="1:12" ht="12.75" hidden="1" customHeight="1" x14ac:dyDescent="0.2">
      <c r="A317" s="1796"/>
      <c r="B317" s="1796"/>
      <c r="C317" s="1397"/>
      <c r="D317" s="272"/>
      <c r="E317" s="272"/>
      <c r="F317" s="1287"/>
      <c r="G317" s="404"/>
      <c r="H317" s="272"/>
      <c r="I317" s="272"/>
      <c r="J317" s="1298"/>
    </row>
    <row r="318" spans="1:12" ht="27" hidden="1" customHeight="1" x14ac:dyDescent="0.2">
      <c r="A318" s="1297">
        <v>11</v>
      </c>
      <c r="B318" s="370" t="s">
        <v>985</v>
      </c>
      <c r="C318" s="370"/>
      <c r="D318" s="1287">
        <v>23456</v>
      </c>
      <c r="E318" s="1287">
        <v>7842</v>
      </c>
      <c r="F318" s="1287">
        <f>SUM(F319:F321)</f>
        <v>46081</v>
      </c>
      <c r="G318" s="371">
        <v>5250</v>
      </c>
      <c r="H318" s="1287">
        <f>SUM(H319:H321)</f>
        <v>0</v>
      </c>
      <c r="I318" s="1290" t="s">
        <v>950</v>
      </c>
      <c r="J318" s="1298"/>
    </row>
    <row r="319" spans="1:12" ht="84" hidden="1" x14ac:dyDescent="0.2">
      <c r="A319" s="1863"/>
      <c r="B319" s="1844"/>
      <c r="C319" s="1413"/>
      <c r="D319" s="1287"/>
      <c r="E319" s="1287"/>
      <c r="F319" s="1287">
        <v>24081</v>
      </c>
      <c r="G319" s="371"/>
      <c r="H319" s="1287"/>
      <c r="I319" s="1290"/>
      <c r="J319" s="1298" t="s">
        <v>986</v>
      </c>
    </row>
    <row r="320" spans="1:12" ht="72" hidden="1" x14ac:dyDescent="0.2">
      <c r="A320" s="1863"/>
      <c r="B320" s="1844"/>
      <c r="C320" s="1413"/>
      <c r="D320" s="1287"/>
      <c r="E320" s="1287"/>
      <c r="F320" s="1287">
        <v>22000</v>
      </c>
      <c r="G320" s="371"/>
      <c r="H320" s="1287"/>
      <c r="I320" s="1290"/>
      <c r="J320" s="1298" t="s">
        <v>987</v>
      </c>
      <c r="K320" s="403"/>
    </row>
    <row r="321" spans="1:14" ht="12.75" hidden="1" customHeight="1" x14ac:dyDescent="0.2">
      <c r="A321" s="1796"/>
      <c r="B321" s="1845"/>
      <c r="C321" s="1411"/>
      <c r="D321" s="1287"/>
      <c r="E321" s="1287"/>
      <c r="F321" s="1287"/>
      <c r="G321" s="371"/>
      <c r="H321" s="1287"/>
      <c r="I321" s="1287"/>
      <c r="J321" s="1298"/>
    </row>
    <row r="322" spans="1:14" ht="21.75" hidden="1" customHeight="1" x14ac:dyDescent="0.2">
      <c r="A322" s="1297">
        <v>12</v>
      </c>
      <c r="B322" s="370" t="s">
        <v>988</v>
      </c>
      <c r="C322" s="370"/>
      <c r="D322" s="1287">
        <v>0</v>
      </c>
      <c r="E322" s="1287">
        <v>0</v>
      </c>
      <c r="F322" s="1287"/>
      <c r="G322" s="371">
        <v>5250</v>
      </c>
      <c r="H322" s="1287"/>
      <c r="I322" s="1290" t="s">
        <v>950</v>
      </c>
      <c r="J322" s="1298"/>
    </row>
    <row r="323" spans="1:14" ht="12.75" hidden="1" customHeight="1" x14ac:dyDescent="0.2">
      <c r="A323" s="1281"/>
      <c r="B323" s="1288"/>
      <c r="C323" s="1411"/>
      <c r="D323" s="1287"/>
      <c r="E323" s="1287"/>
      <c r="F323" s="1287"/>
      <c r="G323" s="371"/>
      <c r="H323" s="1287"/>
      <c r="I323" s="1287"/>
      <c r="J323" s="1298"/>
    </row>
    <row r="324" spans="1:14" ht="25.5" hidden="1" customHeight="1" x14ac:dyDescent="0.2">
      <c r="A324" s="1297">
        <v>13</v>
      </c>
      <c r="B324" s="370" t="s">
        <v>989</v>
      </c>
      <c r="C324" s="370"/>
      <c r="D324" s="1287">
        <v>0</v>
      </c>
      <c r="E324" s="1287">
        <v>0</v>
      </c>
      <c r="F324" s="1287">
        <f>SUM(F326:F329)</f>
        <v>33670</v>
      </c>
      <c r="G324" s="371">
        <v>5250</v>
      </c>
      <c r="H324" s="1287">
        <f>SUM(H326:H329)</f>
        <v>0</v>
      </c>
      <c r="I324" s="1290" t="s">
        <v>950</v>
      </c>
      <c r="J324" s="1298"/>
    </row>
    <row r="325" spans="1:14" hidden="1" x14ac:dyDescent="0.2">
      <c r="A325" s="1292"/>
      <c r="B325" s="418"/>
      <c r="C325" s="418"/>
      <c r="D325" s="418"/>
      <c r="E325" s="418"/>
      <c r="F325" s="418"/>
      <c r="G325" s="419"/>
      <c r="H325" s="418"/>
      <c r="I325" s="1300"/>
      <c r="J325" s="394" t="s">
        <v>990</v>
      </c>
    </row>
    <row r="326" spans="1:14" ht="24" hidden="1" x14ac:dyDescent="0.2">
      <c r="A326" s="1863"/>
      <c r="B326" s="1844"/>
      <c r="C326" s="1413"/>
      <c r="D326" s="1287"/>
      <c r="E326" s="1287"/>
      <c r="F326" s="1287">
        <v>27830</v>
      </c>
      <c r="G326" s="371"/>
      <c r="H326" s="1287"/>
      <c r="I326" s="1290"/>
      <c r="J326" s="1298" t="s">
        <v>991</v>
      </c>
    </row>
    <row r="327" spans="1:14" hidden="1" x14ac:dyDescent="0.2">
      <c r="A327" s="1863"/>
      <c r="B327" s="1844"/>
      <c r="C327" s="1413"/>
      <c r="D327" s="1287"/>
      <c r="E327" s="1287"/>
      <c r="F327" s="1287"/>
      <c r="G327" s="371"/>
      <c r="H327" s="1287"/>
      <c r="I327" s="1290"/>
      <c r="J327" s="394" t="s">
        <v>992</v>
      </c>
    </row>
    <row r="328" spans="1:14" ht="36" hidden="1" x14ac:dyDescent="0.2">
      <c r="A328" s="1863"/>
      <c r="B328" s="1844"/>
      <c r="C328" s="1413"/>
      <c r="D328" s="1287"/>
      <c r="E328" s="1287"/>
      <c r="F328" s="1287">
        <v>5840</v>
      </c>
      <c r="G328" s="371"/>
      <c r="H328" s="1287"/>
      <c r="I328" s="1290"/>
      <c r="J328" s="1298" t="s">
        <v>993</v>
      </c>
    </row>
    <row r="329" spans="1:14" ht="12.75" hidden="1" customHeight="1" x14ac:dyDescent="0.2">
      <c r="A329" s="1796"/>
      <c r="B329" s="1845"/>
      <c r="C329" s="1411"/>
      <c r="D329" s="1287"/>
      <c r="E329" s="1287"/>
      <c r="F329" s="1287"/>
      <c r="G329" s="371"/>
      <c r="H329" s="1287"/>
      <c r="I329" s="1290"/>
      <c r="J329" s="1298"/>
    </row>
    <row r="330" spans="1:14" ht="25.5" hidden="1" customHeight="1" x14ac:dyDescent="0.2">
      <c r="A330" s="1297">
        <v>14</v>
      </c>
      <c r="B330" s="370" t="s">
        <v>994</v>
      </c>
      <c r="C330" s="370"/>
      <c r="D330" s="1287">
        <v>0</v>
      </c>
      <c r="E330" s="1287">
        <v>0</v>
      </c>
      <c r="F330" s="1287">
        <f>SUM(F331:F332)</f>
        <v>5000</v>
      </c>
      <c r="G330" s="371">
        <v>5250</v>
      </c>
      <c r="H330" s="1287">
        <f>SUM(H331:H332)</f>
        <v>0</v>
      </c>
      <c r="I330" s="1290" t="s">
        <v>950</v>
      </c>
      <c r="J330" s="1298"/>
    </row>
    <row r="331" spans="1:14" ht="54.75" hidden="1" customHeight="1" x14ac:dyDescent="0.2">
      <c r="A331" s="1863"/>
      <c r="B331" s="1844"/>
      <c r="C331" s="1413"/>
      <c r="D331" s="1287"/>
      <c r="E331" s="1287"/>
      <c r="F331" s="1287">
        <v>5000</v>
      </c>
      <c r="G331" s="371"/>
      <c r="H331" s="1287"/>
      <c r="I331" s="1290"/>
      <c r="J331" s="1298" t="s">
        <v>995</v>
      </c>
    </row>
    <row r="332" spans="1:14" ht="12.75" hidden="1" customHeight="1" x14ac:dyDescent="0.2">
      <c r="A332" s="1796"/>
      <c r="B332" s="1845"/>
      <c r="C332" s="1411"/>
      <c r="D332" s="1287"/>
      <c r="E332" s="1287"/>
      <c r="F332" s="1287"/>
      <c r="G332" s="371"/>
      <c r="H332" s="1287"/>
      <c r="I332" s="1290"/>
      <c r="J332" s="1298"/>
    </row>
    <row r="333" spans="1:14" ht="25.5" hidden="1" customHeight="1" x14ac:dyDescent="0.2">
      <c r="A333" s="1297">
        <v>15</v>
      </c>
      <c r="B333" s="370" t="s">
        <v>996</v>
      </c>
      <c r="C333" s="370"/>
      <c r="D333" s="1287">
        <v>0</v>
      </c>
      <c r="E333" s="1287">
        <v>0</v>
      </c>
      <c r="F333" s="1287">
        <f>SUM(F334:F335)</f>
        <v>0</v>
      </c>
      <c r="G333" s="371">
        <v>5250</v>
      </c>
      <c r="H333" s="1287">
        <f>SUM(H334:H335)</f>
        <v>0</v>
      </c>
      <c r="I333" s="1290" t="s">
        <v>950</v>
      </c>
      <c r="J333" s="1298"/>
    </row>
    <row r="334" spans="1:14" ht="12.75" hidden="1" customHeight="1" x14ac:dyDescent="0.2">
      <c r="A334" s="1863"/>
      <c r="B334" s="1878"/>
      <c r="C334" s="1399"/>
      <c r="D334" s="272"/>
      <c r="E334" s="272"/>
      <c r="F334" s="1287"/>
      <c r="G334" s="404"/>
      <c r="H334" s="272"/>
      <c r="I334" s="1300"/>
      <c r="J334" s="1298"/>
    </row>
    <row r="335" spans="1:14" ht="12.75" hidden="1" customHeight="1" x14ac:dyDescent="0.2">
      <c r="A335" s="1796"/>
      <c r="B335" s="1818"/>
      <c r="C335" s="1400"/>
      <c r="D335" s="272"/>
      <c r="E335" s="272"/>
      <c r="F335" s="1287"/>
      <c r="G335" s="404"/>
      <c r="H335" s="272"/>
      <c r="I335" s="1300"/>
      <c r="J335" s="1298"/>
    </row>
    <row r="336" spans="1:14" ht="36" hidden="1" x14ac:dyDescent="0.2">
      <c r="A336" s="1285">
        <v>16</v>
      </c>
      <c r="B336" s="370" t="s">
        <v>795</v>
      </c>
      <c r="C336" s="370"/>
      <c r="D336" s="321">
        <v>0</v>
      </c>
      <c r="E336" s="321">
        <v>0</v>
      </c>
      <c r="F336" s="321">
        <v>1400</v>
      </c>
      <c r="G336" s="380">
        <v>2239</v>
      </c>
      <c r="H336" s="1287"/>
      <c r="I336" s="1290" t="s">
        <v>997</v>
      </c>
      <c r="J336" s="1286"/>
      <c r="L336" s="287"/>
      <c r="M336" s="287"/>
      <c r="N336" s="287"/>
    </row>
    <row r="337" spans="1:14" hidden="1" x14ac:dyDescent="0.2">
      <c r="A337" s="1735"/>
      <c r="B337" s="1735"/>
      <c r="C337" s="1408"/>
      <c r="D337" s="1287"/>
      <c r="E337" s="1287"/>
      <c r="F337" s="1287"/>
      <c r="G337" s="371"/>
      <c r="H337" s="1287"/>
      <c r="I337" s="1287"/>
      <c r="J337" s="1286"/>
      <c r="L337" s="287"/>
      <c r="M337" s="287"/>
      <c r="N337" s="287"/>
    </row>
    <row r="338" spans="1:14" ht="12.75" hidden="1" customHeight="1" x14ac:dyDescent="0.2">
      <c r="A338" s="1737"/>
      <c r="B338" s="1737"/>
      <c r="C338" s="1409"/>
      <c r="D338" s="1287"/>
      <c r="E338" s="1287"/>
      <c r="F338" s="1287"/>
      <c r="G338" s="371"/>
      <c r="H338" s="1287"/>
      <c r="I338" s="1287"/>
      <c r="J338" s="1286"/>
      <c r="L338" s="287"/>
      <c r="M338" s="287"/>
      <c r="N338" s="287"/>
    </row>
    <row r="339" spans="1:14" x14ac:dyDescent="0.2">
      <c r="A339" s="337"/>
      <c r="B339" s="1291"/>
      <c r="C339" s="1415"/>
      <c r="D339" s="311"/>
      <c r="E339" s="311"/>
      <c r="F339" s="311"/>
      <c r="G339" s="311"/>
      <c r="H339" s="311"/>
      <c r="I339" s="311"/>
      <c r="J339" s="337"/>
      <c r="L339" s="287"/>
      <c r="M339" s="287"/>
      <c r="N339" s="287"/>
    </row>
    <row r="340" spans="1:14" x14ac:dyDescent="0.2">
      <c r="A340" s="319" t="s">
        <v>123</v>
      </c>
      <c r="B340" s="319"/>
      <c r="C340" s="248" t="s">
        <v>998</v>
      </c>
      <c r="D340" s="248"/>
      <c r="E340" s="319"/>
      <c r="F340" s="319"/>
      <c r="G340" s="319"/>
      <c r="H340" s="319"/>
      <c r="I340" s="319"/>
      <c r="J340" s="319"/>
      <c r="L340" s="287"/>
      <c r="M340" s="287"/>
      <c r="N340" s="287"/>
    </row>
    <row r="341" spans="1:14" x14ac:dyDescent="0.2">
      <c r="A341" s="319" t="s">
        <v>125</v>
      </c>
      <c r="B341" s="319"/>
      <c r="C341" s="1474" t="s">
        <v>999</v>
      </c>
      <c r="D341" s="1474"/>
      <c r="E341" s="1474"/>
      <c r="F341" s="1474"/>
      <c r="G341" s="1474"/>
      <c r="H341" s="1474"/>
      <c r="I341" s="1474"/>
      <c r="J341" s="1474"/>
      <c r="K341" s="1491"/>
      <c r="L341" s="1491"/>
      <c r="M341" s="1491"/>
      <c r="N341" s="1491"/>
    </row>
    <row r="342" spans="1:14" ht="48" x14ac:dyDescent="0.2">
      <c r="A342" s="1284" t="s">
        <v>1</v>
      </c>
      <c r="B342" s="1727" t="s">
        <v>127</v>
      </c>
      <c r="C342" s="1728"/>
      <c r="D342" s="1284" t="s">
        <v>14</v>
      </c>
      <c r="E342" s="1284" t="s">
        <v>12</v>
      </c>
      <c r="F342" s="1284" t="s">
        <v>128</v>
      </c>
      <c r="G342" s="1284" t="s">
        <v>129</v>
      </c>
      <c r="H342" s="1284" t="s">
        <v>3357</v>
      </c>
      <c r="I342" s="1284" t="s">
        <v>11</v>
      </c>
      <c r="J342" s="1284" t="s">
        <v>131</v>
      </c>
      <c r="K342" s="366"/>
      <c r="L342" s="288"/>
      <c r="M342" s="288"/>
      <c r="N342" s="288"/>
    </row>
    <row r="343" spans="1:14" ht="12" customHeight="1" x14ac:dyDescent="0.2">
      <c r="A343" s="1729" t="s">
        <v>132</v>
      </c>
      <c r="B343" s="1730"/>
      <c r="C343" s="1731"/>
      <c r="D343" s="298">
        <f>SUM(D344,D347,D351,D352,D355)</f>
        <v>36441</v>
      </c>
      <c r="E343" s="298">
        <f>SUM(E344,E347,E351,E352,E355)</f>
        <v>30781</v>
      </c>
      <c r="F343" s="298">
        <f>SUM(F344,F347,F351,F352,F355)</f>
        <v>30098</v>
      </c>
      <c r="G343" s="298"/>
      <c r="H343" s="298">
        <f>SUM(H344,H347,H351,H352,H355)</f>
        <v>31600</v>
      </c>
      <c r="I343" s="298"/>
      <c r="J343" s="1286"/>
      <c r="L343" s="287"/>
      <c r="M343" s="287"/>
      <c r="N343" s="287"/>
    </row>
    <row r="344" spans="1:14" ht="15" customHeight="1" x14ac:dyDescent="0.2">
      <c r="A344" s="1285">
        <v>1</v>
      </c>
      <c r="B344" s="1747" t="s">
        <v>1000</v>
      </c>
      <c r="C344" s="1748"/>
      <c r="D344" s="1287">
        <v>5660</v>
      </c>
      <c r="E344" s="1287">
        <v>0</v>
      </c>
      <c r="F344" s="1287">
        <f>SUM(F345:F346)</f>
        <v>16491</v>
      </c>
      <c r="G344" s="371">
        <v>5250</v>
      </c>
      <c r="H344" s="1287">
        <f>SUM(H345:H346)</f>
        <v>26498</v>
      </c>
      <c r="I344" s="1449" t="s">
        <v>1001</v>
      </c>
      <c r="J344" s="1286"/>
      <c r="L344" s="287"/>
      <c r="M344" s="287"/>
      <c r="N344" s="287"/>
    </row>
    <row r="345" spans="1:14" ht="24" hidden="1" x14ac:dyDescent="0.2">
      <c r="A345" s="1795"/>
      <c r="B345" s="1817"/>
      <c r="C345" s="1398"/>
      <c r="D345" s="272"/>
      <c r="E345" s="272"/>
      <c r="F345" s="1287">
        <v>16491</v>
      </c>
      <c r="G345" s="404"/>
      <c r="H345" s="272">
        <f>30100-3602</f>
        <v>26498</v>
      </c>
      <c r="I345" s="1456"/>
      <c r="J345" s="1298" t="s">
        <v>1002</v>
      </c>
    </row>
    <row r="346" spans="1:14" ht="12.75" hidden="1" customHeight="1" x14ac:dyDescent="0.2">
      <c r="A346" s="1796"/>
      <c r="B346" s="1818"/>
      <c r="C346" s="1400"/>
      <c r="D346" s="272"/>
      <c r="E346" s="272"/>
      <c r="F346" s="1287"/>
      <c r="G346" s="404"/>
      <c r="H346" s="272"/>
      <c r="I346" s="1300"/>
      <c r="J346" s="1298"/>
    </row>
    <row r="347" spans="1:14" ht="36" x14ac:dyDescent="0.2">
      <c r="A347" s="1297">
        <v>2</v>
      </c>
      <c r="B347" s="1747" t="s">
        <v>1003</v>
      </c>
      <c r="C347" s="1748"/>
      <c r="D347" s="1287">
        <v>22046</v>
      </c>
      <c r="E347" s="1287">
        <v>22046</v>
      </c>
      <c r="F347" s="1287">
        <f>SUM(F348:F350)</f>
        <v>11007</v>
      </c>
      <c r="G347" s="371">
        <v>5250</v>
      </c>
      <c r="H347" s="1287">
        <f>SUM(H348:H350)</f>
        <v>3602</v>
      </c>
      <c r="I347" s="1290" t="s">
        <v>1004</v>
      </c>
      <c r="J347" s="1286"/>
    </row>
    <row r="348" spans="1:14" ht="48" hidden="1" x14ac:dyDescent="0.2">
      <c r="A348" s="1863"/>
      <c r="B348" s="1844"/>
      <c r="C348" s="1413"/>
      <c r="D348" s="1287"/>
      <c r="E348" s="1287"/>
      <c r="F348" s="1287">
        <v>3602</v>
      </c>
      <c r="G348" s="371"/>
      <c r="H348" s="1287">
        <v>3602</v>
      </c>
      <c r="I348" s="1290"/>
      <c r="J348" s="1286" t="s">
        <v>1005</v>
      </c>
    </row>
    <row r="349" spans="1:14" ht="36" hidden="1" x14ac:dyDescent="0.2">
      <c r="A349" s="1863"/>
      <c r="B349" s="1844"/>
      <c r="C349" s="1413"/>
      <c r="D349" s="1287"/>
      <c r="E349" s="1287"/>
      <c r="F349" s="1287">
        <v>7405</v>
      </c>
      <c r="G349" s="371"/>
      <c r="H349" s="1287"/>
      <c r="I349" s="1290"/>
      <c r="J349" s="1286" t="s">
        <v>1006</v>
      </c>
    </row>
    <row r="350" spans="1:14" ht="12.75" hidden="1" customHeight="1" x14ac:dyDescent="0.2">
      <c r="A350" s="1796"/>
      <c r="B350" s="1845"/>
      <c r="C350" s="1411"/>
      <c r="D350" s="1287"/>
      <c r="E350" s="1287"/>
      <c r="F350" s="1287"/>
      <c r="G350" s="371"/>
      <c r="H350" s="1287"/>
      <c r="I350" s="1287"/>
      <c r="J350" s="1286"/>
    </row>
    <row r="351" spans="1:14" ht="36" x14ac:dyDescent="0.2">
      <c r="A351" s="1297">
        <v>3</v>
      </c>
      <c r="B351" s="1747" t="s">
        <v>794</v>
      </c>
      <c r="C351" s="1748"/>
      <c r="D351" s="1287">
        <v>1500</v>
      </c>
      <c r="E351" s="1287">
        <v>1500</v>
      </c>
      <c r="F351" s="1287">
        <v>1500</v>
      </c>
      <c r="G351" s="371">
        <v>2241</v>
      </c>
      <c r="H351" s="1287">
        <v>1500</v>
      </c>
      <c r="I351" s="1290" t="s">
        <v>1004</v>
      </c>
      <c r="J351" s="1286"/>
    </row>
    <row r="352" spans="1:14" ht="36" hidden="1" x14ac:dyDescent="0.2">
      <c r="A352" s="1297">
        <v>4</v>
      </c>
      <c r="B352" s="1747" t="s">
        <v>1007</v>
      </c>
      <c r="C352" s="1748"/>
      <c r="D352" s="1287">
        <v>7235</v>
      </c>
      <c r="E352" s="1287">
        <v>7235</v>
      </c>
      <c r="F352" s="1287">
        <f>SUM(F353:F354)</f>
        <v>0</v>
      </c>
      <c r="G352" s="371">
        <v>5250</v>
      </c>
      <c r="H352" s="1287">
        <f>SUM(H353:H354)</f>
        <v>0</v>
      </c>
      <c r="I352" s="1290" t="s">
        <v>1004</v>
      </c>
      <c r="J352" s="1286"/>
    </row>
    <row r="353" spans="1:14" ht="12.75" hidden="1" customHeight="1" x14ac:dyDescent="0.2">
      <c r="A353" s="1863"/>
      <c r="B353" s="1844"/>
      <c r="C353" s="1413"/>
      <c r="D353" s="1287"/>
      <c r="E353" s="1287"/>
      <c r="F353" s="1287"/>
      <c r="G353" s="371"/>
      <c r="H353" s="1287"/>
      <c r="I353" s="1287"/>
      <c r="J353" s="420"/>
    </row>
    <row r="354" spans="1:14" ht="12.75" hidden="1" customHeight="1" x14ac:dyDescent="0.2">
      <c r="A354" s="1796"/>
      <c r="B354" s="1845"/>
      <c r="C354" s="1411"/>
      <c r="D354" s="1287"/>
      <c r="E354" s="1287"/>
      <c r="F354" s="1287"/>
      <c r="G354" s="371"/>
      <c r="H354" s="1287"/>
      <c r="I354" s="1287"/>
      <c r="J354" s="1286"/>
    </row>
    <row r="355" spans="1:14" ht="48" hidden="1" x14ac:dyDescent="0.2">
      <c r="A355" s="1297">
        <v>5</v>
      </c>
      <c r="B355" s="370" t="s">
        <v>795</v>
      </c>
      <c r="C355" s="370"/>
      <c r="D355" s="321">
        <v>0</v>
      </c>
      <c r="E355" s="321">
        <v>0</v>
      </c>
      <c r="F355" s="321">
        <v>1100</v>
      </c>
      <c r="G355" s="380">
        <v>2239</v>
      </c>
      <c r="H355" s="1287"/>
      <c r="I355" s="1290" t="s">
        <v>1008</v>
      </c>
      <c r="J355" s="1286"/>
    </row>
    <row r="356" spans="1:14" hidden="1" x14ac:dyDescent="0.2">
      <c r="A356" s="254"/>
      <c r="B356" s="421"/>
      <c r="C356" s="421"/>
      <c r="D356" s="272"/>
      <c r="E356" s="272"/>
      <c r="F356" s="1287"/>
      <c r="G356" s="404"/>
      <c r="H356" s="272"/>
      <c r="I356" s="272"/>
      <c r="J356" s="1298"/>
    </row>
    <row r="357" spans="1:14" x14ac:dyDescent="0.2">
      <c r="A357" s="388"/>
      <c r="B357" s="1296"/>
      <c r="C357" s="1430"/>
      <c r="D357" s="387"/>
      <c r="E357" s="387"/>
      <c r="F357" s="311"/>
      <c r="G357" s="387"/>
      <c r="H357" s="387"/>
      <c r="I357" s="387"/>
      <c r="J357" s="388"/>
    </row>
    <row r="358" spans="1:14" x14ac:dyDescent="0.2">
      <c r="A358" s="1306" t="s">
        <v>123</v>
      </c>
      <c r="B358" s="1306"/>
      <c r="C358" s="389" t="s">
        <v>213</v>
      </c>
      <c r="D358" s="389"/>
      <c r="E358" s="1306"/>
      <c r="F358" s="319"/>
      <c r="G358" s="1306"/>
      <c r="H358" s="1306"/>
      <c r="I358" s="1306"/>
      <c r="J358" s="1306"/>
    </row>
    <row r="359" spans="1:14" x14ac:dyDescent="0.2">
      <c r="A359" s="1306" t="s">
        <v>125</v>
      </c>
      <c r="B359" s="1306"/>
      <c r="C359" s="1474" t="s">
        <v>214</v>
      </c>
      <c r="D359" s="1474"/>
      <c r="E359" s="1474"/>
      <c r="F359" s="1474"/>
      <c r="G359" s="1474"/>
      <c r="H359" s="1474"/>
      <c r="I359" s="1474"/>
      <c r="J359" s="1474"/>
      <c r="K359" s="1491"/>
      <c r="L359" s="1491"/>
      <c r="M359" s="1491"/>
      <c r="N359" s="1491"/>
    </row>
    <row r="360" spans="1:14" ht="48" x14ac:dyDescent="0.2">
      <c r="A360" s="1303" t="s">
        <v>1</v>
      </c>
      <c r="B360" s="1797" t="s">
        <v>127</v>
      </c>
      <c r="C360" s="1798"/>
      <c r="D360" s="1303" t="s">
        <v>14</v>
      </c>
      <c r="E360" s="1303" t="s">
        <v>12</v>
      </c>
      <c r="F360" s="1284" t="s">
        <v>128</v>
      </c>
      <c r="G360" s="1303" t="s">
        <v>129</v>
      </c>
      <c r="H360" s="1303" t="s">
        <v>3357</v>
      </c>
      <c r="I360" s="1303" t="s">
        <v>11</v>
      </c>
      <c r="J360" s="1303" t="s">
        <v>131</v>
      </c>
      <c r="K360" s="366"/>
      <c r="L360" s="367"/>
      <c r="M360" s="367"/>
      <c r="N360" s="367"/>
    </row>
    <row r="361" spans="1:14" ht="12" customHeight="1" x14ac:dyDescent="0.2">
      <c r="A361" s="1807" t="s">
        <v>132</v>
      </c>
      <c r="B361" s="1808"/>
      <c r="C361" s="1809"/>
      <c r="D361" s="397">
        <f>SUM(D362,D365,D371)</f>
        <v>29681</v>
      </c>
      <c r="E361" s="397">
        <f>SUM(E362,E365,E371)</f>
        <v>27208</v>
      </c>
      <c r="F361" s="397">
        <f>SUM(F362,F365,F371)</f>
        <v>35250</v>
      </c>
      <c r="G361" s="397"/>
      <c r="H361" s="397">
        <f>SUM(H362,H365,H371)</f>
        <v>5000</v>
      </c>
      <c r="I361" s="397"/>
      <c r="J361" s="1298"/>
    </row>
    <row r="362" spans="1:14" ht="27" customHeight="1" x14ac:dyDescent="0.2">
      <c r="A362" s="1297">
        <v>1</v>
      </c>
      <c r="B362" s="1747" t="s">
        <v>794</v>
      </c>
      <c r="C362" s="1748"/>
      <c r="D362" s="1287">
        <v>7473</v>
      </c>
      <c r="E362" s="1287">
        <v>5000</v>
      </c>
      <c r="F362" s="1287">
        <v>5000</v>
      </c>
      <c r="G362" s="371">
        <v>2241</v>
      </c>
      <c r="H362" s="1287">
        <v>5000</v>
      </c>
      <c r="I362" s="1290" t="s">
        <v>1009</v>
      </c>
      <c r="J362" s="1298"/>
    </row>
    <row r="363" spans="1:14" hidden="1" x14ac:dyDescent="0.2">
      <c r="A363" s="1795"/>
      <c r="B363" s="1843"/>
      <c r="C363" s="1410"/>
      <c r="D363" s="1287"/>
      <c r="E363" s="1287"/>
      <c r="F363" s="1287"/>
      <c r="G363" s="371"/>
      <c r="H363" s="1287"/>
      <c r="I363" s="1290"/>
      <c r="J363" s="1298"/>
    </row>
    <row r="364" spans="1:14" ht="12.75" hidden="1" customHeight="1" x14ac:dyDescent="0.2">
      <c r="A364" s="1796"/>
      <c r="B364" s="1845"/>
      <c r="C364" s="1411"/>
      <c r="D364" s="1287"/>
      <c r="E364" s="1287"/>
      <c r="F364" s="1287"/>
      <c r="G364" s="371"/>
      <c r="H364" s="1287"/>
      <c r="I364" s="1290"/>
      <c r="J364" s="1298"/>
    </row>
    <row r="365" spans="1:14" ht="24" hidden="1" x14ac:dyDescent="0.2">
      <c r="A365" s="1297">
        <v>2</v>
      </c>
      <c r="B365" s="370" t="s">
        <v>1010</v>
      </c>
      <c r="C365" s="370"/>
      <c r="D365" s="1287">
        <v>22208</v>
      </c>
      <c r="E365" s="1287">
        <v>22208</v>
      </c>
      <c r="F365" s="1287">
        <f>SUM(F366:F370)</f>
        <v>29150</v>
      </c>
      <c r="G365" s="371">
        <v>5250</v>
      </c>
      <c r="H365" s="1287">
        <f>SUM(H366:H370)</f>
        <v>0</v>
      </c>
      <c r="I365" s="1290" t="s">
        <v>1009</v>
      </c>
      <c r="J365" s="1298"/>
    </row>
    <row r="366" spans="1:14" ht="12.75" hidden="1" customHeight="1" x14ac:dyDescent="0.2">
      <c r="A366" s="1863"/>
      <c r="B366" s="1844"/>
      <c r="C366" s="1413"/>
      <c r="D366" s="1287"/>
      <c r="E366" s="1287"/>
      <c r="F366" s="1287"/>
      <c r="G366" s="371"/>
      <c r="H366" s="1287"/>
      <c r="I366" s="1290"/>
      <c r="J366" s="422" t="s">
        <v>1011</v>
      </c>
    </row>
    <row r="367" spans="1:14" ht="60" hidden="1" x14ac:dyDescent="0.2">
      <c r="A367" s="1863"/>
      <c r="B367" s="1844"/>
      <c r="C367" s="1413"/>
      <c r="D367" s="1287"/>
      <c r="E367" s="1287"/>
      <c r="F367" s="1287">
        <v>24150</v>
      </c>
      <c r="G367" s="371"/>
      <c r="H367" s="1287"/>
      <c r="I367" s="1290"/>
      <c r="J367" s="1298" t="s">
        <v>1012</v>
      </c>
    </row>
    <row r="368" spans="1:14" ht="12.75" hidden="1" customHeight="1" x14ac:dyDescent="0.2">
      <c r="A368" s="1863"/>
      <c r="B368" s="1844"/>
      <c r="C368" s="1413"/>
      <c r="D368" s="1287"/>
      <c r="E368" s="1287"/>
      <c r="F368" s="1287"/>
      <c r="G368" s="371"/>
      <c r="H368" s="1287"/>
      <c r="I368" s="1290"/>
      <c r="J368" s="394" t="s">
        <v>1013</v>
      </c>
    </row>
    <row r="369" spans="1:14" ht="24" hidden="1" x14ac:dyDescent="0.2">
      <c r="A369" s="1863"/>
      <c r="B369" s="1844"/>
      <c r="C369" s="1413"/>
      <c r="D369" s="1287"/>
      <c r="E369" s="1287"/>
      <c r="F369" s="1287">
        <v>5000</v>
      </c>
      <c r="G369" s="371"/>
      <c r="H369" s="1287"/>
      <c r="I369" s="1290"/>
      <c r="J369" s="1298" t="s">
        <v>1014</v>
      </c>
    </row>
    <row r="370" spans="1:14" ht="12.75" hidden="1" customHeight="1" x14ac:dyDescent="0.2">
      <c r="A370" s="1796"/>
      <c r="B370" s="1845"/>
      <c r="C370" s="1411"/>
      <c r="D370" s="1287"/>
      <c r="E370" s="1287"/>
      <c r="F370" s="1287"/>
      <c r="G370" s="371"/>
      <c r="H370" s="1287"/>
      <c r="I370" s="1287"/>
      <c r="J370" s="1298"/>
    </row>
    <row r="371" spans="1:14" ht="36" hidden="1" x14ac:dyDescent="0.2">
      <c r="A371" s="1297">
        <v>3</v>
      </c>
      <c r="B371" s="370" t="s">
        <v>795</v>
      </c>
      <c r="C371" s="370"/>
      <c r="D371" s="321">
        <v>0</v>
      </c>
      <c r="E371" s="321">
        <v>0</v>
      </c>
      <c r="F371" s="321">
        <v>1100</v>
      </c>
      <c r="G371" s="380">
        <v>2239</v>
      </c>
      <c r="H371" s="1287"/>
      <c r="I371" s="1290" t="s">
        <v>1015</v>
      </c>
      <c r="J371" s="1298"/>
    </row>
    <row r="372" spans="1:14" hidden="1" x14ac:dyDescent="0.2">
      <c r="A372" s="1299"/>
      <c r="B372" s="1305"/>
      <c r="C372" s="1439"/>
      <c r="D372" s="424"/>
      <c r="E372" s="424"/>
      <c r="F372" s="379"/>
      <c r="G372" s="425"/>
      <c r="H372" s="272"/>
      <c r="I372" s="272"/>
      <c r="J372" s="1301"/>
    </row>
    <row r="373" spans="1:14" hidden="1" x14ac:dyDescent="0.2">
      <c r="D373" s="426"/>
      <c r="E373" s="426"/>
      <c r="F373" s="427"/>
      <c r="G373" s="274"/>
      <c r="H373" s="426"/>
      <c r="I373" s="358"/>
    </row>
    <row r="374" spans="1:14" hidden="1" x14ac:dyDescent="0.2">
      <c r="A374" s="1881" t="s">
        <v>239</v>
      </c>
      <c r="B374" s="1882"/>
      <c r="C374" s="1418"/>
      <c r="D374" s="428">
        <f>SUM(D10,D36,D45,D55,D139,D169,D185,D203,D225,D270,D343,D361)</f>
        <v>2315933</v>
      </c>
      <c r="E374" s="428">
        <f>SUM(E10,E36,E45,E55,E139,E169,E185,E203,E225,E270,E343,E361)</f>
        <v>1609525</v>
      </c>
      <c r="F374" s="429">
        <f>SUM(F10,F36,F45,F55,F139,F169,F185,F203,F225,F270,F343,F361)</f>
        <v>2529765</v>
      </c>
      <c r="G374" s="430"/>
      <c r="H374" s="428">
        <f>SUM(H10,H36,H45,H55,H139,H169,H185,H203,H225,H270,H343,H361)</f>
        <v>2090140</v>
      </c>
      <c r="I374" s="428"/>
      <c r="J374" s="431"/>
    </row>
    <row r="375" spans="1:14" x14ac:dyDescent="0.2">
      <c r="A375" s="432"/>
      <c r="B375" s="432"/>
      <c r="C375" s="432"/>
      <c r="D375" s="433"/>
      <c r="E375" s="433"/>
      <c r="F375" s="434"/>
      <c r="G375" s="435"/>
      <c r="H375" s="433"/>
      <c r="I375" s="436"/>
      <c r="J375" s="367"/>
    </row>
    <row r="376" spans="1:14" x14ac:dyDescent="0.2">
      <c r="A376" s="244" t="s">
        <v>400</v>
      </c>
      <c r="D376" s="358"/>
    </row>
    <row r="377" spans="1:14" ht="39" customHeight="1" x14ac:dyDescent="0.2">
      <c r="A377" s="1883" t="s">
        <v>1016</v>
      </c>
      <c r="B377" s="1883"/>
      <c r="C377" s="1883"/>
      <c r="D377" s="1883"/>
      <c r="E377" s="1883"/>
      <c r="F377" s="1883"/>
      <c r="G377" s="1883"/>
      <c r="H377" s="1883"/>
      <c r="I377" s="1883"/>
      <c r="J377" s="1883"/>
    </row>
    <row r="379" spans="1:14" s="367" customFormat="1" x14ac:dyDescent="0.2">
      <c r="A379" s="269" t="s">
        <v>493</v>
      </c>
      <c r="B379" s="356"/>
      <c r="C379" s="356"/>
      <c r="D379" s="437"/>
      <c r="E379" s="437"/>
      <c r="F379" s="438"/>
      <c r="G379" s="439"/>
      <c r="H379" s="356"/>
      <c r="I379" s="356"/>
      <c r="J379" s="356"/>
      <c r="K379" s="440"/>
      <c r="N379" s="356"/>
    </row>
    <row r="380" spans="1:14" s="367" customFormat="1" x14ac:dyDescent="0.2">
      <c r="A380" s="244" t="s">
        <v>1017</v>
      </c>
      <c r="B380" s="356"/>
      <c r="C380" s="356"/>
      <c r="D380" s="437"/>
      <c r="E380" s="437"/>
      <c r="F380" s="438"/>
      <c r="G380" s="439"/>
      <c r="H380" s="356"/>
      <c r="I380" s="356"/>
      <c r="J380" s="356"/>
      <c r="K380" s="440"/>
      <c r="N380" s="356"/>
    </row>
    <row r="381" spans="1:14" s="367" customFormat="1" x14ac:dyDescent="0.2">
      <c r="A381" s="244" t="s">
        <v>257</v>
      </c>
      <c r="B381" s="356"/>
      <c r="C381" s="356"/>
      <c r="D381" s="437"/>
      <c r="E381" s="437"/>
      <c r="F381" s="438"/>
      <c r="G381" s="439"/>
      <c r="H381" s="356"/>
      <c r="I381" s="356"/>
      <c r="J381" s="356"/>
      <c r="K381" s="440"/>
      <c r="N381" s="356"/>
    </row>
    <row r="382" spans="1:14" s="367" customFormat="1" x14ac:dyDescent="0.2">
      <c r="A382" s="244" t="s">
        <v>1018</v>
      </c>
      <c r="B382" s="356"/>
      <c r="C382" s="356"/>
      <c r="D382" s="437"/>
      <c r="E382" s="437"/>
      <c r="F382" s="438"/>
      <c r="G382" s="439"/>
      <c r="H382" s="356"/>
      <c r="I382" s="356"/>
      <c r="J382" s="356"/>
      <c r="K382" s="440"/>
      <c r="N382" s="356"/>
    </row>
    <row r="383" spans="1:14" s="367" customFormat="1" x14ac:dyDescent="0.2">
      <c r="A383" s="244" t="s">
        <v>1019</v>
      </c>
      <c r="B383" s="356"/>
      <c r="C383" s="356"/>
      <c r="D383" s="437"/>
      <c r="E383" s="437"/>
      <c r="F383" s="438"/>
      <c r="G383" s="439"/>
      <c r="H383" s="356"/>
      <c r="I383" s="356"/>
      <c r="J383" s="356"/>
      <c r="K383" s="440"/>
      <c r="N383" s="356"/>
    </row>
    <row r="384" spans="1:14" s="367" customFormat="1" x14ac:dyDescent="0.2">
      <c r="A384" s="244" t="s">
        <v>1020</v>
      </c>
      <c r="B384" s="356"/>
      <c r="C384" s="356"/>
      <c r="D384" s="437"/>
      <c r="E384" s="437"/>
      <c r="F384" s="438"/>
      <c r="G384" s="439"/>
      <c r="H384" s="356"/>
      <c r="I384" s="356"/>
      <c r="J384" s="356"/>
      <c r="K384" s="440"/>
      <c r="N384" s="356"/>
    </row>
    <row r="385" spans="1:1" x14ac:dyDescent="0.2">
      <c r="A385" s="244" t="s">
        <v>1021</v>
      </c>
    </row>
    <row r="386" spans="1:1" x14ac:dyDescent="0.2">
      <c r="A386" s="244" t="s">
        <v>262</v>
      </c>
    </row>
    <row r="387" spans="1:1" x14ac:dyDescent="0.2">
      <c r="A387" s="244" t="s">
        <v>1022</v>
      </c>
    </row>
    <row r="388" spans="1:1" x14ac:dyDescent="0.2">
      <c r="A388" s="244" t="s">
        <v>1023</v>
      </c>
    </row>
    <row r="389" spans="1:1" x14ac:dyDescent="0.2">
      <c r="A389" s="244" t="s">
        <v>1024</v>
      </c>
    </row>
    <row r="390" spans="1:1" x14ac:dyDescent="0.2">
      <c r="A390" s="244" t="s">
        <v>248</v>
      </c>
    </row>
    <row r="391" spans="1:1" x14ac:dyDescent="0.2">
      <c r="A391" s="244" t="s">
        <v>263</v>
      </c>
    </row>
    <row r="392" spans="1:1" x14ac:dyDescent="0.2">
      <c r="A392" s="244" t="s">
        <v>1025</v>
      </c>
    </row>
    <row r="393" spans="1:1" x14ac:dyDescent="0.2">
      <c r="A393" s="244" t="s">
        <v>249</v>
      </c>
    </row>
    <row r="394" spans="1:1" x14ac:dyDescent="0.2">
      <c r="A394" s="244" t="s">
        <v>264</v>
      </c>
    </row>
    <row r="395" spans="1:1" x14ac:dyDescent="0.2">
      <c r="A395" s="244" t="s">
        <v>1026</v>
      </c>
    </row>
    <row r="396" spans="1:1" x14ac:dyDescent="0.2">
      <c r="A396" s="244" t="s">
        <v>440</v>
      </c>
    </row>
    <row r="397" spans="1:1" x14ac:dyDescent="0.2">
      <c r="A397" s="244" t="s">
        <v>265</v>
      </c>
    </row>
    <row r="398" spans="1:1" x14ac:dyDescent="0.2">
      <c r="A398" s="244" t="s">
        <v>1027</v>
      </c>
    </row>
    <row r="399" spans="1:1" x14ac:dyDescent="0.2">
      <c r="A399" s="244" t="s">
        <v>250</v>
      </c>
    </row>
    <row r="400" spans="1:1" x14ac:dyDescent="0.2">
      <c r="A400" s="244" t="s">
        <v>267</v>
      </c>
    </row>
    <row r="401" spans="1:1" x14ac:dyDescent="0.2">
      <c r="A401" s="244" t="s">
        <v>1028</v>
      </c>
    </row>
    <row r="402" spans="1:1" x14ac:dyDescent="0.2">
      <c r="A402" s="244" t="s">
        <v>268</v>
      </c>
    </row>
    <row r="403" spans="1:1" x14ac:dyDescent="0.2">
      <c r="A403" s="244" t="s">
        <v>1029</v>
      </c>
    </row>
    <row r="404" spans="1:1" x14ac:dyDescent="0.2">
      <c r="A404" s="244" t="s">
        <v>269</v>
      </c>
    </row>
    <row r="405" spans="1:1" x14ac:dyDescent="0.2">
      <c r="A405" s="244" t="s">
        <v>1030</v>
      </c>
    </row>
    <row r="406" spans="1:1" x14ac:dyDescent="0.2">
      <c r="A406" s="244" t="s">
        <v>1031</v>
      </c>
    </row>
    <row r="407" spans="1:1" x14ac:dyDescent="0.2">
      <c r="A407" s="244" t="s">
        <v>251</v>
      </c>
    </row>
    <row r="408" spans="1:1" x14ac:dyDescent="0.2">
      <c r="A408" s="244" t="s">
        <v>1032</v>
      </c>
    </row>
    <row r="409" spans="1:1" x14ac:dyDescent="0.2">
      <c r="A409" s="244" t="s">
        <v>1033</v>
      </c>
    </row>
    <row r="410" spans="1:1" x14ac:dyDescent="0.2">
      <c r="A410" s="244" t="s">
        <v>271</v>
      </c>
    </row>
    <row r="411" spans="1:1" x14ac:dyDescent="0.2">
      <c r="A411" s="244" t="s">
        <v>1034</v>
      </c>
    </row>
    <row r="412" spans="1:1" x14ac:dyDescent="0.2">
      <c r="A412" s="244" t="s">
        <v>1035</v>
      </c>
    </row>
    <row r="413" spans="1:1" x14ac:dyDescent="0.2">
      <c r="A413" s="244" t="s">
        <v>1036</v>
      </c>
    </row>
    <row r="414" spans="1:1" x14ac:dyDescent="0.2">
      <c r="A414" s="244" t="s">
        <v>1037</v>
      </c>
    </row>
    <row r="415" spans="1:1" x14ac:dyDescent="0.2">
      <c r="A415" s="244" t="s">
        <v>252</v>
      </c>
    </row>
    <row r="416" spans="1:1" x14ac:dyDescent="0.2">
      <c r="A416" s="244" t="s">
        <v>272</v>
      </c>
    </row>
    <row r="417" spans="1:12" x14ac:dyDescent="0.2">
      <c r="A417" s="244" t="s">
        <v>1038</v>
      </c>
    </row>
    <row r="418" spans="1:12" x14ac:dyDescent="0.2">
      <c r="A418" s="244" t="s">
        <v>1039</v>
      </c>
    </row>
    <row r="419" spans="1:12" x14ac:dyDescent="0.2">
      <c r="A419" s="244" t="s">
        <v>1040</v>
      </c>
    </row>
    <row r="420" spans="1:12" x14ac:dyDescent="0.2">
      <c r="A420" s="244" t="s">
        <v>763</v>
      </c>
    </row>
    <row r="421" spans="1:12" x14ac:dyDescent="0.2">
      <c r="A421" s="244" t="s">
        <v>253</v>
      </c>
    </row>
    <row r="422" spans="1:12" x14ac:dyDescent="0.2">
      <c r="A422" s="244" t="s">
        <v>1041</v>
      </c>
    </row>
    <row r="423" spans="1:12" x14ac:dyDescent="0.2">
      <c r="A423" s="244" t="s">
        <v>1042</v>
      </c>
    </row>
    <row r="429" spans="1:12" x14ac:dyDescent="0.2">
      <c r="E429" s="367"/>
      <c r="F429" s="288"/>
      <c r="G429" s="367"/>
      <c r="H429" s="367"/>
    </row>
    <row r="430" spans="1:12" s="161" customFormat="1" x14ac:dyDescent="0.2">
      <c r="E430" s="176"/>
      <c r="F430" s="186"/>
      <c r="G430" s="176"/>
      <c r="H430" s="176"/>
      <c r="J430" s="176"/>
      <c r="K430" s="441"/>
      <c r="L430" s="182"/>
    </row>
    <row r="431" spans="1:12" s="161" customFormat="1" x14ac:dyDescent="0.2">
      <c r="A431" s="229"/>
      <c r="B431" s="229"/>
      <c r="C431" s="229"/>
      <c r="D431" s="229"/>
      <c r="E431" s="442"/>
      <c r="F431" s="1880"/>
      <c r="G431" s="1880"/>
      <c r="H431" s="442"/>
      <c r="I431" s="229"/>
      <c r="J431" s="442"/>
      <c r="K431" s="441"/>
      <c r="L431" s="182"/>
    </row>
    <row r="432" spans="1:12" s="161" customFormat="1" x14ac:dyDescent="0.2">
      <c r="A432" s="229"/>
      <c r="B432" s="229"/>
      <c r="C432" s="229"/>
      <c r="D432" s="229"/>
      <c r="E432" s="442"/>
      <c r="F432" s="1279"/>
      <c r="G432" s="1293"/>
      <c r="H432" s="442"/>
      <c r="I432" s="229"/>
      <c r="J432" s="442"/>
      <c r="K432" s="441"/>
      <c r="L432" s="182"/>
    </row>
    <row r="433" spans="1:12" s="161" customFormat="1" x14ac:dyDescent="0.2">
      <c r="A433" s="229"/>
      <c r="B433" s="229"/>
      <c r="C433" s="229"/>
      <c r="D433" s="229"/>
      <c r="E433" s="442"/>
      <c r="F433" s="189"/>
      <c r="G433" s="442"/>
      <c r="H433" s="442"/>
      <c r="I433" s="229"/>
      <c r="J433" s="442"/>
      <c r="K433" s="441"/>
      <c r="L433" s="182"/>
    </row>
    <row r="434" spans="1:12" s="161" customFormat="1" x14ac:dyDescent="0.2">
      <c r="E434" s="176"/>
      <c r="F434" s="186"/>
      <c r="G434" s="176"/>
      <c r="H434" s="176"/>
      <c r="J434" s="176"/>
      <c r="K434" s="441"/>
      <c r="L434" s="182"/>
    </row>
    <row r="435" spans="1:12" s="161" customFormat="1" x14ac:dyDescent="0.2">
      <c r="A435" s="229"/>
      <c r="B435" s="229"/>
      <c r="C435" s="229"/>
      <c r="D435" s="229"/>
      <c r="E435" s="442"/>
      <c r="F435" s="1880"/>
      <c r="G435" s="1880"/>
      <c r="H435" s="442"/>
      <c r="I435" s="229"/>
      <c r="J435" s="442"/>
      <c r="K435" s="441"/>
      <c r="L435" s="182"/>
    </row>
    <row r="436" spans="1:12" s="161" customFormat="1" x14ac:dyDescent="0.2">
      <c r="A436" s="229"/>
      <c r="B436" s="229"/>
      <c r="C436" s="229"/>
      <c r="D436" s="229"/>
      <c r="E436" s="442"/>
      <c r="F436" s="1279"/>
      <c r="G436" s="1293"/>
      <c r="H436" s="442"/>
      <c r="I436" s="229"/>
      <c r="J436" s="442"/>
      <c r="K436" s="441"/>
      <c r="L436" s="182"/>
    </row>
    <row r="437" spans="1:12" s="161" customFormat="1" x14ac:dyDescent="0.2">
      <c r="A437" s="229"/>
      <c r="B437" s="229"/>
      <c r="C437" s="229"/>
      <c r="D437" s="229"/>
      <c r="E437" s="442"/>
      <c r="F437" s="189"/>
      <c r="G437" s="442"/>
      <c r="H437" s="442"/>
      <c r="I437" s="229"/>
      <c r="J437" s="442"/>
      <c r="K437" s="441"/>
      <c r="L437" s="182"/>
    </row>
    <row r="438" spans="1:12" s="161" customFormat="1" x14ac:dyDescent="0.2">
      <c r="A438" s="229"/>
      <c r="B438" s="229"/>
      <c r="C438" s="229"/>
      <c r="D438" s="229"/>
      <c r="E438" s="442"/>
      <c r="F438" s="189"/>
      <c r="G438" s="442"/>
      <c r="H438" s="442"/>
      <c r="I438" s="229"/>
      <c r="J438" s="442"/>
      <c r="K438" s="441"/>
      <c r="L438" s="182"/>
    </row>
    <row r="439" spans="1:12" s="161" customFormat="1" x14ac:dyDescent="0.2">
      <c r="A439" s="229"/>
      <c r="B439" s="229"/>
      <c r="C439" s="229"/>
      <c r="D439" s="229"/>
      <c r="E439" s="442"/>
      <c r="F439" s="1880"/>
      <c r="G439" s="1880"/>
      <c r="H439" s="442"/>
      <c r="I439" s="229"/>
      <c r="J439" s="442"/>
      <c r="K439" s="441"/>
      <c r="L439" s="182"/>
    </row>
    <row r="440" spans="1:12" s="161" customFormat="1" x14ac:dyDescent="0.2">
      <c r="E440" s="176"/>
      <c r="F440" s="186"/>
      <c r="G440" s="176"/>
      <c r="H440" s="176"/>
      <c r="K440" s="441"/>
      <c r="L440" s="182"/>
    </row>
    <row r="441" spans="1:12" s="161" customFormat="1" x14ac:dyDescent="0.2">
      <c r="E441" s="176"/>
      <c r="F441" s="186"/>
      <c r="G441" s="176"/>
      <c r="H441" s="176"/>
      <c r="K441" s="441"/>
      <c r="L441" s="182"/>
    </row>
    <row r="442" spans="1:12" s="161" customFormat="1" x14ac:dyDescent="0.2">
      <c r="A442" s="268"/>
      <c r="B442" s="268"/>
      <c r="C442" s="268"/>
      <c r="E442" s="176"/>
      <c r="F442" s="189"/>
      <c r="G442" s="442"/>
      <c r="H442" s="442"/>
      <c r="I442" s="229"/>
      <c r="K442" s="441"/>
      <c r="L442" s="182"/>
    </row>
    <row r="443" spans="1:12" s="161" customFormat="1" x14ac:dyDescent="0.2">
      <c r="E443" s="176"/>
      <c r="F443" s="1880"/>
      <c r="G443" s="1880"/>
      <c r="H443" s="176"/>
      <c r="K443" s="441"/>
      <c r="L443" s="182"/>
    </row>
  </sheetData>
  <sheetProtection algorithmName="SHA-512" hashValue="QDgHniHkaLRagPaPLhGRddPHojTRX1aiF3D0pQPcf+Jo6FSOi5Oq4TePb+RVQfQwRI1iJIbNDrbgBSoBliDxkQ==" saltValue="ABC2GkR70oTbUaP/g/xtjw==" spinCount="100000" sheet="1" objects="1" scenarios="1"/>
  <mergeCells count="185">
    <mergeCell ref="B352:C352"/>
    <mergeCell ref="B360:C360"/>
    <mergeCell ref="A361:C361"/>
    <mergeCell ref="B362:C362"/>
    <mergeCell ref="F439:G439"/>
    <mergeCell ref="F443:G443"/>
    <mergeCell ref="A366:A370"/>
    <mergeCell ref="B366:B370"/>
    <mergeCell ref="A374:B374"/>
    <mergeCell ref="A377:J377"/>
    <mergeCell ref="F431:G431"/>
    <mergeCell ref="F435:G435"/>
    <mergeCell ref="A353:A354"/>
    <mergeCell ref="B353:B354"/>
    <mergeCell ref="A363:A364"/>
    <mergeCell ref="B363:B364"/>
    <mergeCell ref="A345:A346"/>
    <mergeCell ref="B345:B346"/>
    <mergeCell ref="A348:A350"/>
    <mergeCell ref="B348:B350"/>
    <mergeCell ref="A331:A332"/>
    <mergeCell ref="B331:B332"/>
    <mergeCell ref="A334:A335"/>
    <mergeCell ref="B334:B335"/>
    <mergeCell ref="A337:A338"/>
    <mergeCell ref="B337:B338"/>
    <mergeCell ref="A343:C343"/>
    <mergeCell ref="B344:C344"/>
    <mergeCell ref="A311:A317"/>
    <mergeCell ref="B311:B317"/>
    <mergeCell ref="A319:A321"/>
    <mergeCell ref="B319:B321"/>
    <mergeCell ref="A326:A329"/>
    <mergeCell ref="B326:B329"/>
    <mergeCell ref="A297:A301"/>
    <mergeCell ref="B297:B301"/>
    <mergeCell ref="A303:A306"/>
    <mergeCell ref="B303:B306"/>
    <mergeCell ref="A308:A309"/>
    <mergeCell ref="B308:B309"/>
    <mergeCell ref="A281:A284"/>
    <mergeCell ref="B281:B284"/>
    <mergeCell ref="A286:A287"/>
    <mergeCell ref="B286:B287"/>
    <mergeCell ref="A289:A294"/>
    <mergeCell ref="B289:B294"/>
    <mergeCell ref="A274:A276"/>
    <mergeCell ref="B274:B276"/>
    <mergeCell ref="A278:A279"/>
    <mergeCell ref="B278:B279"/>
    <mergeCell ref="A261:A262"/>
    <mergeCell ref="B261:B262"/>
    <mergeCell ref="A264:A265"/>
    <mergeCell ref="B264:B265"/>
    <mergeCell ref="A250:A252"/>
    <mergeCell ref="B250:B252"/>
    <mergeCell ref="A254:A255"/>
    <mergeCell ref="B254:B255"/>
    <mergeCell ref="A257:A259"/>
    <mergeCell ref="B257:B259"/>
    <mergeCell ref="B263:C263"/>
    <mergeCell ref="B238:B241"/>
    <mergeCell ref="A243:A245"/>
    <mergeCell ref="B243:B245"/>
    <mergeCell ref="A247:A248"/>
    <mergeCell ref="B247:B248"/>
    <mergeCell ref="A231:A232"/>
    <mergeCell ref="B231:B232"/>
    <mergeCell ref="A234:A236"/>
    <mergeCell ref="B234:B236"/>
    <mergeCell ref="B91:B92"/>
    <mergeCell ref="A94:A95"/>
    <mergeCell ref="B94:B95"/>
    <mergeCell ref="A141:A143"/>
    <mergeCell ref="B141:B143"/>
    <mergeCell ref="A145:A146"/>
    <mergeCell ref="B145:B146"/>
    <mergeCell ref="A148:A149"/>
    <mergeCell ref="B148:B149"/>
    <mergeCell ref="A130:A131"/>
    <mergeCell ref="B130:B131"/>
    <mergeCell ref="A133:A134"/>
    <mergeCell ref="B133:B134"/>
    <mergeCell ref="A139:C139"/>
    <mergeCell ref="B140:C140"/>
    <mergeCell ref="B144:C144"/>
    <mergeCell ref="B147:C147"/>
    <mergeCell ref="A1:B1"/>
    <mergeCell ref="A2:B2"/>
    <mergeCell ref="A4:J4"/>
    <mergeCell ref="B9:C9"/>
    <mergeCell ref="A10:C10"/>
    <mergeCell ref="B11:C30"/>
    <mergeCell ref="A11:A30"/>
    <mergeCell ref="I11:I29"/>
    <mergeCell ref="B37:C40"/>
    <mergeCell ref="A37:A40"/>
    <mergeCell ref="I37:I39"/>
    <mergeCell ref="A36:C36"/>
    <mergeCell ref="B35:C35"/>
    <mergeCell ref="B46:C46"/>
    <mergeCell ref="A45:C45"/>
    <mergeCell ref="B44:C44"/>
    <mergeCell ref="B56:C56"/>
    <mergeCell ref="B59:C59"/>
    <mergeCell ref="A55:C55"/>
    <mergeCell ref="B54:C54"/>
    <mergeCell ref="B67:C75"/>
    <mergeCell ref="A67:A75"/>
    <mergeCell ref="A60:A66"/>
    <mergeCell ref="B60:B66"/>
    <mergeCell ref="A47:A50"/>
    <mergeCell ref="B47:B50"/>
    <mergeCell ref="A56:A58"/>
    <mergeCell ref="B57:B58"/>
    <mergeCell ref="I67:I71"/>
    <mergeCell ref="I96:I112"/>
    <mergeCell ref="B168:C168"/>
    <mergeCell ref="B170:C177"/>
    <mergeCell ref="A170:A177"/>
    <mergeCell ref="A169:C169"/>
    <mergeCell ref="B90:C90"/>
    <mergeCell ref="B96:C117"/>
    <mergeCell ref="A96:A117"/>
    <mergeCell ref="B118:C118"/>
    <mergeCell ref="B126:C126"/>
    <mergeCell ref="B129:C129"/>
    <mergeCell ref="B132:C132"/>
    <mergeCell ref="B138:C138"/>
    <mergeCell ref="A77:A89"/>
    <mergeCell ref="B77:B89"/>
    <mergeCell ref="B76:C76"/>
    <mergeCell ref="A119:A122"/>
    <mergeCell ref="B119:B122"/>
    <mergeCell ref="A124:A125"/>
    <mergeCell ref="B124:B125"/>
    <mergeCell ref="A127:A128"/>
    <mergeCell ref="B127:B128"/>
    <mergeCell ref="A91:A92"/>
    <mergeCell ref="B184:C184"/>
    <mergeCell ref="A185:C185"/>
    <mergeCell ref="B186:C195"/>
    <mergeCell ref="A186:A195"/>
    <mergeCell ref="B204:C218"/>
    <mergeCell ref="A204:A218"/>
    <mergeCell ref="A203:C203"/>
    <mergeCell ref="B202:C202"/>
    <mergeCell ref="B150:C150"/>
    <mergeCell ref="B154:C154"/>
    <mergeCell ref="B157:C157"/>
    <mergeCell ref="B160:C160"/>
    <mergeCell ref="A161:A162"/>
    <mergeCell ref="B161:B162"/>
    <mergeCell ref="A151:A153"/>
    <mergeCell ref="B151:B153"/>
    <mergeCell ref="A155:A156"/>
    <mergeCell ref="B155:B156"/>
    <mergeCell ref="A158:A159"/>
    <mergeCell ref="B158:B159"/>
    <mergeCell ref="A197:A198"/>
    <mergeCell ref="B197:B198"/>
    <mergeCell ref="I186:I195"/>
    <mergeCell ref="I271:I272"/>
    <mergeCell ref="B347:C347"/>
    <mergeCell ref="B351:C351"/>
    <mergeCell ref="B273:C273"/>
    <mergeCell ref="B288:C288"/>
    <mergeCell ref="B295:C295"/>
    <mergeCell ref="B302:C302"/>
    <mergeCell ref="B307:C307"/>
    <mergeCell ref="B310:C310"/>
    <mergeCell ref="B269:C269"/>
    <mergeCell ref="A270:C270"/>
    <mergeCell ref="B342:C342"/>
    <mergeCell ref="I204:I216"/>
    <mergeCell ref="B224:C224"/>
    <mergeCell ref="A225:C225"/>
    <mergeCell ref="I226:I227"/>
    <mergeCell ref="B226:C227"/>
    <mergeCell ref="A226:A227"/>
    <mergeCell ref="B233:C233"/>
    <mergeCell ref="B242:C242"/>
    <mergeCell ref="B271:C272"/>
    <mergeCell ref="A271:A272"/>
    <mergeCell ref="A238:A241"/>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10.pielikums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5"/>
  <sheetViews>
    <sheetView view="pageLayout" zoomScaleNormal="100" workbookViewId="0">
      <selection activeCell="L8" sqref="L8"/>
    </sheetView>
  </sheetViews>
  <sheetFormatPr defaultRowHeight="12" x14ac:dyDescent="0.2"/>
  <cols>
    <col min="1" max="1" width="6.140625" style="283" customWidth="1"/>
    <col min="2" max="2" width="22.42578125" style="244" customWidth="1"/>
    <col min="3" max="3" width="15" style="244" customWidth="1"/>
    <col min="4" max="4" width="11.85546875" style="466" hidden="1" customWidth="1"/>
    <col min="5" max="5" width="11.140625" style="1112" hidden="1" customWidth="1"/>
    <col min="6" max="6" width="10.28515625" style="244" hidden="1" customWidth="1"/>
    <col min="7" max="7" width="10.5703125" style="244" customWidth="1"/>
    <col min="8" max="8" width="9.7109375" style="244" customWidth="1"/>
    <col min="9" max="9" width="19.140625" style="244" customWidth="1"/>
    <col min="10" max="10" width="28.7109375" style="244" hidden="1" customWidth="1"/>
    <col min="11" max="12" width="9.140625" style="244"/>
    <col min="13" max="13" width="26.28515625" style="244" customWidth="1"/>
    <col min="14" max="16384" width="9.140625" style="244"/>
  </cols>
  <sheetData>
    <row r="1" spans="1:11" x14ac:dyDescent="0.2">
      <c r="A1" s="1793" t="s">
        <v>117</v>
      </c>
      <c r="B1" s="1793"/>
      <c r="C1" s="1503" t="s">
        <v>118</v>
      </c>
      <c r="D1" s="1098"/>
      <c r="E1" s="1098"/>
      <c r="F1" s="1098"/>
      <c r="G1" s="1098"/>
      <c r="H1" s="1098"/>
      <c r="I1" s="1098"/>
      <c r="J1" s="1098"/>
    </row>
    <row r="2" spans="1:11" x14ac:dyDescent="0.2">
      <c r="A2" s="1793" t="s">
        <v>119</v>
      </c>
      <c r="B2" s="1793"/>
      <c r="C2" s="1503">
        <v>90000056357</v>
      </c>
      <c r="D2" s="1098"/>
      <c r="E2" s="1098"/>
      <c r="F2" s="1098"/>
      <c r="G2" s="1098"/>
      <c r="H2" s="1098"/>
      <c r="I2" s="1098"/>
      <c r="J2" s="1098"/>
    </row>
    <row r="3" spans="1:11" ht="15.75" x14ac:dyDescent="0.25">
      <c r="A3" s="1794" t="s">
        <v>120</v>
      </c>
      <c r="B3" s="1794"/>
      <c r="C3" s="1794"/>
      <c r="D3" s="1794"/>
      <c r="E3" s="1794"/>
      <c r="F3" s="1794"/>
      <c r="G3" s="1794"/>
      <c r="H3" s="1794"/>
      <c r="I3" s="1794"/>
      <c r="J3" s="1794"/>
    </row>
    <row r="4" spans="1:11" ht="15.75" x14ac:dyDescent="0.25">
      <c r="A4" s="1099"/>
      <c r="B4" s="1099"/>
      <c r="C4" s="1394"/>
      <c r="D4" s="443"/>
      <c r="E4" s="444"/>
      <c r="F4" s="1099"/>
      <c r="G4" s="1099"/>
      <c r="H4" s="1099"/>
      <c r="I4" s="1099"/>
      <c r="J4" s="1099"/>
    </row>
    <row r="5" spans="1:11" ht="15.75" x14ac:dyDescent="0.2">
      <c r="A5" s="1112" t="s">
        <v>121</v>
      </c>
      <c r="B5" s="1112"/>
      <c r="C5" s="445" t="s">
        <v>1043</v>
      </c>
      <c r="D5" s="445"/>
      <c r="F5" s="1112"/>
      <c r="G5" s="1112"/>
      <c r="H5" s="446"/>
      <c r="I5" s="447"/>
      <c r="J5" s="1112"/>
    </row>
    <row r="6" spans="1:11" x14ac:dyDescent="0.2">
      <c r="A6" s="1098" t="s">
        <v>123</v>
      </c>
      <c r="B6" s="1098"/>
      <c r="C6" s="1503" t="s">
        <v>1044</v>
      </c>
      <c r="D6" s="1098"/>
      <c r="E6" s="1098"/>
      <c r="F6" s="1098"/>
      <c r="G6" s="1112"/>
      <c r="I6" s="1112"/>
      <c r="J6" s="1112"/>
    </row>
    <row r="7" spans="1:11" x14ac:dyDescent="0.2">
      <c r="A7" s="448" t="s">
        <v>125</v>
      </c>
      <c r="B7" s="448"/>
      <c r="C7" s="1567" t="s">
        <v>1045</v>
      </c>
      <c r="D7" s="1567"/>
      <c r="E7" s="1567"/>
      <c r="F7" s="1567"/>
      <c r="G7" s="1567"/>
      <c r="H7" s="1567"/>
      <c r="I7" s="1567"/>
      <c r="J7" s="1567"/>
    </row>
    <row r="8" spans="1:11" ht="48" x14ac:dyDescent="0.2">
      <c r="A8" s="1108" t="s">
        <v>1</v>
      </c>
      <c r="B8" s="1797" t="s">
        <v>127</v>
      </c>
      <c r="C8" s="1798"/>
      <c r="D8" s="1108" t="s">
        <v>14</v>
      </c>
      <c r="E8" s="1108" t="s">
        <v>12</v>
      </c>
      <c r="F8" s="1108" t="s">
        <v>128</v>
      </c>
      <c r="G8" s="1108" t="s">
        <v>129</v>
      </c>
      <c r="H8" s="1108" t="s">
        <v>3357</v>
      </c>
      <c r="I8" s="1108" t="s">
        <v>11</v>
      </c>
      <c r="J8" s="1108" t="s">
        <v>131</v>
      </c>
      <c r="K8" s="250"/>
    </row>
    <row r="9" spans="1:11" ht="12.75" customHeight="1" x14ac:dyDescent="0.2">
      <c r="A9" s="1807" t="s">
        <v>132</v>
      </c>
      <c r="B9" s="1808"/>
      <c r="C9" s="1809"/>
      <c r="D9" s="449">
        <f>SUM(D10:D31)</f>
        <v>2731748</v>
      </c>
      <c r="E9" s="253">
        <f>SUM(E10:E31)</f>
        <v>2731738</v>
      </c>
      <c r="F9" s="253">
        <f>SUM(F10:F31)</f>
        <v>2975625</v>
      </c>
      <c r="G9" s="450"/>
      <c r="H9" s="253">
        <f>SUM(H10:H31)</f>
        <v>3029962</v>
      </c>
      <c r="I9" s="253"/>
      <c r="J9" s="254"/>
    </row>
    <row r="10" spans="1:11" ht="55.5" customHeight="1" x14ac:dyDescent="0.2">
      <c r="A10" s="1105">
        <v>1</v>
      </c>
      <c r="B10" s="1803" t="s">
        <v>1046</v>
      </c>
      <c r="C10" s="1804"/>
      <c r="D10" s="416">
        <v>686378</v>
      </c>
      <c r="E10" s="272">
        <v>686378</v>
      </c>
      <c r="F10" s="272">
        <v>696713</v>
      </c>
      <c r="G10" s="256">
        <v>2244</v>
      </c>
      <c r="H10" s="272">
        <v>696713</v>
      </c>
      <c r="I10" s="1106" t="s">
        <v>1047</v>
      </c>
      <c r="J10" s="279" t="s">
        <v>1048</v>
      </c>
    </row>
    <row r="11" spans="1:11" ht="24.75" customHeight="1" x14ac:dyDescent="0.2">
      <c r="A11" s="1105">
        <v>2</v>
      </c>
      <c r="B11" s="1803" t="s">
        <v>1049</v>
      </c>
      <c r="C11" s="1804"/>
      <c r="D11" s="416">
        <v>327819</v>
      </c>
      <c r="E11" s="272">
        <v>327819</v>
      </c>
      <c r="F11" s="272">
        <v>333255</v>
      </c>
      <c r="G11" s="256">
        <v>2244</v>
      </c>
      <c r="H11" s="272">
        <v>333255</v>
      </c>
      <c r="I11" s="1106" t="s">
        <v>1050</v>
      </c>
      <c r="J11" s="451" t="s">
        <v>1051</v>
      </c>
    </row>
    <row r="12" spans="1:11" ht="25.5" customHeight="1" x14ac:dyDescent="0.2">
      <c r="A12" s="1105">
        <v>3</v>
      </c>
      <c r="B12" s="1803" t="s">
        <v>1052</v>
      </c>
      <c r="C12" s="1804"/>
      <c r="D12" s="416">
        <v>25070</v>
      </c>
      <c r="E12" s="272">
        <v>25070</v>
      </c>
      <c r="F12" s="272">
        <v>25070</v>
      </c>
      <c r="G12" s="256">
        <v>2244</v>
      </c>
      <c r="H12" s="272">
        <v>25070</v>
      </c>
      <c r="I12" s="1106" t="s">
        <v>1050</v>
      </c>
      <c r="J12" s="279" t="s">
        <v>1053</v>
      </c>
    </row>
    <row r="13" spans="1:11" ht="24" customHeight="1" x14ac:dyDescent="0.2">
      <c r="A13" s="1885">
        <v>4</v>
      </c>
      <c r="B13" s="1799" t="s">
        <v>1054</v>
      </c>
      <c r="C13" s="1800"/>
      <c r="D13" s="416">
        <v>13214</v>
      </c>
      <c r="E13" s="272">
        <v>13214</v>
      </c>
      <c r="F13" s="272">
        <v>9385</v>
      </c>
      <c r="G13" s="256">
        <v>2312</v>
      </c>
      <c r="H13" s="272">
        <f>9385+49075</f>
        <v>58460</v>
      </c>
      <c r="I13" s="1815" t="s">
        <v>1050</v>
      </c>
      <c r="J13" s="1817" t="s">
        <v>1055</v>
      </c>
    </row>
    <row r="14" spans="1:11" ht="24" customHeight="1" x14ac:dyDescent="0.2">
      <c r="A14" s="1886"/>
      <c r="B14" s="1801"/>
      <c r="C14" s="1802"/>
      <c r="D14" s="416">
        <v>12421</v>
      </c>
      <c r="E14" s="272">
        <v>12421</v>
      </c>
      <c r="F14" s="272">
        <v>6650</v>
      </c>
      <c r="G14" s="256">
        <v>2244</v>
      </c>
      <c r="H14" s="272">
        <f>6650+43450</f>
        <v>50100</v>
      </c>
      <c r="I14" s="1816"/>
      <c r="J14" s="1818"/>
    </row>
    <row r="15" spans="1:11" ht="23.25" customHeight="1" x14ac:dyDescent="0.2">
      <c r="A15" s="1105">
        <v>5</v>
      </c>
      <c r="B15" s="1803" t="s">
        <v>1056</v>
      </c>
      <c r="C15" s="1804"/>
      <c r="D15" s="416">
        <v>9179</v>
      </c>
      <c r="E15" s="272">
        <v>9179</v>
      </c>
      <c r="F15" s="272">
        <v>9179</v>
      </c>
      <c r="G15" s="256">
        <v>2244</v>
      </c>
      <c r="H15" s="272">
        <v>9179</v>
      </c>
      <c r="I15" s="1106" t="s">
        <v>1050</v>
      </c>
      <c r="J15" s="279" t="s">
        <v>1053</v>
      </c>
    </row>
    <row r="16" spans="1:11" ht="18.75" customHeight="1" x14ac:dyDescent="0.2">
      <c r="A16" s="1885">
        <v>6</v>
      </c>
      <c r="B16" s="1799" t="s">
        <v>1057</v>
      </c>
      <c r="C16" s="1800"/>
      <c r="D16" s="416">
        <v>195868</v>
      </c>
      <c r="E16" s="272">
        <v>195868</v>
      </c>
      <c r="F16" s="272">
        <v>200518</v>
      </c>
      <c r="G16" s="256">
        <v>2244</v>
      </c>
      <c r="H16" s="272">
        <v>200518</v>
      </c>
      <c r="I16" s="1891" t="s">
        <v>3361</v>
      </c>
      <c r="J16" s="279" t="s">
        <v>1059</v>
      </c>
    </row>
    <row r="17" spans="1:13" ht="18.75" customHeight="1" x14ac:dyDescent="0.2">
      <c r="A17" s="1888"/>
      <c r="B17" s="1889"/>
      <c r="C17" s="1890"/>
      <c r="D17" s="452">
        <v>26000</v>
      </c>
      <c r="E17" s="453">
        <v>25990</v>
      </c>
      <c r="F17" s="452"/>
      <c r="G17" s="454">
        <v>5239</v>
      </c>
      <c r="H17" s="272">
        <v>4305</v>
      </c>
      <c r="I17" s="1892"/>
      <c r="J17" s="1795" t="s">
        <v>1060</v>
      </c>
    </row>
    <row r="18" spans="1:13" ht="18.75" customHeight="1" x14ac:dyDescent="0.2">
      <c r="A18" s="1886"/>
      <c r="B18" s="1801"/>
      <c r="C18" s="1802"/>
      <c r="D18" s="455"/>
      <c r="E18" s="455"/>
      <c r="F18" s="455">
        <v>60715</v>
      </c>
      <c r="G18" s="275">
        <v>5250</v>
      </c>
      <c r="H18" s="272">
        <v>60715</v>
      </c>
      <c r="I18" s="1893"/>
      <c r="J18" s="1796"/>
    </row>
    <row r="19" spans="1:13" ht="69" customHeight="1" x14ac:dyDescent="0.2">
      <c r="A19" s="1102">
        <v>7</v>
      </c>
      <c r="B19" s="1803" t="s">
        <v>1061</v>
      </c>
      <c r="C19" s="1804"/>
      <c r="D19" s="452">
        <v>241116</v>
      </c>
      <c r="E19" s="453">
        <v>241116</v>
      </c>
      <c r="F19" s="452">
        <v>245218</v>
      </c>
      <c r="G19" s="454">
        <v>2244</v>
      </c>
      <c r="H19" s="272">
        <v>245218</v>
      </c>
      <c r="I19" s="1106" t="s">
        <v>1062</v>
      </c>
      <c r="J19" s="451" t="s">
        <v>1063</v>
      </c>
    </row>
    <row r="20" spans="1:13" ht="64.5" customHeight="1" x14ac:dyDescent="0.2">
      <c r="A20" s="1105">
        <v>8</v>
      </c>
      <c r="B20" s="1803" t="s">
        <v>1064</v>
      </c>
      <c r="C20" s="1804"/>
      <c r="D20" s="272">
        <v>124822</v>
      </c>
      <c r="E20" s="272">
        <v>143288</v>
      </c>
      <c r="F20" s="272">
        <v>143288</v>
      </c>
      <c r="G20" s="256">
        <v>2244</v>
      </c>
      <c r="H20" s="272">
        <v>143288</v>
      </c>
      <c r="I20" s="1106" t="s">
        <v>1062</v>
      </c>
      <c r="J20" s="279" t="s">
        <v>1065</v>
      </c>
    </row>
    <row r="21" spans="1:13" ht="20.25" customHeight="1" x14ac:dyDescent="0.2">
      <c r="A21" s="1795">
        <v>9</v>
      </c>
      <c r="B21" s="1799" t="s">
        <v>1066</v>
      </c>
      <c r="C21" s="1800"/>
      <c r="D21" s="416">
        <v>564759</v>
      </c>
      <c r="E21" s="272">
        <v>564759</v>
      </c>
      <c r="F21" s="272">
        <v>632708</v>
      </c>
      <c r="G21" s="256">
        <v>2244</v>
      </c>
      <c r="H21" s="272">
        <v>632708</v>
      </c>
      <c r="I21" s="1815" t="s">
        <v>1067</v>
      </c>
      <c r="J21" s="279" t="s">
        <v>1068</v>
      </c>
    </row>
    <row r="22" spans="1:13" ht="20.25" customHeight="1" x14ac:dyDescent="0.2">
      <c r="A22" s="1863"/>
      <c r="B22" s="1889"/>
      <c r="C22" s="1890"/>
      <c r="D22" s="416">
        <v>0</v>
      </c>
      <c r="E22" s="272">
        <v>0</v>
      </c>
      <c r="F22" s="272">
        <v>12100</v>
      </c>
      <c r="G22" s="259">
        <v>2239</v>
      </c>
      <c r="H22" s="272">
        <v>12100</v>
      </c>
      <c r="I22" s="1887"/>
      <c r="J22" s="279" t="s">
        <v>1069</v>
      </c>
    </row>
    <row r="23" spans="1:13" ht="20.25" customHeight="1" x14ac:dyDescent="0.2">
      <c r="A23" s="1796"/>
      <c r="B23" s="1801"/>
      <c r="C23" s="1802"/>
      <c r="D23" s="416"/>
      <c r="E23" s="272"/>
      <c r="F23" s="272"/>
      <c r="G23" s="259">
        <v>5240</v>
      </c>
      <c r="H23" s="272">
        <v>15000</v>
      </c>
      <c r="I23" s="1816"/>
      <c r="J23" s="279" t="s">
        <v>894</v>
      </c>
    </row>
    <row r="24" spans="1:13" ht="33" customHeight="1" x14ac:dyDescent="0.2">
      <c r="A24" s="1105">
        <v>10</v>
      </c>
      <c r="B24" s="1803" t="s">
        <v>1070</v>
      </c>
      <c r="C24" s="1804"/>
      <c r="D24" s="416">
        <f>277286+43466</f>
        <v>320752</v>
      </c>
      <c r="E24" s="272">
        <f>277286+25000</f>
        <v>302286</v>
      </c>
      <c r="F24" s="272">
        <f>277286+103466</f>
        <v>380752</v>
      </c>
      <c r="G24" s="256">
        <v>2244</v>
      </c>
      <c r="H24" s="272">
        <f>277286+103466</f>
        <v>380752</v>
      </c>
      <c r="I24" s="1106" t="s">
        <v>1071</v>
      </c>
      <c r="J24" s="279" t="s">
        <v>1072</v>
      </c>
    </row>
    <row r="25" spans="1:13" ht="30" customHeight="1" x14ac:dyDescent="0.2">
      <c r="A25" s="1105">
        <v>11</v>
      </c>
      <c r="B25" s="1803" t="s">
        <v>1073</v>
      </c>
      <c r="C25" s="1804"/>
      <c r="D25" s="416">
        <v>90000</v>
      </c>
      <c r="E25" s="272">
        <v>90000</v>
      </c>
      <c r="F25" s="272">
        <v>90000</v>
      </c>
      <c r="G25" s="256">
        <v>2244</v>
      </c>
      <c r="H25" s="272">
        <v>90000</v>
      </c>
      <c r="I25" s="1106" t="s">
        <v>1074</v>
      </c>
      <c r="J25" s="279" t="s">
        <v>1075</v>
      </c>
    </row>
    <row r="26" spans="1:13" ht="24.75" customHeight="1" x14ac:dyDescent="0.2">
      <c r="A26" s="1105">
        <v>12</v>
      </c>
      <c r="B26" s="1803" t="s">
        <v>1076</v>
      </c>
      <c r="C26" s="1804"/>
      <c r="D26" s="416">
        <v>8000</v>
      </c>
      <c r="E26" s="272">
        <v>8000</v>
      </c>
      <c r="F26" s="272">
        <v>8000</v>
      </c>
      <c r="G26" s="256">
        <v>2244</v>
      </c>
      <c r="H26" s="272">
        <v>8000</v>
      </c>
      <c r="I26" s="1106" t="s">
        <v>1077</v>
      </c>
      <c r="J26" s="279" t="s">
        <v>1075</v>
      </c>
    </row>
    <row r="27" spans="1:13" ht="29.25" customHeight="1" x14ac:dyDescent="0.2">
      <c r="A27" s="1105">
        <v>13</v>
      </c>
      <c r="B27" s="1803" t="s">
        <v>1078</v>
      </c>
      <c r="C27" s="1804"/>
      <c r="D27" s="416">
        <v>30000</v>
      </c>
      <c r="E27" s="272">
        <v>30000</v>
      </c>
      <c r="F27" s="272">
        <v>30000</v>
      </c>
      <c r="G27" s="259">
        <v>2239</v>
      </c>
      <c r="H27" s="272">
        <v>30000</v>
      </c>
      <c r="I27" s="1106" t="s">
        <v>1074</v>
      </c>
      <c r="J27" s="279" t="s">
        <v>1075</v>
      </c>
    </row>
    <row r="28" spans="1:13" ht="30" customHeight="1" x14ac:dyDescent="0.2">
      <c r="A28" s="1105">
        <v>14</v>
      </c>
      <c r="B28" s="1803" t="s">
        <v>1079</v>
      </c>
      <c r="C28" s="1804"/>
      <c r="D28" s="416">
        <f>15984+30769+9597</f>
        <v>56350</v>
      </c>
      <c r="E28" s="272">
        <f>15984+30769+9597</f>
        <v>56350</v>
      </c>
      <c r="F28" s="272">
        <f>15983+30769+9597</f>
        <v>56349</v>
      </c>
      <c r="G28" s="256">
        <v>2244</v>
      </c>
      <c r="H28" s="272">
        <f>15984+9000+9597</f>
        <v>34581</v>
      </c>
      <c r="I28" s="1106" t="s">
        <v>1080</v>
      </c>
      <c r="J28" s="279" t="s">
        <v>1081</v>
      </c>
      <c r="M28" s="1531"/>
    </row>
    <row r="29" spans="1:13" ht="36" hidden="1" x14ac:dyDescent="0.2">
      <c r="A29" s="1105">
        <v>15</v>
      </c>
      <c r="B29" s="1110" t="s">
        <v>1082</v>
      </c>
      <c r="C29" s="1439"/>
      <c r="D29" s="416">
        <v>0</v>
      </c>
      <c r="E29" s="272">
        <v>0</v>
      </c>
      <c r="F29" s="272">
        <v>26725</v>
      </c>
      <c r="G29" s="256">
        <v>5240</v>
      </c>
      <c r="H29" s="272"/>
      <c r="I29" s="1106" t="s">
        <v>1058</v>
      </c>
      <c r="J29" s="279" t="s">
        <v>1083</v>
      </c>
    </row>
    <row r="30" spans="1:13" ht="36" hidden="1" x14ac:dyDescent="0.2">
      <c r="A30" s="1105">
        <v>16</v>
      </c>
      <c r="B30" s="1110" t="s">
        <v>1084</v>
      </c>
      <c r="C30" s="1439"/>
      <c r="D30" s="416">
        <v>0</v>
      </c>
      <c r="E30" s="272">
        <v>0</v>
      </c>
      <c r="F30" s="272">
        <v>9000</v>
      </c>
      <c r="G30" s="256">
        <v>2244</v>
      </c>
      <c r="H30" s="272"/>
      <c r="I30" s="1106" t="s">
        <v>1085</v>
      </c>
      <c r="J30" s="279" t="s">
        <v>1086</v>
      </c>
    </row>
    <row r="31" spans="1:13" hidden="1" x14ac:dyDescent="0.2">
      <c r="A31" s="1105"/>
      <c r="B31" s="1110"/>
      <c r="C31" s="1439"/>
      <c r="D31" s="416"/>
      <c r="E31" s="272"/>
      <c r="F31" s="272"/>
      <c r="G31" s="256"/>
      <c r="H31" s="272"/>
      <c r="I31" s="1106"/>
      <c r="J31" s="279"/>
    </row>
    <row r="32" spans="1:13" hidden="1" x14ac:dyDescent="0.2">
      <c r="A32" s="386"/>
      <c r="B32" s="1101"/>
      <c r="C32" s="1430"/>
      <c r="D32" s="456"/>
      <c r="E32" s="387"/>
      <c r="F32" s="387"/>
      <c r="G32" s="387"/>
      <c r="H32" s="387"/>
      <c r="I32" s="387"/>
      <c r="J32" s="388"/>
    </row>
    <row r="33" spans="1:10" x14ac:dyDescent="0.2">
      <c r="A33" s="386"/>
      <c r="B33" s="1101"/>
      <c r="C33" s="1430"/>
      <c r="D33" s="456"/>
      <c r="E33" s="387"/>
      <c r="F33" s="387"/>
      <c r="G33" s="387"/>
      <c r="H33" s="387"/>
      <c r="I33" s="387"/>
      <c r="J33" s="388"/>
    </row>
    <row r="34" spans="1:10" x14ac:dyDescent="0.2">
      <c r="A34" s="1098" t="s">
        <v>1087</v>
      </c>
      <c r="B34" s="1098"/>
      <c r="C34" s="1503" t="s">
        <v>1088</v>
      </c>
      <c r="D34" s="1098"/>
      <c r="E34" s="1098"/>
      <c r="F34" s="1098"/>
      <c r="G34" s="1112"/>
      <c r="H34" s="1112"/>
      <c r="I34" s="1112"/>
      <c r="J34" s="1112"/>
    </row>
    <row r="35" spans="1:10" ht="12" customHeight="1" x14ac:dyDescent="0.2">
      <c r="A35" s="448" t="s">
        <v>1089</v>
      </c>
      <c r="B35" s="457"/>
      <c r="C35" s="1568" t="s">
        <v>809</v>
      </c>
      <c r="D35" s="1568"/>
      <c r="E35" s="1568"/>
      <c r="F35" s="1568"/>
      <c r="G35" s="1568"/>
      <c r="H35" s="1568"/>
      <c r="I35" s="1568"/>
      <c r="J35" s="1568"/>
    </row>
    <row r="36" spans="1:10" ht="48" x14ac:dyDescent="0.2">
      <c r="A36" s="1108" t="s">
        <v>1</v>
      </c>
      <c r="B36" s="1797" t="s">
        <v>127</v>
      </c>
      <c r="C36" s="1798"/>
      <c r="D36" s="1108" t="s">
        <v>14</v>
      </c>
      <c r="E36" s="1108" t="s">
        <v>12</v>
      </c>
      <c r="F36" s="1108" t="s">
        <v>128</v>
      </c>
      <c r="G36" s="1108" t="s">
        <v>129</v>
      </c>
      <c r="H36" s="1108" t="s">
        <v>3357</v>
      </c>
      <c r="I36" s="1108" t="s">
        <v>11</v>
      </c>
      <c r="J36" s="1108" t="s">
        <v>131</v>
      </c>
    </row>
    <row r="37" spans="1:10" ht="15" customHeight="1" x14ac:dyDescent="0.2">
      <c r="A37" s="1807" t="s">
        <v>132</v>
      </c>
      <c r="B37" s="1808"/>
      <c r="C37" s="1809"/>
      <c r="D37" s="449">
        <f>SUM(D38:D63)</f>
        <v>562365</v>
      </c>
      <c r="E37" s="253">
        <f>SUM(E38:E63)</f>
        <v>562358</v>
      </c>
      <c r="F37" s="253">
        <f>SUM(F38:F63)</f>
        <v>709181</v>
      </c>
      <c r="G37" s="253"/>
      <c r="H37" s="253">
        <f>SUM(H38:H63)</f>
        <v>459033</v>
      </c>
      <c r="I37" s="253"/>
      <c r="J37" s="254"/>
    </row>
    <row r="38" spans="1:10" ht="31.5" customHeight="1" x14ac:dyDescent="0.2">
      <c r="A38" s="1795">
        <v>1</v>
      </c>
      <c r="B38" s="1799" t="s">
        <v>1090</v>
      </c>
      <c r="C38" s="1800"/>
      <c r="D38" s="416">
        <v>7683</v>
      </c>
      <c r="E38" s="272">
        <v>7679</v>
      </c>
      <c r="F38" s="272">
        <v>7679</v>
      </c>
      <c r="G38" s="256">
        <v>2243</v>
      </c>
      <c r="H38" s="272">
        <v>7679</v>
      </c>
      <c r="I38" s="1815" t="s">
        <v>1091</v>
      </c>
      <c r="J38" s="1817" t="s">
        <v>1092</v>
      </c>
    </row>
    <row r="39" spans="1:10" ht="19.5" hidden="1" customHeight="1" x14ac:dyDescent="0.2">
      <c r="A39" s="1796"/>
      <c r="B39" s="1801"/>
      <c r="C39" s="1802"/>
      <c r="D39" s="416">
        <v>36985</v>
      </c>
      <c r="E39" s="272">
        <v>36985</v>
      </c>
      <c r="F39" s="272">
        <v>20000</v>
      </c>
      <c r="G39" s="256">
        <v>2312</v>
      </c>
      <c r="H39" s="272"/>
      <c r="I39" s="1816"/>
      <c r="J39" s="1818"/>
    </row>
    <row r="40" spans="1:10" ht="15" hidden="1" customHeight="1" x14ac:dyDescent="0.2">
      <c r="A40" s="1795">
        <v>2</v>
      </c>
      <c r="B40" s="1799" t="s">
        <v>1093</v>
      </c>
      <c r="C40" s="1800"/>
      <c r="D40" s="416">
        <v>5610</v>
      </c>
      <c r="E40" s="272">
        <v>13610</v>
      </c>
      <c r="F40" s="272"/>
      <c r="G40" s="256">
        <v>5239</v>
      </c>
      <c r="H40" s="272"/>
      <c r="I40" s="1815" t="s">
        <v>1094</v>
      </c>
      <c r="J40" s="1817" t="s">
        <v>894</v>
      </c>
    </row>
    <row r="41" spans="1:10" ht="15" hidden="1" customHeight="1" x14ac:dyDescent="0.2">
      <c r="A41" s="1863"/>
      <c r="B41" s="1889"/>
      <c r="C41" s="1890"/>
      <c r="D41" s="416"/>
      <c r="E41" s="272"/>
      <c r="F41" s="272">
        <v>25000</v>
      </c>
      <c r="G41" s="256">
        <v>5240</v>
      </c>
      <c r="H41" s="272"/>
      <c r="I41" s="1887"/>
      <c r="J41" s="1878"/>
    </row>
    <row r="42" spans="1:10" ht="15" hidden="1" customHeight="1" x14ac:dyDescent="0.2">
      <c r="A42" s="1863"/>
      <c r="B42" s="1889"/>
      <c r="C42" s="1890"/>
      <c r="D42" s="416"/>
      <c r="E42" s="272"/>
      <c r="F42" s="272">
        <v>15000</v>
      </c>
      <c r="G42" s="256">
        <v>5250</v>
      </c>
      <c r="H42" s="272"/>
      <c r="I42" s="1816"/>
      <c r="J42" s="1818"/>
    </row>
    <row r="43" spans="1:10" ht="12.75" hidden="1" customHeight="1" x14ac:dyDescent="0.2">
      <c r="A43" s="1796"/>
      <c r="B43" s="1801"/>
      <c r="C43" s="1802"/>
      <c r="D43" s="416">
        <v>8000</v>
      </c>
      <c r="E43" s="272"/>
      <c r="F43" s="272"/>
      <c r="G43" s="256">
        <v>5240</v>
      </c>
      <c r="H43" s="272"/>
      <c r="I43" s="1106" t="s">
        <v>1050</v>
      </c>
      <c r="J43" s="279" t="s">
        <v>1095</v>
      </c>
    </row>
    <row r="44" spans="1:10" ht="21" customHeight="1" x14ac:dyDescent="0.2">
      <c r="A44" s="1795">
        <v>2</v>
      </c>
      <c r="B44" s="1799" t="s">
        <v>1096</v>
      </c>
      <c r="C44" s="1800"/>
      <c r="D44" s="416">
        <v>404000</v>
      </c>
      <c r="E44" s="272">
        <v>404000</v>
      </c>
      <c r="F44" s="272">
        <v>400000</v>
      </c>
      <c r="G44" s="256">
        <v>5240</v>
      </c>
      <c r="H44" s="272">
        <f>200000+100000</f>
        <v>300000</v>
      </c>
      <c r="I44" s="1815" t="s">
        <v>1097</v>
      </c>
      <c r="J44" s="279" t="s">
        <v>1098</v>
      </c>
    </row>
    <row r="45" spans="1:10" ht="21" customHeight="1" x14ac:dyDescent="0.2">
      <c r="A45" s="1863"/>
      <c r="B45" s="1889"/>
      <c r="C45" s="1890"/>
      <c r="D45" s="416">
        <v>50820</v>
      </c>
      <c r="E45" s="272">
        <v>50820</v>
      </c>
      <c r="F45" s="272">
        <v>90150</v>
      </c>
      <c r="G45" s="256">
        <v>2243</v>
      </c>
      <c r="H45" s="272">
        <v>25000</v>
      </c>
      <c r="I45" s="1887"/>
      <c r="J45" s="279" t="s">
        <v>1099</v>
      </c>
    </row>
    <row r="46" spans="1:10" ht="21" customHeight="1" x14ac:dyDescent="0.2">
      <c r="A46" s="1796"/>
      <c r="B46" s="1801"/>
      <c r="C46" s="1802"/>
      <c r="D46" s="416">
        <v>1000</v>
      </c>
      <c r="E46" s="272">
        <v>1000</v>
      </c>
      <c r="F46" s="272">
        <v>1000</v>
      </c>
      <c r="G46" s="256">
        <v>2244</v>
      </c>
      <c r="H46" s="272">
        <v>1000</v>
      </c>
      <c r="I46" s="1816"/>
      <c r="J46" s="279" t="s">
        <v>1100</v>
      </c>
    </row>
    <row r="47" spans="1:10" ht="22.5" customHeight="1" x14ac:dyDescent="0.2">
      <c r="A47" s="1795">
        <v>3</v>
      </c>
      <c r="B47" s="1799" t="s">
        <v>1101</v>
      </c>
      <c r="C47" s="1800"/>
      <c r="D47" s="416">
        <v>11667</v>
      </c>
      <c r="E47" s="272">
        <v>11667</v>
      </c>
      <c r="F47" s="272">
        <v>23090</v>
      </c>
      <c r="G47" s="256">
        <v>2312</v>
      </c>
      <c r="H47" s="272">
        <v>23090</v>
      </c>
      <c r="I47" s="1815" t="s">
        <v>1102</v>
      </c>
      <c r="J47" s="1817" t="s">
        <v>1103</v>
      </c>
    </row>
    <row r="48" spans="1:10" ht="22.5" customHeight="1" x14ac:dyDescent="0.2">
      <c r="A48" s="1796"/>
      <c r="B48" s="1801"/>
      <c r="C48" s="1802"/>
      <c r="D48" s="416">
        <v>0</v>
      </c>
      <c r="E48" s="272">
        <v>0</v>
      </c>
      <c r="F48" s="272">
        <v>300</v>
      </c>
      <c r="G48" s="259">
        <v>2239</v>
      </c>
      <c r="H48" s="272">
        <v>300</v>
      </c>
      <c r="I48" s="1816"/>
      <c r="J48" s="1818"/>
    </row>
    <row r="49" spans="1:10" ht="18.75" customHeight="1" x14ac:dyDescent="0.2">
      <c r="A49" s="1795">
        <v>4</v>
      </c>
      <c r="B49" s="1799" t="s">
        <v>1104</v>
      </c>
      <c r="C49" s="1800"/>
      <c r="D49" s="416">
        <v>2000</v>
      </c>
      <c r="E49" s="272">
        <v>2000</v>
      </c>
      <c r="F49" s="416">
        <v>2000</v>
      </c>
      <c r="G49" s="256">
        <v>2244</v>
      </c>
      <c r="H49" s="272">
        <v>2000</v>
      </c>
      <c r="I49" s="1815" t="s">
        <v>1105</v>
      </c>
      <c r="J49" s="279"/>
    </row>
    <row r="50" spans="1:10" ht="18.75" customHeight="1" x14ac:dyDescent="0.2">
      <c r="A50" s="1863"/>
      <c r="B50" s="1889"/>
      <c r="C50" s="1890"/>
      <c r="D50" s="452">
        <v>900</v>
      </c>
      <c r="E50" s="453">
        <v>900</v>
      </c>
      <c r="F50" s="452">
        <v>900</v>
      </c>
      <c r="G50" s="454">
        <v>2390</v>
      </c>
      <c r="H50" s="272">
        <v>900</v>
      </c>
      <c r="I50" s="1887"/>
      <c r="J50" s="1104"/>
    </row>
    <row r="51" spans="1:10" ht="18.75" customHeight="1" x14ac:dyDescent="0.2">
      <c r="A51" s="1863"/>
      <c r="B51" s="1889"/>
      <c r="C51" s="1890"/>
      <c r="D51" s="452">
        <v>1000</v>
      </c>
      <c r="E51" s="453">
        <v>1000</v>
      </c>
      <c r="F51" s="452">
        <v>1000</v>
      </c>
      <c r="G51" s="454">
        <v>2312</v>
      </c>
      <c r="H51" s="272">
        <v>1000</v>
      </c>
      <c r="I51" s="1887"/>
      <c r="J51" s="1104"/>
    </row>
    <row r="52" spans="1:10" ht="18.75" customHeight="1" x14ac:dyDescent="0.2">
      <c r="A52" s="1796"/>
      <c r="B52" s="1801"/>
      <c r="C52" s="1802"/>
      <c r="D52" s="416">
        <v>1000</v>
      </c>
      <c r="E52" s="272">
        <v>1000</v>
      </c>
      <c r="F52" s="416">
        <v>1000</v>
      </c>
      <c r="G52" s="259">
        <v>2239</v>
      </c>
      <c r="H52" s="272">
        <v>1000</v>
      </c>
      <c r="I52" s="1816"/>
      <c r="J52" s="1105"/>
    </row>
    <row r="53" spans="1:10" ht="18.75" customHeight="1" x14ac:dyDescent="0.2">
      <c r="A53" s="1795">
        <v>5</v>
      </c>
      <c r="B53" s="1799" t="s">
        <v>1106</v>
      </c>
      <c r="C53" s="1800"/>
      <c r="D53" s="416">
        <v>13827</v>
      </c>
      <c r="E53" s="272">
        <v>13827</v>
      </c>
      <c r="F53" s="416">
        <v>14589</v>
      </c>
      <c r="G53" s="256">
        <v>2244</v>
      </c>
      <c r="H53" s="272">
        <v>14589</v>
      </c>
      <c r="I53" s="1815" t="s">
        <v>1058</v>
      </c>
      <c r="J53" s="1103" t="s">
        <v>1107</v>
      </c>
    </row>
    <row r="54" spans="1:10" ht="18.75" customHeight="1" x14ac:dyDescent="0.2">
      <c r="A54" s="1863"/>
      <c r="B54" s="1889"/>
      <c r="C54" s="1890"/>
      <c r="D54" s="416">
        <v>5703</v>
      </c>
      <c r="E54" s="272">
        <v>5703</v>
      </c>
      <c r="F54" s="416">
        <v>5703</v>
      </c>
      <c r="G54" s="256">
        <v>2223</v>
      </c>
      <c r="H54" s="272">
        <v>5703</v>
      </c>
      <c r="I54" s="1887"/>
      <c r="J54" s="1103" t="s">
        <v>1108</v>
      </c>
    </row>
    <row r="55" spans="1:10" ht="18.75" customHeight="1" x14ac:dyDescent="0.2">
      <c r="A55" s="1796"/>
      <c r="B55" s="1801"/>
      <c r="C55" s="1802"/>
      <c r="D55" s="416">
        <v>3605</v>
      </c>
      <c r="E55" s="272">
        <v>3605</v>
      </c>
      <c r="F55" s="416">
        <v>8139</v>
      </c>
      <c r="G55" s="256">
        <v>2243</v>
      </c>
      <c r="H55" s="272">
        <v>8139</v>
      </c>
      <c r="I55" s="1816"/>
      <c r="J55" s="1103" t="s">
        <v>1109</v>
      </c>
    </row>
    <row r="56" spans="1:10" ht="19.5" customHeight="1" x14ac:dyDescent="0.2">
      <c r="A56" s="1795">
        <v>6</v>
      </c>
      <c r="B56" s="1799" t="s">
        <v>1110</v>
      </c>
      <c r="C56" s="1800"/>
      <c r="D56" s="416">
        <v>3395</v>
      </c>
      <c r="E56" s="272">
        <v>3395</v>
      </c>
      <c r="F56" s="416">
        <v>3395</v>
      </c>
      <c r="G56" s="256">
        <v>2312</v>
      </c>
      <c r="H56" s="272">
        <v>3395</v>
      </c>
      <c r="I56" s="1815" t="s">
        <v>1050</v>
      </c>
      <c r="J56" s="1817" t="s">
        <v>1111</v>
      </c>
    </row>
    <row r="57" spans="1:10" ht="19.5" customHeight="1" x14ac:dyDescent="0.2">
      <c r="A57" s="1796"/>
      <c r="B57" s="1801"/>
      <c r="C57" s="1802"/>
      <c r="D57" s="416">
        <v>2605</v>
      </c>
      <c r="E57" s="272">
        <v>2602</v>
      </c>
      <c r="F57" s="416">
        <v>2602</v>
      </c>
      <c r="G57" s="256">
        <v>2390</v>
      </c>
      <c r="H57" s="272">
        <v>2602</v>
      </c>
      <c r="I57" s="1816"/>
      <c r="J57" s="1818"/>
    </row>
    <row r="58" spans="1:10" ht="24" x14ac:dyDescent="0.2">
      <c r="A58" s="1105">
        <v>7</v>
      </c>
      <c r="B58" s="1803" t="s">
        <v>1112</v>
      </c>
      <c r="C58" s="1804"/>
      <c r="D58" s="416">
        <v>2565</v>
      </c>
      <c r="E58" s="272">
        <v>2565</v>
      </c>
      <c r="F58" s="272">
        <v>2000</v>
      </c>
      <c r="G58" s="256">
        <v>2314</v>
      </c>
      <c r="H58" s="272">
        <v>2000</v>
      </c>
      <c r="I58" s="1106" t="s">
        <v>1113</v>
      </c>
      <c r="J58" s="279" t="s">
        <v>1114</v>
      </c>
    </row>
    <row r="59" spans="1:10" ht="17.25" customHeight="1" x14ac:dyDescent="0.2">
      <c r="A59" s="1795">
        <v>8</v>
      </c>
      <c r="B59" s="1799" t="s">
        <v>1115</v>
      </c>
      <c r="C59" s="1800"/>
      <c r="D59" s="272">
        <v>0</v>
      </c>
      <c r="E59" s="272">
        <v>0</v>
      </c>
      <c r="F59" s="272">
        <v>55445</v>
      </c>
      <c r="G59" s="256">
        <v>5239</v>
      </c>
      <c r="H59" s="272">
        <v>55445</v>
      </c>
      <c r="I59" s="1815" t="s">
        <v>1116</v>
      </c>
      <c r="J59" s="1817" t="s">
        <v>1117</v>
      </c>
    </row>
    <row r="60" spans="1:10" ht="17.25" customHeight="1" x14ac:dyDescent="0.2">
      <c r="A60" s="1863"/>
      <c r="B60" s="1889"/>
      <c r="C60" s="1890"/>
      <c r="D60" s="458">
        <v>0</v>
      </c>
      <c r="E60" s="458">
        <v>0</v>
      </c>
      <c r="F60" s="272">
        <v>3279</v>
      </c>
      <c r="G60" s="256">
        <v>2312</v>
      </c>
      <c r="H60" s="272">
        <v>3279</v>
      </c>
      <c r="I60" s="1887"/>
      <c r="J60" s="1878"/>
    </row>
    <row r="61" spans="1:10" ht="17.25" customHeight="1" x14ac:dyDescent="0.2">
      <c r="A61" s="1796"/>
      <c r="B61" s="1801"/>
      <c r="C61" s="1802"/>
      <c r="D61" s="272"/>
      <c r="E61" s="272">
        <v>0</v>
      </c>
      <c r="F61" s="272">
        <v>1912</v>
      </c>
      <c r="G61" s="256">
        <v>2244</v>
      </c>
      <c r="H61" s="272">
        <v>1912</v>
      </c>
      <c r="I61" s="1816"/>
      <c r="J61" s="1818"/>
    </row>
    <row r="62" spans="1:10" hidden="1" x14ac:dyDescent="0.2">
      <c r="A62" s="1795">
        <v>10</v>
      </c>
      <c r="B62" s="1817" t="s">
        <v>1118</v>
      </c>
      <c r="C62" s="1398"/>
      <c r="D62" s="416">
        <v>0</v>
      </c>
      <c r="E62" s="272">
        <v>0</v>
      </c>
      <c r="F62" s="272">
        <v>16930</v>
      </c>
      <c r="G62" s="256">
        <v>5240</v>
      </c>
      <c r="H62" s="272"/>
      <c r="I62" s="1815" t="s">
        <v>1119</v>
      </c>
      <c r="J62" s="1817" t="s">
        <v>1120</v>
      </c>
    </row>
    <row r="63" spans="1:10" ht="12.75" hidden="1" customHeight="1" x14ac:dyDescent="0.2">
      <c r="A63" s="1796"/>
      <c r="B63" s="1818"/>
      <c r="C63" s="1400"/>
      <c r="D63" s="416">
        <v>0</v>
      </c>
      <c r="E63" s="272">
        <v>0</v>
      </c>
      <c r="F63" s="272">
        <v>8068</v>
      </c>
      <c r="G63" s="256">
        <v>2244</v>
      </c>
      <c r="H63" s="272"/>
      <c r="I63" s="1816"/>
      <c r="J63" s="1818"/>
    </row>
    <row r="64" spans="1:10" x14ac:dyDescent="0.2">
      <c r="A64" s="459"/>
      <c r="B64" s="356"/>
      <c r="C64" s="356"/>
      <c r="D64" s="460"/>
      <c r="E64" s="356"/>
      <c r="F64" s="356"/>
      <c r="G64" s="356"/>
      <c r="H64" s="357"/>
      <c r="I64" s="357"/>
      <c r="J64" s="356"/>
    </row>
    <row r="65" spans="1:10" x14ac:dyDescent="0.2">
      <c r="A65" s="1098" t="s">
        <v>1087</v>
      </c>
      <c r="B65" s="1098"/>
      <c r="C65" s="1503" t="s">
        <v>148</v>
      </c>
      <c r="D65" s="1098"/>
      <c r="E65" s="1098"/>
      <c r="F65" s="1098"/>
      <c r="G65" s="1112"/>
      <c r="H65" s="1112"/>
      <c r="I65" s="1112"/>
      <c r="J65" s="1112"/>
    </row>
    <row r="66" spans="1:10" x14ac:dyDescent="0.2">
      <c r="A66" s="448" t="s">
        <v>1089</v>
      </c>
      <c r="B66" s="448"/>
      <c r="C66" s="1476" t="s">
        <v>1121</v>
      </c>
      <c r="D66" s="1476"/>
      <c r="E66" s="1476"/>
      <c r="F66" s="1476"/>
      <c r="G66" s="1476"/>
      <c r="H66" s="1476"/>
      <c r="I66" s="1476"/>
      <c r="J66" s="1476"/>
    </row>
    <row r="67" spans="1:10" ht="48" x14ac:dyDescent="0.2">
      <c r="A67" s="1108" t="s">
        <v>1</v>
      </c>
      <c r="B67" s="1797" t="s">
        <v>127</v>
      </c>
      <c r="C67" s="1798"/>
      <c r="D67" s="461" t="s">
        <v>14</v>
      </c>
      <c r="E67" s="461" t="s">
        <v>12</v>
      </c>
      <c r="F67" s="1108" t="s">
        <v>128</v>
      </c>
      <c r="G67" s="1108" t="s">
        <v>129</v>
      </c>
      <c r="H67" s="1108" t="s">
        <v>3357</v>
      </c>
      <c r="I67" s="1108" t="s">
        <v>11</v>
      </c>
      <c r="J67" s="1108" t="s">
        <v>131</v>
      </c>
    </row>
    <row r="68" spans="1:10" ht="15" customHeight="1" x14ac:dyDescent="0.2">
      <c r="A68" s="1807" t="s">
        <v>132</v>
      </c>
      <c r="B68" s="1808"/>
      <c r="C68" s="1809"/>
      <c r="D68" s="449">
        <f>SUM(D69:D81)</f>
        <v>196709</v>
      </c>
      <c r="E68" s="253">
        <f>SUM(E69:E81)</f>
        <v>195008</v>
      </c>
      <c r="F68" s="253">
        <f>SUM(F69:F81)</f>
        <v>111569</v>
      </c>
      <c r="G68" s="253"/>
      <c r="H68" s="253">
        <f>SUM(H69:H81)</f>
        <v>101569</v>
      </c>
      <c r="I68" s="253"/>
      <c r="J68" s="254"/>
    </row>
    <row r="69" spans="1:10" ht="18.75" customHeight="1" x14ac:dyDescent="0.2">
      <c r="A69" s="1795" t="s">
        <v>1122</v>
      </c>
      <c r="B69" s="1799" t="s">
        <v>1123</v>
      </c>
      <c r="C69" s="1800"/>
      <c r="D69" s="416">
        <v>11139</v>
      </c>
      <c r="E69" s="272">
        <v>11139</v>
      </c>
      <c r="F69" s="272">
        <v>10000</v>
      </c>
      <c r="G69" s="256">
        <v>2244</v>
      </c>
      <c r="H69" s="272">
        <v>10000</v>
      </c>
      <c r="I69" s="1815" t="s">
        <v>1124</v>
      </c>
      <c r="J69" s="279" t="s">
        <v>1125</v>
      </c>
    </row>
    <row r="70" spans="1:10" ht="18.75" customHeight="1" x14ac:dyDescent="0.2">
      <c r="A70" s="1863"/>
      <c r="B70" s="1889"/>
      <c r="C70" s="1890"/>
      <c r="D70" s="416">
        <v>4961</v>
      </c>
      <c r="E70" s="272">
        <v>4961</v>
      </c>
      <c r="F70" s="272">
        <v>1000</v>
      </c>
      <c r="G70" s="256">
        <v>2312</v>
      </c>
      <c r="H70" s="272">
        <v>1000</v>
      </c>
      <c r="I70" s="1887"/>
      <c r="J70" s="279" t="s">
        <v>1126</v>
      </c>
    </row>
    <row r="71" spans="1:10" ht="18.75" customHeight="1" x14ac:dyDescent="0.2">
      <c r="A71" s="1863"/>
      <c r="B71" s="1889"/>
      <c r="C71" s="1890"/>
      <c r="D71" s="416">
        <v>200</v>
      </c>
      <c r="E71" s="416">
        <v>194</v>
      </c>
      <c r="F71" s="272">
        <v>200</v>
      </c>
      <c r="G71" s="256">
        <v>2390</v>
      </c>
      <c r="H71" s="272">
        <v>200</v>
      </c>
      <c r="I71" s="1887"/>
      <c r="J71" s="279" t="s">
        <v>1127</v>
      </c>
    </row>
    <row r="72" spans="1:10" ht="18.75" customHeight="1" x14ac:dyDescent="0.2">
      <c r="A72" s="1796"/>
      <c r="B72" s="1801"/>
      <c r="C72" s="1802"/>
      <c r="D72" s="416">
        <v>943</v>
      </c>
      <c r="E72" s="272">
        <v>943</v>
      </c>
      <c r="F72" s="272">
        <v>6190</v>
      </c>
      <c r="G72" s="256">
        <v>5250</v>
      </c>
      <c r="H72" s="272">
        <v>6190</v>
      </c>
      <c r="I72" s="1816"/>
      <c r="J72" s="279" t="s">
        <v>1128</v>
      </c>
    </row>
    <row r="73" spans="1:10" ht="24" hidden="1" x14ac:dyDescent="0.2">
      <c r="A73" s="1105" t="s">
        <v>1129</v>
      </c>
      <c r="B73" s="1110" t="s">
        <v>1130</v>
      </c>
      <c r="C73" s="1439"/>
      <c r="D73" s="416">
        <v>1634</v>
      </c>
      <c r="E73" s="272">
        <v>1634</v>
      </c>
      <c r="F73" s="272">
        <v>0</v>
      </c>
      <c r="G73" s="259">
        <v>2239</v>
      </c>
      <c r="H73" s="272"/>
      <c r="I73" s="1106"/>
      <c r="J73" s="279"/>
    </row>
    <row r="74" spans="1:10" ht="18.75" customHeight="1" x14ac:dyDescent="0.2">
      <c r="A74" s="1885" t="s">
        <v>1131</v>
      </c>
      <c r="B74" s="1799" t="s">
        <v>1132</v>
      </c>
      <c r="C74" s="1800"/>
      <c r="D74" s="416">
        <v>14582</v>
      </c>
      <c r="E74" s="272">
        <v>14582</v>
      </c>
      <c r="F74" s="272">
        <v>15000</v>
      </c>
      <c r="G74" s="256">
        <v>2244</v>
      </c>
      <c r="H74" s="272">
        <v>15000</v>
      </c>
      <c r="I74" s="1815" t="s">
        <v>1133</v>
      </c>
      <c r="J74" s="279" t="s">
        <v>1134</v>
      </c>
    </row>
    <row r="75" spans="1:10" ht="18.75" customHeight="1" x14ac:dyDescent="0.2">
      <c r="A75" s="1888"/>
      <c r="B75" s="1889"/>
      <c r="C75" s="1890"/>
      <c r="D75" s="416">
        <v>1349</v>
      </c>
      <c r="E75" s="272">
        <v>1349</v>
      </c>
      <c r="F75" s="272">
        <v>1000</v>
      </c>
      <c r="G75" s="256">
        <v>5240</v>
      </c>
      <c r="H75" s="272">
        <v>1000</v>
      </c>
      <c r="I75" s="1887"/>
      <c r="J75" s="279"/>
    </row>
    <row r="76" spans="1:10" ht="18.75" customHeight="1" x14ac:dyDescent="0.2">
      <c r="A76" s="1888"/>
      <c r="B76" s="1889"/>
      <c r="C76" s="1890"/>
      <c r="D76" s="416">
        <v>7567</v>
      </c>
      <c r="E76" s="272">
        <v>7567</v>
      </c>
      <c r="F76" s="272">
        <v>35000</v>
      </c>
      <c r="G76" s="256">
        <v>2312</v>
      </c>
      <c r="H76" s="272">
        <v>35000</v>
      </c>
      <c r="I76" s="1887"/>
      <c r="J76" s="279" t="s">
        <v>1135</v>
      </c>
    </row>
    <row r="77" spans="1:10" ht="18.75" customHeight="1" x14ac:dyDescent="0.2">
      <c r="A77" s="1886"/>
      <c r="B77" s="1801"/>
      <c r="C77" s="1802"/>
      <c r="D77" s="416">
        <v>130676</v>
      </c>
      <c r="E77" s="272">
        <v>130676</v>
      </c>
      <c r="F77" s="272">
        <v>20000</v>
      </c>
      <c r="G77" s="256">
        <v>5250</v>
      </c>
      <c r="H77" s="272">
        <v>20000</v>
      </c>
      <c r="I77" s="1816"/>
      <c r="J77" s="279" t="s">
        <v>1136</v>
      </c>
    </row>
    <row r="78" spans="1:10" ht="44.25" customHeight="1" x14ac:dyDescent="0.2">
      <c r="A78" s="1885" t="s">
        <v>1137</v>
      </c>
      <c r="B78" s="1799" t="s">
        <v>1138</v>
      </c>
      <c r="C78" s="1800"/>
      <c r="D78" s="452">
        <v>10396</v>
      </c>
      <c r="E78" s="453">
        <v>10396</v>
      </c>
      <c r="F78" s="452">
        <v>11484</v>
      </c>
      <c r="G78" s="454">
        <v>2243</v>
      </c>
      <c r="H78" s="272">
        <v>11484</v>
      </c>
      <c r="I78" s="1815" t="s">
        <v>1139</v>
      </c>
      <c r="J78" s="1103" t="s">
        <v>1140</v>
      </c>
    </row>
    <row r="79" spans="1:10" ht="21.75" hidden="1" customHeight="1" x14ac:dyDescent="0.2">
      <c r="A79" s="1886"/>
      <c r="B79" s="1801"/>
      <c r="C79" s="1802"/>
      <c r="D79" s="452">
        <v>6050</v>
      </c>
      <c r="E79" s="453">
        <v>6050</v>
      </c>
      <c r="F79" s="452">
        <v>0</v>
      </c>
      <c r="G79" s="454">
        <v>5239</v>
      </c>
      <c r="H79" s="272"/>
      <c r="I79" s="1816"/>
      <c r="J79" s="1103"/>
    </row>
    <row r="80" spans="1:10" ht="42" customHeight="1" x14ac:dyDescent="0.2">
      <c r="A80" s="1105" t="s">
        <v>1141</v>
      </c>
      <c r="B80" s="1803" t="s">
        <v>1142</v>
      </c>
      <c r="C80" s="1804"/>
      <c r="D80" s="416">
        <v>4212</v>
      </c>
      <c r="E80" s="272">
        <v>2517</v>
      </c>
      <c r="F80" s="416">
        <v>1695</v>
      </c>
      <c r="G80" s="256">
        <v>5239</v>
      </c>
      <c r="H80" s="272">
        <v>1695</v>
      </c>
      <c r="I80" s="1106" t="s">
        <v>1139</v>
      </c>
      <c r="J80" s="1103" t="s">
        <v>1143</v>
      </c>
    </row>
    <row r="81" spans="1:10" ht="36" hidden="1" x14ac:dyDescent="0.2">
      <c r="A81" s="1105" t="s">
        <v>1144</v>
      </c>
      <c r="B81" s="1110" t="s">
        <v>1145</v>
      </c>
      <c r="C81" s="1439"/>
      <c r="D81" s="416">
        <v>3000</v>
      </c>
      <c r="E81" s="272">
        <v>3000</v>
      </c>
      <c r="F81" s="272">
        <v>10000</v>
      </c>
      <c r="G81" s="256">
        <v>5250</v>
      </c>
      <c r="H81" s="272"/>
      <c r="I81" s="1106" t="s">
        <v>1146</v>
      </c>
      <c r="J81" s="279" t="s">
        <v>1147</v>
      </c>
    </row>
    <row r="82" spans="1:10" x14ac:dyDescent="0.2">
      <c r="A82" s="405"/>
      <c r="B82" s="1109"/>
      <c r="C82" s="1434"/>
      <c r="D82" s="456"/>
      <c r="E82" s="387"/>
      <c r="F82" s="387"/>
      <c r="G82" s="387"/>
      <c r="H82" s="387"/>
      <c r="I82" s="387"/>
      <c r="J82" s="388"/>
    </row>
    <row r="83" spans="1:10" x14ac:dyDescent="0.2">
      <c r="A83" s="1098" t="s">
        <v>1087</v>
      </c>
      <c r="B83" s="1098"/>
      <c r="C83" s="1503" t="s">
        <v>1148</v>
      </c>
      <c r="D83" s="1098"/>
      <c r="E83" s="1098"/>
      <c r="F83" s="1098"/>
      <c r="G83" s="1112"/>
      <c r="H83" s="1112"/>
      <c r="I83" s="1112"/>
      <c r="J83" s="1112"/>
    </row>
    <row r="84" spans="1:10" x14ac:dyDescent="0.2">
      <c r="A84" s="448" t="s">
        <v>1089</v>
      </c>
      <c r="B84" s="448"/>
      <c r="C84" s="462" t="s">
        <v>1149</v>
      </c>
      <c r="D84" s="462"/>
      <c r="E84" s="448"/>
      <c r="F84" s="1112"/>
      <c r="G84" s="1112"/>
      <c r="H84" s="1112"/>
      <c r="I84" s="1112"/>
      <c r="J84" s="1112"/>
    </row>
    <row r="85" spans="1:10" ht="48" x14ac:dyDescent="0.2">
      <c r="A85" s="1108" t="s">
        <v>1</v>
      </c>
      <c r="B85" s="1797" t="s">
        <v>127</v>
      </c>
      <c r="C85" s="1798"/>
      <c r="D85" s="461" t="s">
        <v>14</v>
      </c>
      <c r="E85" s="461" t="s">
        <v>12</v>
      </c>
      <c r="F85" s="1108" t="s">
        <v>128</v>
      </c>
      <c r="G85" s="1108" t="s">
        <v>129</v>
      </c>
      <c r="H85" s="1108" t="s">
        <v>3357</v>
      </c>
      <c r="I85" s="1108" t="s">
        <v>11</v>
      </c>
      <c r="J85" s="1108" t="s">
        <v>131</v>
      </c>
    </row>
    <row r="86" spans="1:10" ht="15" customHeight="1" x14ac:dyDescent="0.2">
      <c r="A86" s="1807" t="s">
        <v>132</v>
      </c>
      <c r="B86" s="1808"/>
      <c r="C86" s="1809"/>
      <c r="D86" s="449">
        <f>SUM(D87:D88)</f>
        <v>250000</v>
      </c>
      <c r="E86" s="253">
        <f>SUM(E87:E88)</f>
        <v>249708</v>
      </c>
      <c r="F86" s="253">
        <f>SUM(F87:F88)</f>
        <v>275000</v>
      </c>
      <c r="G86" s="253"/>
      <c r="H86" s="253">
        <f>SUM(H87:H88)</f>
        <v>125000</v>
      </c>
      <c r="I86" s="253"/>
      <c r="J86" s="254"/>
    </row>
    <row r="87" spans="1:10" ht="22.5" customHeight="1" x14ac:dyDescent="0.2">
      <c r="A87" s="1795" t="s">
        <v>1122</v>
      </c>
      <c r="B87" s="1799" t="s">
        <v>1150</v>
      </c>
      <c r="C87" s="1800"/>
      <c r="D87" s="416">
        <v>250000</v>
      </c>
      <c r="E87" s="272">
        <v>249708</v>
      </c>
      <c r="F87" s="272">
        <v>250000</v>
      </c>
      <c r="G87" s="256">
        <v>5240</v>
      </c>
      <c r="H87" s="272">
        <f>50000+50000</f>
        <v>100000</v>
      </c>
      <c r="I87" s="1815" t="s">
        <v>1151</v>
      </c>
      <c r="J87" s="279" t="s">
        <v>1152</v>
      </c>
    </row>
    <row r="88" spans="1:10" ht="22.5" customHeight="1" x14ac:dyDescent="0.2">
      <c r="A88" s="1796"/>
      <c r="B88" s="1801"/>
      <c r="C88" s="1802"/>
      <c r="D88" s="416">
        <v>0</v>
      </c>
      <c r="E88" s="272">
        <v>0</v>
      </c>
      <c r="F88" s="272">
        <v>25000</v>
      </c>
      <c r="G88" s="256">
        <v>2243</v>
      </c>
      <c r="H88" s="272">
        <v>25000</v>
      </c>
      <c r="I88" s="1816"/>
      <c r="J88" s="279" t="s">
        <v>1153</v>
      </c>
    </row>
    <row r="89" spans="1:10" x14ac:dyDescent="0.2">
      <c r="D89" s="463"/>
      <c r="E89" s="464"/>
      <c r="F89" s="358"/>
      <c r="H89" s="358"/>
      <c r="I89" s="358"/>
    </row>
    <row r="90" spans="1:10" hidden="1" x14ac:dyDescent="0.2">
      <c r="A90" s="2245" t="s">
        <v>239</v>
      </c>
      <c r="B90" s="2246"/>
      <c r="C90" s="1391"/>
      <c r="D90" s="465">
        <f>SUM(D9,D37,D68,D86)</f>
        <v>3740822</v>
      </c>
      <c r="E90" s="465">
        <f>SUM(E9,E37,E68,E86)</f>
        <v>3738812</v>
      </c>
      <c r="F90" s="465">
        <f>SUM(F9,F37,F68,F86)</f>
        <v>4071375</v>
      </c>
      <c r="G90" s="465"/>
      <c r="H90" s="465">
        <f>SUM(H9,H37,H68,H86)</f>
        <v>3715564</v>
      </c>
      <c r="I90" s="280"/>
      <c r="J90" s="265"/>
    </row>
    <row r="91" spans="1:10" x14ac:dyDescent="0.2">
      <c r="A91" s="1946" t="s">
        <v>400</v>
      </c>
      <c r="B91" s="1946"/>
      <c r="C91" s="1431"/>
    </row>
    <row r="92" spans="1:10" x14ac:dyDescent="0.2">
      <c r="A92" s="1793" t="s">
        <v>401</v>
      </c>
      <c r="B92" s="1793"/>
      <c r="C92" s="1793"/>
      <c r="D92" s="1793"/>
      <c r="E92" s="1793"/>
    </row>
    <row r="94" spans="1:10" x14ac:dyDescent="0.2">
      <c r="A94" s="161" t="s">
        <v>1154</v>
      </c>
      <c r="B94" s="467"/>
      <c r="C94" s="467"/>
      <c r="D94" s="467"/>
      <c r="E94" s="467"/>
      <c r="F94" s="467"/>
      <c r="G94" s="467"/>
      <c r="H94" s="467"/>
      <c r="I94" s="468"/>
      <c r="J94" s="467"/>
    </row>
    <row r="95" spans="1:10" x14ac:dyDescent="0.2">
      <c r="A95" s="161"/>
      <c r="B95" s="467" t="s">
        <v>1155</v>
      </c>
      <c r="C95" s="467"/>
      <c r="D95" s="467"/>
      <c r="E95" s="467"/>
      <c r="F95" s="467"/>
      <c r="G95" s="467"/>
      <c r="H95" s="467"/>
      <c r="I95" s="468"/>
      <c r="J95" s="467"/>
    </row>
    <row r="96" spans="1:10" x14ac:dyDescent="0.2">
      <c r="A96" s="469"/>
      <c r="B96" s="161" t="s">
        <v>1156</v>
      </c>
      <c r="C96" s="161"/>
      <c r="D96" s="470"/>
      <c r="E96" s="470"/>
      <c r="F96" s="470"/>
      <c r="G96" s="470"/>
      <c r="H96" s="470"/>
      <c r="I96" s="471"/>
      <c r="J96" s="470"/>
    </row>
    <row r="97" spans="1:10" ht="12" customHeight="1" x14ac:dyDescent="0.2">
      <c r="A97" s="469"/>
      <c r="B97" s="472" t="s">
        <v>1157</v>
      </c>
      <c r="C97" s="472"/>
      <c r="D97" s="472"/>
      <c r="E97" s="472"/>
      <c r="F97" s="472"/>
      <c r="G97" s="472"/>
      <c r="H97" s="472"/>
      <c r="I97" s="472"/>
    </row>
    <row r="98" spans="1:10" x14ac:dyDescent="0.2">
      <c r="A98" s="467"/>
      <c r="B98" s="467" t="s">
        <v>1158</v>
      </c>
      <c r="C98" s="467"/>
      <c r="D98" s="467"/>
      <c r="E98" s="467"/>
      <c r="F98" s="467"/>
      <c r="G98" s="467"/>
      <c r="H98" s="468"/>
      <c r="I98" s="467"/>
    </row>
    <row r="99" spans="1:10" x14ac:dyDescent="0.2">
      <c r="A99" s="467"/>
      <c r="B99" s="467" t="s">
        <v>1159</v>
      </c>
      <c r="C99" s="467"/>
      <c r="D99" s="467"/>
      <c r="E99" s="467"/>
      <c r="F99" s="467"/>
      <c r="G99" s="467"/>
      <c r="H99" s="468"/>
      <c r="I99" s="467"/>
    </row>
    <row r="100" spans="1:10" x14ac:dyDescent="0.2">
      <c r="A100" s="467"/>
      <c r="B100" s="467" t="s">
        <v>1160</v>
      </c>
      <c r="C100" s="467"/>
      <c r="D100" s="467"/>
      <c r="E100" s="467"/>
      <c r="F100" s="467"/>
      <c r="G100" s="467"/>
      <c r="H100" s="468"/>
      <c r="I100" s="467"/>
    </row>
    <row r="101" spans="1:10" x14ac:dyDescent="0.2">
      <c r="A101" s="467"/>
      <c r="B101" s="467" t="s">
        <v>1161</v>
      </c>
      <c r="C101" s="467"/>
      <c r="D101" s="467"/>
      <c r="E101" s="467"/>
      <c r="F101" s="467"/>
      <c r="G101" s="467"/>
      <c r="H101" s="467"/>
      <c r="I101" s="468"/>
      <c r="J101" s="467"/>
    </row>
    <row r="102" spans="1:10" x14ac:dyDescent="0.2">
      <c r="A102" s="467"/>
      <c r="B102" s="467" t="s">
        <v>1162</v>
      </c>
      <c r="C102" s="467"/>
      <c r="D102" s="467"/>
      <c r="E102" s="467"/>
      <c r="F102" s="467"/>
      <c r="G102" s="467"/>
      <c r="H102" s="467"/>
      <c r="I102" s="468"/>
      <c r="J102" s="467"/>
    </row>
    <row r="103" spans="1:10" x14ac:dyDescent="0.2">
      <c r="A103" s="467"/>
      <c r="B103" s="467" t="s">
        <v>1163</v>
      </c>
      <c r="C103" s="467"/>
      <c r="E103" s="467"/>
      <c r="F103" s="467"/>
      <c r="G103" s="467"/>
      <c r="H103" s="467"/>
      <c r="I103" s="468"/>
      <c r="J103" s="467"/>
    </row>
    <row r="104" spans="1:10" x14ac:dyDescent="0.2">
      <c r="A104" s="467"/>
      <c r="B104" s="467" t="s">
        <v>1164</v>
      </c>
      <c r="C104" s="467"/>
      <c r="D104" s="467"/>
      <c r="E104" s="467"/>
      <c r="F104" s="467"/>
      <c r="G104" s="467"/>
      <c r="H104" s="467"/>
      <c r="I104" s="468"/>
      <c r="J104" s="467"/>
    </row>
    <row r="105" spans="1:10" x14ac:dyDescent="0.2">
      <c r="A105" s="467"/>
      <c r="B105" s="467" t="s">
        <v>1165</v>
      </c>
      <c r="C105" s="467"/>
      <c r="D105" s="467"/>
      <c r="E105" s="467"/>
      <c r="F105" s="467"/>
      <c r="G105" s="467"/>
      <c r="H105" s="467"/>
      <c r="I105" s="468"/>
      <c r="J105" s="467"/>
    </row>
    <row r="106" spans="1:10" x14ac:dyDescent="0.2">
      <c r="A106" s="467"/>
      <c r="B106" s="467" t="s">
        <v>1166</v>
      </c>
      <c r="C106" s="467"/>
      <c r="E106" s="467"/>
      <c r="F106" s="467"/>
      <c r="G106" s="467"/>
      <c r="H106" s="467"/>
      <c r="I106" s="468"/>
      <c r="J106" s="467"/>
    </row>
    <row r="107" spans="1:10" x14ac:dyDescent="0.2">
      <c r="A107" s="467"/>
      <c r="B107" s="467" t="s">
        <v>1167</v>
      </c>
      <c r="C107" s="467"/>
      <c r="D107" s="467"/>
      <c r="E107" s="467"/>
      <c r="F107" s="467"/>
      <c r="G107" s="467"/>
      <c r="H107" s="467"/>
      <c r="I107" s="468"/>
      <c r="J107" s="467"/>
    </row>
    <row r="108" spans="1:10" x14ac:dyDescent="0.2">
      <c r="A108" s="467"/>
      <c r="B108" s="467" t="s">
        <v>647</v>
      </c>
      <c r="C108" s="467"/>
      <c r="D108" s="467"/>
      <c r="E108" s="467"/>
      <c r="F108" s="467"/>
      <c r="G108" s="467"/>
      <c r="H108" s="467"/>
      <c r="I108" s="468"/>
      <c r="J108" s="467"/>
    </row>
    <row r="109" spans="1:10" x14ac:dyDescent="0.2">
      <c r="A109" s="467"/>
      <c r="B109" s="467" t="s">
        <v>1168</v>
      </c>
      <c r="C109" s="467"/>
      <c r="E109" s="467"/>
      <c r="F109" s="467"/>
      <c r="G109" s="467"/>
      <c r="H109" s="467"/>
      <c r="I109" s="468"/>
      <c r="J109" s="467"/>
    </row>
    <row r="110" spans="1:10" x14ac:dyDescent="0.2">
      <c r="A110" s="467"/>
      <c r="B110" s="467" t="s">
        <v>1169</v>
      </c>
      <c r="C110" s="467"/>
      <c r="D110" s="467"/>
      <c r="E110" s="467"/>
      <c r="F110" s="467"/>
      <c r="G110" s="467"/>
      <c r="H110" s="467"/>
      <c r="I110" s="468"/>
      <c r="J110" s="467"/>
    </row>
    <row r="111" spans="1:10" x14ac:dyDescent="0.2">
      <c r="A111" s="467"/>
      <c r="B111" s="467" t="s">
        <v>1170</v>
      </c>
      <c r="C111" s="467"/>
      <c r="D111" s="467"/>
      <c r="E111" s="467"/>
      <c r="F111" s="467"/>
      <c r="G111" s="467"/>
      <c r="H111" s="467"/>
      <c r="I111" s="468"/>
      <c r="J111" s="467"/>
    </row>
    <row r="112" spans="1:10" x14ac:dyDescent="0.2">
      <c r="A112" s="467"/>
      <c r="B112" s="467" t="s">
        <v>1171</v>
      </c>
      <c r="C112" s="467"/>
      <c r="E112" s="467"/>
      <c r="F112" s="467"/>
      <c r="G112" s="467"/>
      <c r="H112" s="467"/>
      <c r="I112" s="468"/>
      <c r="J112" s="467"/>
    </row>
    <row r="113" spans="1:11" x14ac:dyDescent="0.2">
      <c r="A113" s="467"/>
      <c r="B113" s="467" t="s">
        <v>1172</v>
      </c>
      <c r="C113" s="467"/>
      <c r="D113" s="467"/>
      <c r="E113" s="467"/>
      <c r="F113" s="467"/>
      <c r="G113" s="467"/>
      <c r="H113" s="467"/>
      <c r="I113" s="468"/>
      <c r="J113" s="467"/>
    </row>
    <row r="114" spans="1:11" x14ac:dyDescent="0.2">
      <c r="A114" s="467"/>
      <c r="B114" s="467" t="s">
        <v>1173</v>
      </c>
      <c r="C114" s="467"/>
      <c r="D114" s="467"/>
      <c r="E114" s="467"/>
      <c r="F114" s="467"/>
      <c r="G114" s="467"/>
      <c r="H114" s="467"/>
      <c r="I114" s="468"/>
      <c r="J114" s="467"/>
    </row>
    <row r="115" spans="1:11" x14ac:dyDescent="0.2">
      <c r="A115" s="467"/>
      <c r="B115" s="467" t="s">
        <v>1022</v>
      </c>
      <c r="C115" s="467"/>
      <c r="E115" s="467"/>
      <c r="F115" s="467"/>
      <c r="G115" s="467"/>
      <c r="H115" s="467"/>
      <c r="I115" s="468"/>
      <c r="J115" s="467"/>
    </row>
    <row r="116" spans="1:11" x14ac:dyDescent="0.2">
      <c r="A116" s="467"/>
      <c r="B116" s="467" t="s">
        <v>1023</v>
      </c>
      <c r="C116" s="467"/>
      <c r="E116" s="467"/>
      <c r="F116" s="467"/>
      <c r="G116" s="467"/>
      <c r="H116" s="467"/>
      <c r="I116" s="468"/>
      <c r="J116" s="467"/>
    </row>
    <row r="117" spans="1:11" x14ac:dyDescent="0.2">
      <c r="A117" s="467"/>
      <c r="B117" s="467" t="s">
        <v>1174</v>
      </c>
      <c r="C117" s="467"/>
      <c r="E117" s="467"/>
      <c r="F117" s="467"/>
      <c r="G117" s="467"/>
      <c r="H117" s="467"/>
      <c r="I117" s="468"/>
      <c r="J117" s="467"/>
    </row>
    <row r="118" spans="1:11" x14ac:dyDescent="0.2">
      <c r="A118" s="467"/>
      <c r="B118" s="467" t="s">
        <v>1175</v>
      </c>
      <c r="C118" s="467"/>
      <c r="E118" s="467"/>
      <c r="F118" s="467"/>
      <c r="G118" s="467"/>
      <c r="H118" s="467"/>
      <c r="I118" s="468"/>
      <c r="J118" s="467"/>
    </row>
    <row r="119" spans="1:11" x14ac:dyDescent="0.2">
      <c r="A119" s="467"/>
      <c r="B119" s="467" t="s">
        <v>1176</v>
      </c>
      <c r="C119" s="467"/>
      <c r="E119" s="467"/>
      <c r="F119" s="467"/>
      <c r="G119" s="467"/>
      <c r="H119" s="467"/>
      <c r="I119" s="468"/>
      <c r="J119" s="467"/>
    </row>
    <row r="120" spans="1:11" x14ac:dyDescent="0.2">
      <c r="A120" s="467"/>
      <c r="B120" s="467" t="s">
        <v>1177</v>
      </c>
      <c r="C120" s="467"/>
      <c r="E120" s="467"/>
      <c r="F120" s="467"/>
      <c r="G120" s="467"/>
      <c r="H120" s="467"/>
      <c r="I120" s="468"/>
      <c r="J120" s="467"/>
    </row>
    <row r="121" spans="1:11" x14ac:dyDescent="0.2">
      <c r="A121" s="467"/>
      <c r="B121" s="467" t="s">
        <v>1178</v>
      </c>
      <c r="C121" s="467"/>
      <c r="D121" s="467"/>
      <c r="E121" s="467"/>
      <c r="F121" s="467"/>
      <c r="G121" s="467"/>
      <c r="H121" s="467"/>
      <c r="I121" s="468"/>
      <c r="J121" s="467"/>
    </row>
    <row r="122" spans="1:11" x14ac:dyDescent="0.2">
      <c r="A122" s="467"/>
      <c r="B122" s="467" t="s">
        <v>1179</v>
      </c>
      <c r="C122" s="467"/>
      <c r="D122" s="467"/>
      <c r="E122" s="467"/>
      <c r="F122" s="467"/>
      <c r="G122" s="467"/>
      <c r="H122" s="467"/>
      <c r="I122" s="468"/>
      <c r="J122" s="467"/>
    </row>
    <row r="123" spans="1:11" x14ac:dyDescent="0.2">
      <c r="A123" s="467"/>
      <c r="B123" s="467" t="s">
        <v>1180</v>
      </c>
      <c r="C123" s="467"/>
      <c r="E123" s="467"/>
      <c r="F123" s="467"/>
      <c r="G123" s="467"/>
      <c r="H123" s="467"/>
      <c r="I123" s="468"/>
      <c r="J123" s="467"/>
    </row>
    <row r="124" spans="1:11" x14ac:dyDescent="0.2">
      <c r="A124" s="467"/>
      <c r="B124" s="467" t="s">
        <v>1181</v>
      </c>
      <c r="C124" s="467"/>
      <c r="D124" s="467"/>
      <c r="E124" s="467"/>
      <c r="F124" s="467"/>
      <c r="G124" s="467"/>
      <c r="H124" s="467"/>
      <c r="I124" s="468"/>
      <c r="J124" s="467"/>
    </row>
    <row r="125" spans="1:11" x14ac:dyDescent="0.2">
      <c r="A125" s="467"/>
      <c r="B125" s="467" t="s">
        <v>1182</v>
      </c>
      <c r="C125" s="467"/>
      <c r="D125" s="467"/>
      <c r="E125" s="467"/>
      <c r="F125" s="467"/>
      <c r="G125" s="467"/>
      <c r="H125" s="467"/>
      <c r="I125" s="468"/>
      <c r="J125" s="467"/>
    </row>
    <row r="126" spans="1:11" x14ac:dyDescent="0.2">
      <c r="A126" s="467"/>
      <c r="B126" s="467" t="s">
        <v>1183</v>
      </c>
      <c r="C126" s="467"/>
      <c r="E126" s="467"/>
      <c r="F126" s="467"/>
      <c r="G126" s="467"/>
      <c r="H126" s="467"/>
      <c r="I126" s="468"/>
      <c r="J126" s="467"/>
      <c r="K126" s="268"/>
    </row>
    <row r="127" spans="1:11" x14ac:dyDescent="0.2">
      <c r="A127" s="467"/>
      <c r="B127" s="467" t="s">
        <v>1184</v>
      </c>
      <c r="C127" s="467"/>
      <c r="D127" s="467"/>
      <c r="E127" s="467"/>
      <c r="F127" s="467"/>
      <c r="G127" s="467"/>
      <c r="H127" s="467"/>
      <c r="I127" s="468"/>
      <c r="J127" s="467"/>
      <c r="K127" s="268"/>
    </row>
    <row r="128" spans="1:11" ht="12.75" customHeight="1" x14ac:dyDescent="0.2">
      <c r="A128" s="467"/>
      <c r="B128" s="467" t="s">
        <v>1185</v>
      </c>
      <c r="C128" s="467"/>
      <c r="E128" s="467"/>
      <c r="F128" s="467"/>
      <c r="G128" s="467"/>
      <c r="H128" s="467"/>
      <c r="I128" s="468"/>
      <c r="J128" s="467"/>
      <c r="K128" s="268"/>
    </row>
    <row r="129" spans="1:11" ht="12.75" customHeight="1" x14ac:dyDescent="0.2">
      <c r="A129" s="467"/>
      <c r="B129" s="467" t="s">
        <v>1186</v>
      </c>
      <c r="C129" s="467"/>
      <c r="D129" s="467"/>
      <c r="E129" s="467"/>
      <c r="F129" s="467"/>
      <c r="G129" s="467"/>
      <c r="H129" s="467"/>
      <c r="I129" s="468"/>
      <c r="J129" s="467"/>
      <c r="K129" s="268"/>
    </row>
    <row r="130" spans="1:11" ht="12.75" customHeight="1" x14ac:dyDescent="0.2">
      <c r="A130" s="467"/>
      <c r="B130" s="467" t="s">
        <v>1187</v>
      </c>
      <c r="C130" s="467"/>
      <c r="D130" s="467"/>
      <c r="E130" s="467"/>
      <c r="F130" s="467"/>
      <c r="G130" s="467"/>
      <c r="H130" s="467"/>
      <c r="I130" s="468"/>
      <c r="J130" s="467"/>
      <c r="K130" s="268"/>
    </row>
    <row r="131" spans="1:11" ht="12.75" customHeight="1" x14ac:dyDescent="0.2">
      <c r="A131" s="467"/>
      <c r="B131" s="467" t="s">
        <v>1188</v>
      </c>
      <c r="C131" s="467"/>
      <c r="E131" s="467"/>
      <c r="F131" s="467"/>
      <c r="G131" s="467"/>
      <c r="H131" s="467"/>
      <c r="I131" s="468"/>
      <c r="J131" s="467"/>
      <c r="K131" s="268"/>
    </row>
    <row r="132" spans="1:11" ht="12.75" customHeight="1" x14ac:dyDescent="0.2">
      <c r="A132" s="467"/>
      <c r="B132" s="467" t="s">
        <v>1189</v>
      </c>
      <c r="C132" s="467"/>
      <c r="D132" s="467"/>
      <c r="E132" s="467"/>
      <c r="F132" s="467"/>
      <c r="G132" s="467"/>
      <c r="H132" s="467"/>
      <c r="I132" s="468"/>
      <c r="J132" s="467"/>
      <c r="K132" s="268"/>
    </row>
    <row r="133" spans="1:11" ht="12.75" customHeight="1" x14ac:dyDescent="0.2">
      <c r="A133" s="467"/>
      <c r="B133" s="467" t="s">
        <v>762</v>
      </c>
      <c r="C133" s="467"/>
      <c r="D133" s="467"/>
      <c r="E133" s="467"/>
      <c r="F133" s="467"/>
      <c r="G133" s="467"/>
      <c r="H133" s="467"/>
      <c r="I133" s="468"/>
      <c r="J133" s="467"/>
      <c r="K133" s="268"/>
    </row>
    <row r="134" spans="1:11" ht="12.75" customHeight="1" x14ac:dyDescent="0.2">
      <c r="A134" s="467"/>
      <c r="B134" s="467" t="s">
        <v>763</v>
      </c>
      <c r="C134" s="467"/>
      <c r="E134" s="467"/>
      <c r="F134" s="467"/>
      <c r="G134" s="467"/>
      <c r="H134" s="467"/>
      <c r="I134" s="468"/>
      <c r="J134" s="467"/>
      <c r="K134" s="268"/>
    </row>
    <row r="135" spans="1:11" x14ac:dyDescent="0.2">
      <c r="A135" s="467" t="s">
        <v>1190</v>
      </c>
      <c r="B135" s="467"/>
      <c r="C135" s="467"/>
      <c r="D135" s="467"/>
      <c r="E135" s="467"/>
      <c r="F135" s="467"/>
      <c r="G135" s="467"/>
      <c r="H135" s="467"/>
      <c r="I135" s="468"/>
      <c r="J135" s="467"/>
    </row>
    <row r="136" spans="1:11" x14ac:dyDescent="0.2">
      <c r="A136" s="467"/>
      <c r="B136" s="467" t="s">
        <v>1191</v>
      </c>
      <c r="C136" s="467"/>
      <c r="D136" s="467"/>
      <c r="E136" s="467"/>
      <c r="F136" s="467"/>
      <c r="G136" s="467"/>
      <c r="H136" s="467"/>
      <c r="I136" s="468"/>
      <c r="J136" s="467"/>
    </row>
    <row r="137" spans="1:11" x14ac:dyDescent="0.2">
      <c r="A137" s="467"/>
      <c r="B137" s="467" t="s">
        <v>1192</v>
      </c>
      <c r="C137" s="467"/>
      <c r="E137" s="467"/>
      <c r="F137" s="467"/>
      <c r="G137" s="467"/>
      <c r="H137" s="467"/>
      <c r="I137" s="468"/>
      <c r="J137" s="467"/>
    </row>
    <row r="138" spans="1:11" x14ac:dyDescent="0.2">
      <c r="A138" s="467"/>
      <c r="B138" s="467" t="s">
        <v>1193</v>
      </c>
      <c r="C138" s="467"/>
      <c r="E138" s="467"/>
      <c r="F138" s="467"/>
      <c r="G138" s="467"/>
      <c r="H138" s="467"/>
      <c r="I138" s="468"/>
      <c r="J138" s="467"/>
    </row>
    <row r="139" spans="1:11" x14ac:dyDescent="0.2">
      <c r="A139" s="467" t="s">
        <v>1194</v>
      </c>
      <c r="B139" s="467"/>
      <c r="C139" s="467"/>
      <c r="D139" s="467"/>
      <c r="E139" s="467"/>
      <c r="F139" s="467"/>
    </row>
    <row r="140" spans="1:11" x14ac:dyDescent="0.2">
      <c r="A140" s="467"/>
      <c r="B140" s="467" t="s">
        <v>421</v>
      </c>
      <c r="C140" s="467"/>
      <c r="E140" s="467"/>
      <c r="F140" s="467"/>
    </row>
    <row r="141" spans="1:11" x14ac:dyDescent="0.2">
      <c r="A141" s="467"/>
      <c r="B141" s="467" t="s">
        <v>422</v>
      </c>
      <c r="C141" s="467"/>
      <c r="E141" s="467"/>
      <c r="F141" s="467"/>
    </row>
    <row r="143" spans="1:11" ht="24.75" customHeight="1" x14ac:dyDescent="0.2">
      <c r="A143" s="1884"/>
      <c r="B143" s="1884"/>
      <c r="C143" s="1427"/>
      <c r="D143" s="268"/>
      <c r="E143" s="268"/>
      <c r="F143" s="268"/>
      <c r="G143" s="268"/>
      <c r="H143" s="268"/>
      <c r="I143" s="473"/>
      <c r="J143" s="268"/>
    </row>
    <row r="144" spans="1:11" x14ac:dyDescent="0.2">
      <c r="A144" s="268"/>
      <c r="B144" s="268"/>
      <c r="C144" s="268"/>
      <c r="D144" s="268"/>
      <c r="E144" s="268"/>
      <c r="F144" s="268"/>
      <c r="G144" s="268"/>
      <c r="H144" s="268"/>
      <c r="I144" s="473"/>
      <c r="J144" s="268"/>
    </row>
    <row r="145" spans="1:10" x14ac:dyDescent="0.2">
      <c r="A145" s="268"/>
      <c r="B145" s="268"/>
      <c r="C145" s="268"/>
      <c r="D145" s="268"/>
      <c r="E145" s="268"/>
      <c r="F145" s="268"/>
      <c r="G145" s="268"/>
      <c r="H145" s="268"/>
      <c r="I145" s="473"/>
      <c r="J145" s="268"/>
    </row>
  </sheetData>
  <sheetProtection algorithmName="SHA-512" hashValue="u+3ZT1xdy8tOMZJOR69F2iJXieVU6d5I2NqrbKngLaocRDBLzJBQWRrU7tfrUGatDHFDvHPz/9l4NrQrn0Ntvg==" saltValue="j/AJM/uDmPpMo/QW2VwxXQ==" spinCount="100000" sheet="1" objects="1" scenarios="1"/>
  <mergeCells count="84">
    <mergeCell ref="B67:C67"/>
    <mergeCell ref="A68:C68"/>
    <mergeCell ref="A62:A63"/>
    <mergeCell ref="B62:B63"/>
    <mergeCell ref="B24:C24"/>
    <mergeCell ref="B25:C25"/>
    <mergeCell ref="B26:C26"/>
    <mergeCell ref="B27:C27"/>
    <mergeCell ref="B28:C28"/>
    <mergeCell ref="A38:A39"/>
    <mergeCell ref="A40:A43"/>
    <mergeCell ref="A47:A48"/>
    <mergeCell ref="B15:C15"/>
    <mergeCell ref="B16:C18"/>
    <mergeCell ref="I16:I18"/>
    <mergeCell ref="I13:I14"/>
    <mergeCell ref="B19:C19"/>
    <mergeCell ref="A13:A14"/>
    <mergeCell ref="J13:J14"/>
    <mergeCell ref="A1:B1"/>
    <mergeCell ref="A2:B2"/>
    <mergeCell ref="A3:J3"/>
    <mergeCell ref="B8:C8"/>
    <mergeCell ref="A9:C9"/>
    <mergeCell ref="B10:C10"/>
    <mergeCell ref="B11:C11"/>
    <mergeCell ref="B12:C12"/>
    <mergeCell ref="B13:C14"/>
    <mergeCell ref="A16:A18"/>
    <mergeCell ref="J17:J18"/>
    <mergeCell ref="A21:A23"/>
    <mergeCell ref="B20:C20"/>
    <mergeCell ref="B21:C23"/>
    <mergeCell ref="I21:I23"/>
    <mergeCell ref="I38:I39"/>
    <mergeCell ref="J38:J39"/>
    <mergeCell ref="B36:C36"/>
    <mergeCell ref="A37:C37"/>
    <mergeCell ref="B38:C39"/>
    <mergeCell ref="I40:I42"/>
    <mergeCell ref="J40:J42"/>
    <mergeCell ref="A44:A46"/>
    <mergeCell ref="I44:I46"/>
    <mergeCell ref="B40:C43"/>
    <mergeCell ref="B44:C46"/>
    <mergeCell ref="I47:I48"/>
    <mergeCell ref="J47:J48"/>
    <mergeCell ref="A49:A52"/>
    <mergeCell ref="I49:I52"/>
    <mergeCell ref="B47:C48"/>
    <mergeCell ref="B49:C52"/>
    <mergeCell ref="I62:I63"/>
    <mergeCell ref="J62:J63"/>
    <mergeCell ref="A53:A55"/>
    <mergeCell ref="I53:I55"/>
    <mergeCell ref="A56:A57"/>
    <mergeCell ref="I56:I57"/>
    <mergeCell ref="J56:J57"/>
    <mergeCell ref="A59:A61"/>
    <mergeCell ref="I59:I61"/>
    <mergeCell ref="J59:J61"/>
    <mergeCell ref="B53:C55"/>
    <mergeCell ref="B56:C57"/>
    <mergeCell ref="B58:C58"/>
    <mergeCell ref="B59:C61"/>
    <mergeCell ref="I78:I79"/>
    <mergeCell ref="A87:A88"/>
    <mergeCell ref="I87:I88"/>
    <mergeCell ref="A69:A72"/>
    <mergeCell ref="I69:I72"/>
    <mergeCell ref="A74:A77"/>
    <mergeCell ref="I74:I77"/>
    <mergeCell ref="B69:C72"/>
    <mergeCell ref="B74:C77"/>
    <mergeCell ref="B78:C79"/>
    <mergeCell ref="B80:C80"/>
    <mergeCell ref="A90:B90"/>
    <mergeCell ref="A91:B91"/>
    <mergeCell ref="A92:E92"/>
    <mergeCell ref="A143:B143"/>
    <mergeCell ref="A78:A79"/>
    <mergeCell ref="B85:C85"/>
    <mergeCell ref="A86:C86"/>
    <mergeCell ref="B87:C88"/>
  </mergeCells>
  <printOptions horizontalCentered="1"/>
  <pageMargins left="0.78740157480314965" right="0.39370078740157483" top="0.59055118110236227" bottom="0.39370078740157483" header="0.23622047244094491" footer="0.23622047244094491"/>
  <pageSetup paperSize="9" scale="65" orientation="portrait" r:id="rId1"/>
  <headerFooter>
    <oddHeader xml:space="preserve">&amp;R&amp;"Times New Roman,Regular"&amp;10
 11.pielikums Jūrmalas pilsētas domes 
 2019.gada 19.decembra  saistošajiem noteikumiem Nr.57
(protokols Nr.16, 32.punkts) </oddHeader>
    <oddFooter>&amp;L&amp;"Times New Roman,Regular"&amp;8&amp;D;&amp;T&amp;R&amp;"Times New Roman,Regular"&amp;8&amp;P(&amp;N)</oddFooter>
    <firstHeader xml:space="preserve">&amp;R&amp;"Times New Roman,Regular"&amp;8
3.pielikums Jūrmalas pilsētas domes  2016.gada __________ saistošajiem noteikumiem Nr._______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'20'!Print_Area</vt:lpstr>
      <vt:lpstr>'34'!Print_Area</vt:lpstr>
      <vt:lpstr>'20'!Print_Titles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Kristīne Hermane</cp:lastModifiedBy>
  <cp:lastPrinted>2019-12-27T10:06:32Z</cp:lastPrinted>
  <dcterms:created xsi:type="dcterms:W3CDTF">2019-12-13T07:58:44Z</dcterms:created>
  <dcterms:modified xsi:type="dcterms:W3CDTF">2019-12-27T10:06:38Z</dcterms:modified>
</cp:coreProperties>
</file>