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a_grozij_12.11.2020_arkartas_DS\"/>
    </mc:Choice>
  </mc:AlternateContent>
  <bookViews>
    <workbookView xWindow="0" yWindow="0" windowWidth="19200" windowHeight="8610"/>
  </bookViews>
  <sheets>
    <sheet name="Izdevumi" sheetId="1" r:id="rId1"/>
    <sheet name="Ienemumi" sheetId="4" state="hidden" r:id="rId2"/>
    <sheet name="Kopa_ien-izd" sheetId="5" state="hidden" r:id="rId3"/>
  </sheets>
  <definedNames>
    <definedName name="_xlnm._FilterDatabase" localSheetId="1" hidden="1">Ienemumi!$A$7:$AJ$165</definedName>
    <definedName name="_xlnm._FilterDatabase" localSheetId="0" hidden="1">Izdevumi!$A$9:$CM$324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Ienemumi!$A$4:$AJ$165</definedName>
    <definedName name="Z_C32C0FCD_AE7D_41A3_975E_D7367DDEA994_.wvu.PrintArea" localSheetId="0" hidden="1">Izdevumi!$B$4:$CK$321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Ienemumi!#REF!,Ienemumi!#REF!,Ienemumi!$154:$163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AI261" i="1" l="1"/>
  <c r="AG266" i="1" l="1"/>
  <c r="AG261" i="1"/>
  <c r="P84" i="4" l="1"/>
  <c r="AG71" i="1"/>
  <c r="AG141" i="1" l="1"/>
  <c r="P91" i="4" l="1"/>
  <c r="P86" i="4"/>
  <c r="AG116" i="1"/>
  <c r="AE73" i="4" l="1"/>
  <c r="AG262" i="1"/>
  <c r="P73" i="4"/>
  <c r="P95" i="4"/>
  <c r="P70" i="4"/>
  <c r="AG267" i="1"/>
  <c r="AG208" i="1"/>
  <c r="AG221" i="1"/>
  <c r="AG80" i="1"/>
  <c r="AG206" i="1"/>
  <c r="AG202" i="1"/>
  <c r="AG200" i="1"/>
  <c r="AG196" i="1"/>
  <c r="AG192" i="1"/>
  <c r="AG190" i="1"/>
  <c r="AG188" i="1"/>
  <c r="AG186" i="1"/>
  <c r="AG180" i="1"/>
  <c r="AG175" i="1"/>
  <c r="AG225" i="1"/>
  <c r="AG224" i="1"/>
  <c r="AG210" i="1"/>
  <c r="AG198" i="1"/>
  <c r="AG185" i="1"/>
  <c r="AG177" i="1"/>
  <c r="AG171" i="1"/>
  <c r="AG169" i="1"/>
  <c r="AG123" i="1"/>
  <c r="AG114" i="1"/>
  <c r="AG111" i="1"/>
  <c r="AG133" i="1"/>
  <c r="AG92" i="1"/>
  <c r="AG35" i="1"/>
  <c r="AG27" i="1"/>
  <c r="AG12" i="1"/>
  <c r="AV276" i="1" l="1"/>
  <c r="AV221" i="1"/>
  <c r="AV217" i="1"/>
  <c r="AG41" i="1" l="1"/>
  <c r="P69" i="4" l="1"/>
  <c r="AV208" i="1"/>
  <c r="AV173" i="1" l="1"/>
  <c r="AV278" i="1" l="1"/>
  <c r="AV277" i="1"/>
  <c r="AV164" i="1"/>
  <c r="AV227" i="1"/>
  <c r="AV210" i="1"/>
  <c r="AV180" i="1"/>
  <c r="AV175" i="1"/>
  <c r="AV171" i="1"/>
  <c r="AV169" i="1"/>
  <c r="AV158" i="1"/>
  <c r="AV155" i="1"/>
  <c r="AV287" i="1" l="1"/>
  <c r="BX128" i="1" l="1"/>
  <c r="BW128" i="1" s="1"/>
  <c r="BQ128" i="1"/>
  <c r="BP128" i="1" s="1"/>
  <c r="BC128" i="1"/>
  <c r="BB128" i="1" s="1"/>
  <c r="AO128" i="1"/>
  <c r="AN128" i="1" s="1"/>
  <c r="H128" i="1"/>
  <c r="G128" i="1" s="1"/>
  <c r="D128" i="1"/>
  <c r="E128" i="1" l="1"/>
  <c r="AG268" i="1" l="1"/>
  <c r="BX113" i="1"/>
  <c r="BW113" i="1" s="1"/>
  <c r="BQ113" i="1"/>
  <c r="BP113" i="1" s="1"/>
  <c r="BC113" i="1"/>
  <c r="BB113" i="1" s="1"/>
  <c r="AO113" i="1"/>
  <c r="AN113" i="1" s="1"/>
  <c r="H113" i="1"/>
  <c r="G113" i="1" s="1"/>
  <c r="E113" i="1" l="1"/>
  <c r="BX216" i="1" l="1"/>
  <c r="BW216" i="1" s="1"/>
  <c r="BQ216" i="1"/>
  <c r="BP216" i="1" s="1"/>
  <c r="BC216" i="1"/>
  <c r="BB216" i="1" s="1"/>
  <c r="AO216" i="1"/>
  <c r="AN216" i="1" s="1"/>
  <c r="H216" i="1"/>
  <c r="G216" i="1" s="1"/>
  <c r="E216" i="1" l="1"/>
  <c r="BX215" i="1" l="1"/>
  <c r="BW215" i="1" s="1"/>
  <c r="BQ215" i="1"/>
  <c r="BP215" i="1" s="1"/>
  <c r="BC215" i="1"/>
  <c r="BB215" i="1" s="1"/>
  <c r="AO215" i="1"/>
  <c r="AN215" i="1" s="1"/>
  <c r="H215" i="1"/>
  <c r="G215" i="1" s="1"/>
  <c r="E215" i="1" l="1"/>
  <c r="AE95" i="4" l="1"/>
  <c r="P87" i="4" l="1"/>
  <c r="CF322" i="1" l="1"/>
  <c r="CF317" i="1"/>
  <c r="CF312" i="1"/>
  <c r="CF308" i="1"/>
  <c r="CF303" i="1"/>
  <c r="CF299" i="1"/>
  <c r="CF294" i="1"/>
  <c r="CF292" i="1"/>
  <c r="CF259" i="1"/>
  <c r="CF235" i="1"/>
  <c r="CF132" i="1"/>
  <c r="CF91" i="1"/>
  <c r="CF82" i="1"/>
  <c r="CF70" i="1"/>
  <c r="CF61" i="1"/>
  <c r="CF34" i="1"/>
  <c r="CF26" i="1"/>
  <c r="CF11" i="1"/>
  <c r="CF291" i="1" l="1"/>
  <c r="CF323" i="1" s="1"/>
  <c r="CF258" i="1"/>
  <c r="CF321" i="1" l="1"/>
  <c r="CF324" i="1" s="1"/>
  <c r="AG322" i="1" l="1"/>
  <c r="AF322" i="1"/>
  <c r="AG317" i="1"/>
  <c r="AF317" i="1"/>
  <c r="AG312" i="1"/>
  <c r="AF312" i="1"/>
  <c r="AG308" i="1"/>
  <c r="AF308" i="1"/>
  <c r="AG303" i="1"/>
  <c r="AF303" i="1"/>
  <c r="AG299" i="1"/>
  <c r="AF299" i="1"/>
  <c r="AG294" i="1"/>
  <c r="AF294" i="1"/>
  <c r="AG292" i="1"/>
  <c r="AF292" i="1"/>
  <c r="AG259" i="1"/>
  <c r="AF259" i="1"/>
  <c r="AG235" i="1"/>
  <c r="AF235" i="1"/>
  <c r="AG132" i="1"/>
  <c r="AF132" i="1"/>
  <c r="AG91" i="1"/>
  <c r="AF91" i="1"/>
  <c r="AG82" i="1"/>
  <c r="AF82" i="1"/>
  <c r="AG70" i="1"/>
  <c r="AF70" i="1"/>
  <c r="AG61" i="1"/>
  <c r="AF61" i="1"/>
  <c r="AG34" i="1"/>
  <c r="AF34" i="1"/>
  <c r="AG26" i="1"/>
  <c r="AF26" i="1"/>
  <c r="AG11" i="1"/>
  <c r="AF11" i="1"/>
  <c r="AH322" i="1"/>
  <c r="AH317" i="1"/>
  <c r="AH312" i="1"/>
  <c r="AH308" i="1"/>
  <c r="AH303" i="1"/>
  <c r="AH299" i="1"/>
  <c r="AH294" i="1"/>
  <c r="AH292" i="1"/>
  <c r="AH259" i="1"/>
  <c r="AH235" i="1"/>
  <c r="AH132" i="1"/>
  <c r="AH91" i="1"/>
  <c r="AH82" i="1"/>
  <c r="AH70" i="1"/>
  <c r="AH61" i="1"/>
  <c r="AH34" i="1"/>
  <c r="AH26" i="1"/>
  <c r="AH11" i="1"/>
  <c r="AI322" i="1"/>
  <c r="AI317" i="1"/>
  <c r="AI312" i="1"/>
  <c r="AI308" i="1"/>
  <c r="AI303" i="1"/>
  <c r="AI299" i="1"/>
  <c r="AI294" i="1"/>
  <c r="AI292" i="1"/>
  <c r="AI259" i="1"/>
  <c r="AI235" i="1"/>
  <c r="AI132" i="1"/>
  <c r="AI91" i="1"/>
  <c r="AI82" i="1"/>
  <c r="AI70" i="1"/>
  <c r="AI61" i="1"/>
  <c r="AI34" i="1"/>
  <c r="AI26" i="1"/>
  <c r="AI11" i="1"/>
  <c r="AE322" i="1"/>
  <c r="AE317" i="1"/>
  <c r="AE312" i="1"/>
  <c r="AE308" i="1"/>
  <c r="AE303" i="1"/>
  <c r="AE299" i="1"/>
  <c r="AE294" i="1"/>
  <c r="AE292" i="1"/>
  <c r="AE259" i="1"/>
  <c r="AE235" i="1"/>
  <c r="AE132" i="1"/>
  <c r="AE91" i="1"/>
  <c r="AE82" i="1"/>
  <c r="AE70" i="1"/>
  <c r="AE61" i="1"/>
  <c r="AE34" i="1"/>
  <c r="AE26" i="1"/>
  <c r="AE11" i="1"/>
  <c r="AF291" i="1" l="1"/>
  <c r="AF323" i="1" s="1"/>
  <c r="AG291" i="1"/>
  <c r="AG323" i="1" s="1"/>
  <c r="AH291" i="1"/>
  <c r="AI291" i="1"/>
  <c r="AI323" i="1" s="1"/>
  <c r="AG258" i="1"/>
  <c r="AF258" i="1"/>
  <c r="AE291" i="1"/>
  <c r="AE323" i="1" s="1"/>
  <c r="AH323" i="1"/>
  <c r="AH258" i="1"/>
  <c r="AI258" i="1"/>
  <c r="AE258" i="1"/>
  <c r="AT287" i="1"/>
  <c r="AH321" i="1" l="1"/>
  <c r="AH324" i="1" s="1"/>
  <c r="AF321" i="1"/>
  <c r="AF324" i="1" s="1"/>
  <c r="AI321" i="1"/>
  <c r="AI324" i="1" s="1"/>
  <c r="AG321" i="1"/>
  <c r="AG324" i="1" s="1"/>
  <c r="AE321" i="1"/>
  <c r="AE324" i="1" s="1"/>
  <c r="AD41" i="1"/>
  <c r="AH133" i="4" l="1"/>
  <c r="AG133" i="4"/>
  <c r="AF133" i="4"/>
  <c r="AE133" i="4"/>
  <c r="AD133" i="4"/>
  <c r="AC133" i="4"/>
  <c r="AB133" i="4"/>
  <c r="AA133" i="4"/>
  <c r="Z133" i="4"/>
  <c r="Y133" i="4"/>
  <c r="X133" i="4"/>
  <c r="W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E133" i="4"/>
  <c r="AI136" i="4"/>
  <c r="AI135" i="4"/>
  <c r="AI133" i="4" s="1"/>
  <c r="V136" i="4"/>
  <c r="U136" i="4" s="1"/>
  <c r="V135" i="4"/>
  <c r="U135" i="4" s="1"/>
  <c r="G136" i="4"/>
  <c r="F136" i="4" s="1"/>
  <c r="G135" i="4"/>
  <c r="F135" i="4" s="1"/>
  <c r="U133" i="4" l="1"/>
  <c r="AJ135" i="4"/>
  <c r="AJ136" i="4"/>
  <c r="F133" i="4"/>
  <c r="V133" i="4"/>
  <c r="G133" i="4"/>
  <c r="O59" i="4"/>
  <c r="BX52" i="1"/>
  <c r="BW52" i="1" s="1"/>
  <c r="BQ52" i="1"/>
  <c r="BP52" i="1" s="1"/>
  <c r="BC52" i="1"/>
  <c r="BB52" i="1" s="1"/>
  <c r="AO52" i="1"/>
  <c r="AN52" i="1" s="1"/>
  <c r="H52" i="1"/>
  <c r="G52" i="1" s="1"/>
  <c r="D52" i="1"/>
  <c r="AJ133" i="4" l="1"/>
  <c r="E52" i="1"/>
  <c r="O95" i="4" l="1"/>
  <c r="AD261" i="1"/>
  <c r="BI80" i="1"/>
  <c r="AC73" i="4" l="1"/>
  <c r="AD262" i="1"/>
  <c r="O73" i="4"/>
  <c r="O70" i="4"/>
  <c r="AD21" i="1" l="1"/>
  <c r="AT219" i="1" l="1"/>
  <c r="BH322" i="1"/>
  <c r="BH317" i="1"/>
  <c r="BH312" i="1"/>
  <c r="BH308" i="1"/>
  <c r="BH303" i="1"/>
  <c r="BH299" i="1"/>
  <c r="BH294" i="1"/>
  <c r="BH292" i="1"/>
  <c r="BH259" i="1"/>
  <c r="BH235" i="1"/>
  <c r="BH132" i="1"/>
  <c r="BH91" i="1"/>
  <c r="BH82" i="1"/>
  <c r="BH70" i="1"/>
  <c r="BH61" i="1"/>
  <c r="BH34" i="1"/>
  <c r="BH26" i="1"/>
  <c r="BH11" i="1"/>
  <c r="AU322" i="1"/>
  <c r="AU317" i="1"/>
  <c r="AU312" i="1"/>
  <c r="AU308" i="1"/>
  <c r="AU303" i="1"/>
  <c r="AU299" i="1"/>
  <c r="AU294" i="1"/>
  <c r="AU292" i="1"/>
  <c r="AU259" i="1"/>
  <c r="AU235" i="1"/>
  <c r="AU132" i="1"/>
  <c r="AU91" i="1"/>
  <c r="AU82" i="1"/>
  <c r="AU70" i="1"/>
  <c r="AU61" i="1"/>
  <c r="AU34" i="1"/>
  <c r="AU26" i="1"/>
  <c r="AU11" i="1"/>
  <c r="AU291" i="1" l="1"/>
  <c r="AU323" i="1" s="1"/>
  <c r="BH291" i="1"/>
  <c r="BH323" i="1" s="1"/>
  <c r="BH258" i="1"/>
  <c r="AU258" i="1"/>
  <c r="AU321" i="1" l="1"/>
  <c r="AU324" i="1" s="1"/>
  <c r="BH321" i="1"/>
  <c r="BH324" i="1" s="1"/>
  <c r="N86" i="4" l="1"/>
  <c r="N90" i="4"/>
  <c r="AK322" i="1" l="1"/>
  <c r="AJ322" i="1"/>
  <c r="AK317" i="1"/>
  <c r="AJ317" i="1"/>
  <c r="AK312" i="1"/>
  <c r="AJ312" i="1"/>
  <c r="AK308" i="1"/>
  <c r="AJ308" i="1"/>
  <c r="AK303" i="1"/>
  <c r="AJ303" i="1"/>
  <c r="AK299" i="1"/>
  <c r="AJ299" i="1"/>
  <c r="AK294" i="1"/>
  <c r="AJ294" i="1"/>
  <c r="AK292" i="1"/>
  <c r="AJ292" i="1"/>
  <c r="AK259" i="1"/>
  <c r="AJ259" i="1"/>
  <c r="AK235" i="1"/>
  <c r="AJ235" i="1"/>
  <c r="AK132" i="1"/>
  <c r="AJ132" i="1"/>
  <c r="AK91" i="1"/>
  <c r="AJ91" i="1"/>
  <c r="AK82" i="1"/>
  <c r="AJ82" i="1"/>
  <c r="AK70" i="1"/>
  <c r="AJ70" i="1"/>
  <c r="AK61" i="1"/>
  <c r="AJ61" i="1"/>
  <c r="AK34" i="1"/>
  <c r="AJ34" i="1"/>
  <c r="AK26" i="1"/>
  <c r="AJ26" i="1"/>
  <c r="AK11" i="1"/>
  <c r="AJ11" i="1"/>
  <c r="AC322" i="1"/>
  <c r="AB322" i="1"/>
  <c r="AC317" i="1"/>
  <c r="AB317" i="1"/>
  <c r="AC312" i="1"/>
  <c r="AB312" i="1"/>
  <c r="AC308" i="1"/>
  <c r="AB308" i="1"/>
  <c r="AC303" i="1"/>
  <c r="AB303" i="1"/>
  <c r="AC299" i="1"/>
  <c r="AB299" i="1"/>
  <c r="AC294" i="1"/>
  <c r="AB294" i="1"/>
  <c r="AC292" i="1"/>
  <c r="AB292" i="1"/>
  <c r="AC259" i="1"/>
  <c r="AB259" i="1"/>
  <c r="AC235" i="1"/>
  <c r="AB235" i="1"/>
  <c r="AC132" i="1"/>
  <c r="AB132" i="1"/>
  <c r="AC91" i="1"/>
  <c r="AB91" i="1"/>
  <c r="AC82" i="1"/>
  <c r="AB82" i="1"/>
  <c r="AC70" i="1"/>
  <c r="AB70" i="1"/>
  <c r="AC61" i="1"/>
  <c r="AB61" i="1"/>
  <c r="AC34" i="1"/>
  <c r="AB34" i="1"/>
  <c r="AC26" i="1"/>
  <c r="AB26" i="1"/>
  <c r="AC11" i="1"/>
  <c r="AB11" i="1"/>
  <c r="AJ291" i="1" l="1"/>
  <c r="AJ323" i="1" s="1"/>
  <c r="AC291" i="1"/>
  <c r="AC323" i="1" s="1"/>
  <c r="AK291" i="1"/>
  <c r="AK323" i="1" s="1"/>
  <c r="AB291" i="1"/>
  <c r="AB323" i="1" s="1"/>
  <c r="AJ258" i="1"/>
  <c r="AK258" i="1"/>
  <c r="AB258" i="1"/>
  <c r="AC258" i="1"/>
  <c r="AB321" i="1" l="1"/>
  <c r="AB324" i="1" s="1"/>
  <c r="AK321" i="1"/>
  <c r="AK324" i="1" s="1"/>
  <c r="AJ321" i="1"/>
  <c r="AJ324" i="1" s="1"/>
  <c r="AC321" i="1"/>
  <c r="AC324" i="1" s="1"/>
  <c r="BX208" i="1"/>
  <c r="BW208" i="1" s="1"/>
  <c r="BX209" i="1"/>
  <c r="BW209" i="1" s="1"/>
  <c r="BX207" i="1"/>
  <c r="BW207" i="1" s="1"/>
  <c r="BQ208" i="1"/>
  <c r="BP208" i="1" s="1"/>
  <c r="BQ209" i="1"/>
  <c r="BP209" i="1" s="1"/>
  <c r="BQ207" i="1"/>
  <c r="BP207" i="1" s="1"/>
  <c r="BC208" i="1"/>
  <c r="BB208" i="1" s="1"/>
  <c r="BC209" i="1"/>
  <c r="BB209" i="1" s="1"/>
  <c r="BC207" i="1"/>
  <c r="BB207" i="1" s="1"/>
  <c r="AO208" i="1"/>
  <c r="AN208" i="1" s="1"/>
  <c r="AO209" i="1"/>
  <c r="AN209" i="1" s="1"/>
  <c r="H208" i="1"/>
  <c r="G208" i="1" s="1"/>
  <c r="H209" i="1"/>
  <c r="G209" i="1" s="1"/>
  <c r="D208" i="1"/>
  <c r="D209" i="1"/>
  <c r="D207" i="1"/>
  <c r="E209" i="1" l="1"/>
  <c r="E208" i="1"/>
  <c r="N91" i="4" l="1"/>
  <c r="AA261" i="1"/>
  <c r="BX122" i="1"/>
  <c r="BW122" i="1" s="1"/>
  <c r="BQ122" i="1"/>
  <c r="BP122" i="1" s="1"/>
  <c r="BC122" i="1"/>
  <c r="BB122" i="1" s="1"/>
  <c r="AO122" i="1"/>
  <c r="AN122" i="1" s="1"/>
  <c r="H122" i="1"/>
  <c r="G122" i="1" s="1"/>
  <c r="D122" i="1"/>
  <c r="E122" i="1" l="1"/>
  <c r="AA54" i="1" l="1"/>
  <c r="AB95" i="4" l="1"/>
  <c r="N95" i="4" l="1"/>
  <c r="N70" i="4" l="1"/>
  <c r="AI38" i="4" l="1"/>
  <c r="V38" i="4"/>
  <c r="U38" i="4" s="1"/>
  <c r="G38" i="4"/>
  <c r="F38" i="4" s="1"/>
  <c r="AJ38" i="4" l="1"/>
  <c r="AA210" i="1"/>
  <c r="N59" i="4" l="1"/>
  <c r="N69" i="4" l="1"/>
  <c r="BX168" i="1"/>
  <c r="BW168" i="1" s="1"/>
  <c r="BQ168" i="1"/>
  <c r="BP168" i="1" s="1"/>
  <c r="BC168" i="1"/>
  <c r="BB168" i="1" s="1"/>
  <c r="AO168" i="1"/>
  <c r="AN168" i="1" s="1"/>
  <c r="H168" i="1"/>
  <c r="G168" i="1" s="1"/>
  <c r="D168" i="1"/>
  <c r="E168" i="1" l="1"/>
  <c r="AA20" i="1"/>
  <c r="AT277" i="1" l="1"/>
  <c r="AT276" i="1"/>
  <c r="N82" i="4" l="1"/>
  <c r="N84" i="4"/>
  <c r="N80" i="4" l="1"/>
  <c r="AA268" i="1"/>
  <c r="BX232" i="1" l="1"/>
  <c r="BW232" i="1" s="1"/>
  <c r="BQ232" i="1"/>
  <c r="BP232" i="1" s="1"/>
  <c r="BC232" i="1"/>
  <c r="BB232" i="1" s="1"/>
  <c r="AO232" i="1"/>
  <c r="AN232" i="1" s="1"/>
  <c r="H232" i="1"/>
  <c r="G232" i="1" s="1"/>
  <c r="E232" i="1" l="1"/>
  <c r="BX163" i="1"/>
  <c r="BW163" i="1" s="1"/>
  <c r="BQ163" i="1"/>
  <c r="BP163" i="1" s="1"/>
  <c r="BC163" i="1"/>
  <c r="BB163" i="1" s="1"/>
  <c r="AO163" i="1"/>
  <c r="AN163" i="1" s="1"/>
  <c r="H163" i="1"/>
  <c r="G163" i="1" s="1"/>
  <c r="D163" i="1"/>
  <c r="E163" i="1" l="1"/>
  <c r="Y261" i="1" l="1"/>
  <c r="Y19" i="1"/>
  <c r="BX51" i="1" l="1"/>
  <c r="BW51" i="1" s="1"/>
  <c r="BQ51" i="1"/>
  <c r="BP51" i="1" s="1"/>
  <c r="BC51" i="1"/>
  <c r="BB51" i="1" s="1"/>
  <c r="AO51" i="1"/>
  <c r="AN51" i="1" s="1"/>
  <c r="H51" i="1"/>
  <c r="G51" i="1" s="1"/>
  <c r="D51" i="1"/>
  <c r="E51" i="1" l="1"/>
  <c r="X261" i="1" l="1"/>
  <c r="M69" i="4" l="1"/>
  <c r="BX127" i="1" l="1"/>
  <c r="BW127" i="1" s="1"/>
  <c r="BQ127" i="1"/>
  <c r="BP127" i="1" s="1"/>
  <c r="AO127" i="1"/>
  <c r="AN127" i="1" s="1"/>
  <c r="BC127" i="1"/>
  <c r="BB127" i="1" s="1"/>
  <c r="H127" i="1"/>
  <c r="G127" i="1" s="1"/>
  <c r="D127" i="1"/>
  <c r="X124" i="1"/>
  <c r="E127" i="1" l="1"/>
  <c r="CC263" i="1"/>
  <c r="AA73" i="4"/>
  <c r="X262" i="1"/>
  <c r="M73" i="4"/>
  <c r="X263" i="1"/>
  <c r="M70" i="4"/>
  <c r="AI150" i="4" l="1"/>
  <c r="V150" i="4"/>
  <c r="U150" i="4" s="1"/>
  <c r="G150" i="4"/>
  <c r="F150" i="4" s="1"/>
  <c r="BX103" i="1"/>
  <c r="BW103" i="1" s="1"/>
  <c r="BQ103" i="1"/>
  <c r="BP103" i="1" s="1"/>
  <c r="BC103" i="1"/>
  <c r="BB103" i="1" s="1"/>
  <c r="AO103" i="1"/>
  <c r="AN103" i="1" s="1"/>
  <c r="H103" i="1"/>
  <c r="G103" i="1" s="1"/>
  <c r="D103" i="1"/>
  <c r="AJ150" i="4" l="1"/>
  <c r="E103" i="1"/>
  <c r="X97" i="1" l="1"/>
  <c r="AD322" i="1" l="1"/>
  <c r="AA322" i="1"/>
  <c r="Z322" i="1"/>
  <c r="Y322" i="1"/>
  <c r="X322" i="1"/>
  <c r="AD317" i="1"/>
  <c r="AA317" i="1"/>
  <c r="Z317" i="1"/>
  <c r="Y317" i="1"/>
  <c r="X317" i="1"/>
  <c r="AD312" i="1"/>
  <c r="AA312" i="1"/>
  <c r="Z312" i="1"/>
  <c r="Y312" i="1"/>
  <c r="X312" i="1"/>
  <c r="AD308" i="1"/>
  <c r="AA308" i="1"/>
  <c r="Z308" i="1"/>
  <c r="Y308" i="1"/>
  <c r="X308" i="1"/>
  <c r="AD303" i="1"/>
  <c r="AA303" i="1"/>
  <c r="Z303" i="1"/>
  <c r="Y303" i="1"/>
  <c r="X303" i="1"/>
  <c r="AD299" i="1"/>
  <c r="AA299" i="1"/>
  <c r="Z299" i="1"/>
  <c r="Y299" i="1"/>
  <c r="X299" i="1"/>
  <c r="AD294" i="1"/>
  <c r="AA294" i="1"/>
  <c r="Z294" i="1"/>
  <c r="Y294" i="1"/>
  <c r="X294" i="1"/>
  <c r="AD292" i="1"/>
  <c r="AA292" i="1"/>
  <c r="Z292" i="1"/>
  <c r="Y292" i="1"/>
  <c r="X292" i="1"/>
  <c r="AD259" i="1"/>
  <c r="AA259" i="1"/>
  <c r="Z259" i="1"/>
  <c r="Y259" i="1"/>
  <c r="X259" i="1"/>
  <c r="AD235" i="1"/>
  <c r="AA235" i="1"/>
  <c r="Z235" i="1"/>
  <c r="Y235" i="1"/>
  <c r="X235" i="1"/>
  <c r="AD132" i="1"/>
  <c r="AA132" i="1"/>
  <c r="Z132" i="1"/>
  <c r="Y132" i="1"/>
  <c r="X132" i="1"/>
  <c r="AD91" i="1"/>
  <c r="AA91" i="1"/>
  <c r="Z91" i="1"/>
  <c r="Y91" i="1"/>
  <c r="X91" i="1"/>
  <c r="AD82" i="1"/>
  <c r="AA82" i="1"/>
  <c r="Z82" i="1"/>
  <c r="Y82" i="1"/>
  <c r="X82" i="1"/>
  <c r="AD70" i="1"/>
  <c r="AA70" i="1"/>
  <c r="Z70" i="1"/>
  <c r="Y70" i="1"/>
  <c r="X70" i="1"/>
  <c r="AD61" i="1"/>
  <c r="AA61" i="1"/>
  <c r="Z61" i="1"/>
  <c r="Y61" i="1"/>
  <c r="X61" i="1"/>
  <c r="AD34" i="1"/>
  <c r="AA34" i="1"/>
  <c r="Z34" i="1"/>
  <c r="Y34" i="1"/>
  <c r="X34" i="1"/>
  <c r="AD26" i="1"/>
  <c r="AA26" i="1"/>
  <c r="Z26" i="1"/>
  <c r="Y26" i="1"/>
  <c r="X26" i="1"/>
  <c r="AD11" i="1"/>
  <c r="AA11" i="1"/>
  <c r="Z11" i="1"/>
  <c r="Y11" i="1"/>
  <c r="X11" i="1"/>
  <c r="X291" i="1" l="1"/>
  <c r="X323" i="1" s="1"/>
  <c r="AD291" i="1"/>
  <c r="AD323" i="1" s="1"/>
  <c r="AA291" i="1"/>
  <c r="AA323" i="1" s="1"/>
  <c r="Z291" i="1"/>
  <c r="Z323" i="1" s="1"/>
  <c r="Y291" i="1"/>
  <c r="Y323" i="1" s="1"/>
  <c r="AA258" i="1"/>
  <c r="X258" i="1"/>
  <c r="AD258" i="1"/>
  <c r="Z258" i="1"/>
  <c r="Y258" i="1"/>
  <c r="U261" i="1"/>
  <c r="X321" i="1" l="1"/>
  <c r="X324" i="1" s="1"/>
  <c r="AD321" i="1"/>
  <c r="AD324" i="1" s="1"/>
  <c r="AA321" i="1"/>
  <c r="AA324" i="1" s="1"/>
  <c r="Y321" i="1"/>
  <c r="Y324" i="1" s="1"/>
  <c r="Z321" i="1"/>
  <c r="Z324" i="1" s="1"/>
  <c r="U268" i="1"/>
  <c r="L70" i="4"/>
  <c r="U39" i="1" l="1"/>
  <c r="W322" i="1" l="1"/>
  <c r="W317" i="1"/>
  <c r="W312" i="1"/>
  <c r="W308" i="1"/>
  <c r="W303" i="1"/>
  <c r="W299" i="1"/>
  <c r="W294" i="1"/>
  <c r="W292" i="1"/>
  <c r="W259" i="1"/>
  <c r="W235" i="1"/>
  <c r="W132" i="1"/>
  <c r="W91" i="1"/>
  <c r="W82" i="1"/>
  <c r="W70" i="1"/>
  <c r="W61" i="1"/>
  <c r="W34" i="1"/>
  <c r="W26" i="1"/>
  <c r="W11" i="1"/>
  <c r="V322" i="1"/>
  <c r="U322" i="1"/>
  <c r="T322" i="1"/>
  <c r="V317" i="1"/>
  <c r="U317" i="1"/>
  <c r="T317" i="1"/>
  <c r="V312" i="1"/>
  <c r="U312" i="1"/>
  <c r="T312" i="1"/>
  <c r="V308" i="1"/>
  <c r="U308" i="1"/>
  <c r="T308" i="1"/>
  <c r="V303" i="1"/>
  <c r="U303" i="1"/>
  <c r="T303" i="1"/>
  <c r="V299" i="1"/>
  <c r="U299" i="1"/>
  <c r="T299" i="1"/>
  <c r="V294" i="1"/>
  <c r="U294" i="1"/>
  <c r="T294" i="1"/>
  <c r="V292" i="1"/>
  <c r="U292" i="1"/>
  <c r="T292" i="1"/>
  <c r="V259" i="1"/>
  <c r="U259" i="1"/>
  <c r="T259" i="1"/>
  <c r="V235" i="1"/>
  <c r="U235" i="1"/>
  <c r="T235" i="1"/>
  <c r="V132" i="1"/>
  <c r="U132" i="1"/>
  <c r="T132" i="1"/>
  <c r="V91" i="1"/>
  <c r="U91" i="1"/>
  <c r="T91" i="1"/>
  <c r="V82" i="1"/>
  <c r="U82" i="1"/>
  <c r="T82" i="1"/>
  <c r="V70" i="1"/>
  <c r="U70" i="1"/>
  <c r="T70" i="1"/>
  <c r="V61" i="1"/>
  <c r="U61" i="1"/>
  <c r="T61" i="1"/>
  <c r="V34" i="1"/>
  <c r="U34" i="1"/>
  <c r="T34" i="1"/>
  <c r="V26" i="1"/>
  <c r="U26" i="1"/>
  <c r="T26" i="1"/>
  <c r="V11" i="1"/>
  <c r="U11" i="1"/>
  <c r="T11" i="1"/>
  <c r="W291" i="1" l="1"/>
  <c r="W323" i="1" s="1"/>
  <c r="T291" i="1"/>
  <c r="T323" i="1" s="1"/>
  <c r="W258" i="1"/>
  <c r="U291" i="1"/>
  <c r="U323" i="1" s="1"/>
  <c r="V258" i="1"/>
  <c r="V291" i="1"/>
  <c r="V323" i="1" s="1"/>
  <c r="T258" i="1"/>
  <c r="U258" i="1"/>
  <c r="R261" i="1"/>
  <c r="W321" i="1" l="1"/>
  <c r="W324" i="1" s="1"/>
  <c r="T321" i="1"/>
  <c r="T324" i="1" s="1"/>
  <c r="U321" i="1"/>
  <c r="U324" i="1" s="1"/>
  <c r="V321" i="1"/>
  <c r="V324" i="1" s="1"/>
  <c r="CI322" i="1"/>
  <c r="CH322" i="1"/>
  <c r="CG322" i="1"/>
  <c r="CE322" i="1"/>
  <c r="CD322" i="1"/>
  <c r="CC322" i="1"/>
  <c r="CB322" i="1"/>
  <c r="BZ322" i="1"/>
  <c r="BU322" i="1"/>
  <c r="BT322" i="1"/>
  <c r="BS322" i="1"/>
  <c r="BR322" i="1"/>
  <c r="BO322" i="1"/>
  <c r="BN322" i="1"/>
  <c r="BM322" i="1"/>
  <c r="BL322" i="1"/>
  <c r="BK322" i="1"/>
  <c r="BJ322" i="1"/>
  <c r="BI322" i="1"/>
  <c r="BG322" i="1"/>
  <c r="BF322" i="1"/>
  <c r="BE322" i="1"/>
  <c r="BA322" i="1"/>
  <c r="AZ322" i="1"/>
  <c r="AY322" i="1"/>
  <c r="AX322" i="1"/>
  <c r="AW322" i="1"/>
  <c r="AV322" i="1"/>
  <c r="AT322" i="1"/>
  <c r="AS322" i="1"/>
  <c r="AR322" i="1"/>
  <c r="AM322" i="1"/>
  <c r="AL322" i="1"/>
  <c r="S322" i="1"/>
  <c r="O322" i="1"/>
  <c r="N322" i="1"/>
  <c r="L322" i="1"/>
  <c r="K322" i="1"/>
  <c r="J322" i="1"/>
  <c r="I322" i="1"/>
  <c r="CI312" i="1"/>
  <c r="CH312" i="1"/>
  <c r="CG312" i="1"/>
  <c r="CE312" i="1"/>
  <c r="CD312" i="1"/>
  <c r="CC312" i="1"/>
  <c r="CB312" i="1"/>
  <c r="CA312" i="1"/>
  <c r="BZ312" i="1"/>
  <c r="BY312" i="1"/>
  <c r="BV312" i="1"/>
  <c r="BU312" i="1"/>
  <c r="BT312" i="1"/>
  <c r="BS312" i="1"/>
  <c r="BR312" i="1"/>
  <c r="BO312" i="1"/>
  <c r="BN312" i="1"/>
  <c r="BM312" i="1"/>
  <c r="BL312" i="1"/>
  <c r="BK312" i="1"/>
  <c r="BJ312" i="1"/>
  <c r="BI312" i="1"/>
  <c r="BG312" i="1"/>
  <c r="BF312" i="1"/>
  <c r="BE312" i="1"/>
  <c r="BD312" i="1"/>
  <c r="BA312" i="1"/>
  <c r="AZ312" i="1"/>
  <c r="AY312" i="1"/>
  <c r="AX312" i="1"/>
  <c r="AW312" i="1"/>
  <c r="AV312" i="1"/>
  <c r="AT312" i="1"/>
  <c r="AS312" i="1"/>
  <c r="AR312" i="1"/>
  <c r="AQ312" i="1"/>
  <c r="AP312" i="1"/>
  <c r="AM312" i="1"/>
  <c r="AL312" i="1"/>
  <c r="S312" i="1"/>
  <c r="R312" i="1"/>
  <c r="Q312" i="1"/>
  <c r="P312" i="1"/>
  <c r="O312" i="1"/>
  <c r="N312" i="1"/>
  <c r="M312" i="1"/>
  <c r="L312" i="1"/>
  <c r="K312" i="1"/>
  <c r="J312" i="1"/>
  <c r="I312" i="1"/>
  <c r="F312" i="1"/>
  <c r="BX316" i="1"/>
  <c r="BW316" i="1" s="1"/>
  <c r="BQ316" i="1"/>
  <c r="BP316" i="1" s="1"/>
  <c r="BC316" i="1"/>
  <c r="BB316" i="1" s="1"/>
  <c r="AO316" i="1"/>
  <c r="AN316" i="1" s="1"/>
  <c r="H316" i="1"/>
  <c r="G316" i="1" s="1"/>
  <c r="D316" i="1"/>
  <c r="E316" i="1" l="1"/>
  <c r="K91" i="4" l="1"/>
  <c r="K86" i="4" l="1"/>
  <c r="K69" i="4"/>
  <c r="Z73" i="4" l="1"/>
  <c r="K73" i="4"/>
  <c r="R282" i="1"/>
  <c r="R322" i="1" s="1"/>
  <c r="BX59" i="1"/>
  <c r="BW59" i="1" s="1"/>
  <c r="BQ59" i="1"/>
  <c r="BP59" i="1" s="1"/>
  <c r="BC59" i="1"/>
  <c r="BB59" i="1" s="1"/>
  <c r="AO59" i="1"/>
  <c r="AN59" i="1" s="1"/>
  <c r="D315" i="1"/>
  <c r="H59" i="1"/>
  <c r="G59" i="1" s="1"/>
  <c r="D59" i="1"/>
  <c r="E59" i="1" l="1"/>
  <c r="AO315" i="1" l="1"/>
  <c r="BC315" i="1"/>
  <c r="BQ315" i="1"/>
  <c r="BP315" i="1" s="1"/>
  <c r="BX315" i="1"/>
  <c r="BW315" i="1" s="1"/>
  <c r="H315" i="1"/>
  <c r="G315" i="1" l="1"/>
  <c r="AN315" i="1"/>
  <c r="BB315" i="1"/>
  <c r="AQ261" i="1"/>
  <c r="AQ322" i="1" s="1"/>
  <c r="AO154" i="1"/>
  <c r="AN154" i="1" s="1"/>
  <c r="BC154" i="1"/>
  <c r="BB154" i="1" s="1"/>
  <c r="BQ154" i="1"/>
  <c r="BP154" i="1" s="1"/>
  <c r="BX154" i="1"/>
  <c r="BW154" i="1" s="1"/>
  <c r="H154" i="1"/>
  <c r="G154" i="1" s="1"/>
  <c r="E315" i="1" l="1"/>
  <c r="E154" i="1"/>
  <c r="Q261" i="1" l="1"/>
  <c r="Q243" i="1"/>
  <c r="Y73" i="4" l="1"/>
  <c r="J73" i="4"/>
  <c r="Q262" i="1"/>
  <c r="CA263" i="1"/>
  <c r="Q263" i="1"/>
  <c r="Q140" i="1" l="1"/>
  <c r="J70" i="4" l="1"/>
  <c r="Q267" i="1" l="1"/>
  <c r="Q145" i="1" l="1"/>
  <c r="Q322" i="1" s="1"/>
  <c r="J146" i="4"/>
  <c r="CA145" i="1"/>
  <c r="CA322" i="1" s="1"/>
  <c r="S317" i="1" l="1"/>
  <c r="R317" i="1"/>
  <c r="S308" i="1"/>
  <c r="R308" i="1"/>
  <c r="S303" i="1"/>
  <c r="R303" i="1"/>
  <c r="S299" i="1"/>
  <c r="R299" i="1"/>
  <c r="S294" i="1"/>
  <c r="R294" i="1"/>
  <c r="S292" i="1"/>
  <c r="R292" i="1"/>
  <c r="S259" i="1"/>
  <c r="R259" i="1"/>
  <c r="S235" i="1"/>
  <c r="R235" i="1"/>
  <c r="S132" i="1"/>
  <c r="R132" i="1"/>
  <c r="S91" i="1"/>
  <c r="R91" i="1"/>
  <c r="S82" i="1"/>
  <c r="R82" i="1"/>
  <c r="S70" i="1"/>
  <c r="R70" i="1"/>
  <c r="S61" i="1"/>
  <c r="R61" i="1"/>
  <c r="S34" i="1"/>
  <c r="R34" i="1"/>
  <c r="S26" i="1"/>
  <c r="R26" i="1"/>
  <c r="S11" i="1"/>
  <c r="R11" i="1"/>
  <c r="R291" i="1" l="1"/>
  <c r="R323" i="1" s="1"/>
  <c r="S291" i="1"/>
  <c r="S323" i="1" s="1"/>
  <c r="R258" i="1"/>
  <c r="S258" i="1"/>
  <c r="P261" i="1"/>
  <c r="BX89" i="1"/>
  <c r="BW89" i="1" s="1"/>
  <c r="BQ89" i="1"/>
  <c r="BP89" i="1" s="1"/>
  <c r="BC89" i="1"/>
  <c r="BB89" i="1" s="1"/>
  <c r="H89" i="1"/>
  <c r="G89" i="1" s="1"/>
  <c r="AO89" i="1"/>
  <c r="AN89" i="1" s="1"/>
  <c r="D89" i="1"/>
  <c r="S321" i="1" l="1"/>
  <c r="S324" i="1" s="1"/>
  <c r="R321" i="1"/>
  <c r="R324" i="1" s="1"/>
  <c r="E89" i="1"/>
  <c r="P243" i="1" l="1"/>
  <c r="BX87" i="1" l="1"/>
  <c r="BW87" i="1" s="1"/>
  <c r="BQ87" i="1"/>
  <c r="BP87" i="1" s="1"/>
  <c r="BC87" i="1"/>
  <c r="BB87" i="1" s="1"/>
  <c r="AO87" i="1"/>
  <c r="AN87" i="1" s="1"/>
  <c r="H87" i="1"/>
  <c r="G87" i="1" s="1"/>
  <c r="D87" i="1"/>
  <c r="E87" i="1" l="1"/>
  <c r="I69" i="4" l="1"/>
  <c r="X73" i="4"/>
  <c r="W73" i="4"/>
  <c r="I73" i="4"/>
  <c r="P262" i="1"/>
  <c r="P322" i="1" s="1"/>
  <c r="BX179" i="1" l="1"/>
  <c r="BW179" i="1" s="1"/>
  <c r="BQ179" i="1"/>
  <c r="BP179" i="1" s="1"/>
  <c r="BC179" i="1"/>
  <c r="BB179" i="1" s="1"/>
  <c r="AO179" i="1"/>
  <c r="AN179" i="1" s="1"/>
  <c r="H179" i="1"/>
  <c r="G179" i="1" s="1"/>
  <c r="D179" i="1"/>
  <c r="AO126" i="1"/>
  <c r="AN126" i="1" s="1"/>
  <c r="BC126" i="1"/>
  <c r="BB126" i="1" s="1"/>
  <c r="BQ126" i="1"/>
  <c r="BP126" i="1" s="1"/>
  <c r="BX126" i="1"/>
  <c r="BW126" i="1" s="1"/>
  <c r="H126" i="1"/>
  <c r="G126" i="1" s="1"/>
  <c r="D126" i="1"/>
  <c r="BX112" i="1"/>
  <c r="BW112" i="1" s="1"/>
  <c r="BQ112" i="1"/>
  <c r="BP112" i="1" s="1"/>
  <c r="BC112" i="1"/>
  <c r="BB112" i="1" s="1"/>
  <c r="AO112" i="1"/>
  <c r="AN112" i="1" s="1"/>
  <c r="H112" i="1"/>
  <c r="G112" i="1" s="1"/>
  <c r="D112" i="1"/>
  <c r="E179" i="1" l="1"/>
  <c r="E126" i="1"/>
  <c r="E112" i="1"/>
  <c r="AI162" i="4" l="1"/>
  <c r="V162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61" i="4"/>
  <c r="H159" i="4" s="1"/>
  <c r="G162" i="4"/>
  <c r="F162" i="4" s="1"/>
  <c r="U162" i="4" l="1"/>
  <c r="H73" i="4"/>
  <c r="BY264" i="1"/>
  <c r="M262" i="1"/>
  <c r="M264" i="1"/>
  <c r="M268" i="1"/>
  <c r="M261" i="1"/>
  <c r="AJ162" i="4" l="1"/>
  <c r="M282" i="1"/>
  <c r="M283" i="1"/>
  <c r="AI123" i="4"/>
  <c r="V123" i="4"/>
  <c r="U123" i="4" s="1"/>
  <c r="G123" i="4"/>
  <c r="F123" i="4" s="1"/>
  <c r="AJ123" i="4" l="1"/>
  <c r="BD269" i="1" l="1"/>
  <c r="H91" i="4"/>
  <c r="M93" i="1" l="1"/>
  <c r="M76" i="1"/>
  <c r="M226" i="1" l="1"/>
  <c r="BY43" i="1" l="1"/>
  <c r="BY263" i="1"/>
  <c r="H70" i="4"/>
  <c r="M263" i="1"/>
  <c r="M267" i="1"/>
  <c r="BD39" i="1"/>
  <c r="H101" i="4"/>
  <c r="H100" i="4"/>
  <c r="H104" i="4" l="1"/>
  <c r="H103" i="4"/>
  <c r="H102" i="4"/>
  <c r="F261" i="1" l="1"/>
  <c r="AI105" i="4" l="1"/>
  <c r="V105" i="4"/>
  <c r="U105" i="4" s="1"/>
  <c r="G105" i="4"/>
  <c r="F105" i="4" s="1"/>
  <c r="AJ105" i="4" l="1"/>
  <c r="BD270" i="1"/>
  <c r="BY270" i="1"/>
  <c r="BY261" i="1"/>
  <c r="E103" i="4" l="1"/>
  <c r="H265" i="1"/>
  <c r="G265" i="1" s="1"/>
  <c r="E265" i="1" s="1"/>
  <c r="BX272" i="1"/>
  <c r="BW272" i="1" s="1"/>
  <c r="BQ272" i="1"/>
  <c r="BP272" i="1" s="1"/>
  <c r="BC272" i="1"/>
  <c r="BB272" i="1" s="1"/>
  <c r="AO272" i="1"/>
  <c r="AN272" i="1" s="1"/>
  <c r="H272" i="1"/>
  <c r="G272" i="1" s="1"/>
  <c r="AP23" i="1"/>
  <c r="E272" i="1" l="1"/>
  <c r="H69" i="4" l="1"/>
  <c r="H115" i="4"/>
  <c r="F269" i="1" l="1"/>
  <c r="E102" i="4"/>
  <c r="E101" i="4"/>
  <c r="E100" i="4"/>
  <c r="BX184" i="1" l="1"/>
  <c r="BW184" i="1" s="1"/>
  <c r="BQ184" i="1"/>
  <c r="BP184" i="1" s="1"/>
  <c r="BC184" i="1"/>
  <c r="BB184" i="1" s="1"/>
  <c r="AO184" i="1"/>
  <c r="AN184" i="1" s="1"/>
  <c r="H184" i="1"/>
  <c r="G184" i="1" s="1"/>
  <c r="E184" i="1" l="1"/>
  <c r="H110" i="4" l="1"/>
  <c r="AP277" i="1" l="1"/>
  <c r="AP278" i="1"/>
  <c r="AP276" i="1"/>
  <c r="AP322" i="1" s="1"/>
  <c r="H111" i="4"/>
  <c r="H108" i="4"/>
  <c r="H107" i="4"/>
  <c r="BX152" i="1" l="1"/>
  <c r="BW152" i="1" s="1"/>
  <c r="BX153" i="1"/>
  <c r="BW153" i="1" s="1"/>
  <c r="BQ152" i="1"/>
  <c r="BP152" i="1" s="1"/>
  <c r="BQ153" i="1"/>
  <c r="BP153" i="1" s="1"/>
  <c r="BC152" i="1"/>
  <c r="BB152" i="1" s="1"/>
  <c r="BC153" i="1"/>
  <c r="BB153" i="1" s="1"/>
  <c r="AO152" i="1"/>
  <c r="AN152" i="1" s="1"/>
  <c r="AO153" i="1"/>
  <c r="AN153" i="1" s="1"/>
  <c r="H152" i="1"/>
  <c r="G152" i="1" s="1"/>
  <c r="H153" i="1"/>
  <c r="G153" i="1" s="1"/>
  <c r="E153" i="1" l="1"/>
  <c r="E152" i="1"/>
  <c r="H77" i="4" l="1"/>
  <c r="H86" i="4" l="1"/>
  <c r="H95" i="4" l="1"/>
  <c r="H118" i="4" l="1"/>
  <c r="BY262" i="1" l="1"/>
  <c r="BD31" i="1"/>
  <c r="BD322" i="1" s="1"/>
  <c r="H112" i="4" l="1"/>
  <c r="M202" i="1" l="1"/>
  <c r="M322" i="1" s="1"/>
  <c r="BY145" i="1" l="1"/>
  <c r="BY322" i="1" s="1"/>
  <c r="W95" i="4"/>
  <c r="BX66" i="1" l="1"/>
  <c r="BW66" i="1" s="1"/>
  <c r="BQ66" i="1"/>
  <c r="BP66" i="1" s="1"/>
  <c r="BC66" i="1"/>
  <c r="BB66" i="1" s="1"/>
  <c r="AO66" i="1"/>
  <c r="AN66" i="1" s="1"/>
  <c r="H66" i="1"/>
  <c r="G66" i="1" s="1"/>
  <c r="E66" i="1" l="1"/>
  <c r="AI49" i="4" l="1"/>
  <c r="E48" i="4" l="1"/>
  <c r="E46" i="4" s="1"/>
  <c r="AI48" i="4"/>
  <c r="AH48" i="4"/>
  <c r="AH46" i="4" s="1"/>
  <c r="AG48" i="4"/>
  <c r="AG46" i="4" s="1"/>
  <c r="AF48" i="4"/>
  <c r="AF46" i="4" s="1"/>
  <c r="AE48" i="4"/>
  <c r="AE46" i="4" s="1"/>
  <c r="AD48" i="4"/>
  <c r="AD46" i="4" s="1"/>
  <c r="AC48" i="4"/>
  <c r="AC46" i="4" s="1"/>
  <c r="AB48" i="4"/>
  <c r="AB46" i="4" s="1"/>
  <c r="AA48" i="4"/>
  <c r="AA46" i="4" s="1"/>
  <c r="Z48" i="4"/>
  <c r="Z46" i="4" s="1"/>
  <c r="Y48" i="4"/>
  <c r="Y46" i="4" s="1"/>
  <c r="X48" i="4"/>
  <c r="X46" i="4" s="1"/>
  <c r="W48" i="4"/>
  <c r="W46" i="4" s="1"/>
  <c r="V48" i="4"/>
  <c r="U48" i="4"/>
  <c r="T48" i="4"/>
  <c r="T46" i="4" s="1"/>
  <c r="S48" i="4"/>
  <c r="S46" i="4" s="1"/>
  <c r="R48" i="4"/>
  <c r="R46" i="4" s="1"/>
  <c r="Q48" i="4"/>
  <c r="Q46" i="4" s="1"/>
  <c r="P48" i="4"/>
  <c r="P46" i="4" s="1"/>
  <c r="O48" i="4"/>
  <c r="O46" i="4" s="1"/>
  <c r="N48" i="4"/>
  <c r="N46" i="4" s="1"/>
  <c r="M48" i="4"/>
  <c r="M46" i="4" s="1"/>
  <c r="L48" i="4"/>
  <c r="L46" i="4" s="1"/>
  <c r="K48" i="4"/>
  <c r="K46" i="4" s="1"/>
  <c r="J48" i="4"/>
  <c r="J46" i="4" s="1"/>
  <c r="I48" i="4"/>
  <c r="I46" i="4" s="1"/>
  <c r="H48" i="4"/>
  <c r="H46" i="4" s="1"/>
  <c r="G49" i="4"/>
  <c r="F49" i="4" s="1"/>
  <c r="G48" i="4" l="1"/>
  <c r="F48" i="4"/>
  <c r="AJ49" i="4"/>
  <c r="AJ48" i="4" s="1"/>
  <c r="H66" i="4"/>
  <c r="BX214" i="1" l="1"/>
  <c r="BW214" i="1" s="1"/>
  <c r="BQ214" i="1"/>
  <c r="BP214" i="1" s="1"/>
  <c r="BC214" i="1"/>
  <c r="BB214" i="1" s="1"/>
  <c r="AO214" i="1"/>
  <c r="AN214" i="1" s="1"/>
  <c r="H214" i="1"/>
  <c r="G214" i="1" s="1"/>
  <c r="E214" i="1" l="1"/>
  <c r="BX151" i="1" l="1"/>
  <c r="BW151" i="1" s="1"/>
  <c r="BQ151" i="1"/>
  <c r="BP151" i="1" s="1"/>
  <c r="BC151" i="1"/>
  <c r="BB151" i="1" s="1"/>
  <c r="AO151" i="1"/>
  <c r="AN151" i="1" s="1"/>
  <c r="H151" i="1"/>
  <c r="G151" i="1" s="1"/>
  <c r="E151" i="1" l="1"/>
  <c r="BX231" i="1" l="1"/>
  <c r="BW231" i="1" s="1"/>
  <c r="BQ231" i="1"/>
  <c r="BP231" i="1" s="1"/>
  <c r="BC231" i="1"/>
  <c r="BB231" i="1" s="1"/>
  <c r="AO231" i="1"/>
  <c r="AN231" i="1" s="1"/>
  <c r="H231" i="1"/>
  <c r="G231" i="1" s="1"/>
  <c r="E231" i="1" l="1"/>
  <c r="BX230" i="1" l="1"/>
  <c r="BW230" i="1" s="1"/>
  <c r="BQ230" i="1"/>
  <c r="BP230" i="1" s="1"/>
  <c r="BC230" i="1"/>
  <c r="BB230" i="1" s="1"/>
  <c r="AO230" i="1"/>
  <c r="AN230" i="1" s="1"/>
  <c r="H230" i="1"/>
  <c r="G230" i="1" s="1"/>
  <c r="E230" i="1" l="1"/>
  <c r="BX237" i="1" l="1"/>
  <c r="BW237" i="1" s="1"/>
  <c r="BQ237" i="1"/>
  <c r="BP237" i="1" s="1"/>
  <c r="BC237" i="1"/>
  <c r="BB237" i="1" s="1"/>
  <c r="AO237" i="1"/>
  <c r="AN237" i="1" s="1"/>
  <c r="H237" i="1"/>
  <c r="G237" i="1" s="1"/>
  <c r="E237" i="1" l="1"/>
  <c r="BX24" i="1" l="1"/>
  <c r="BW24" i="1" s="1"/>
  <c r="BQ24" i="1"/>
  <c r="BP24" i="1" s="1"/>
  <c r="BC24" i="1"/>
  <c r="BB24" i="1" s="1"/>
  <c r="AO24" i="1"/>
  <c r="AN24" i="1" s="1"/>
  <c r="H24" i="1"/>
  <c r="G24" i="1" s="1"/>
  <c r="D24" i="1"/>
  <c r="E24" i="1" l="1"/>
  <c r="AJ160" i="4" l="1"/>
  <c r="AI156" i="4"/>
  <c r="AI155" i="4"/>
  <c r="AI149" i="4"/>
  <c r="AI148" i="4"/>
  <c r="AI147" i="4"/>
  <c r="AI146" i="4"/>
  <c r="AI145" i="4"/>
  <c r="AI141" i="4"/>
  <c r="AI140" i="4"/>
  <c r="AI129" i="4"/>
  <c r="AI128" i="4"/>
  <c r="AI127" i="4"/>
  <c r="AI126" i="4"/>
  <c r="AI125" i="4"/>
  <c r="AI124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4" i="4"/>
  <c r="AI103" i="4"/>
  <c r="AI102" i="4"/>
  <c r="AI101" i="4"/>
  <c r="AI95" i="4"/>
  <c r="AI94" i="4"/>
  <c r="AI93" i="4" s="1"/>
  <c r="AI91" i="4"/>
  <c r="AI90" i="4"/>
  <c r="AI89" i="4"/>
  <c r="AI87" i="4"/>
  <c r="AI86" i="4"/>
  <c r="AI84" i="4"/>
  <c r="AI83" i="4" s="1"/>
  <c r="AI82" i="4"/>
  <c r="AI81" i="4"/>
  <c r="AI80" i="4"/>
  <c r="AI77" i="4"/>
  <c r="AI76" i="4"/>
  <c r="AI72" i="4"/>
  <c r="AI70" i="4"/>
  <c r="AI69" i="4"/>
  <c r="AI66" i="4"/>
  <c r="AI65" i="4" s="1"/>
  <c r="AI57" i="4"/>
  <c r="AI64" i="4"/>
  <c r="AI63" i="4"/>
  <c r="AI62" i="4"/>
  <c r="AI60" i="4"/>
  <c r="AI55" i="4"/>
  <c r="AI54" i="4" s="1"/>
  <c r="AI53" i="4" s="1"/>
  <c r="AI47" i="4"/>
  <c r="AI46" i="4" s="1"/>
  <c r="AI45" i="4" s="1"/>
  <c r="AI44" i="4"/>
  <c r="AI43" i="4"/>
  <c r="AI42" i="4"/>
  <c r="AI41" i="4"/>
  <c r="AI39" i="4"/>
  <c r="AI37" i="4"/>
  <c r="AI34" i="4"/>
  <c r="AI33" i="4" s="1"/>
  <c r="AI32" i="4" s="1"/>
  <c r="AI31" i="4"/>
  <c r="AI30" i="4" s="1"/>
  <c r="AI29" i="4" s="1"/>
  <c r="AI28" i="4"/>
  <c r="AI27" i="4" s="1"/>
  <c r="AI24" i="4"/>
  <c r="AI22" i="4"/>
  <c r="AI21" i="4"/>
  <c r="AI18" i="4"/>
  <c r="AI14" i="4"/>
  <c r="AI13" i="4"/>
  <c r="V161" i="4"/>
  <c r="V156" i="4"/>
  <c r="U156" i="4" s="1"/>
  <c r="V155" i="4"/>
  <c r="U155" i="4" s="1"/>
  <c r="V149" i="4"/>
  <c r="U149" i="4" s="1"/>
  <c r="V148" i="4"/>
  <c r="U148" i="4" s="1"/>
  <c r="V147" i="4"/>
  <c r="U147" i="4" s="1"/>
  <c r="V146" i="4"/>
  <c r="U146" i="4" s="1"/>
  <c r="V145" i="4"/>
  <c r="U145" i="4" s="1"/>
  <c r="V141" i="4"/>
  <c r="U141" i="4" s="1"/>
  <c r="V140" i="4"/>
  <c r="U14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2" i="4"/>
  <c r="U122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5" i="4"/>
  <c r="U115" i="4" s="1"/>
  <c r="V114" i="4"/>
  <c r="U114" i="4" s="1"/>
  <c r="V113" i="4"/>
  <c r="U113" i="4" s="1"/>
  <c r="V112" i="4"/>
  <c r="U112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4" i="4"/>
  <c r="U104" i="4" s="1"/>
  <c r="V103" i="4"/>
  <c r="U103" i="4" s="1"/>
  <c r="V102" i="4"/>
  <c r="V101" i="4"/>
  <c r="U101" i="4" s="1"/>
  <c r="V100" i="4"/>
  <c r="U100" i="4" s="1"/>
  <c r="V95" i="4"/>
  <c r="U95" i="4" s="1"/>
  <c r="V94" i="4"/>
  <c r="V91" i="4"/>
  <c r="U91" i="4" s="1"/>
  <c r="V90" i="4"/>
  <c r="U90" i="4" s="1"/>
  <c r="V89" i="4"/>
  <c r="U89" i="4" s="1"/>
  <c r="V87" i="4"/>
  <c r="V86" i="4"/>
  <c r="U86" i="4" s="1"/>
  <c r="V84" i="4"/>
  <c r="U84" i="4" s="1"/>
  <c r="U83" i="4" s="1"/>
  <c r="V82" i="4"/>
  <c r="U82" i="4" s="1"/>
  <c r="V81" i="4"/>
  <c r="V80" i="4"/>
  <c r="U80" i="4" s="1"/>
  <c r="V77" i="4"/>
  <c r="U77" i="4" s="1"/>
  <c r="V76" i="4"/>
  <c r="U76" i="4" s="1"/>
  <c r="V73" i="4"/>
  <c r="V72" i="4"/>
  <c r="U72" i="4" s="1"/>
  <c r="V70" i="4"/>
  <c r="U70" i="4" s="1"/>
  <c r="V69" i="4"/>
  <c r="U69" i="4" s="1"/>
  <c r="V66" i="4"/>
  <c r="V57" i="4"/>
  <c r="U57" i="4" s="1"/>
  <c r="V64" i="4"/>
  <c r="U64" i="4" s="1"/>
  <c r="V63" i="4"/>
  <c r="U63" i="4" s="1"/>
  <c r="V62" i="4"/>
  <c r="V60" i="4"/>
  <c r="U60" i="4" s="1"/>
  <c r="V55" i="4"/>
  <c r="V54" i="4" s="1"/>
  <c r="V53" i="4" s="1"/>
  <c r="V52" i="4"/>
  <c r="U52" i="4" s="1"/>
  <c r="U51" i="4" s="1"/>
  <c r="V47" i="4"/>
  <c r="V46" i="4" s="1"/>
  <c r="V44" i="4"/>
  <c r="U44" i="4" s="1"/>
  <c r="V43" i="4"/>
  <c r="U43" i="4" s="1"/>
  <c r="V42" i="4"/>
  <c r="U42" i="4" s="1"/>
  <c r="V41" i="4"/>
  <c r="U41" i="4" s="1"/>
  <c r="V39" i="4"/>
  <c r="V37" i="4"/>
  <c r="U37" i="4" s="1"/>
  <c r="V34" i="4"/>
  <c r="V33" i="4" s="1"/>
  <c r="V32" i="4" s="1"/>
  <c r="V31" i="4"/>
  <c r="V30" i="4" s="1"/>
  <c r="V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U18" i="4" s="1"/>
  <c r="V14" i="4"/>
  <c r="U14" i="4" s="1"/>
  <c r="V13" i="4"/>
  <c r="U13" i="4" s="1"/>
  <c r="G161" i="4"/>
  <c r="G159" i="4" s="1"/>
  <c r="G156" i="4"/>
  <c r="F156" i="4" s="1"/>
  <c r="G155" i="4"/>
  <c r="F155" i="4" s="1"/>
  <c r="G149" i="4"/>
  <c r="F149" i="4" s="1"/>
  <c r="G148" i="4"/>
  <c r="F148" i="4" s="1"/>
  <c r="G147" i="4"/>
  <c r="F147" i="4" s="1"/>
  <c r="G146" i="4"/>
  <c r="F146" i="4" s="1"/>
  <c r="G145" i="4"/>
  <c r="F145" i="4" s="1"/>
  <c r="G141" i="4"/>
  <c r="G140" i="4"/>
  <c r="F140" i="4" s="1"/>
  <c r="G129" i="4"/>
  <c r="F129" i="4" s="1"/>
  <c r="G128" i="4"/>
  <c r="G127" i="4"/>
  <c r="F127" i="4" s="1"/>
  <c r="G126" i="4"/>
  <c r="F126" i="4" s="1"/>
  <c r="G125" i="4"/>
  <c r="F125" i="4" s="1"/>
  <c r="G124" i="4"/>
  <c r="F124" i="4" s="1"/>
  <c r="G122" i="4"/>
  <c r="F122" i="4" s="1"/>
  <c r="G121" i="4"/>
  <c r="F121" i="4" s="1"/>
  <c r="G120" i="4"/>
  <c r="F120" i="4" s="1"/>
  <c r="G119" i="4"/>
  <c r="F119" i="4" s="1"/>
  <c r="G118" i="4"/>
  <c r="F118" i="4" s="1"/>
  <c r="G117" i="4"/>
  <c r="F117" i="4" s="1"/>
  <c r="G116" i="4"/>
  <c r="F116" i="4" s="1"/>
  <c r="G115" i="4"/>
  <c r="F115" i="4" s="1"/>
  <c r="G114" i="4"/>
  <c r="F114" i="4" s="1"/>
  <c r="G113" i="4"/>
  <c r="F113" i="4" s="1"/>
  <c r="G112" i="4"/>
  <c r="F112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4" i="4"/>
  <c r="F104" i="4" s="1"/>
  <c r="G103" i="4"/>
  <c r="F103" i="4" s="1"/>
  <c r="G102" i="4"/>
  <c r="F102" i="4" s="1"/>
  <c r="G101" i="4"/>
  <c r="F101" i="4" s="1"/>
  <c r="G100" i="4"/>
  <c r="G95" i="4"/>
  <c r="F95" i="4" s="1"/>
  <c r="G94" i="4"/>
  <c r="F94" i="4" s="1"/>
  <c r="F93" i="4" s="1"/>
  <c r="G91" i="4"/>
  <c r="F91" i="4" s="1"/>
  <c r="G90" i="4"/>
  <c r="F90" i="4" s="1"/>
  <c r="G89" i="4"/>
  <c r="F89" i="4" s="1"/>
  <c r="G87" i="4"/>
  <c r="F87" i="4" s="1"/>
  <c r="G86" i="4"/>
  <c r="F86" i="4" s="1"/>
  <c r="G84" i="4"/>
  <c r="F84" i="4" s="1"/>
  <c r="F83" i="4" s="1"/>
  <c r="G82" i="4"/>
  <c r="F82" i="4" s="1"/>
  <c r="G81" i="4"/>
  <c r="F81" i="4" s="1"/>
  <c r="G80" i="4"/>
  <c r="G77" i="4"/>
  <c r="F77" i="4" s="1"/>
  <c r="G76" i="4"/>
  <c r="F76" i="4" s="1"/>
  <c r="G73" i="4"/>
  <c r="G72" i="4"/>
  <c r="G70" i="4"/>
  <c r="F70" i="4" s="1"/>
  <c r="G69" i="4"/>
  <c r="F69" i="4" s="1"/>
  <c r="G66" i="4"/>
  <c r="F66" i="4" s="1"/>
  <c r="F65" i="4" s="1"/>
  <c r="G64" i="4"/>
  <c r="F64" i="4" s="1"/>
  <c r="G63" i="4"/>
  <c r="F63" i="4" s="1"/>
  <c r="G62" i="4"/>
  <c r="F62" i="4" s="1"/>
  <c r="G60" i="4"/>
  <c r="F60" i="4" s="1"/>
  <c r="G59" i="4"/>
  <c r="G58" i="4" s="1"/>
  <c r="G57" i="4"/>
  <c r="F57" i="4" s="1"/>
  <c r="G55" i="4"/>
  <c r="F55" i="4" s="1"/>
  <c r="F54" i="4" s="1"/>
  <c r="F53" i="4" s="1"/>
  <c r="G52" i="4"/>
  <c r="G47" i="4"/>
  <c r="G44" i="4"/>
  <c r="F44" i="4" s="1"/>
  <c r="G43" i="4"/>
  <c r="F43" i="4" s="1"/>
  <c r="G42" i="4"/>
  <c r="F42" i="4" s="1"/>
  <c r="G41" i="4"/>
  <c r="G39" i="4"/>
  <c r="F39" i="4" s="1"/>
  <c r="G37" i="4"/>
  <c r="F37" i="4" s="1"/>
  <c r="G34" i="4"/>
  <c r="F34" i="4" s="1"/>
  <c r="F33" i="4" s="1"/>
  <c r="F32" i="4" s="1"/>
  <c r="G31" i="4"/>
  <c r="G28" i="4"/>
  <c r="F28" i="4" s="1"/>
  <c r="F27" i="4" s="1"/>
  <c r="G25" i="4"/>
  <c r="G24" i="4"/>
  <c r="F24" i="4" s="1"/>
  <c r="G22" i="4"/>
  <c r="F22" i="4" s="1"/>
  <c r="G21" i="4"/>
  <c r="F21" i="4" s="1"/>
  <c r="G19" i="4"/>
  <c r="G18" i="4"/>
  <c r="F18" i="4" s="1"/>
  <c r="G14" i="4"/>
  <c r="F14" i="4" s="1"/>
  <c r="G13" i="4"/>
  <c r="F13" i="4" s="1"/>
  <c r="F128" i="4"/>
  <c r="AG158" i="4"/>
  <c r="AF158" i="4"/>
  <c r="AE158" i="4"/>
  <c r="AD158" i="4"/>
  <c r="AC158" i="4"/>
  <c r="AB158" i="4"/>
  <c r="AA158" i="4"/>
  <c r="Z158" i="4"/>
  <c r="Y158" i="4"/>
  <c r="X158" i="4"/>
  <c r="W158" i="4"/>
  <c r="AG154" i="4"/>
  <c r="AF154" i="4"/>
  <c r="AE154" i="4"/>
  <c r="AD154" i="4"/>
  <c r="AC154" i="4"/>
  <c r="AB154" i="4"/>
  <c r="AA154" i="4"/>
  <c r="Z154" i="4"/>
  <c r="Y154" i="4"/>
  <c r="X154" i="4"/>
  <c r="W154" i="4"/>
  <c r="AG143" i="4"/>
  <c r="AF143" i="4"/>
  <c r="AE143" i="4"/>
  <c r="AD143" i="4"/>
  <c r="AC143" i="4"/>
  <c r="AB143" i="4"/>
  <c r="AA143" i="4"/>
  <c r="Z143" i="4"/>
  <c r="Y143" i="4"/>
  <c r="X143" i="4"/>
  <c r="W143" i="4"/>
  <c r="AG138" i="4"/>
  <c r="AF138" i="4"/>
  <c r="AE138" i="4"/>
  <c r="AD138" i="4"/>
  <c r="AC138" i="4"/>
  <c r="AB138" i="4"/>
  <c r="AA138" i="4"/>
  <c r="Z138" i="4"/>
  <c r="Y138" i="4"/>
  <c r="X138" i="4"/>
  <c r="W138" i="4"/>
  <c r="AG99" i="4"/>
  <c r="AF99" i="4"/>
  <c r="AE99" i="4"/>
  <c r="AD99" i="4"/>
  <c r="AC99" i="4"/>
  <c r="AB99" i="4"/>
  <c r="AA99" i="4"/>
  <c r="Z99" i="4"/>
  <c r="Y99" i="4"/>
  <c r="X99" i="4"/>
  <c r="W99" i="4"/>
  <c r="AG93" i="4"/>
  <c r="AG92" i="4" s="1"/>
  <c r="AF93" i="4"/>
  <c r="AF92" i="4" s="1"/>
  <c r="AE93" i="4"/>
  <c r="AE92" i="4" s="1"/>
  <c r="AD93" i="4"/>
  <c r="AD92" i="4" s="1"/>
  <c r="AC93" i="4"/>
  <c r="AC92" i="4" s="1"/>
  <c r="AB93" i="4"/>
  <c r="AB92" i="4" s="1"/>
  <c r="AA93" i="4"/>
  <c r="AA92" i="4" s="1"/>
  <c r="Z93" i="4"/>
  <c r="Z92" i="4" s="1"/>
  <c r="Y93" i="4"/>
  <c r="Y92" i="4" s="1"/>
  <c r="X93" i="4"/>
  <c r="X92" i="4" s="1"/>
  <c r="W93" i="4"/>
  <c r="W92" i="4" s="1"/>
  <c r="AG88" i="4"/>
  <c r="AF88" i="4"/>
  <c r="AE88" i="4"/>
  <c r="AD88" i="4"/>
  <c r="AC88" i="4"/>
  <c r="AB88" i="4"/>
  <c r="AA88" i="4"/>
  <c r="Z88" i="4"/>
  <c r="Y88" i="4"/>
  <c r="X88" i="4"/>
  <c r="W88" i="4"/>
  <c r="AG85" i="4"/>
  <c r="AF85" i="4"/>
  <c r="AE85" i="4"/>
  <c r="AD85" i="4"/>
  <c r="AC85" i="4"/>
  <c r="AB85" i="4"/>
  <c r="AA85" i="4"/>
  <c r="Z85" i="4"/>
  <c r="Y85" i="4"/>
  <c r="X85" i="4"/>
  <c r="W85" i="4"/>
  <c r="AG83" i="4"/>
  <c r="AF83" i="4"/>
  <c r="AE83" i="4"/>
  <c r="AD83" i="4"/>
  <c r="AC83" i="4"/>
  <c r="AB83" i="4"/>
  <c r="AA83" i="4"/>
  <c r="Z83" i="4"/>
  <c r="Y83" i="4"/>
  <c r="X83" i="4"/>
  <c r="W83" i="4"/>
  <c r="AG79" i="4"/>
  <c r="AF79" i="4"/>
  <c r="AE79" i="4"/>
  <c r="AD79" i="4"/>
  <c r="AC79" i="4"/>
  <c r="AB79" i="4"/>
  <c r="AA79" i="4"/>
  <c r="Z79" i="4"/>
  <c r="Y79" i="4"/>
  <c r="X79" i="4"/>
  <c r="W79" i="4"/>
  <c r="AG75" i="4"/>
  <c r="AF75" i="4"/>
  <c r="AE75" i="4"/>
  <c r="AD75" i="4"/>
  <c r="AC75" i="4"/>
  <c r="AB75" i="4"/>
  <c r="AA75" i="4"/>
  <c r="Z75" i="4"/>
  <c r="Y75" i="4"/>
  <c r="X75" i="4"/>
  <c r="W75" i="4"/>
  <c r="AG71" i="4"/>
  <c r="AF71" i="4"/>
  <c r="AE71" i="4"/>
  <c r="AD71" i="4"/>
  <c r="AC71" i="4"/>
  <c r="AB71" i="4"/>
  <c r="AA71" i="4"/>
  <c r="Z71" i="4"/>
  <c r="Y71" i="4"/>
  <c r="X71" i="4"/>
  <c r="W71" i="4"/>
  <c r="AG68" i="4"/>
  <c r="AG67" i="4" s="1"/>
  <c r="AF68" i="4"/>
  <c r="AF67" i="4" s="1"/>
  <c r="AE68" i="4"/>
  <c r="AE67" i="4" s="1"/>
  <c r="AD68" i="4"/>
  <c r="AD67" i="4" s="1"/>
  <c r="AC68" i="4"/>
  <c r="AC67" i="4" s="1"/>
  <c r="AB68" i="4"/>
  <c r="AB67" i="4" s="1"/>
  <c r="AA68" i="4"/>
  <c r="AA67" i="4" s="1"/>
  <c r="Z68" i="4"/>
  <c r="Z67" i="4" s="1"/>
  <c r="Y68" i="4"/>
  <c r="Y67" i="4" s="1"/>
  <c r="X68" i="4"/>
  <c r="X67" i="4" s="1"/>
  <c r="W68" i="4"/>
  <c r="W67" i="4" s="1"/>
  <c r="AG65" i="4"/>
  <c r="AF65" i="4"/>
  <c r="AE65" i="4"/>
  <c r="AD65" i="4"/>
  <c r="AC65" i="4"/>
  <c r="AB65" i="4"/>
  <c r="AA65" i="4"/>
  <c r="Z65" i="4"/>
  <c r="Y65" i="4"/>
  <c r="X65" i="4"/>
  <c r="W65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51" i="4"/>
  <c r="AF51" i="4"/>
  <c r="AE51" i="4"/>
  <c r="AD51" i="4"/>
  <c r="AC51" i="4"/>
  <c r="AB51" i="4"/>
  <c r="AA51" i="4"/>
  <c r="Z51" i="4"/>
  <c r="Y51" i="4"/>
  <c r="X51" i="4"/>
  <c r="W51" i="4"/>
  <c r="AF45" i="4"/>
  <c r="AE45" i="4"/>
  <c r="AD45" i="4"/>
  <c r="AA45" i="4"/>
  <c r="Z45" i="4"/>
  <c r="X45" i="4"/>
  <c r="W45" i="4"/>
  <c r="AG45" i="4"/>
  <c r="AC45" i="4"/>
  <c r="AB45" i="4"/>
  <c r="Y45" i="4"/>
  <c r="AG40" i="4"/>
  <c r="AF40" i="4"/>
  <c r="AE40" i="4"/>
  <c r="AD40" i="4"/>
  <c r="AC40" i="4"/>
  <c r="AB40" i="4"/>
  <c r="AA40" i="4"/>
  <c r="Z40" i="4"/>
  <c r="Y40" i="4"/>
  <c r="X40" i="4"/>
  <c r="W40" i="4"/>
  <c r="AG36" i="4"/>
  <c r="AF36" i="4"/>
  <c r="AE36" i="4"/>
  <c r="AD36" i="4"/>
  <c r="AC36" i="4"/>
  <c r="AB36" i="4"/>
  <c r="AA36" i="4"/>
  <c r="Z36" i="4"/>
  <c r="Y36" i="4"/>
  <c r="X36" i="4"/>
  <c r="W36" i="4"/>
  <c r="AG33" i="4"/>
  <c r="AG32" i="4" s="1"/>
  <c r="AF33" i="4"/>
  <c r="AF32" i="4" s="1"/>
  <c r="AE33" i="4"/>
  <c r="AE32" i="4" s="1"/>
  <c r="AD33" i="4"/>
  <c r="AD32" i="4" s="1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G27" i="4"/>
  <c r="AF27" i="4"/>
  <c r="AE27" i="4"/>
  <c r="AD27" i="4"/>
  <c r="AC27" i="4"/>
  <c r="AB27" i="4"/>
  <c r="AA27" i="4"/>
  <c r="Z27" i="4"/>
  <c r="Y27" i="4"/>
  <c r="X27" i="4"/>
  <c r="W27" i="4"/>
  <c r="AG23" i="4"/>
  <c r="AF23" i="4"/>
  <c r="AE23" i="4"/>
  <c r="AD23" i="4"/>
  <c r="AC23" i="4"/>
  <c r="AB23" i="4"/>
  <c r="AA23" i="4"/>
  <c r="Z23" i="4"/>
  <c r="Y23" i="4"/>
  <c r="X23" i="4"/>
  <c r="W23" i="4"/>
  <c r="AG20" i="4"/>
  <c r="AF20" i="4"/>
  <c r="AE20" i="4"/>
  <c r="AD20" i="4"/>
  <c r="AC20" i="4"/>
  <c r="AB20" i="4"/>
  <c r="AA20" i="4"/>
  <c r="Z20" i="4"/>
  <c r="Y20" i="4"/>
  <c r="X20" i="4"/>
  <c r="W20" i="4"/>
  <c r="AG17" i="4"/>
  <c r="AF17" i="4"/>
  <c r="AE17" i="4"/>
  <c r="AD17" i="4"/>
  <c r="AC17" i="4"/>
  <c r="AB17" i="4"/>
  <c r="AA17" i="4"/>
  <c r="Z17" i="4"/>
  <c r="Y17" i="4"/>
  <c r="X17" i="4"/>
  <c r="W17" i="4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H158" i="4"/>
  <c r="AH154" i="4"/>
  <c r="AH143" i="4"/>
  <c r="AH138" i="4"/>
  <c r="AH132" i="4" s="1"/>
  <c r="AH99" i="4"/>
  <c r="AH93" i="4"/>
  <c r="AH92" i="4" s="1"/>
  <c r="AH88" i="4"/>
  <c r="AH85" i="4"/>
  <c r="AH83" i="4"/>
  <c r="AH79" i="4"/>
  <c r="AH75" i="4"/>
  <c r="AH71" i="4"/>
  <c r="AH68" i="4"/>
  <c r="AH67" i="4" s="1"/>
  <c r="AH65" i="4"/>
  <c r="AH61" i="4"/>
  <c r="AH58" i="4"/>
  <c r="V58" i="4"/>
  <c r="U58" i="4"/>
  <c r="AH54" i="4"/>
  <c r="AH53" i="4" s="1"/>
  <c r="AH51" i="4"/>
  <c r="AH45" i="4"/>
  <c r="AH40" i="4"/>
  <c r="AH36" i="4"/>
  <c r="AH33" i="4"/>
  <c r="AH32" i="4" s="1"/>
  <c r="AH30" i="4"/>
  <c r="AH29" i="4" s="1"/>
  <c r="AH27" i="4"/>
  <c r="AH23" i="4"/>
  <c r="AH20" i="4"/>
  <c r="AH17" i="4"/>
  <c r="AH12" i="4"/>
  <c r="AH11" i="4" s="1"/>
  <c r="AH10" i="4" s="1"/>
  <c r="R158" i="4"/>
  <c r="Q158" i="4"/>
  <c r="P158" i="4"/>
  <c r="O158" i="4"/>
  <c r="M158" i="4"/>
  <c r="L158" i="4"/>
  <c r="K158" i="4"/>
  <c r="J158" i="4"/>
  <c r="I158" i="4"/>
  <c r="H158" i="4"/>
  <c r="N158" i="4"/>
  <c r="R154" i="4"/>
  <c r="Q154" i="4"/>
  <c r="P154" i="4"/>
  <c r="O154" i="4"/>
  <c r="N154" i="4"/>
  <c r="M154" i="4"/>
  <c r="L154" i="4"/>
  <c r="K154" i="4"/>
  <c r="J154" i="4"/>
  <c r="I154" i="4"/>
  <c r="H154" i="4"/>
  <c r="R143" i="4"/>
  <c r="Q143" i="4"/>
  <c r="P143" i="4"/>
  <c r="O143" i="4"/>
  <c r="N143" i="4"/>
  <c r="M143" i="4"/>
  <c r="L143" i="4"/>
  <c r="K143" i="4"/>
  <c r="J143" i="4"/>
  <c r="I143" i="4"/>
  <c r="H143" i="4"/>
  <c r="R138" i="4"/>
  <c r="Q138" i="4"/>
  <c r="P138" i="4"/>
  <c r="O138" i="4"/>
  <c r="N138" i="4"/>
  <c r="M138" i="4"/>
  <c r="L138" i="4"/>
  <c r="K138" i="4"/>
  <c r="J138" i="4"/>
  <c r="I138" i="4"/>
  <c r="H138" i="4"/>
  <c r="R99" i="4"/>
  <c r="Q99" i="4"/>
  <c r="P99" i="4"/>
  <c r="O99" i="4"/>
  <c r="N99" i="4"/>
  <c r="M99" i="4"/>
  <c r="L99" i="4"/>
  <c r="K99" i="4"/>
  <c r="J99" i="4"/>
  <c r="I99" i="4"/>
  <c r="H99" i="4"/>
  <c r="R93" i="4"/>
  <c r="R92" i="4" s="1"/>
  <c r="Q93" i="4"/>
  <c r="Q92" i="4" s="1"/>
  <c r="P93" i="4"/>
  <c r="P92" i="4" s="1"/>
  <c r="O93" i="4"/>
  <c r="O92" i="4" s="1"/>
  <c r="N93" i="4"/>
  <c r="N92" i="4" s="1"/>
  <c r="M93" i="4"/>
  <c r="M92" i="4" s="1"/>
  <c r="L93" i="4"/>
  <c r="L92" i="4" s="1"/>
  <c r="K93" i="4"/>
  <c r="K92" i="4" s="1"/>
  <c r="J93" i="4"/>
  <c r="J92" i="4" s="1"/>
  <c r="I93" i="4"/>
  <c r="I92" i="4" s="1"/>
  <c r="H93" i="4"/>
  <c r="H92" i="4" s="1"/>
  <c r="R88" i="4"/>
  <c r="Q88" i="4"/>
  <c r="P88" i="4"/>
  <c r="O88" i="4"/>
  <c r="N88" i="4"/>
  <c r="M88" i="4"/>
  <c r="L88" i="4"/>
  <c r="K88" i="4"/>
  <c r="J88" i="4"/>
  <c r="I88" i="4"/>
  <c r="H88" i="4"/>
  <c r="R85" i="4"/>
  <c r="Q85" i="4"/>
  <c r="P85" i="4"/>
  <c r="O85" i="4"/>
  <c r="N85" i="4"/>
  <c r="M85" i="4"/>
  <c r="L85" i="4"/>
  <c r="K85" i="4"/>
  <c r="J85" i="4"/>
  <c r="I85" i="4"/>
  <c r="H85" i="4"/>
  <c r="R83" i="4"/>
  <c r="Q83" i="4"/>
  <c r="P83" i="4"/>
  <c r="O83" i="4"/>
  <c r="N83" i="4"/>
  <c r="M83" i="4"/>
  <c r="L83" i="4"/>
  <c r="K83" i="4"/>
  <c r="J83" i="4"/>
  <c r="I83" i="4"/>
  <c r="H83" i="4"/>
  <c r="R79" i="4"/>
  <c r="Q79" i="4"/>
  <c r="P79" i="4"/>
  <c r="O79" i="4"/>
  <c r="N79" i="4"/>
  <c r="M79" i="4"/>
  <c r="L79" i="4"/>
  <c r="K79" i="4"/>
  <c r="J79" i="4"/>
  <c r="I79" i="4"/>
  <c r="H79" i="4"/>
  <c r="R75" i="4"/>
  <c r="Q75" i="4"/>
  <c r="P75" i="4"/>
  <c r="O75" i="4"/>
  <c r="N75" i="4"/>
  <c r="M75" i="4"/>
  <c r="L75" i="4"/>
  <c r="K75" i="4"/>
  <c r="J75" i="4"/>
  <c r="I75" i="4"/>
  <c r="H75" i="4"/>
  <c r="R71" i="4"/>
  <c r="Q71" i="4"/>
  <c r="P71" i="4"/>
  <c r="O71" i="4"/>
  <c r="N71" i="4"/>
  <c r="M71" i="4"/>
  <c r="L71" i="4"/>
  <c r="K71" i="4"/>
  <c r="J71" i="4"/>
  <c r="I71" i="4"/>
  <c r="H71" i="4"/>
  <c r="R68" i="4"/>
  <c r="R67" i="4" s="1"/>
  <c r="Q68" i="4"/>
  <c r="Q67" i="4" s="1"/>
  <c r="P68" i="4"/>
  <c r="P67" i="4" s="1"/>
  <c r="O68" i="4"/>
  <c r="O67" i="4" s="1"/>
  <c r="N68" i="4"/>
  <c r="N67" i="4" s="1"/>
  <c r="M68" i="4"/>
  <c r="M67" i="4" s="1"/>
  <c r="L68" i="4"/>
  <c r="L67" i="4" s="1"/>
  <c r="K68" i="4"/>
  <c r="K67" i="4" s="1"/>
  <c r="J68" i="4"/>
  <c r="J67" i="4" s="1"/>
  <c r="I68" i="4"/>
  <c r="I67" i="4" s="1"/>
  <c r="H68" i="4"/>
  <c r="H67" i="4" s="1"/>
  <c r="R65" i="4"/>
  <c r="Q65" i="4"/>
  <c r="P65" i="4"/>
  <c r="O65" i="4"/>
  <c r="N65" i="4"/>
  <c r="M65" i="4"/>
  <c r="L65" i="4"/>
  <c r="K65" i="4"/>
  <c r="J65" i="4"/>
  <c r="I65" i="4"/>
  <c r="H65" i="4"/>
  <c r="R61" i="4"/>
  <c r="Q61" i="4"/>
  <c r="P61" i="4"/>
  <c r="O61" i="4"/>
  <c r="N61" i="4"/>
  <c r="M61" i="4"/>
  <c r="L61" i="4"/>
  <c r="K61" i="4"/>
  <c r="J61" i="4"/>
  <c r="I61" i="4"/>
  <c r="H61" i="4"/>
  <c r="R58" i="4"/>
  <c r="Q58" i="4"/>
  <c r="P58" i="4"/>
  <c r="O58" i="4"/>
  <c r="N58" i="4"/>
  <c r="M58" i="4"/>
  <c r="L58" i="4"/>
  <c r="K58" i="4"/>
  <c r="J58" i="4"/>
  <c r="I58" i="4"/>
  <c r="H58" i="4"/>
  <c r="R54" i="4"/>
  <c r="R53" i="4" s="1"/>
  <c r="Q54" i="4"/>
  <c r="Q53" i="4" s="1"/>
  <c r="P54" i="4"/>
  <c r="P53" i="4" s="1"/>
  <c r="O54" i="4"/>
  <c r="O53" i="4" s="1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R51" i="4"/>
  <c r="Q51" i="4"/>
  <c r="P51" i="4"/>
  <c r="O51" i="4"/>
  <c r="N51" i="4"/>
  <c r="M51" i="4"/>
  <c r="L51" i="4"/>
  <c r="K51" i="4"/>
  <c r="J51" i="4"/>
  <c r="I51" i="4"/>
  <c r="H51" i="4"/>
  <c r="R45" i="4"/>
  <c r="Q45" i="4"/>
  <c r="P45" i="4"/>
  <c r="O45" i="4"/>
  <c r="N45" i="4"/>
  <c r="M45" i="4"/>
  <c r="L45" i="4"/>
  <c r="K45" i="4"/>
  <c r="J45" i="4"/>
  <c r="I45" i="4"/>
  <c r="H45" i="4"/>
  <c r="R40" i="4"/>
  <c r="Q40" i="4"/>
  <c r="P40" i="4"/>
  <c r="O40" i="4"/>
  <c r="N40" i="4"/>
  <c r="M40" i="4"/>
  <c r="L40" i="4"/>
  <c r="K40" i="4"/>
  <c r="J40" i="4"/>
  <c r="I40" i="4"/>
  <c r="H40" i="4"/>
  <c r="R36" i="4"/>
  <c r="Q36" i="4"/>
  <c r="P36" i="4"/>
  <c r="O36" i="4"/>
  <c r="N36" i="4"/>
  <c r="M36" i="4"/>
  <c r="L36" i="4"/>
  <c r="K36" i="4"/>
  <c r="J36" i="4"/>
  <c r="I36" i="4"/>
  <c r="H36" i="4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R27" i="4"/>
  <c r="Q27" i="4"/>
  <c r="P27" i="4"/>
  <c r="O27" i="4"/>
  <c r="N27" i="4"/>
  <c r="M27" i="4"/>
  <c r="L27" i="4"/>
  <c r="K27" i="4"/>
  <c r="J27" i="4"/>
  <c r="I27" i="4"/>
  <c r="H27" i="4"/>
  <c r="R23" i="4"/>
  <c r="Q23" i="4"/>
  <c r="P23" i="4"/>
  <c r="O23" i="4"/>
  <c r="N23" i="4"/>
  <c r="M23" i="4"/>
  <c r="L23" i="4"/>
  <c r="K23" i="4"/>
  <c r="J23" i="4"/>
  <c r="I23" i="4"/>
  <c r="H23" i="4"/>
  <c r="R20" i="4"/>
  <c r="Q20" i="4"/>
  <c r="P20" i="4"/>
  <c r="O20" i="4"/>
  <c r="N20" i="4"/>
  <c r="M20" i="4"/>
  <c r="L20" i="4"/>
  <c r="K20" i="4"/>
  <c r="J20" i="4"/>
  <c r="I20" i="4"/>
  <c r="H20" i="4"/>
  <c r="R17" i="4"/>
  <c r="Q17" i="4"/>
  <c r="P17" i="4"/>
  <c r="O17" i="4"/>
  <c r="N17" i="4"/>
  <c r="M17" i="4"/>
  <c r="L17" i="4"/>
  <c r="K17" i="4"/>
  <c r="J17" i="4"/>
  <c r="I17" i="4"/>
  <c r="H17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H132" i="4" l="1"/>
  <c r="L132" i="4"/>
  <c r="P132" i="4"/>
  <c r="Y132" i="4"/>
  <c r="Y131" i="4" s="1"/>
  <c r="AC132" i="4"/>
  <c r="AG132" i="4"/>
  <c r="M132" i="4"/>
  <c r="J132" i="4"/>
  <c r="J131" i="4" s="1"/>
  <c r="N132" i="4"/>
  <c r="R132" i="4"/>
  <c r="R131" i="4" s="1"/>
  <c r="W132" i="4"/>
  <c r="W131" i="4" s="1"/>
  <c r="AA132" i="4"/>
  <c r="AA131" i="4" s="1"/>
  <c r="AE132" i="4"/>
  <c r="AE131" i="4" s="1"/>
  <c r="I132" i="4"/>
  <c r="I131" i="4" s="1"/>
  <c r="Q132" i="4"/>
  <c r="Z132" i="4"/>
  <c r="Z131" i="4" s="1"/>
  <c r="AD132" i="4"/>
  <c r="K132" i="4"/>
  <c r="K131" i="4" s="1"/>
  <c r="O132" i="4"/>
  <c r="X132" i="4"/>
  <c r="X131" i="4" s="1"/>
  <c r="AB132" i="4"/>
  <c r="AB131" i="4" s="1"/>
  <c r="AF132" i="4"/>
  <c r="AF131" i="4" s="1"/>
  <c r="AJ37" i="4"/>
  <c r="V83" i="4"/>
  <c r="AJ117" i="4"/>
  <c r="AJ104" i="4"/>
  <c r="AJ140" i="4"/>
  <c r="AC26" i="4"/>
  <c r="AJ43" i="4"/>
  <c r="AJ90" i="4"/>
  <c r="AJ109" i="4"/>
  <c r="AJ121" i="4"/>
  <c r="AB26" i="4"/>
  <c r="U161" i="4"/>
  <c r="V159" i="4"/>
  <c r="V158" i="4" s="1"/>
  <c r="AJ113" i="4"/>
  <c r="AJ126" i="4"/>
  <c r="AJ156" i="4"/>
  <c r="V51" i="4"/>
  <c r="V154" i="4"/>
  <c r="AJ155" i="4"/>
  <c r="AJ69" i="4"/>
  <c r="AJ76" i="4"/>
  <c r="AJ146" i="4"/>
  <c r="AJ89" i="4"/>
  <c r="U34" i="4"/>
  <c r="U33" i="4" s="1"/>
  <c r="U32" i="4" s="1"/>
  <c r="AJ83" i="4"/>
  <c r="AJ103" i="4"/>
  <c r="AJ120" i="4"/>
  <c r="AI20" i="4"/>
  <c r="AI85" i="4"/>
  <c r="AJ77" i="4"/>
  <c r="V68" i="4"/>
  <c r="V67" i="4" s="1"/>
  <c r="V17" i="4"/>
  <c r="V36" i="4"/>
  <c r="AJ70" i="4"/>
  <c r="V23" i="4"/>
  <c r="V75" i="4"/>
  <c r="AJ18" i="4"/>
  <c r="AJ82" i="4"/>
  <c r="AJ108" i="4"/>
  <c r="AJ125" i="4"/>
  <c r="G65" i="4"/>
  <c r="AJ124" i="4"/>
  <c r="AJ14" i="4"/>
  <c r="U55" i="4"/>
  <c r="U54" i="4" s="1"/>
  <c r="U53" i="4" s="1"/>
  <c r="U50" i="4" s="1"/>
  <c r="H50" i="4"/>
  <c r="L50" i="4"/>
  <c r="P50" i="4"/>
  <c r="AJ63" i="4"/>
  <c r="W35" i="4"/>
  <c r="W56" i="4"/>
  <c r="AE56" i="4"/>
  <c r="AJ107" i="4"/>
  <c r="AJ115" i="4"/>
  <c r="AA56" i="4"/>
  <c r="AB78" i="4"/>
  <c r="AB74" i="4" s="1"/>
  <c r="Z35" i="4"/>
  <c r="AI79" i="4"/>
  <c r="X50" i="4"/>
  <c r="AB50" i="4"/>
  <c r="G23" i="4"/>
  <c r="N35" i="4"/>
  <c r="O35" i="4"/>
  <c r="AD131" i="4"/>
  <c r="AJ116" i="4"/>
  <c r="G83" i="4"/>
  <c r="AI12" i="4"/>
  <c r="AI11" i="4" s="1"/>
  <c r="AI10" i="4" s="1"/>
  <c r="AI138" i="4"/>
  <c r="V27" i="4"/>
  <c r="V26" i="4" s="1"/>
  <c r="AJ149" i="4"/>
  <c r="G27" i="4"/>
  <c r="AJ112" i="4"/>
  <c r="AJ129" i="4"/>
  <c r="G154" i="4"/>
  <c r="W50" i="4"/>
  <c r="G93" i="4"/>
  <c r="G92" i="4" s="1"/>
  <c r="F47" i="4"/>
  <c r="G46" i="4"/>
  <c r="G45" i="4" s="1"/>
  <c r="AJ42" i="4"/>
  <c r="AJ95" i="4"/>
  <c r="AI92" i="4"/>
  <c r="Z16" i="4"/>
  <c r="Z15" i="4" s="1"/>
  <c r="AD16" i="4"/>
  <c r="AD15" i="4" s="1"/>
  <c r="AE26" i="4"/>
  <c r="AD35" i="4"/>
  <c r="AJ21" i="4"/>
  <c r="AJ13" i="4"/>
  <c r="AJ44" i="4"/>
  <c r="AJ57" i="4"/>
  <c r="U39" i="4"/>
  <c r="AJ39" i="4" s="1"/>
  <c r="U12" i="4"/>
  <c r="U11" i="4" s="1"/>
  <c r="U10" i="4" s="1"/>
  <c r="AI36" i="4"/>
  <c r="AI68" i="4"/>
  <c r="AI67" i="4" s="1"/>
  <c r="AI75" i="4"/>
  <c r="AI88" i="4"/>
  <c r="AI154" i="4"/>
  <c r="V138" i="4"/>
  <c r="AA35" i="4"/>
  <c r="Z56" i="4"/>
  <c r="Y152" i="4"/>
  <c r="AC152" i="4"/>
  <c r="AG152" i="4"/>
  <c r="G36" i="4"/>
  <c r="AJ91" i="4"/>
  <c r="AJ86" i="4"/>
  <c r="AJ101" i="4"/>
  <c r="AJ106" i="4"/>
  <c r="AJ110" i="4"/>
  <c r="AJ114" i="4"/>
  <c r="AJ118" i="4"/>
  <c r="AJ122" i="4"/>
  <c r="AJ127" i="4"/>
  <c r="AJ148" i="4"/>
  <c r="G17" i="4"/>
  <c r="G54" i="4"/>
  <c r="G53" i="4" s="1"/>
  <c r="AJ147" i="4"/>
  <c r="AJ60" i="4"/>
  <c r="U88" i="4"/>
  <c r="AE35" i="4"/>
  <c r="AJ111" i="4"/>
  <c r="AJ119" i="4"/>
  <c r="AJ128" i="4"/>
  <c r="AJ145" i="4"/>
  <c r="AI143" i="4"/>
  <c r="Y35" i="4"/>
  <c r="AC35" i="4"/>
  <c r="AD56" i="4"/>
  <c r="G12" i="4"/>
  <c r="G11" i="4" s="1"/>
  <c r="G10" i="4" s="1"/>
  <c r="O131" i="4"/>
  <c r="Y16" i="4"/>
  <c r="Y15" i="4" s="1"/>
  <c r="AC16" i="4"/>
  <c r="AC15" i="4" s="1"/>
  <c r="AG16" i="4"/>
  <c r="AG15" i="4" s="1"/>
  <c r="X78" i="4"/>
  <c r="X74" i="4" s="1"/>
  <c r="G68" i="4"/>
  <c r="G67" i="4" s="1"/>
  <c r="G75" i="4"/>
  <c r="F31" i="4"/>
  <c r="G30" i="4"/>
  <c r="G29" i="4" s="1"/>
  <c r="F41" i="4"/>
  <c r="G40" i="4"/>
  <c r="AJ64" i="4"/>
  <c r="F61" i="4"/>
  <c r="F80" i="4"/>
  <c r="AJ80" i="4" s="1"/>
  <c r="G79" i="4"/>
  <c r="U62" i="4"/>
  <c r="U61" i="4" s="1"/>
  <c r="U56" i="4" s="1"/>
  <c r="V61" i="4"/>
  <c r="V56" i="4" s="1"/>
  <c r="U81" i="4"/>
  <c r="AJ81" i="4" s="1"/>
  <c r="V79" i="4"/>
  <c r="U102" i="4"/>
  <c r="AJ102" i="4" s="1"/>
  <c r="V99" i="4"/>
  <c r="N131" i="4"/>
  <c r="G158" i="4"/>
  <c r="F72" i="4"/>
  <c r="AJ72" i="4" s="1"/>
  <c r="G71" i="4"/>
  <c r="U22" i="4"/>
  <c r="U20" i="4" s="1"/>
  <c r="V20" i="4"/>
  <c r="V45" i="4"/>
  <c r="U47" i="4"/>
  <c r="V71" i="4"/>
  <c r="U94" i="4"/>
  <c r="V93" i="4"/>
  <c r="V92" i="4" s="1"/>
  <c r="V12" i="4"/>
  <c r="V11" i="4" s="1"/>
  <c r="V10" i="4" s="1"/>
  <c r="G85" i="4"/>
  <c r="U31" i="4"/>
  <c r="U30" i="4" s="1"/>
  <c r="U29" i="4" s="1"/>
  <c r="U26" i="4" s="1"/>
  <c r="R50" i="4"/>
  <c r="F141" i="4"/>
  <c r="AJ141" i="4" s="1"/>
  <c r="G138" i="4"/>
  <c r="U66" i="4"/>
  <c r="V65" i="4"/>
  <c r="U87" i="4"/>
  <c r="V85" i="4"/>
  <c r="AJ24" i="4"/>
  <c r="Y26" i="4"/>
  <c r="AG26" i="4"/>
  <c r="AA26" i="4"/>
  <c r="X35" i="4"/>
  <c r="AB35" i="4"/>
  <c r="AF35" i="4"/>
  <c r="AG35" i="4"/>
  <c r="Z50" i="4"/>
  <c r="AD50" i="4"/>
  <c r="X56" i="4"/>
  <c r="AB56" i="4"/>
  <c r="AF56" i="4"/>
  <c r="AC131" i="4"/>
  <c r="AG131" i="4"/>
  <c r="U17" i="4"/>
  <c r="U23" i="4"/>
  <c r="U68" i="4"/>
  <c r="U67" i="4" s="1"/>
  <c r="U75" i="4"/>
  <c r="U154" i="4"/>
  <c r="AI40" i="4"/>
  <c r="W26" i="4"/>
  <c r="AF50" i="4"/>
  <c r="AA50" i="4"/>
  <c r="AE50" i="4"/>
  <c r="X152" i="4"/>
  <c r="AB152" i="4"/>
  <c r="AF152" i="4"/>
  <c r="F88" i="4"/>
  <c r="F143" i="4"/>
  <c r="U138" i="4"/>
  <c r="AI61" i="4"/>
  <c r="AJ28" i="4"/>
  <c r="AJ84" i="4"/>
  <c r="W16" i="4"/>
  <c r="W15" i="4" s="1"/>
  <c r="AA16" i="4"/>
  <c r="AA15" i="4" s="1"/>
  <c r="AE16" i="4"/>
  <c r="AE15" i="4" s="1"/>
  <c r="X16" i="4"/>
  <c r="X15" i="4" s="1"/>
  <c r="AB16" i="4"/>
  <c r="AB15" i="4" s="1"/>
  <c r="AF16" i="4"/>
  <c r="AF15" i="4" s="1"/>
  <c r="X26" i="4"/>
  <c r="AF26" i="4"/>
  <c r="AC50" i="4"/>
  <c r="Y78" i="4"/>
  <c r="Y74" i="4" s="1"/>
  <c r="AC78" i="4"/>
  <c r="AC74" i="4" s="1"/>
  <c r="AG78" i="4"/>
  <c r="AG74" i="4" s="1"/>
  <c r="AF78" i="4"/>
  <c r="AF74" i="4" s="1"/>
  <c r="G20" i="4"/>
  <c r="G61" i="4"/>
  <c r="G56" i="4" s="1"/>
  <c r="F75" i="4"/>
  <c r="U143" i="4"/>
  <c r="V143" i="4"/>
  <c r="V88" i="4"/>
  <c r="U40" i="4"/>
  <c r="V40" i="4"/>
  <c r="F154" i="4"/>
  <c r="G143" i="4"/>
  <c r="G99" i="4"/>
  <c r="F92" i="4"/>
  <c r="G88" i="4"/>
  <c r="F85" i="4"/>
  <c r="F68" i="4"/>
  <c r="F67" i="4" s="1"/>
  <c r="G51" i="4"/>
  <c r="F36" i="4"/>
  <c r="G33" i="4"/>
  <c r="G32" i="4" s="1"/>
  <c r="F20" i="4"/>
  <c r="F12" i="4"/>
  <c r="F11" i="4" s="1"/>
  <c r="F10" i="4" s="1"/>
  <c r="Y56" i="4"/>
  <c r="AC56" i="4"/>
  <c r="AG56" i="4"/>
  <c r="Y50" i="4"/>
  <c r="AG50" i="4"/>
  <c r="Z78" i="4"/>
  <c r="Z74" i="4" s="1"/>
  <c r="AD78" i="4"/>
  <c r="AD74" i="4" s="1"/>
  <c r="W78" i="4"/>
  <c r="W74" i="4" s="1"/>
  <c r="AA78" i="4"/>
  <c r="AA74" i="4" s="1"/>
  <c r="AE78" i="4"/>
  <c r="AE74" i="4" s="1"/>
  <c r="Z26" i="4"/>
  <c r="AD26" i="4"/>
  <c r="Z152" i="4"/>
  <c r="AD152" i="4"/>
  <c r="W152" i="4"/>
  <c r="AA152" i="4"/>
  <c r="AE152" i="4"/>
  <c r="AI26" i="4"/>
  <c r="M26" i="4"/>
  <c r="H152" i="4"/>
  <c r="L152" i="4"/>
  <c r="P152" i="4"/>
  <c r="I26" i="4"/>
  <c r="AH26" i="4"/>
  <c r="AH50" i="4"/>
  <c r="J50" i="4"/>
  <c r="AH56" i="4"/>
  <c r="M50" i="4"/>
  <c r="H56" i="4"/>
  <c r="P56" i="4"/>
  <c r="K35" i="4"/>
  <c r="J56" i="4"/>
  <c r="Q78" i="4"/>
  <c r="Q74" i="4" s="1"/>
  <c r="J35" i="4"/>
  <c r="R35" i="4"/>
  <c r="L56" i="4"/>
  <c r="Q16" i="4"/>
  <c r="Q15" i="4" s="1"/>
  <c r="K56" i="4"/>
  <c r="J152" i="4"/>
  <c r="R152" i="4"/>
  <c r="K26" i="4"/>
  <c r="N16" i="4"/>
  <c r="N15" i="4" s="1"/>
  <c r="H26" i="4"/>
  <c r="N152" i="4"/>
  <c r="AH35" i="4"/>
  <c r="J16" i="4"/>
  <c r="J15" i="4" s="1"/>
  <c r="L26" i="4"/>
  <c r="M16" i="4"/>
  <c r="M15" i="4" s="1"/>
  <c r="Q26" i="4"/>
  <c r="H35" i="4"/>
  <c r="L35" i="4"/>
  <c r="P35" i="4"/>
  <c r="N50" i="4"/>
  <c r="I78" i="4"/>
  <c r="I74" i="4" s="1"/>
  <c r="M78" i="4"/>
  <c r="M74" i="4" s="1"/>
  <c r="O26" i="4"/>
  <c r="R16" i="4"/>
  <c r="R15" i="4" s="1"/>
  <c r="P26" i="4"/>
  <c r="I16" i="4"/>
  <c r="I15" i="4" s="1"/>
  <c r="J26" i="4"/>
  <c r="R26" i="4"/>
  <c r="O56" i="4"/>
  <c r="H131" i="4"/>
  <c r="L131" i="4"/>
  <c r="P131" i="4"/>
  <c r="M131" i="4"/>
  <c r="Q131" i="4"/>
  <c r="AH16" i="4"/>
  <c r="AH15" i="4" s="1"/>
  <c r="AH152" i="4"/>
  <c r="K16" i="4"/>
  <c r="K15" i="4" s="1"/>
  <c r="O16" i="4"/>
  <c r="O15" i="4" s="1"/>
  <c r="H16" i="4"/>
  <c r="H15" i="4" s="1"/>
  <c r="L16" i="4"/>
  <c r="L15" i="4" s="1"/>
  <c r="P16" i="4"/>
  <c r="P15" i="4" s="1"/>
  <c r="N26" i="4"/>
  <c r="I35" i="4"/>
  <c r="M35" i="4"/>
  <c r="Q35" i="4"/>
  <c r="K50" i="4"/>
  <c r="O50" i="4"/>
  <c r="J78" i="4"/>
  <c r="J74" i="4" s="1"/>
  <c r="N78" i="4"/>
  <c r="N74" i="4" s="1"/>
  <c r="R78" i="4"/>
  <c r="R74" i="4" s="1"/>
  <c r="K78" i="4"/>
  <c r="K74" i="4" s="1"/>
  <c r="O78" i="4"/>
  <c r="O74" i="4" s="1"/>
  <c r="H78" i="4"/>
  <c r="H74" i="4" s="1"/>
  <c r="L78" i="4"/>
  <c r="L74" i="4" s="1"/>
  <c r="P78" i="4"/>
  <c r="P74" i="4" s="1"/>
  <c r="V50" i="4"/>
  <c r="I50" i="4"/>
  <c r="Q50" i="4"/>
  <c r="I56" i="4"/>
  <c r="M56" i="4"/>
  <c r="Q56" i="4"/>
  <c r="N56" i="4"/>
  <c r="R56" i="4"/>
  <c r="I152" i="4"/>
  <c r="M152" i="4"/>
  <c r="Q152" i="4"/>
  <c r="AH78" i="4"/>
  <c r="AH74" i="4" s="1"/>
  <c r="AH131" i="4"/>
  <c r="K152" i="4"/>
  <c r="O152" i="4"/>
  <c r="AI132" i="4" l="1"/>
  <c r="U132" i="4"/>
  <c r="G132" i="4"/>
  <c r="G131" i="4" s="1"/>
  <c r="V132" i="4"/>
  <c r="V131" i="4" s="1"/>
  <c r="V152" i="4"/>
  <c r="G26" i="4"/>
  <c r="U159" i="4"/>
  <c r="U158" i="4" s="1"/>
  <c r="U152" i="4" s="1"/>
  <c r="AJ34" i="4"/>
  <c r="V35" i="4"/>
  <c r="AJ88" i="4"/>
  <c r="AJ62" i="4"/>
  <c r="V16" i="4"/>
  <c r="V15" i="4" s="1"/>
  <c r="AJ55" i="4"/>
  <c r="U36" i="4"/>
  <c r="U35" i="4" s="1"/>
  <c r="U99" i="4"/>
  <c r="AI35" i="4"/>
  <c r="AI131" i="4"/>
  <c r="U79" i="4"/>
  <c r="G16" i="4"/>
  <c r="G15" i="4" s="1"/>
  <c r="AJ54" i="4"/>
  <c r="AI78" i="4"/>
  <c r="AI74" i="4" s="1"/>
  <c r="G152" i="4"/>
  <c r="AC97" i="4"/>
  <c r="AC8" i="4" s="1"/>
  <c r="AC165" i="4" s="1"/>
  <c r="G50" i="4"/>
  <c r="AF97" i="4"/>
  <c r="AF8" i="4" s="1"/>
  <c r="AF165" i="4" s="1"/>
  <c r="F46" i="4"/>
  <c r="F45" i="4" s="1"/>
  <c r="AJ47" i="4"/>
  <c r="AJ46" i="4" s="1"/>
  <c r="U46" i="4"/>
  <c r="U45" i="4" s="1"/>
  <c r="AA97" i="4"/>
  <c r="AA8" i="4" s="1"/>
  <c r="AA165" i="4" s="1"/>
  <c r="G35" i="4"/>
  <c r="AE97" i="4"/>
  <c r="AE164" i="4" s="1"/>
  <c r="W97" i="4"/>
  <c r="W8" i="4" s="1"/>
  <c r="W165" i="4" s="1"/>
  <c r="AB97" i="4"/>
  <c r="AB8" i="4" s="1"/>
  <c r="AB165" i="4" s="1"/>
  <c r="AG97" i="4"/>
  <c r="AG8" i="4" s="1"/>
  <c r="AG165" i="4" s="1"/>
  <c r="U16" i="4"/>
  <c r="U15" i="4" s="1"/>
  <c r="J97" i="4"/>
  <c r="J8" i="4" s="1"/>
  <c r="J165" i="4" s="1"/>
  <c r="V78" i="4"/>
  <c r="V74" i="4" s="1"/>
  <c r="Z97" i="4"/>
  <c r="Z164" i="4" s="1"/>
  <c r="X97" i="4"/>
  <c r="X164" i="4" s="1"/>
  <c r="AJ22" i="4"/>
  <c r="F40" i="4"/>
  <c r="F35" i="4" s="1"/>
  <c r="AJ41" i="4"/>
  <c r="Y97" i="4"/>
  <c r="Y164" i="4" s="1"/>
  <c r="F138" i="4"/>
  <c r="U65" i="4"/>
  <c r="AJ66" i="4"/>
  <c r="U93" i="4"/>
  <c r="U92" i="4" s="1"/>
  <c r="AJ94" i="4"/>
  <c r="F79" i="4"/>
  <c r="U85" i="4"/>
  <c r="AJ85" i="4" s="1"/>
  <c r="AJ87" i="4"/>
  <c r="AD97" i="4"/>
  <c r="AD164" i="4" s="1"/>
  <c r="G78" i="4"/>
  <c r="G74" i="4" s="1"/>
  <c r="U131" i="4"/>
  <c r="F30" i="4"/>
  <c r="F29" i="4" s="1"/>
  <c r="F26" i="4" s="1"/>
  <c r="AJ31" i="4"/>
  <c r="AH97" i="4"/>
  <c r="AH8" i="4" s="1"/>
  <c r="AH165" i="4" s="1"/>
  <c r="N97" i="4"/>
  <c r="N164" i="4" s="1"/>
  <c r="R97" i="4"/>
  <c r="R164" i="4" s="1"/>
  <c r="K97" i="4"/>
  <c r="K8" i="4" s="1"/>
  <c r="K165" i="4" s="1"/>
  <c r="Q97" i="4"/>
  <c r="Q8" i="4" s="1"/>
  <c r="Q165" i="4" s="1"/>
  <c r="O97" i="4"/>
  <c r="O8" i="4" s="1"/>
  <c r="O165" i="4" s="1"/>
  <c r="M97" i="4"/>
  <c r="M8" i="4" s="1"/>
  <c r="M165" i="4" s="1"/>
  <c r="I97" i="4"/>
  <c r="I8" i="4" s="1"/>
  <c r="I165" i="4" s="1"/>
  <c r="H97" i="4"/>
  <c r="P97" i="4"/>
  <c r="L97" i="4"/>
  <c r="F132" i="4" l="1"/>
  <c r="F131" i="4" s="1"/>
  <c r="V97" i="4"/>
  <c r="V8" i="4" s="1"/>
  <c r="V165" i="4" s="1"/>
  <c r="F78" i="4"/>
  <c r="F74" i="4" s="1"/>
  <c r="AJ79" i="4"/>
  <c r="AC164" i="4"/>
  <c r="J164" i="4"/>
  <c r="AF164" i="4"/>
  <c r="G97" i="4"/>
  <c r="G8" i="4" s="1"/>
  <c r="G165" i="4" s="1"/>
  <c r="U78" i="4"/>
  <c r="U74" i="4" s="1"/>
  <c r="AG164" i="4"/>
  <c r="Y8" i="4"/>
  <c r="Y165" i="4" s="1"/>
  <c r="K164" i="4"/>
  <c r="N8" i="4"/>
  <c r="N165" i="4" s="1"/>
  <c r="X8" i="4"/>
  <c r="X165" i="4" s="1"/>
  <c r="AA164" i="4"/>
  <c r="AB164" i="4"/>
  <c r="W164" i="4"/>
  <c r="AE8" i="4"/>
  <c r="AE165" i="4" s="1"/>
  <c r="Z8" i="4"/>
  <c r="Z165" i="4" s="1"/>
  <c r="AH164" i="4"/>
  <c r="AD8" i="4"/>
  <c r="AD165" i="4" s="1"/>
  <c r="O164" i="4"/>
  <c r="R8" i="4"/>
  <c r="R165" i="4" s="1"/>
  <c r="M164" i="4"/>
  <c r="Q164" i="4"/>
  <c r="I164" i="4"/>
  <c r="L8" i="4"/>
  <c r="L165" i="4" s="1"/>
  <c r="L164" i="4"/>
  <c r="P8" i="4"/>
  <c r="P165" i="4" s="1"/>
  <c r="P164" i="4"/>
  <c r="H8" i="4"/>
  <c r="H165" i="4" s="1"/>
  <c r="H164" i="4"/>
  <c r="V164" i="4" l="1"/>
  <c r="G164" i="4"/>
  <c r="S158" i="4" l="1"/>
  <c r="S154" i="4"/>
  <c r="S143" i="4"/>
  <c r="S138" i="4"/>
  <c r="S99" i="4"/>
  <c r="S93" i="4"/>
  <c r="S92" i="4" s="1"/>
  <c r="S88" i="4"/>
  <c r="S85" i="4"/>
  <c r="S83" i="4"/>
  <c r="S79" i="4"/>
  <c r="S75" i="4"/>
  <c r="S71" i="4"/>
  <c r="S68" i="4"/>
  <c r="S67" i="4" s="1"/>
  <c r="S65" i="4"/>
  <c r="S61" i="4"/>
  <c r="S58" i="4"/>
  <c r="S54" i="4"/>
  <c r="S53" i="4" s="1"/>
  <c r="S51" i="4"/>
  <c r="S45" i="4"/>
  <c r="S40" i="4"/>
  <c r="S36" i="4"/>
  <c r="S33" i="4"/>
  <c r="S32" i="4" s="1"/>
  <c r="S30" i="4"/>
  <c r="S29" i="4" s="1"/>
  <c r="S27" i="4"/>
  <c r="S23" i="4"/>
  <c r="S20" i="4"/>
  <c r="S17" i="4"/>
  <c r="S12" i="4"/>
  <c r="S11" i="4" s="1"/>
  <c r="S10" i="4" s="1"/>
  <c r="BX319" i="1"/>
  <c r="BW319" i="1" s="1"/>
  <c r="BX318" i="1"/>
  <c r="BW318" i="1" s="1"/>
  <c r="BX314" i="1"/>
  <c r="BW314" i="1" s="1"/>
  <c r="BX313" i="1"/>
  <c r="BX310" i="1"/>
  <c r="BW310" i="1" s="1"/>
  <c r="BX309" i="1"/>
  <c r="BW309" i="1" s="1"/>
  <c r="BX307" i="1"/>
  <c r="BW307" i="1" s="1"/>
  <c r="BX306" i="1"/>
  <c r="BW306" i="1" s="1"/>
  <c r="BX305" i="1"/>
  <c r="BW305" i="1" s="1"/>
  <c r="BX304" i="1"/>
  <c r="BW304" i="1" s="1"/>
  <c r="BX302" i="1"/>
  <c r="BW302" i="1" s="1"/>
  <c r="BX301" i="1"/>
  <c r="BX300" i="1"/>
  <c r="BW300" i="1" s="1"/>
  <c r="BX298" i="1"/>
  <c r="BW298" i="1" s="1"/>
  <c r="BX297" i="1"/>
  <c r="BW297" i="1" s="1"/>
  <c r="BX296" i="1"/>
  <c r="BW296" i="1" s="1"/>
  <c r="BX295" i="1"/>
  <c r="BW295" i="1" s="1"/>
  <c r="BX293" i="1"/>
  <c r="BW293" i="1" s="1"/>
  <c r="BW292" i="1" s="1"/>
  <c r="BX290" i="1"/>
  <c r="BW290" i="1" s="1"/>
  <c r="BX289" i="1"/>
  <c r="BW289" i="1" s="1"/>
  <c r="BX288" i="1"/>
  <c r="BW288" i="1" s="1"/>
  <c r="BX287" i="1"/>
  <c r="BW287" i="1" s="1"/>
  <c r="BX286" i="1"/>
  <c r="BW286" i="1" s="1"/>
  <c r="BX285" i="1"/>
  <c r="BW285" i="1" s="1"/>
  <c r="BX284" i="1"/>
  <c r="BX283" i="1"/>
  <c r="BW283" i="1" s="1"/>
  <c r="BX282" i="1"/>
  <c r="BW282" i="1" s="1"/>
  <c r="BX281" i="1"/>
  <c r="BW281" i="1" s="1"/>
  <c r="BX280" i="1"/>
  <c r="BW280" i="1" s="1"/>
  <c r="BX279" i="1"/>
  <c r="BW279" i="1" s="1"/>
  <c r="BX278" i="1"/>
  <c r="BW278" i="1" s="1"/>
  <c r="BX277" i="1"/>
  <c r="BW277" i="1" s="1"/>
  <c r="BX276" i="1"/>
  <c r="BW276" i="1" s="1"/>
  <c r="BX275" i="1"/>
  <c r="BW275" i="1" s="1"/>
  <c r="BX274" i="1"/>
  <c r="BW274" i="1" s="1"/>
  <c r="BX273" i="1"/>
  <c r="BW273" i="1" s="1"/>
  <c r="BX271" i="1"/>
  <c r="BW271" i="1" s="1"/>
  <c r="BX270" i="1"/>
  <c r="BW270" i="1" s="1"/>
  <c r="BX269" i="1"/>
  <c r="BW269" i="1" s="1"/>
  <c r="BX268" i="1"/>
  <c r="BW268" i="1" s="1"/>
  <c r="BX267" i="1"/>
  <c r="BW267" i="1" s="1"/>
  <c r="BX266" i="1"/>
  <c r="BW266" i="1" s="1"/>
  <c r="BX264" i="1"/>
  <c r="BX263" i="1"/>
  <c r="BW263" i="1" s="1"/>
  <c r="BX262" i="1"/>
  <c r="BW262" i="1" s="1"/>
  <c r="BX261" i="1"/>
  <c r="BW261" i="1" s="1"/>
  <c r="BX260" i="1"/>
  <c r="BW260" i="1" s="1"/>
  <c r="BX256" i="1"/>
  <c r="BW256" i="1" s="1"/>
  <c r="BX255" i="1"/>
  <c r="BW255" i="1" s="1"/>
  <c r="BX254" i="1"/>
  <c r="BW254" i="1" s="1"/>
  <c r="BX253" i="1"/>
  <c r="BW253" i="1" s="1"/>
  <c r="BX252" i="1"/>
  <c r="BW252" i="1" s="1"/>
  <c r="BX251" i="1"/>
  <c r="BW251" i="1" s="1"/>
  <c r="BX250" i="1"/>
  <c r="BW250" i="1" s="1"/>
  <c r="BX249" i="1"/>
  <c r="BW249" i="1" s="1"/>
  <c r="BX248" i="1"/>
  <c r="BW248" i="1" s="1"/>
  <c r="BX247" i="1"/>
  <c r="BW247" i="1" s="1"/>
  <c r="BX246" i="1"/>
  <c r="BW246" i="1" s="1"/>
  <c r="BX245" i="1"/>
  <c r="BW245" i="1" s="1"/>
  <c r="BX244" i="1"/>
  <c r="BW244" i="1" s="1"/>
  <c r="BX243" i="1"/>
  <c r="BW243" i="1" s="1"/>
  <c r="BX242" i="1"/>
  <c r="BW242" i="1" s="1"/>
  <c r="BX241" i="1"/>
  <c r="BW241" i="1" s="1"/>
  <c r="BX240" i="1"/>
  <c r="BW240" i="1" s="1"/>
  <c r="BX239" i="1"/>
  <c r="BW239" i="1" s="1"/>
  <c r="BX238" i="1"/>
  <c r="BW238" i="1" s="1"/>
  <c r="BX236" i="1"/>
  <c r="BW236" i="1" s="1"/>
  <c r="BX233" i="1"/>
  <c r="BW233" i="1" s="1"/>
  <c r="BX229" i="1"/>
  <c r="BW229" i="1" s="1"/>
  <c r="BX228" i="1"/>
  <c r="BW228" i="1" s="1"/>
  <c r="BX227" i="1"/>
  <c r="BW227" i="1" s="1"/>
  <c r="BX226" i="1"/>
  <c r="BW226" i="1" s="1"/>
  <c r="BX225" i="1"/>
  <c r="BW225" i="1" s="1"/>
  <c r="BX224" i="1"/>
  <c r="BW224" i="1" s="1"/>
  <c r="BX223" i="1"/>
  <c r="BW223" i="1" s="1"/>
  <c r="BX222" i="1"/>
  <c r="BW222" i="1" s="1"/>
  <c r="BX221" i="1"/>
  <c r="BW221" i="1" s="1"/>
  <c r="BX220" i="1"/>
  <c r="BW220" i="1" s="1"/>
  <c r="BX219" i="1"/>
  <c r="BW219" i="1" s="1"/>
  <c r="BX218" i="1"/>
  <c r="BW218" i="1" s="1"/>
  <c r="BX217" i="1"/>
  <c r="BW217" i="1" s="1"/>
  <c r="BX213" i="1"/>
  <c r="BW213" i="1" s="1"/>
  <c r="BX212" i="1"/>
  <c r="BW212" i="1" s="1"/>
  <c r="BX211" i="1"/>
  <c r="BW211" i="1" s="1"/>
  <c r="BX210" i="1"/>
  <c r="BW210" i="1" s="1"/>
  <c r="BX206" i="1"/>
  <c r="BW206" i="1" s="1"/>
  <c r="BX205" i="1"/>
  <c r="BW205" i="1" s="1"/>
  <c r="BX204" i="1"/>
  <c r="BW204" i="1" s="1"/>
  <c r="BX203" i="1"/>
  <c r="BW203" i="1" s="1"/>
  <c r="BX202" i="1"/>
  <c r="BW202" i="1" s="1"/>
  <c r="BX201" i="1"/>
  <c r="BW201" i="1" s="1"/>
  <c r="BX200" i="1"/>
  <c r="BW200" i="1" s="1"/>
  <c r="BX199" i="1"/>
  <c r="BW199" i="1" s="1"/>
  <c r="BX198" i="1"/>
  <c r="BW198" i="1" s="1"/>
  <c r="BX197" i="1"/>
  <c r="BW197" i="1" s="1"/>
  <c r="BX196" i="1"/>
  <c r="BW196" i="1" s="1"/>
  <c r="BX195" i="1"/>
  <c r="BW195" i="1" s="1"/>
  <c r="BX194" i="1"/>
  <c r="BW194" i="1" s="1"/>
  <c r="BX193" i="1"/>
  <c r="BW193" i="1" s="1"/>
  <c r="BX192" i="1"/>
  <c r="BW192" i="1" s="1"/>
  <c r="BX191" i="1"/>
  <c r="BW191" i="1" s="1"/>
  <c r="BX190" i="1"/>
  <c r="BW190" i="1" s="1"/>
  <c r="BX189" i="1"/>
  <c r="BW189" i="1" s="1"/>
  <c r="BX188" i="1"/>
  <c r="BW188" i="1" s="1"/>
  <c r="BX187" i="1"/>
  <c r="BW187" i="1" s="1"/>
  <c r="BX186" i="1"/>
  <c r="BW186" i="1" s="1"/>
  <c r="BX185" i="1"/>
  <c r="BW185" i="1" s="1"/>
  <c r="BX183" i="1"/>
  <c r="BW183" i="1" s="1"/>
  <c r="BX182" i="1"/>
  <c r="BW182" i="1" s="1"/>
  <c r="BX181" i="1"/>
  <c r="BW181" i="1" s="1"/>
  <c r="BX180" i="1"/>
  <c r="BW180" i="1" s="1"/>
  <c r="BX178" i="1"/>
  <c r="BW178" i="1" s="1"/>
  <c r="BX177" i="1"/>
  <c r="BW177" i="1" s="1"/>
  <c r="BX176" i="1"/>
  <c r="BW176" i="1" s="1"/>
  <c r="BX175" i="1"/>
  <c r="BW175" i="1" s="1"/>
  <c r="BX174" i="1"/>
  <c r="BW174" i="1" s="1"/>
  <c r="BX173" i="1"/>
  <c r="BW173" i="1" s="1"/>
  <c r="BX172" i="1"/>
  <c r="BW172" i="1" s="1"/>
  <c r="BX171" i="1"/>
  <c r="BW171" i="1" s="1"/>
  <c r="BX170" i="1"/>
  <c r="BW170" i="1" s="1"/>
  <c r="BX169" i="1"/>
  <c r="BW169" i="1" s="1"/>
  <c r="BX167" i="1"/>
  <c r="BW167" i="1" s="1"/>
  <c r="BX166" i="1"/>
  <c r="BW166" i="1" s="1"/>
  <c r="BX165" i="1"/>
  <c r="BW165" i="1" s="1"/>
  <c r="BX164" i="1"/>
  <c r="BW164" i="1" s="1"/>
  <c r="BX162" i="1"/>
  <c r="BW162" i="1" s="1"/>
  <c r="BX161" i="1"/>
  <c r="BW161" i="1" s="1"/>
  <c r="BX160" i="1"/>
  <c r="BW160" i="1" s="1"/>
  <c r="BX159" i="1"/>
  <c r="BW159" i="1" s="1"/>
  <c r="BX158" i="1"/>
  <c r="BW158" i="1" s="1"/>
  <c r="BX157" i="1"/>
  <c r="BW157" i="1" s="1"/>
  <c r="BX156" i="1"/>
  <c r="BW156" i="1" s="1"/>
  <c r="BX155" i="1"/>
  <c r="BW155" i="1" s="1"/>
  <c r="BX150" i="1"/>
  <c r="BW150" i="1" s="1"/>
  <c r="BX149" i="1"/>
  <c r="BW149" i="1" s="1"/>
  <c r="BX148" i="1"/>
  <c r="BW148" i="1" s="1"/>
  <c r="BX147" i="1"/>
  <c r="BW147" i="1" s="1"/>
  <c r="BX146" i="1"/>
  <c r="BW146" i="1" s="1"/>
  <c r="BX145" i="1"/>
  <c r="BW145" i="1" s="1"/>
  <c r="BX144" i="1"/>
  <c r="BW144" i="1" s="1"/>
  <c r="BX143" i="1"/>
  <c r="BW143" i="1" s="1"/>
  <c r="BX142" i="1"/>
  <c r="BW142" i="1" s="1"/>
  <c r="BX141" i="1"/>
  <c r="BW141" i="1" s="1"/>
  <c r="BX140" i="1"/>
  <c r="BW140" i="1" s="1"/>
  <c r="BX139" i="1"/>
  <c r="BW139" i="1" s="1"/>
  <c r="BX138" i="1"/>
  <c r="BW138" i="1" s="1"/>
  <c r="BX137" i="1"/>
  <c r="BW137" i="1" s="1"/>
  <c r="BX136" i="1"/>
  <c r="BW136" i="1" s="1"/>
  <c r="BX135" i="1"/>
  <c r="BW135" i="1" s="1"/>
  <c r="BX134" i="1"/>
  <c r="BW134" i="1" s="1"/>
  <c r="BX133" i="1"/>
  <c r="BX130" i="1"/>
  <c r="BW130" i="1" s="1"/>
  <c r="BX129" i="1"/>
  <c r="BW129" i="1" s="1"/>
  <c r="BX125" i="1"/>
  <c r="BW125" i="1" s="1"/>
  <c r="BX124" i="1"/>
  <c r="BW124" i="1" s="1"/>
  <c r="BX123" i="1"/>
  <c r="BW123" i="1" s="1"/>
  <c r="BX121" i="1"/>
  <c r="BW121" i="1" s="1"/>
  <c r="BX120" i="1"/>
  <c r="BW120" i="1" s="1"/>
  <c r="BX119" i="1"/>
  <c r="BW119" i="1" s="1"/>
  <c r="BX118" i="1"/>
  <c r="BW118" i="1" s="1"/>
  <c r="BX117" i="1"/>
  <c r="BW117" i="1" s="1"/>
  <c r="BX116" i="1"/>
  <c r="BW116" i="1" s="1"/>
  <c r="BX115" i="1"/>
  <c r="BW115" i="1" s="1"/>
  <c r="BX114" i="1"/>
  <c r="BW114" i="1" s="1"/>
  <c r="BX111" i="1"/>
  <c r="BW111" i="1" s="1"/>
  <c r="BX110" i="1"/>
  <c r="BW110" i="1" s="1"/>
  <c r="BX109" i="1"/>
  <c r="BW109" i="1" s="1"/>
  <c r="BX108" i="1"/>
  <c r="BW108" i="1" s="1"/>
  <c r="BX107" i="1"/>
  <c r="BW107" i="1" s="1"/>
  <c r="BX106" i="1"/>
  <c r="BW106" i="1" s="1"/>
  <c r="BX105" i="1"/>
  <c r="BW105" i="1" s="1"/>
  <c r="BX104" i="1"/>
  <c r="BW104" i="1" s="1"/>
  <c r="BX102" i="1"/>
  <c r="BW102" i="1" s="1"/>
  <c r="BX101" i="1"/>
  <c r="BW101" i="1" s="1"/>
  <c r="BX100" i="1"/>
  <c r="BW100" i="1" s="1"/>
  <c r="BX99" i="1"/>
  <c r="BW99" i="1" s="1"/>
  <c r="BX98" i="1"/>
  <c r="BW98" i="1" s="1"/>
  <c r="BX97" i="1"/>
  <c r="BW97" i="1" s="1"/>
  <c r="BX96" i="1"/>
  <c r="BW96" i="1" s="1"/>
  <c r="BX95" i="1"/>
  <c r="BW95" i="1" s="1"/>
  <c r="BX94" i="1"/>
  <c r="BW94" i="1" s="1"/>
  <c r="BX93" i="1"/>
  <c r="BW93" i="1" s="1"/>
  <c r="BX92" i="1"/>
  <c r="BX88" i="1"/>
  <c r="BW88" i="1" s="1"/>
  <c r="BX86" i="1"/>
  <c r="BW86" i="1" s="1"/>
  <c r="BX85" i="1"/>
  <c r="BW85" i="1" s="1"/>
  <c r="BX84" i="1"/>
  <c r="BX83" i="1"/>
  <c r="BW83" i="1" s="1"/>
  <c r="BX80" i="1"/>
  <c r="BW80" i="1" s="1"/>
  <c r="BX79" i="1"/>
  <c r="BW79" i="1" s="1"/>
  <c r="BX78" i="1"/>
  <c r="BW78" i="1" s="1"/>
  <c r="BX77" i="1"/>
  <c r="BW77" i="1" s="1"/>
  <c r="BX76" i="1"/>
  <c r="BW76" i="1" s="1"/>
  <c r="BX75" i="1"/>
  <c r="BW75" i="1" s="1"/>
  <c r="BX74" i="1"/>
  <c r="BW74" i="1" s="1"/>
  <c r="BX73" i="1"/>
  <c r="BW73" i="1" s="1"/>
  <c r="BX72" i="1"/>
  <c r="BW72" i="1" s="1"/>
  <c r="BX71" i="1"/>
  <c r="BW71" i="1" s="1"/>
  <c r="BX68" i="1"/>
  <c r="BW68" i="1" s="1"/>
  <c r="BX67" i="1"/>
  <c r="BW67" i="1" s="1"/>
  <c r="BX65" i="1"/>
  <c r="BW65" i="1" s="1"/>
  <c r="BX64" i="1"/>
  <c r="BX63" i="1"/>
  <c r="BW63" i="1" s="1"/>
  <c r="BX62" i="1"/>
  <c r="BW62" i="1" s="1"/>
  <c r="BX58" i="1"/>
  <c r="BW58" i="1" s="1"/>
  <c r="BX57" i="1"/>
  <c r="BW57" i="1" s="1"/>
  <c r="BX56" i="1"/>
  <c r="BW56" i="1" s="1"/>
  <c r="BX55" i="1"/>
  <c r="BW55" i="1" s="1"/>
  <c r="BX54" i="1"/>
  <c r="BW54" i="1" s="1"/>
  <c r="BX53" i="1"/>
  <c r="BW53" i="1" s="1"/>
  <c r="BX50" i="1"/>
  <c r="BW50" i="1" s="1"/>
  <c r="BX49" i="1"/>
  <c r="BW49" i="1" s="1"/>
  <c r="BX48" i="1"/>
  <c r="BW48" i="1" s="1"/>
  <c r="BX47" i="1"/>
  <c r="BW47" i="1" s="1"/>
  <c r="BX46" i="1"/>
  <c r="BW46" i="1" s="1"/>
  <c r="BX45" i="1"/>
  <c r="BW45" i="1" s="1"/>
  <c r="BX44" i="1"/>
  <c r="BW44" i="1" s="1"/>
  <c r="BX43" i="1"/>
  <c r="BW43" i="1" s="1"/>
  <c r="BX42" i="1"/>
  <c r="BW42" i="1" s="1"/>
  <c r="BX41" i="1"/>
  <c r="BW41" i="1" s="1"/>
  <c r="BX40" i="1"/>
  <c r="BW40" i="1" s="1"/>
  <c r="BX39" i="1"/>
  <c r="BW39" i="1" s="1"/>
  <c r="BX38" i="1"/>
  <c r="BW38" i="1" s="1"/>
  <c r="BX37" i="1"/>
  <c r="BW37" i="1" s="1"/>
  <c r="BX36" i="1"/>
  <c r="BW36" i="1" s="1"/>
  <c r="BX35" i="1"/>
  <c r="BW35" i="1" s="1"/>
  <c r="BX32" i="1"/>
  <c r="BW32" i="1" s="1"/>
  <c r="BX31" i="1"/>
  <c r="BW31" i="1" s="1"/>
  <c r="BX30" i="1"/>
  <c r="BW30" i="1" s="1"/>
  <c r="BX29" i="1"/>
  <c r="BW29" i="1" s="1"/>
  <c r="BX28" i="1"/>
  <c r="BW28" i="1" s="1"/>
  <c r="BX27" i="1"/>
  <c r="BW27" i="1" s="1"/>
  <c r="BX23" i="1"/>
  <c r="BW23" i="1" s="1"/>
  <c r="BX22" i="1"/>
  <c r="BW22" i="1" s="1"/>
  <c r="BX21" i="1"/>
  <c r="BW21" i="1" s="1"/>
  <c r="BX20" i="1"/>
  <c r="BW20" i="1" s="1"/>
  <c r="BX19" i="1"/>
  <c r="BW19" i="1" s="1"/>
  <c r="BX18" i="1"/>
  <c r="BW18" i="1" s="1"/>
  <c r="BX17" i="1"/>
  <c r="BW17" i="1" s="1"/>
  <c r="BX16" i="1"/>
  <c r="BX15" i="1"/>
  <c r="BW15" i="1" s="1"/>
  <c r="BX14" i="1"/>
  <c r="BW14" i="1" s="1"/>
  <c r="BX13" i="1"/>
  <c r="BX12" i="1"/>
  <c r="BW284" i="1"/>
  <c r="BQ319" i="1"/>
  <c r="BP319" i="1" s="1"/>
  <c r="BQ318" i="1"/>
  <c r="BQ314" i="1"/>
  <c r="BP314" i="1" s="1"/>
  <c r="BQ313" i="1"/>
  <c r="BQ310" i="1"/>
  <c r="BP310" i="1" s="1"/>
  <c r="BQ309" i="1"/>
  <c r="BP309" i="1" s="1"/>
  <c r="BQ307" i="1"/>
  <c r="BP307" i="1" s="1"/>
  <c r="BQ306" i="1"/>
  <c r="BP306" i="1" s="1"/>
  <c r="BQ305" i="1"/>
  <c r="BP305" i="1" s="1"/>
  <c r="BQ304" i="1"/>
  <c r="BQ302" i="1"/>
  <c r="BP302" i="1" s="1"/>
  <c r="BQ301" i="1"/>
  <c r="BP301" i="1" s="1"/>
  <c r="BQ300" i="1"/>
  <c r="BP300" i="1" s="1"/>
  <c r="BQ298" i="1"/>
  <c r="BP298" i="1" s="1"/>
  <c r="BQ297" i="1"/>
  <c r="BP297" i="1" s="1"/>
  <c r="BQ296" i="1"/>
  <c r="BP296" i="1" s="1"/>
  <c r="BQ295" i="1"/>
  <c r="BP295" i="1" s="1"/>
  <c r="BQ293" i="1"/>
  <c r="BP293" i="1" s="1"/>
  <c r="BP292" i="1" s="1"/>
  <c r="BQ290" i="1"/>
  <c r="BP290" i="1" s="1"/>
  <c r="BQ289" i="1"/>
  <c r="BP289" i="1" s="1"/>
  <c r="BQ288" i="1"/>
  <c r="BP288" i="1" s="1"/>
  <c r="BQ287" i="1"/>
  <c r="BP287" i="1" s="1"/>
  <c r="BQ286" i="1"/>
  <c r="BP286" i="1" s="1"/>
  <c r="BQ285" i="1"/>
  <c r="BP285" i="1" s="1"/>
  <c r="BQ284" i="1"/>
  <c r="BP284" i="1" s="1"/>
  <c r="BQ283" i="1"/>
  <c r="BP283" i="1" s="1"/>
  <c r="BQ282" i="1"/>
  <c r="BP282" i="1" s="1"/>
  <c r="BQ281" i="1"/>
  <c r="BP281" i="1" s="1"/>
  <c r="BQ280" i="1"/>
  <c r="BP280" i="1" s="1"/>
  <c r="BQ279" i="1"/>
  <c r="BP279" i="1" s="1"/>
  <c r="BQ278" i="1"/>
  <c r="BP278" i="1" s="1"/>
  <c r="BQ277" i="1"/>
  <c r="BP277" i="1" s="1"/>
  <c r="BQ276" i="1"/>
  <c r="BP276" i="1" s="1"/>
  <c r="BQ275" i="1"/>
  <c r="BP275" i="1" s="1"/>
  <c r="BQ274" i="1"/>
  <c r="BP274" i="1" s="1"/>
  <c r="BQ273" i="1"/>
  <c r="BP273" i="1" s="1"/>
  <c r="BQ271" i="1"/>
  <c r="BP271" i="1" s="1"/>
  <c r="BQ270" i="1"/>
  <c r="BP270" i="1" s="1"/>
  <c r="BQ269" i="1"/>
  <c r="BP269" i="1" s="1"/>
  <c r="BQ268" i="1"/>
  <c r="BP268" i="1" s="1"/>
  <c r="BQ267" i="1"/>
  <c r="BP267" i="1" s="1"/>
  <c r="BQ266" i="1"/>
  <c r="BP266" i="1" s="1"/>
  <c r="BQ264" i="1"/>
  <c r="BP264" i="1" s="1"/>
  <c r="BQ263" i="1"/>
  <c r="BP263" i="1" s="1"/>
  <c r="BQ262" i="1"/>
  <c r="BP262" i="1" s="1"/>
  <c r="BQ261" i="1"/>
  <c r="BQ260" i="1"/>
  <c r="BP260" i="1" s="1"/>
  <c r="BQ256" i="1"/>
  <c r="BP256" i="1" s="1"/>
  <c r="BQ255" i="1"/>
  <c r="BP255" i="1" s="1"/>
  <c r="BQ254" i="1"/>
  <c r="BP254" i="1" s="1"/>
  <c r="BQ253" i="1"/>
  <c r="BP253" i="1" s="1"/>
  <c r="BQ252" i="1"/>
  <c r="BP252" i="1" s="1"/>
  <c r="BQ251" i="1"/>
  <c r="BP251" i="1" s="1"/>
  <c r="BQ250" i="1"/>
  <c r="BP250" i="1" s="1"/>
  <c r="BQ249" i="1"/>
  <c r="BP249" i="1" s="1"/>
  <c r="BQ248" i="1"/>
  <c r="BP248" i="1" s="1"/>
  <c r="BQ247" i="1"/>
  <c r="BP247" i="1" s="1"/>
  <c r="BQ246" i="1"/>
  <c r="BP246" i="1" s="1"/>
  <c r="BQ245" i="1"/>
  <c r="BP245" i="1" s="1"/>
  <c r="BQ244" i="1"/>
  <c r="BP244" i="1" s="1"/>
  <c r="BQ243" i="1"/>
  <c r="BP243" i="1" s="1"/>
  <c r="BQ242" i="1"/>
  <c r="BP242" i="1" s="1"/>
  <c r="BQ241" i="1"/>
  <c r="BP241" i="1" s="1"/>
  <c r="BQ240" i="1"/>
  <c r="BP240" i="1" s="1"/>
  <c r="BQ239" i="1"/>
  <c r="BP239" i="1" s="1"/>
  <c r="BQ238" i="1"/>
  <c r="BQ236" i="1"/>
  <c r="BP236" i="1" s="1"/>
  <c r="BQ233" i="1"/>
  <c r="BP233" i="1" s="1"/>
  <c r="BQ229" i="1"/>
  <c r="BP229" i="1" s="1"/>
  <c r="BQ228" i="1"/>
  <c r="BP228" i="1" s="1"/>
  <c r="BQ227" i="1"/>
  <c r="BP227" i="1" s="1"/>
  <c r="BQ226" i="1"/>
  <c r="BP226" i="1" s="1"/>
  <c r="BQ225" i="1"/>
  <c r="BP225" i="1" s="1"/>
  <c r="BQ224" i="1"/>
  <c r="BP224" i="1" s="1"/>
  <c r="BQ223" i="1"/>
  <c r="BP223" i="1" s="1"/>
  <c r="BQ222" i="1"/>
  <c r="BP222" i="1" s="1"/>
  <c r="BQ221" i="1"/>
  <c r="BP221" i="1" s="1"/>
  <c r="BQ220" i="1"/>
  <c r="BP220" i="1" s="1"/>
  <c r="BQ219" i="1"/>
  <c r="BP219" i="1" s="1"/>
  <c r="BQ218" i="1"/>
  <c r="BP218" i="1" s="1"/>
  <c r="BQ217" i="1"/>
  <c r="BP217" i="1" s="1"/>
  <c r="BQ213" i="1"/>
  <c r="BP213" i="1" s="1"/>
  <c r="BQ212" i="1"/>
  <c r="BP212" i="1" s="1"/>
  <c r="BQ211" i="1"/>
  <c r="BP211" i="1" s="1"/>
  <c r="BQ210" i="1"/>
  <c r="BP210" i="1" s="1"/>
  <c r="BQ206" i="1"/>
  <c r="BP206" i="1" s="1"/>
  <c r="BQ205" i="1"/>
  <c r="BP205" i="1" s="1"/>
  <c r="BQ204" i="1"/>
  <c r="BP204" i="1" s="1"/>
  <c r="BQ203" i="1"/>
  <c r="BP203" i="1" s="1"/>
  <c r="BQ202" i="1"/>
  <c r="BP202" i="1" s="1"/>
  <c r="BQ201" i="1"/>
  <c r="BP201" i="1" s="1"/>
  <c r="BQ200" i="1"/>
  <c r="BP200" i="1" s="1"/>
  <c r="BQ199" i="1"/>
  <c r="BP199" i="1" s="1"/>
  <c r="BQ198" i="1"/>
  <c r="BP198" i="1" s="1"/>
  <c r="BQ197" i="1"/>
  <c r="BP197" i="1" s="1"/>
  <c r="BQ196" i="1"/>
  <c r="BP196" i="1" s="1"/>
  <c r="BQ195" i="1"/>
  <c r="BP195" i="1" s="1"/>
  <c r="BQ194" i="1"/>
  <c r="BP194" i="1" s="1"/>
  <c r="BQ193" i="1"/>
  <c r="BP193" i="1" s="1"/>
  <c r="BQ192" i="1"/>
  <c r="BP192" i="1" s="1"/>
  <c r="BQ191" i="1"/>
  <c r="BP191" i="1" s="1"/>
  <c r="BQ190" i="1"/>
  <c r="BP190" i="1" s="1"/>
  <c r="BQ189" i="1"/>
  <c r="BP189" i="1" s="1"/>
  <c r="BQ188" i="1"/>
  <c r="BP188" i="1" s="1"/>
  <c r="BQ187" i="1"/>
  <c r="BP187" i="1" s="1"/>
  <c r="BQ186" i="1"/>
  <c r="BP186" i="1" s="1"/>
  <c r="BQ185" i="1"/>
  <c r="BP185" i="1" s="1"/>
  <c r="BQ183" i="1"/>
  <c r="BP183" i="1" s="1"/>
  <c r="BQ182" i="1"/>
  <c r="BP182" i="1" s="1"/>
  <c r="BQ181" i="1"/>
  <c r="BP181" i="1" s="1"/>
  <c r="BQ180" i="1"/>
  <c r="BP180" i="1" s="1"/>
  <c r="BQ178" i="1"/>
  <c r="BP178" i="1" s="1"/>
  <c r="BQ177" i="1"/>
  <c r="BP177" i="1" s="1"/>
  <c r="BQ176" i="1"/>
  <c r="BP176" i="1" s="1"/>
  <c r="BQ175" i="1"/>
  <c r="BP175" i="1" s="1"/>
  <c r="BQ174" i="1"/>
  <c r="BP174" i="1" s="1"/>
  <c r="BQ173" i="1"/>
  <c r="BP173" i="1" s="1"/>
  <c r="BQ172" i="1"/>
  <c r="BP172" i="1" s="1"/>
  <c r="BQ171" i="1"/>
  <c r="BP171" i="1" s="1"/>
  <c r="BQ170" i="1"/>
  <c r="BP170" i="1" s="1"/>
  <c r="BQ169" i="1"/>
  <c r="BP169" i="1" s="1"/>
  <c r="BQ167" i="1"/>
  <c r="BP167" i="1" s="1"/>
  <c r="BQ166" i="1"/>
  <c r="BP166" i="1" s="1"/>
  <c r="BQ165" i="1"/>
  <c r="BP165" i="1" s="1"/>
  <c r="BQ164" i="1"/>
  <c r="BP164" i="1" s="1"/>
  <c r="BQ162" i="1"/>
  <c r="BP162" i="1" s="1"/>
  <c r="BQ161" i="1"/>
  <c r="BP161" i="1" s="1"/>
  <c r="BQ160" i="1"/>
  <c r="BP160" i="1" s="1"/>
  <c r="BQ159" i="1"/>
  <c r="BP159" i="1" s="1"/>
  <c r="BQ158" i="1"/>
  <c r="BP158" i="1" s="1"/>
  <c r="BQ157" i="1"/>
  <c r="BP157" i="1" s="1"/>
  <c r="BQ156" i="1"/>
  <c r="BP156" i="1" s="1"/>
  <c r="BQ155" i="1"/>
  <c r="BP155" i="1" s="1"/>
  <c r="BQ150" i="1"/>
  <c r="BP150" i="1" s="1"/>
  <c r="BQ149" i="1"/>
  <c r="BP149" i="1" s="1"/>
  <c r="BQ148" i="1"/>
  <c r="BP148" i="1" s="1"/>
  <c r="BQ147" i="1"/>
  <c r="BP147" i="1" s="1"/>
  <c r="BQ146" i="1"/>
  <c r="BP146" i="1" s="1"/>
  <c r="BQ145" i="1"/>
  <c r="BP145" i="1" s="1"/>
  <c r="BQ144" i="1"/>
  <c r="BP144" i="1" s="1"/>
  <c r="BQ143" i="1"/>
  <c r="BP143" i="1" s="1"/>
  <c r="BQ142" i="1"/>
  <c r="BP142" i="1" s="1"/>
  <c r="BQ141" i="1"/>
  <c r="BP141" i="1" s="1"/>
  <c r="BQ140" i="1"/>
  <c r="BP140" i="1" s="1"/>
  <c r="BQ139" i="1"/>
  <c r="BP139" i="1" s="1"/>
  <c r="BQ138" i="1"/>
  <c r="BP138" i="1" s="1"/>
  <c r="BQ137" i="1"/>
  <c r="BP137" i="1" s="1"/>
  <c r="BQ136" i="1"/>
  <c r="BP136" i="1" s="1"/>
  <c r="BQ135" i="1"/>
  <c r="BP135" i="1" s="1"/>
  <c r="BQ134" i="1"/>
  <c r="BP134" i="1" s="1"/>
  <c r="BQ133" i="1"/>
  <c r="BP133" i="1" s="1"/>
  <c r="BQ130" i="1"/>
  <c r="BP130" i="1" s="1"/>
  <c r="BQ129" i="1"/>
  <c r="BP129" i="1" s="1"/>
  <c r="BQ125" i="1"/>
  <c r="BP125" i="1" s="1"/>
  <c r="BQ124" i="1"/>
  <c r="BP124" i="1" s="1"/>
  <c r="BQ123" i="1"/>
  <c r="BP123" i="1" s="1"/>
  <c r="BQ121" i="1"/>
  <c r="BP121" i="1" s="1"/>
  <c r="BQ120" i="1"/>
  <c r="BP120" i="1" s="1"/>
  <c r="BQ119" i="1"/>
  <c r="BP119" i="1" s="1"/>
  <c r="BQ118" i="1"/>
  <c r="BP118" i="1" s="1"/>
  <c r="BQ117" i="1"/>
  <c r="BP117" i="1" s="1"/>
  <c r="BQ116" i="1"/>
  <c r="BP116" i="1" s="1"/>
  <c r="BQ115" i="1"/>
  <c r="BP115" i="1" s="1"/>
  <c r="BQ114" i="1"/>
  <c r="BP114" i="1" s="1"/>
  <c r="BQ111" i="1"/>
  <c r="BP111" i="1" s="1"/>
  <c r="BQ110" i="1"/>
  <c r="BP110" i="1" s="1"/>
  <c r="BQ109" i="1"/>
  <c r="BP109" i="1" s="1"/>
  <c r="BQ108" i="1"/>
  <c r="BP108" i="1" s="1"/>
  <c r="BQ107" i="1"/>
  <c r="BP107" i="1" s="1"/>
  <c r="BQ106" i="1"/>
  <c r="BP106" i="1" s="1"/>
  <c r="BQ105" i="1"/>
  <c r="BP105" i="1" s="1"/>
  <c r="BQ104" i="1"/>
  <c r="BP104" i="1" s="1"/>
  <c r="BQ102" i="1"/>
  <c r="BP102" i="1" s="1"/>
  <c r="BQ101" i="1"/>
  <c r="BP101" i="1" s="1"/>
  <c r="BQ100" i="1"/>
  <c r="BP100" i="1" s="1"/>
  <c r="BQ99" i="1"/>
  <c r="BP99" i="1" s="1"/>
  <c r="BQ98" i="1"/>
  <c r="BP98" i="1" s="1"/>
  <c r="BQ97" i="1"/>
  <c r="BP97" i="1" s="1"/>
  <c r="BQ96" i="1"/>
  <c r="BP96" i="1" s="1"/>
  <c r="BQ95" i="1"/>
  <c r="BP95" i="1" s="1"/>
  <c r="BQ94" i="1"/>
  <c r="BP94" i="1" s="1"/>
  <c r="BQ93" i="1"/>
  <c r="BP93" i="1" s="1"/>
  <c r="BQ92" i="1"/>
  <c r="BQ88" i="1"/>
  <c r="BP88" i="1" s="1"/>
  <c r="BQ86" i="1"/>
  <c r="BP86" i="1" s="1"/>
  <c r="BQ85" i="1"/>
  <c r="BP85" i="1" s="1"/>
  <c r="BQ84" i="1"/>
  <c r="BP84" i="1" s="1"/>
  <c r="BQ83" i="1"/>
  <c r="BP83" i="1" s="1"/>
  <c r="BQ80" i="1"/>
  <c r="BP80" i="1" s="1"/>
  <c r="BQ79" i="1"/>
  <c r="BP79" i="1" s="1"/>
  <c r="BQ78" i="1"/>
  <c r="BP78" i="1" s="1"/>
  <c r="BQ77" i="1"/>
  <c r="BP77" i="1" s="1"/>
  <c r="BQ76" i="1"/>
  <c r="BP76" i="1" s="1"/>
  <c r="BQ75" i="1"/>
  <c r="BP75" i="1" s="1"/>
  <c r="BQ74" i="1"/>
  <c r="BP74" i="1" s="1"/>
  <c r="BQ73" i="1"/>
  <c r="BP73" i="1" s="1"/>
  <c r="BQ72" i="1"/>
  <c r="BP72" i="1" s="1"/>
  <c r="BQ71" i="1"/>
  <c r="BP71" i="1" s="1"/>
  <c r="BQ68" i="1"/>
  <c r="BP68" i="1" s="1"/>
  <c r="BQ67" i="1"/>
  <c r="BP67" i="1" s="1"/>
  <c r="BQ65" i="1"/>
  <c r="BP65" i="1" s="1"/>
  <c r="BQ64" i="1"/>
  <c r="BQ63" i="1"/>
  <c r="BP63" i="1" s="1"/>
  <c r="BQ62" i="1"/>
  <c r="BP62" i="1" s="1"/>
  <c r="BQ58" i="1"/>
  <c r="BP58" i="1" s="1"/>
  <c r="BQ57" i="1"/>
  <c r="BP57" i="1" s="1"/>
  <c r="BQ56" i="1"/>
  <c r="BP56" i="1" s="1"/>
  <c r="BQ55" i="1"/>
  <c r="BP55" i="1" s="1"/>
  <c r="BQ54" i="1"/>
  <c r="BP54" i="1" s="1"/>
  <c r="BQ53" i="1"/>
  <c r="BP53" i="1" s="1"/>
  <c r="BQ50" i="1"/>
  <c r="BP50" i="1" s="1"/>
  <c r="BQ49" i="1"/>
  <c r="BP49" i="1" s="1"/>
  <c r="BQ48" i="1"/>
  <c r="BP48" i="1" s="1"/>
  <c r="BQ47" i="1"/>
  <c r="BP47" i="1" s="1"/>
  <c r="BQ46" i="1"/>
  <c r="BP46" i="1" s="1"/>
  <c r="BQ45" i="1"/>
  <c r="BP45" i="1" s="1"/>
  <c r="BQ44" i="1"/>
  <c r="BP44" i="1" s="1"/>
  <c r="BQ43" i="1"/>
  <c r="BP43" i="1" s="1"/>
  <c r="BQ42" i="1"/>
  <c r="BP42" i="1" s="1"/>
  <c r="BQ41" i="1"/>
  <c r="BP41" i="1" s="1"/>
  <c r="BQ40" i="1"/>
  <c r="BP40" i="1" s="1"/>
  <c r="BQ39" i="1"/>
  <c r="BP39" i="1" s="1"/>
  <c r="BQ38" i="1"/>
  <c r="BP38" i="1" s="1"/>
  <c r="BQ37" i="1"/>
  <c r="BP37" i="1" s="1"/>
  <c r="BQ36" i="1"/>
  <c r="BP36" i="1" s="1"/>
  <c r="BQ35" i="1"/>
  <c r="BP35" i="1" s="1"/>
  <c r="BQ32" i="1"/>
  <c r="BP32" i="1" s="1"/>
  <c r="BQ31" i="1"/>
  <c r="BP31" i="1" s="1"/>
  <c r="BQ30" i="1"/>
  <c r="BP30" i="1" s="1"/>
  <c r="BQ29" i="1"/>
  <c r="BQ28" i="1"/>
  <c r="BP28" i="1" s="1"/>
  <c r="BQ27" i="1"/>
  <c r="BP27" i="1" s="1"/>
  <c r="BQ23" i="1"/>
  <c r="BP23" i="1" s="1"/>
  <c r="BQ22" i="1"/>
  <c r="BP22" i="1" s="1"/>
  <c r="BQ21" i="1"/>
  <c r="BP21" i="1" s="1"/>
  <c r="BQ20" i="1"/>
  <c r="BP20" i="1" s="1"/>
  <c r="BQ19" i="1"/>
  <c r="BP19" i="1" s="1"/>
  <c r="BQ18" i="1"/>
  <c r="BP18" i="1" s="1"/>
  <c r="BQ17" i="1"/>
  <c r="BP17" i="1" s="1"/>
  <c r="BQ16" i="1"/>
  <c r="BQ15" i="1"/>
  <c r="BP15" i="1" s="1"/>
  <c r="BQ14" i="1"/>
  <c r="BP14" i="1" s="1"/>
  <c r="BQ13" i="1"/>
  <c r="BQ12" i="1"/>
  <c r="BC319" i="1"/>
  <c r="BC318" i="1"/>
  <c r="BB318" i="1" s="1"/>
  <c r="BC314" i="1"/>
  <c r="BB314" i="1" s="1"/>
  <c r="BC313" i="1"/>
  <c r="BC310" i="1"/>
  <c r="BB310" i="1" s="1"/>
  <c r="BC309" i="1"/>
  <c r="BC307" i="1"/>
  <c r="BB307" i="1" s="1"/>
  <c r="BC306" i="1"/>
  <c r="BB306" i="1" s="1"/>
  <c r="BC305" i="1"/>
  <c r="BB305" i="1" s="1"/>
  <c r="BC304" i="1"/>
  <c r="BB304" i="1" s="1"/>
  <c r="BC302" i="1"/>
  <c r="BB302" i="1" s="1"/>
  <c r="BC301" i="1"/>
  <c r="BC300" i="1"/>
  <c r="BB300" i="1" s="1"/>
  <c r="BC298" i="1"/>
  <c r="BB298" i="1" s="1"/>
  <c r="BC297" i="1"/>
  <c r="BB297" i="1" s="1"/>
  <c r="BC296" i="1"/>
  <c r="BB296" i="1" s="1"/>
  <c r="BC295" i="1"/>
  <c r="BB295" i="1" s="1"/>
  <c r="BC293" i="1"/>
  <c r="BC290" i="1"/>
  <c r="BB290" i="1" s="1"/>
  <c r="BC289" i="1"/>
  <c r="BB289" i="1" s="1"/>
  <c r="BC288" i="1"/>
  <c r="BB288" i="1" s="1"/>
  <c r="BC287" i="1"/>
  <c r="BB287" i="1" s="1"/>
  <c r="BC286" i="1"/>
  <c r="BB286" i="1" s="1"/>
  <c r="BC285" i="1"/>
  <c r="BB285" i="1" s="1"/>
  <c r="BC284" i="1"/>
  <c r="BB284" i="1" s="1"/>
  <c r="BC283" i="1"/>
  <c r="BB283" i="1" s="1"/>
  <c r="BC282" i="1"/>
  <c r="BB282" i="1" s="1"/>
  <c r="BC281" i="1"/>
  <c r="BB281" i="1" s="1"/>
  <c r="BC280" i="1"/>
  <c r="BB280" i="1" s="1"/>
  <c r="BC279" i="1"/>
  <c r="BB279" i="1" s="1"/>
  <c r="BC278" i="1"/>
  <c r="BB278" i="1" s="1"/>
  <c r="BC277" i="1"/>
  <c r="BB277" i="1" s="1"/>
  <c r="BC276" i="1"/>
  <c r="BB276" i="1" s="1"/>
  <c r="BC275" i="1"/>
  <c r="BB275" i="1" s="1"/>
  <c r="BC274" i="1"/>
  <c r="BB274" i="1" s="1"/>
  <c r="BC273" i="1"/>
  <c r="BB273" i="1" s="1"/>
  <c r="BC271" i="1"/>
  <c r="BB271" i="1" s="1"/>
  <c r="BC270" i="1"/>
  <c r="BB270" i="1" s="1"/>
  <c r="BC269" i="1"/>
  <c r="BB269" i="1" s="1"/>
  <c r="BC268" i="1"/>
  <c r="BB268" i="1" s="1"/>
  <c r="BC267" i="1"/>
  <c r="BB267" i="1" s="1"/>
  <c r="BC266" i="1"/>
  <c r="BB266" i="1" s="1"/>
  <c r="BC264" i="1"/>
  <c r="BB264" i="1" s="1"/>
  <c r="BC263" i="1"/>
  <c r="BB263" i="1" s="1"/>
  <c r="BC262" i="1"/>
  <c r="BB262" i="1" s="1"/>
  <c r="BC261" i="1"/>
  <c r="BC260" i="1"/>
  <c r="BB260" i="1" s="1"/>
  <c r="BC256" i="1"/>
  <c r="BB256" i="1" s="1"/>
  <c r="BC255" i="1"/>
  <c r="BB255" i="1" s="1"/>
  <c r="BC254" i="1"/>
  <c r="BB254" i="1" s="1"/>
  <c r="BC253" i="1"/>
  <c r="BB253" i="1" s="1"/>
  <c r="BC252" i="1"/>
  <c r="BB252" i="1" s="1"/>
  <c r="BC251" i="1"/>
  <c r="BB251" i="1" s="1"/>
  <c r="BC250" i="1"/>
  <c r="BB250" i="1" s="1"/>
  <c r="BC249" i="1"/>
  <c r="BB249" i="1" s="1"/>
  <c r="BC248" i="1"/>
  <c r="BB248" i="1" s="1"/>
  <c r="BC247" i="1"/>
  <c r="BB247" i="1" s="1"/>
  <c r="BC246" i="1"/>
  <c r="BB246" i="1" s="1"/>
  <c r="BC245" i="1"/>
  <c r="BB245" i="1" s="1"/>
  <c r="BC244" i="1"/>
  <c r="BB244" i="1" s="1"/>
  <c r="BC243" i="1"/>
  <c r="BB243" i="1" s="1"/>
  <c r="BC242" i="1"/>
  <c r="BB242" i="1" s="1"/>
  <c r="BC241" i="1"/>
  <c r="BB241" i="1" s="1"/>
  <c r="BC240" i="1"/>
  <c r="BB240" i="1" s="1"/>
  <c r="BC239" i="1"/>
  <c r="BB239" i="1" s="1"/>
  <c r="BC238" i="1"/>
  <c r="BB238" i="1" s="1"/>
  <c r="BC236" i="1"/>
  <c r="BB236" i="1" s="1"/>
  <c r="BC233" i="1"/>
  <c r="BB233" i="1" s="1"/>
  <c r="BC229" i="1"/>
  <c r="BB229" i="1" s="1"/>
  <c r="BC228" i="1"/>
  <c r="BB228" i="1" s="1"/>
  <c r="BC227" i="1"/>
  <c r="BB227" i="1" s="1"/>
  <c r="BC226" i="1"/>
  <c r="BB226" i="1" s="1"/>
  <c r="BC225" i="1"/>
  <c r="BB225" i="1" s="1"/>
  <c r="BC224" i="1"/>
  <c r="BB224" i="1" s="1"/>
  <c r="BC223" i="1"/>
  <c r="BB223" i="1" s="1"/>
  <c r="BC222" i="1"/>
  <c r="BB222" i="1" s="1"/>
  <c r="BC221" i="1"/>
  <c r="BB221" i="1" s="1"/>
  <c r="BC220" i="1"/>
  <c r="BB220" i="1" s="1"/>
  <c r="BC219" i="1"/>
  <c r="BB219" i="1" s="1"/>
  <c r="BC218" i="1"/>
  <c r="BB218" i="1" s="1"/>
  <c r="BC217" i="1"/>
  <c r="BB217" i="1" s="1"/>
  <c r="BC213" i="1"/>
  <c r="BB213" i="1" s="1"/>
  <c r="BC212" i="1"/>
  <c r="BB212" i="1" s="1"/>
  <c r="BC211" i="1"/>
  <c r="BB211" i="1" s="1"/>
  <c r="BC210" i="1"/>
  <c r="BB210" i="1" s="1"/>
  <c r="BC206" i="1"/>
  <c r="BB206" i="1" s="1"/>
  <c r="BC205" i="1"/>
  <c r="BB205" i="1" s="1"/>
  <c r="BC204" i="1"/>
  <c r="BB204" i="1" s="1"/>
  <c r="BC203" i="1"/>
  <c r="BB203" i="1" s="1"/>
  <c r="BC202" i="1"/>
  <c r="BB202" i="1" s="1"/>
  <c r="BC201" i="1"/>
  <c r="BB201" i="1" s="1"/>
  <c r="BC200" i="1"/>
  <c r="BB200" i="1" s="1"/>
  <c r="BC199" i="1"/>
  <c r="BB199" i="1" s="1"/>
  <c r="BC198" i="1"/>
  <c r="BB198" i="1" s="1"/>
  <c r="BC197" i="1"/>
  <c r="BB197" i="1" s="1"/>
  <c r="BC196" i="1"/>
  <c r="BB196" i="1" s="1"/>
  <c r="BC195" i="1"/>
  <c r="BB195" i="1" s="1"/>
  <c r="BC194" i="1"/>
  <c r="BB194" i="1" s="1"/>
  <c r="BC193" i="1"/>
  <c r="BB193" i="1" s="1"/>
  <c r="BC192" i="1"/>
  <c r="BB192" i="1" s="1"/>
  <c r="BC191" i="1"/>
  <c r="BB191" i="1" s="1"/>
  <c r="BC190" i="1"/>
  <c r="BB190" i="1" s="1"/>
  <c r="BC189" i="1"/>
  <c r="BB189" i="1" s="1"/>
  <c r="BC188" i="1"/>
  <c r="BB188" i="1" s="1"/>
  <c r="BC187" i="1"/>
  <c r="BB187" i="1" s="1"/>
  <c r="BC186" i="1"/>
  <c r="BB186" i="1" s="1"/>
  <c r="BC185" i="1"/>
  <c r="BB185" i="1" s="1"/>
  <c r="BC183" i="1"/>
  <c r="BB183" i="1" s="1"/>
  <c r="BC182" i="1"/>
  <c r="BB182" i="1" s="1"/>
  <c r="BC181" i="1"/>
  <c r="BB181" i="1" s="1"/>
  <c r="BC180" i="1"/>
  <c r="BB180" i="1" s="1"/>
  <c r="BC178" i="1"/>
  <c r="BB178" i="1" s="1"/>
  <c r="BC177" i="1"/>
  <c r="BB177" i="1" s="1"/>
  <c r="BC176" i="1"/>
  <c r="BB176" i="1" s="1"/>
  <c r="BC175" i="1"/>
  <c r="BB175" i="1" s="1"/>
  <c r="BC174" i="1"/>
  <c r="BB174" i="1" s="1"/>
  <c r="BC173" i="1"/>
  <c r="BB173" i="1" s="1"/>
  <c r="BC172" i="1"/>
  <c r="BB172" i="1" s="1"/>
  <c r="BC171" i="1"/>
  <c r="BB171" i="1" s="1"/>
  <c r="BC170" i="1"/>
  <c r="BB170" i="1" s="1"/>
  <c r="BC169" i="1"/>
  <c r="BB169" i="1" s="1"/>
  <c r="BC167" i="1"/>
  <c r="BB167" i="1" s="1"/>
  <c r="BC166" i="1"/>
  <c r="BB166" i="1" s="1"/>
  <c r="BC165" i="1"/>
  <c r="BB165" i="1" s="1"/>
  <c r="BC164" i="1"/>
  <c r="BB164" i="1" s="1"/>
  <c r="BC162" i="1"/>
  <c r="BB162" i="1" s="1"/>
  <c r="BC161" i="1"/>
  <c r="BB161" i="1" s="1"/>
  <c r="BC160" i="1"/>
  <c r="BB160" i="1" s="1"/>
  <c r="BC159" i="1"/>
  <c r="BB159" i="1" s="1"/>
  <c r="BC158" i="1"/>
  <c r="BB158" i="1" s="1"/>
  <c r="BC157" i="1"/>
  <c r="BB157" i="1" s="1"/>
  <c r="BC156" i="1"/>
  <c r="BB156" i="1" s="1"/>
  <c r="BC155" i="1"/>
  <c r="BB155" i="1" s="1"/>
  <c r="BC150" i="1"/>
  <c r="BB150" i="1" s="1"/>
  <c r="BC149" i="1"/>
  <c r="BB149" i="1" s="1"/>
  <c r="BC148" i="1"/>
  <c r="BB148" i="1" s="1"/>
  <c r="BC147" i="1"/>
  <c r="BB147" i="1" s="1"/>
  <c r="BC146" i="1"/>
  <c r="BB146" i="1" s="1"/>
  <c r="BC145" i="1"/>
  <c r="BB145" i="1" s="1"/>
  <c r="BC144" i="1"/>
  <c r="BB144" i="1" s="1"/>
  <c r="BC143" i="1"/>
  <c r="BB143" i="1" s="1"/>
  <c r="BC142" i="1"/>
  <c r="BB142" i="1" s="1"/>
  <c r="BC141" i="1"/>
  <c r="BB141" i="1" s="1"/>
  <c r="BC140" i="1"/>
  <c r="BB140" i="1" s="1"/>
  <c r="BC139" i="1"/>
  <c r="BB139" i="1" s="1"/>
  <c r="BC138" i="1"/>
  <c r="BB138" i="1" s="1"/>
  <c r="BC137" i="1"/>
  <c r="BB137" i="1" s="1"/>
  <c r="BC136" i="1"/>
  <c r="BB136" i="1" s="1"/>
  <c r="BC135" i="1"/>
  <c r="BB135" i="1" s="1"/>
  <c r="BC134" i="1"/>
  <c r="BC133" i="1"/>
  <c r="BB133" i="1" s="1"/>
  <c r="BC130" i="1"/>
  <c r="BB130" i="1" s="1"/>
  <c r="BC129" i="1"/>
  <c r="BB129" i="1" s="1"/>
  <c r="BC125" i="1"/>
  <c r="BB125" i="1" s="1"/>
  <c r="BC124" i="1"/>
  <c r="BB124" i="1" s="1"/>
  <c r="BC123" i="1"/>
  <c r="BB123" i="1" s="1"/>
  <c r="BC121" i="1"/>
  <c r="BB121" i="1" s="1"/>
  <c r="BC120" i="1"/>
  <c r="BB120" i="1" s="1"/>
  <c r="BC119" i="1"/>
  <c r="BB119" i="1" s="1"/>
  <c r="BC118" i="1"/>
  <c r="BB118" i="1" s="1"/>
  <c r="BC117" i="1"/>
  <c r="BB117" i="1" s="1"/>
  <c r="BC116" i="1"/>
  <c r="BB116" i="1" s="1"/>
  <c r="BC115" i="1"/>
  <c r="BB115" i="1" s="1"/>
  <c r="BC114" i="1"/>
  <c r="BB114" i="1" s="1"/>
  <c r="BC111" i="1"/>
  <c r="BB111" i="1" s="1"/>
  <c r="BC110" i="1"/>
  <c r="BB110" i="1" s="1"/>
  <c r="BC109" i="1"/>
  <c r="BB109" i="1" s="1"/>
  <c r="BC108" i="1"/>
  <c r="BB108" i="1" s="1"/>
  <c r="BC107" i="1"/>
  <c r="BB107" i="1" s="1"/>
  <c r="BC106" i="1"/>
  <c r="BB106" i="1" s="1"/>
  <c r="BC105" i="1"/>
  <c r="BB105" i="1" s="1"/>
  <c r="BC104" i="1"/>
  <c r="BB104" i="1" s="1"/>
  <c r="BC102" i="1"/>
  <c r="BB102" i="1" s="1"/>
  <c r="BC101" i="1"/>
  <c r="BB101" i="1" s="1"/>
  <c r="BC100" i="1"/>
  <c r="BB100" i="1" s="1"/>
  <c r="BC99" i="1"/>
  <c r="BB99" i="1" s="1"/>
  <c r="BC98" i="1"/>
  <c r="BB98" i="1" s="1"/>
  <c r="BC97" i="1"/>
  <c r="BB97" i="1" s="1"/>
  <c r="BC96" i="1"/>
  <c r="BB96" i="1" s="1"/>
  <c r="BC95" i="1"/>
  <c r="BB95" i="1" s="1"/>
  <c r="BC94" i="1"/>
  <c r="BB94" i="1" s="1"/>
  <c r="BC93" i="1"/>
  <c r="BB93" i="1" s="1"/>
  <c r="BC92" i="1"/>
  <c r="BB92" i="1" s="1"/>
  <c r="BC88" i="1"/>
  <c r="BB88" i="1" s="1"/>
  <c r="BC86" i="1"/>
  <c r="BB86" i="1" s="1"/>
  <c r="BC85" i="1"/>
  <c r="BB85" i="1" s="1"/>
  <c r="BC84" i="1"/>
  <c r="BC83" i="1"/>
  <c r="BB83" i="1" s="1"/>
  <c r="BC80" i="1"/>
  <c r="BB80" i="1" s="1"/>
  <c r="BC79" i="1"/>
  <c r="BB79" i="1" s="1"/>
  <c r="BC78" i="1"/>
  <c r="BB78" i="1" s="1"/>
  <c r="BC77" i="1"/>
  <c r="BB77" i="1" s="1"/>
  <c r="BC76" i="1"/>
  <c r="BB76" i="1" s="1"/>
  <c r="BC75" i="1"/>
  <c r="BB75" i="1" s="1"/>
  <c r="BC74" i="1"/>
  <c r="BB74" i="1" s="1"/>
  <c r="BC73" i="1"/>
  <c r="BB73" i="1" s="1"/>
  <c r="BC72" i="1"/>
  <c r="BB72" i="1" s="1"/>
  <c r="BC71" i="1"/>
  <c r="BB71" i="1" s="1"/>
  <c r="BC68" i="1"/>
  <c r="BB68" i="1" s="1"/>
  <c r="BC67" i="1"/>
  <c r="BB67" i="1" s="1"/>
  <c r="BC65" i="1"/>
  <c r="BB65" i="1" s="1"/>
  <c r="BC64" i="1"/>
  <c r="BB64" i="1" s="1"/>
  <c r="BC63" i="1"/>
  <c r="BB63" i="1" s="1"/>
  <c r="BC62" i="1"/>
  <c r="BB62" i="1" s="1"/>
  <c r="BC58" i="1"/>
  <c r="BB58" i="1" s="1"/>
  <c r="BC57" i="1"/>
  <c r="BB57" i="1" s="1"/>
  <c r="BC56" i="1"/>
  <c r="BB56" i="1" s="1"/>
  <c r="BC55" i="1"/>
  <c r="BB55" i="1" s="1"/>
  <c r="BC54" i="1"/>
  <c r="BB54" i="1" s="1"/>
  <c r="BC53" i="1"/>
  <c r="BB53" i="1" s="1"/>
  <c r="BC50" i="1"/>
  <c r="BB50" i="1" s="1"/>
  <c r="BC49" i="1"/>
  <c r="BB49" i="1" s="1"/>
  <c r="BC48" i="1"/>
  <c r="BB48" i="1" s="1"/>
  <c r="BC47" i="1"/>
  <c r="BB47" i="1" s="1"/>
  <c r="BC46" i="1"/>
  <c r="BB46" i="1" s="1"/>
  <c r="BC45" i="1"/>
  <c r="BB45" i="1" s="1"/>
  <c r="BC44" i="1"/>
  <c r="BB44" i="1" s="1"/>
  <c r="BC43" i="1"/>
  <c r="BB43" i="1" s="1"/>
  <c r="BC42" i="1"/>
  <c r="BB42" i="1" s="1"/>
  <c r="BC41" i="1"/>
  <c r="BB41" i="1" s="1"/>
  <c r="BC40" i="1"/>
  <c r="BB40" i="1" s="1"/>
  <c r="BC39" i="1"/>
  <c r="BB39" i="1" s="1"/>
  <c r="BC38" i="1"/>
  <c r="BB38" i="1" s="1"/>
  <c r="BC37" i="1"/>
  <c r="BB37" i="1" s="1"/>
  <c r="BC36" i="1"/>
  <c r="BB36" i="1" s="1"/>
  <c r="BC35" i="1"/>
  <c r="BB35" i="1" s="1"/>
  <c r="BC32" i="1"/>
  <c r="BB32" i="1" s="1"/>
  <c r="BC31" i="1"/>
  <c r="BB31" i="1" s="1"/>
  <c r="BC30" i="1"/>
  <c r="BB30" i="1" s="1"/>
  <c r="BC29" i="1"/>
  <c r="BB29" i="1" s="1"/>
  <c r="BC28" i="1"/>
  <c r="BB28" i="1" s="1"/>
  <c r="BC27" i="1"/>
  <c r="BB27" i="1" s="1"/>
  <c r="BC23" i="1"/>
  <c r="BB23" i="1" s="1"/>
  <c r="BC22" i="1"/>
  <c r="BB22" i="1" s="1"/>
  <c r="BC21" i="1"/>
  <c r="BB21" i="1" s="1"/>
  <c r="BC20" i="1"/>
  <c r="BB20" i="1" s="1"/>
  <c r="BC19" i="1"/>
  <c r="BB19" i="1" s="1"/>
  <c r="BC18" i="1"/>
  <c r="BB18" i="1" s="1"/>
  <c r="BC17" i="1"/>
  <c r="BB17" i="1" s="1"/>
  <c r="BC16" i="1"/>
  <c r="BB16" i="1" s="1"/>
  <c r="BC15" i="1"/>
  <c r="BB15" i="1" s="1"/>
  <c r="BC14" i="1"/>
  <c r="BB14" i="1" s="1"/>
  <c r="BC13" i="1"/>
  <c r="BC12" i="1"/>
  <c r="AO319" i="1"/>
  <c r="AO318" i="1"/>
  <c r="AN318" i="1" s="1"/>
  <c r="AO314" i="1"/>
  <c r="AN314" i="1" s="1"/>
  <c r="AO313" i="1"/>
  <c r="AO310" i="1"/>
  <c r="AO309" i="1"/>
  <c r="AN309" i="1" s="1"/>
  <c r="AO307" i="1"/>
  <c r="AN307" i="1" s="1"/>
  <c r="AO306" i="1"/>
  <c r="AN306" i="1" s="1"/>
  <c r="AO305" i="1"/>
  <c r="AO304" i="1"/>
  <c r="AN304" i="1" s="1"/>
  <c r="AO302" i="1"/>
  <c r="AN302" i="1" s="1"/>
  <c r="AO301" i="1"/>
  <c r="AN301" i="1" s="1"/>
  <c r="AO300" i="1"/>
  <c r="AO298" i="1"/>
  <c r="AN298" i="1" s="1"/>
  <c r="AO297" i="1"/>
  <c r="AN297" i="1" s="1"/>
  <c r="AO296" i="1"/>
  <c r="AN296" i="1" s="1"/>
  <c r="AO295" i="1"/>
  <c r="AO293" i="1"/>
  <c r="AN293" i="1" s="1"/>
  <c r="AN292" i="1" s="1"/>
  <c r="AO290" i="1"/>
  <c r="AN290" i="1" s="1"/>
  <c r="AO289" i="1"/>
  <c r="AN289" i="1" s="1"/>
  <c r="AO288" i="1"/>
  <c r="AN288" i="1" s="1"/>
  <c r="AO287" i="1"/>
  <c r="AN287" i="1" s="1"/>
  <c r="AO286" i="1"/>
  <c r="AN286" i="1" s="1"/>
  <c r="AO285" i="1"/>
  <c r="AN285" i="1" s="1"/>
  <c r="AO284" i="1"/>
  <c r="AN284" i="1" s="1"/>
  <c r="AO283" i="1"/>
  <c r="AN283" i="1" s="1"/>
  <c r="AO282" i="1"/>
  <c r="AN282" i="1" s="1"/>
  <c r="AO281" i="1"/>
  <c r="AN281" i="1" s="1"/>
  <c r="AO280" i="1"/>
  <c r="AN280" i="1" s="1"/>
  <c r="AO279" i="1"/>
  <c r="AN279" i="1" s="1"/>
  <c r="AO278" i="1"/>
  <c r="AN278" i="1" s="1"/>
  <c r="AO277" i="1"/>
  <c r="AN277" i="1" s="1"/>
  <c r="AO276" i="1"/>
  <c r="AN276" i="1" s="1"/>
  <c r="AO275" i="1"/>
  <c r="AN275" i="1" s="1"/>
  <c r="AO274" i="1"/>
  <c r="AN274" i="1" s="1"/>
  <c r="AO273" i="1"/>
  <c r="AN273" i="1" s="1"/>
  <c r="AO271" i="1"/>
  <c r="AN271" i="1" s="1"/>
  <c r="AO270" i="1"/>
  <c r="AN270" i="1" s="1"/>
  <c r="AO269" i="1"/>
  <c r="AN269" i="1" s="1"/>
  <c r="AO268" i="1"/>
  <c r="AN268" i="1" s="1"/>
  <c r="AO267" i="1"/>
  <c r="AN267" i="1" s="1"/>
  <c r="AO266" i="1"/>
  <c r="AN266" i="1" s="1"/>
  <c r="AO264" i="1"/>
  <c r="AN264" i="1" s="1"/>
  <c r="AO263" i="1"/>
  <c r="AN263" i="1" s="1"/>
  <c r="AO262" i="1"/>
  <c r="AO261" i="1"/>
  <c r="AN261" i="1" s="1"/>
  <c r="AO260" i="1"/>
  <c r="AN260" i="1" s="1"/>
  <c r="AO256" i="1"/>
  <c r="AN256" i="1" s="1"/>
  <c r="AO255" i="1"/>
  <c r="AN255" i="1" s="1"/>
  <c r="AO254" i="1"/>
  <c r="AN254" i="1" s="1"/>
  <c r="AO253" i="1"/>
  <c r="AN253" i="1" s="1"/>
  <c r="AO252" i="1"/>
  <c r="AN252" i="1" s="1"/>
  <c r="AO251" i="1"/>
  <c r="AN251" i="1" s="1"/>
  <c r="AO250" i="1"/>
  <c r="AN250" i="1" s="1"/>
  <c r="AO249" i="1"/>
  <c r="AN249" i="1" s="1"/>
  <c r="AO248" i="1"/>
  <c r="AN248" i="1" s="1"/>
  <c r="AO247" i="1"/>
  <c r="AN247" i="1" s="1"/>
  <c r="AO246" i="1"/>
  <c r="AN246" i="1" s="1"/>
  <c r="AO245" i="1"/>
  <c r="AN245" i="1" s="1"/>
  <c r="AO244" i="1"/>
  <c r="AN244" i="1" s="1"/>
  <c r="AO243" i="1"/>
  <c r="AN243" i="1" s="1"/>
  <c r="AO242" i="1"/>
  <c r="AN242" i="1" s="1"/>
  <c r="AO241" i="1"/>
  <c r="AN241" i="1" s="1"/>
  <c r="AO240" i="1"/>
  <c r="AN240" i="1" s="1"/>
  <c r="AO239" i="1"/>
  <c r="AN239" i="1" s="1"/>
  <c r="AO238" i="1"/>
  <c r="AN238" i="1" s="1"/>
  <c r="AO236" i="1"/>
  <c r="AN236" i="1" s="1"/>
  <c r="AO233" i="1"/>
  <c r="AN233" i="1" s="1"/>
  <c r="AO229" i="1"/>
  <c r="AN229" i="1" s="1"/>
  <c r="AO228" i="1"/>
  <c r="AN228" i="1" s="1"/>
  <c r="AO227" i="1"/>
  <c r="AN227" i="1" s="1"/>
  <c r="AO226" i="1"/>
  <c r="AN226" i="1" s="1"/>
  <c r="AO225" i="1"/>
  <c r="AN225" i="1" s="1"/>
  <c r="AO224" i="1"/>
  <c r="AN224" i="1" s="1"/>
  <c r="AO223" i="1"/>
  <c r="AN223" i="1" s="1"/>
  <c r="AO222" i="1"/>
  <c r="AN222" i="1" s="1"/>
  <c r="AO221" i="1"/>
  <c r="AN221" i="1" s="1"/>
  <c r="AO220" i="1"/>
  <c r="AN220" i="1" s="1"/>
  <c r="AO219" i="1"/>
  <c r="AN219" i="1" s="1"/>
  <c r="AO218" i="1"/>
  <c r="AN218" i="1" s="1"/>
  <c r="AO217" i="1"/>
  <c r="AN217" i="1" s="1"/>
  <c r="AO213" i="1"/>
  <c r="AN213" i="1" s="1"/>
  <c r="AO212" i="1"/>
  <c r="AN212" i="1" s="1"/>
  <c r="AO211" i="1"/>
  <c r="AN211" i="1" s="1"/>
  <c r="AO210" i="1"/>
  <c r="AN210" i="1" s="1"/>
  <c r="AO207" i="1"/>
  <c r="AN207" i="1" s="1"/>
  <c r="AO206" i="1"/>
  <c r="AN206" i="1" s="1"/>
  <c r="AO205" i="1"/>
  <c r="AN205" i="1" s="1"/>
  <c r="AO204" i="1"/>
  <c r="AN204" i="1" s="1"/>
  <c r="AO203" i="1"/>
  <c r="AN203" i="1" s="1"/>
  <c r="AO202" i="1"/>
  <c r="AN202" i="1" s="1"/>
  <c r="AO201" i="1"/>
  <c r="AN201" i="1" s="1"/>
  <c r="AO200" i="1"/>
  <c r="AN200" i="1" s="1"/>
  <c r="AO199" i="1"/>
  <c r="AN199" i="1" s="1"/>
  <c r="AO198" i="1"/>
  <c r="AN198" i="1" s="1"/>
  <c r="AO197" i="1"/>
  <c r="AN197" i="1" s="1"/>
  <c r="AO196" i="1"/>
  <c r="AN196" i="1" s="1"/>
  <c r="AO195" i="1"/>
  <c r="AN195" i="1" s="1"/>
  <c r="AO194" i="1"/>
  <c r="AN194" i="1" s="1"/>
  <c r="AO193" i="1"/>
  <c r="AN193" i="1" s="1"/>
  <c r="AO192" i="1"/>
  <c r="AN192" i="1" s="1"/>
  <c r="AO191" i="1"/>
  <c r="AN191" i="1" s="1"/>
  <c r="AO190" i="1"/>
  <c r="AN190" i="1" s="1"/>
  <c r="AO189" i="1"/>
  <c r="AN189" i="1" s="1"/>
  <c r="AO188" i="1"/>
  <c r="AN188" i="1" s="1"/>
  <c r="AO187" i="1"/>
  <c r="AN187" i="1" s="1"/>
  <c r="AO186" i="1"/>
  <c r="AN186" i="1" s="1"/>
  <c r="AO185" i="1"/>
  <c r="AN185" i="1" s="1"/>
  <c r="AO183" i="1"/>
  <c r="AN183" i="1" s="1"/>
  <c r="AO182" i="1"/>
  <c r="AN182" i="1" s="1"/>
  <c r="AO181" i="1"/>
  <c r="AN181" i="1" s="1"/>
  <c r="AO180" i="1"/>
  <c r="AN180" i="1" s="1"/>
  <c r="AO178" i="1"/>
  <c r="AN178" i="1" s="1"/>
  <c r="AO177" i="1"/>
  <c r="AN177" i="1" s="1"/>
  <c r="AO176" i="1"/>
  <c r="AN176" i="1" s="1"/>
  <c r="AO175" i="1"/>
  <c r="AN175" i="1" s="1"/>
  <c r="AO174" i="1"/>
  <c r="AN174" i="1" s="1"/>
  <c r="AO173" i="1"/>
  <c r="AN173" i="1" s="1"/>
  <c r="AO172" i="1"/>
  <c r="AN172" i="1" s="1"/>
  <c r="AO171" i="1"/>
  <c r="AN171" i="1" s="1"/>
  <c r="AO170" i="1"/>
  <c r="AN170" i="1" s="1"/>
  <c r="AO169" i="1"/>
  <c r="AN169" i="1" s="1"/>
  <c r="AO167" i="1"/>
  <c r="AN167" i="1" s="1"/>
  <c r="AO166" i="1"/>
  <c r="AN166" i="1" s="1"/>
  <c r="AO165" i="1"/>
  <c r="AN165" i="1" s="1"/>
  <c r="AO164" i="1"/>
  <c r="AN164" i="1" s="1"/>
  <c r="AO162" i="1"/>
  <c r="AN162" i="1" s="1"/>
  <c r="AO161" i="1"/>
  <c r="AN161" i="1" s="1"/>
  <c r="AO160" i="1"/>
  <c r="AN160" i="1" s="1"/>
  <c r="AO159" i="1"/>
  <c r="AN159" i="1" s="1"/>
  <c r="AO158" i="1"/>
  <c r="AN158" i="1" s="1"/>
  <c r="AO157" i="1"/>
  <c r="AN157" i="1" s="1"/>
  <c r="AO156" i="1"/>
  <c r="AN156" i="1" s="1"/>
  <c r="AO155" i="1"/>
  <c r="AN155" i="1" s="1"/>
  <c r="AO150" i="1"/>
  <c r="AN150" i="1" s="1"/>
  <c r="AO149" i="1"/>
  <c r="AN149" i="1" s="1"/>
  <c r="AO148" i="1"/>
  <c r="AN148" i="1" s="1"/>
  <c r="AO147" i="1"/>
  <c r="AN147" i="1" s="1"/>
  <c r="AO146" i="1"/>
  <c r="AN146" i="1" s="1"/>
  <c r="AO145" i="1"/>
  <c r="AN145" i="1" s="1"/>
  <c r="AO144" i="1"/>
  <c r="AN144" i="1" s="1"/>
  <c r="AO143" i="1"/>
  <c r="AN143" i="1" s="1"/>
  <c r="AO142" i="1"/>
  <c r="AN142" i="1" s="1"/>
  <c r="AO141" i="1"/>
  <c r="AN141" i="1" s="1"/>
  <c r="AO140" i="1"/>
  <c r="AN140" i="1" s="1"/>
  <c r="AO139" i="1"/>
  <c r="AN139" i="1" s="1"/>
  <c r="AO138" i="1"/>
  <c r="AN138" i="1" s="1"/>
  <c r="AO137" i="1"/>
  <c r="AN137" i="1" s="1"/>
  <c r="AO136" i="1"/>
  <c r="AN136" i="1" s="1"/>
  <c r="AO135" i="1"/>
  <c r="AN135" i="1" s="1"/>
  <c r="AO134" i="1"/>
  <c r="AN134" i="1" s="1"/>
  <c r="AO133" i="1"/>
  <c r="AN133" i="1" s="1"/>
  <c r="AO130" i="1"/>
  <c r="AN130" i="1" s="1"/>
  <c r="AO129" i="1"/>
  <c r="AN129" i="1" s="1"/>
  <c r="AO125" i="1"/>
  <c r="AN125" i="1" s="1"/>
  <c r="AO124" i="1"/>
  <c r="AN124" i="1" s="1"/>
  <c r="AO123" i="1"/>
  <c r="AN123" i="1" s="1"/>
  <c r="AO121" i="1"/>
  <c r="AN121" i="1" s="1"/>
  <c r="AO120" i="1"/>
  <c r="AN120" i="1" s="1"/>
  <c r="AO119" i="1"/>
  <c r="AN119" i="1" s="1"/>
  <c r="AO118" i="1"/>
  <c r="AN118" i="1" s="1"/>
  <c r="AO117" i="1"/>
  <c r="AN117" i="1" s="1"/>
  <c r="AO116" i="1"/>
  <c r="AN116" i="1" s="1"/>
  <c r="AO115" i="1"/>
  <c r="AN115" i="1" s="1"/>
  <c r="AO114" i="1"/>
  <c r="AN114" i="1" s="1"/>
  <c r="AO111" i="1"/>
  <c r="AN111" i="1" s="1"/>
  <c r="AO110" i="1"/>
  <c r="AN110" i="1" s="1"/>
  <c r="AO109" i="1"/>
  <c r="AN109" i="1" s="1"/>
  <c r="AO108" i="1"/>
  <c r="AN108" i="1" s="1"/>
  <c r="AO107" i="1"/>
  <c r="AN107" i="1" s="1"/>
  <c r="AO106" i="1"/>
  <c r="AN106" i="1" s="1"/>
  <c r="AO105" i="1"/>
  <c r="AN105" i="1" s="1"/>
  <c r="AO104" i="1"/>
  <c r="AN104" i="1" s="1"/>
  <c r="AO102" i="1"/>
  <c r="AN102" i="1" s="1"/>
  <c r="AO101" i="1"/>
  <c r="AN101" i="1" s="1"/>
  <c r="AO100" i="1"/>
  <c r="AN100" i="1" s="1"/>
  <c r="AO99" i="1"/>
  <c r="AN99" i="1" s="1"/>
  <c r="AO98" i="1"/>
  <c r="AN98" i="1" s="1"/>
  <c r="AO97" i="1"/>
  <c r="AN97" i="1" s="1"/>
  <c r="AO96" i="1"/>
  <c r="AN96" i="1" s="1"/>
  <c r="AO95" i="1"/>
  <c r="AN95" i="1" s="1"/>
  <c r="AO94" i="1"/>
  <c r="AN94" i="1" s="1"/>
  <c r="AO93" i="1"/>
  <c r="AN93" i="1" s="1"/>
  <c r="AO92" i="1"/>
  <c r="AO88" i="1"/>
  <c r="AN88" i="1" s="1"/>
  <c r="AO86" i="1"/>
  <c r="AN86" i="1" s="1"/>
  <c r="AO85" i="1"/>
  <c r="AN85" i="1" s="1"/>
  <c r="AO84" i="1"/>
  <c r="AN84" i="1" s="1"/>
  <c r="AO83" i="1"/>
  <c r="AN83" i="1" s="1"/>
  <c r="AO80" i="1"/>
  <c r="AN80" i="1" s="1"/>
  <c r="AO79" i="1"/>
  <c r="AN79" i="1" s="1"/>
  <c r="AO78" i="1"/>
  <c r="AN78" i="1" s="1"/>
  <c r="AO77" i="1"/>
  <c r="AN77" i="1" s="1"/>
  <c r="AO76" i="1"/>
  <c r="AN76" i="1" s="1"/>
  <c r="AO75" i="1"/>
  <c r="AN75" i="1" s="1"/>
  <c r="AO74" i="1"/>
  <c r="AN74" i="1" s="1"/>
  <c r="AO73" i="1"/>
  <c r="AN73" i="1" s="1"/>
  <c r="AO72" i="1"/>
  <c r="AN72" i="1" s="1"/>
  <c r="AO71" i="1"/>
  <c r="AN71" i="1" s="1"/>
  <c r="AO68" i="1"/>
  <c r="AN68" i="1" s="1"/>
  <c r="AO67" i="1"/>
  <c r="AN67" i="1" s="1"/>
  <c r="AO65" i="1"/>
  <c r="AN65" i="1" s="1"/>
  <c r="AO64" i="1"/>
  <c r="AN64" i="1" s="1"/>
  <c r="AO63" i="1"/>
  <c r="AN63" i="1" s="1"/>
  <c r="AO62" i="1"/>
  <c r="AN62" i="1" s="1"/>
  <c r="AO58" i="1"/>
  <c r="AN58" i="1" s="1"/>
  <c r="AO57" i="1"/>
  <c r="AN57" i="1" s="1"/>
  <c r="AO56" i="1"/>
  <c r="AN56" i="1" s="1"/>
  <c r="AO55" i="1"/>
  <c r="AN55" i="1" s="1"/>
  <c r="AO54" i="1"/>
  <c r="AN54" i="1" s="1"/>
  <c r="AO53" i="1"/>
  <c r="AN53" i="1" s="1"/>
  <c r="AO50" i="1"/>
  <c r="AN50" i="1" s="1"/>
  <c r="AO49" i="1"/>
  <c r="AN49" i="1" s="1"/>
  <c r="AO48" i="1"/>
  <c r="AN48" i="1" s="1"/>
  <c r="AO47" i="1"/>
  <c r="AN47" i="1" s="1"/>
  <c r="AO46" i="1"/>
  <c r="AN46" i="1" s="1"/>
  <c r="AO45" i="1"/>
  <c r="AN45" i="1" s="1"/>
  <c r="AO44" i="1"/>
  <c r="AN44" i="1" s="1"/>
  <c r="AO43" i="1"/>
  <c r="AN43" i="1" s="1"/>
  <c r="AO42" i="1"/>
  <c r="AN42" i="1" s="1"/>
  <c r="AO41" i="1"/>
  <c r="AN41" i="1" s="1"/>
  <c r="AO40" i="1"/>
  <c r="AN40" i="1" s="1"/>
  <c r="AO39" i="1"/>
  <c r="AN39" i="1" s="1"/>
  <c r="AO38" i="1"/>
  <c r="AN38" i="1" s="1"/>
  <c r="AO37" i="1"/>
  <c r="AN37" i="1" s="1"/>
  <c r="AO36" i="1"/>
  <c r="AN36" i="1" s="1"/>
  <c r="AO35" i="1"/>
  <c r="AN35" i="1" s="1"/>
  <c r="AO32" i="1"/>
  <c r="AN32" i="1" s="1"/>
  <c r="AO31" i="1"/>
  <c r="AN31" i="1" s="1"/>
  <c r="AO30" i="1"/>
  <c r="AN30" i="1" s="1"/>
  <c r="AO29" i="1"/>
  <c r="AO28" i="1"/>
  <c r="AN28" i="1" s="1"/>
  <c r="AO27" i="1"/>
  <c r="AN27" i="1" s="1"/>
  <c r="AO23" i="1"/>
  <c r="AN23" i="1" s="1"/>
  <c r="AO22" i="1"/>
  <c r="AN22" i="1" s="1"/>
  <c r="AO21" i="1"/>
  <c r="AN21" i="1" s="1"/>
  <c r="AO20" i="1"/>
  <c r="AN20" i="1" s="1"/>
  <c r="AO19" i="1"/>
  <c r="AN19" i="1" s="1"/>
  <c r="AO18" i="1"/>
  <c r="AN18" i="1" s="1"/>
  <c r="AO17" i="1"/>
  <c r="AN17" i="1" s="1"/>
  <c r="AO16" i="1"/>
  <c r="AO15" i="1"/>
  <c r="AN15" i="1" s="1"/>
  <c r="AO14" i="1"/>
  <c r="AN14" i="1" s="1"/>
  <c r="AO13" i="1"/>
  <c r="AO12" i="1"/>
  <c r="H319" i="1"/>
  <c r="H318" i="1"/>
  <c r="G318" i="1" s="1"/>
  <c r="H314" i="1"/>
  <c r="G314" i="1" s="1"/>
  <c r="H313" i="1"/>
  <c r="H310" i="1"/>
  <c r="H309" i="1"/>
  <c r="G309" i="1" s="1"/>
  <c r="H307" i="1"/>
  <c r="G307" i="1" s="1"/>
  <c r="H306" i="1"/>
  <c r="G306" i="1" s="1"/>
  <c r="H305" i="1"/>
  <c r="G305" i="1" s="1"/>
  <c r="H304" i="1"/>
  <c r="H302" i="1"/>
  <c r="H301" i="1"/>
  <c r="G301" i="1" s="1"/>
  <c r="H300" i="1"/>
  <c r="G300" i="1" s="1"/>
  <c r="H298" i="1"/>
  <c r="G298" i="1" s="1"/>
  <c r="H297" i="1"/>
  <c r="G297" i="1" s="1"/>
  <c r="H296" i="1"/>
  <c r="G296" i="1" s="1"/>
  <c r="H295" i="1"/>
  <c r="H293" i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4" i="1"/>
  <c r="G284" i="1" s="1"/>
  <c r="H283" i="1"/>
  <c r="G283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4" i="1"/>
  <c r="H263" i="1"/>
  <c r="G263" i="1" s="1"/>
  <c r="H262" i="1"/>
  <c r="G262" i="1" s="1"/>
  <c r="H261" i="1"/>
  <c r="H260" i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6" i="1"/>
  <c r="G236" i="1" s="1"/>
  <c r="H233" i="1"/>
  <c r="G233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3" i="1"/>
  <c r="G213" i="1" s="1"/>
  <c r="H212" i="1"/>
  <c r="G212" i="1" s="1"/>
  <c r="H211" i="1"/>
  <c r="G211" i="1" s="1"/>
  <c r="H210" i="1"/>
  <c r="G210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3" i="1"/>
  <c r="G183" i="1" s="1"/>
  <c r="H182" i="1"/>
  <c r="G182" i="1" s="1"/>
  <c r="H181" i="1"/>
  <c r="G181" i="1" s="1"/>
  <c r="H180" i="1"/>
  <c r="G180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7" i="1"/>
  <c r="G167" i="1" s="1"/>
  <c r="H166" i="1"/>
  <c r="G166" i="1" s="1"/>
  <c r="H165" i="1"/>
  <c r="G165" i="1" s="1"/>
  <c r="H164" i="1"/>
  <c r="G164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H133" i="1"/>
  <c r="G133" i="1" s="1"/>
  <c r="H130" i="1"/>
  <c r="G130" i="1" s="1"/>
  <c r="H129" i="1"/>
  <c r="G129" i="1" s="1"/>
  <c r="H125" i="1"/>
  <c r="G125" i="1" s="1"/>
  <c r="H124" i="1"/>
  <c r="G124" i="1" s="1"/>
  <c r="H123" i="1"/>
  <c r="G123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H92" i="1"/>
  <c r="G92" i="1" s="1"/>
  <c r="H88" i="1"/>
  <c r="G88" i="1" s="1"/>
  <c r="H86" i="1"/>
  <c r="G86" i="1" s="1"/>
  <c r="H85" i="1"/>
  <c r="G85" i="1" s="1"/>
  <c r="H84" i="1"/>
  <c r="G84" i="1" s="1"/>
  <c r="H83" i="1"/>
  <c r="G83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H72" i="1"/>
  <c r="G72" i="1" s="1"/>
  <c r="H71" i="1"/>
  <c r="G71" i="1" s="1"/>
  <c r="H68" i="1"/>
  <c r="G68" i="1" s="1"/>
  <c r="H67" i="1"/>
  <c r="G67" i="1" s="1"/>
  <c r="H65" i="1"/>
  <c r="G65" i="1" s="1"/>
  <c r="H64" i="1"/>
  <c r="G64" i="1" s="1"/>
  <c r="H63" i="1"/>
  <c r="G63" i="1" s="1"/>
  <c r="H62" i="1"/>
  <c r="G62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3" i="1"/>
  <c r="G23" i="1" s="1"/>
  <c r="H22" i="1"/>
  <c r="H21" i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H12" i="1"/>
  <c r="D319" i="1"/>
  <c r="D318" i="1"/>
  <c r="D314" i="1"/>
  <c r="D313" i="1"/>
  <c r="D310" i="1"/>
  <c r="D309" i="1"/>
  <c r="D307" i="1"/>
  <c r="D306" i="1"/>
  <c r="D305" i="1"/>
  <c r="D304" i="1"/>
  <c r="D302" i="1"/>
  <c r="D301" i="1"/>
  <c r="D300" i="1"/>
  <c r="D298" i="1"/>
  <c r="D297" i="1"/>
  <c r="D296" i="1"/>
  <c r="D295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1" i="1"/>
  <c r="D270" i="1"/>
  <c r="D269" i="1"/>
  <c r="D268" i="1"/>
  <c r="D267" i="1"/>
  <c r="D266" i="1"/>
  <c r="D263" i="1"/>
  <c r="D262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6" i="1"/>
  <c r="D233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3" i="1"/>
  <c r="D212" i="1"/>
  <c r="D211" i="1"/>
  <c r="D210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3" i="1"/>
  <c r="D182" i="1"/>
  <c r="D181" i="1"/>
  <c r="D180" i="1"/>
  <c r="D178" i="1"/>
  <c r="D177" i="1"/>
  <c r="D176" i="1"/>
  <c r="D175" i="1"/>
  <c r="D174" i="1"/>
  <c r="D173" i="1"/>
  <c r="D172" i="1"/>
  <c r="D171" i="1"/>
  <c r="D170" i="1"/>
  <c r="D169" i="1"/>
  <c r="D167" i="1"/>
  <c r="D166" i="1"/>
  <c r="D165" i="1"/>
  <c r="D164" i="1"/>
  <c r="D162" i="1"/>
  <c r="D161" i="1"/>
  <c r="D160" i="1"/>
  <c r="D159" i="1"/>
  <c r="D158" i="1"/>
  <c r="D157" i="1"/>
  <c r="D156" i="1"/>
  <c r="D155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0" i="1"/>
  <c r="D129" i="1"/>
  <c r="D125" i="1"/>
  <c r="D124" i="1"/>
  <c r="D123" i="1"/>
  <c r="D121" i="1"/>
  <c r="D120" i="1"/>
  <c r="D119" i="1"/>
  <c r="D118" i="1"/>
  <c r="D117" i="1"/>
  <c r="D116" i="1"/>
  <c r="D115" i="1"/>
  <c r="D114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3" i="1"/>
  <c r="D92" i="1"/>
  <c r="D88" i="1"/>
  <c r="D86" i="1"/>
  <c r="D85" i="1"/>
  <c r="D84" i="1"/>
  <c r="D83" i="1"/>
  <c r="D80" i="1"/>
  <c r="D79" i="1"/>
  <c r="D78" i="1"/>
  <c r="D77" i="1"/>
  <c r="D76" i="1"/>
  <c r="D75" i="1"/>
  <c r="D74" i="1"/>
  <c r="D73" i="1"/>
  <c r="D72" i="1"/>
  <c r="D71" i="1"/>
  <c r="D68" i="1"/>
  <c r="D67" i="1"/>
  <c r="D65" i="1"/>
  <c r="D64" i="1"/>
  <c r="D63" i="1"/>
  <c r="D62" i="1"/>
  <c r="D58" i="1"/>
  <c r="D57" i="1"/>
  <c r="D56" i="1"/>
  <c r="D55" i="1"/>
  <c r="D54" i="1"/>
  <c r="D53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3" i="1"/>
  <c r="D20" i="1"/>
  <c r="D19" i="1"/>
  <c r="D18" i="1"/>
  <c r="D17" i="1"/>
  <c r="D16" i="1"/>
  <c r="D15" i="1"/>
  <c r="D14" i="1"/>
  <c r="D13" i="1"/>
  <c r="D12" i="1"/>
  <c r="CI317" i="1"/>
  <c r="CH317" i="1"/>
  <c r="CG317" i="1"/>
  <c r="CE317" i="1"/>
  <c r="CD317" i="1"/>
  <c r="CC317" i="1"/>
  <c r="CB317" i="1"/>
  <c r="CA317" i="1"/>
  <c r="BZ317" i="1"/>
  <c r="BY317" i="1"/>
  <c r="BV317" i="1"/>
  <c r="BU317" i="1"/>
  <c r="BT317" i="1"/>
  <c r="BS317" i="1"/>
  <c r="BR317" i="1"/>
  <c r="BO317" i="1"/>
  <c r="BN317" i="1"/>
  <c r="BM317" i="1"/>
  <c r="BL317" i="1"/>
  <c r="BK317" i="1"/>
  <c r="BJ317" i="1"/>
  <c r="BI317" i="1"/>
  <c r="BG317" i="1"/>
  <c r="BF317" i="1"/>
  <c r="BE317" i="1"/>
  <c r="BD317" i="1"/>
  <c r="BA317" i="1"/>
  <c r="AZ317" i="1"/>
  <c r="AY317" i="1"/>
  <c r="AX317" i="1"/>
  <c r="AW317" i="1"/>
  <c r="AV317" i="1"/>
  <c r="AT317" i="1"/>
  <c r="AS317" i="1"/>
  <c r="AR317" i="1"/>
  <c r="AQ317" i="1"/>
  <c r="AP317" i="1"/>
  <c r="AM317" i="1"/>
  <c r="AL317" i="1"/>
  <c r="Q317" i="1"/>
  <c r="P317" i="1"/>
  <c r="O317" i="1"/>
  <c r="N317" i="1"/>
  <c r="M317" i="1"/>
  <c r="L317" i="1"/>
  <c r="K317" i="1"/>
  <c r="J317" i="1"/>
  <c r="I317" i="1"/>
  <c r="CI308" i="1"/>
  <c r="CH308" i="1"/>
  <c r="CG308" i="1"/>
  <c r="CE308" i="1"/>
  <c r="CD308" i="1"/>
  <c r="CC308" i="1"/>
  <c r="CB308" i="1"/>
  <c r="CA308" i="1"/>
  <c r="BZ308" i="1"/>
  <c r="BY308" i="1"/>
  <c r="BV308" i="1"/>
  <c r="BU308" i="1"/>
  <c r="BT308" i="1"/>
  <c r="BS308" i="1"/>
  <c r="BR308" i="1"/>
  <c r="BO308" i="1"/>
  <c r="BN308" i="1"/>
  <c r="BM308" i="1"/>
  <c r="BL308" i="1"/>
  <c r="BK308" i="1"/>
  <c r="BJ308" i="1"/>
  <c r="BI308" i="1"/>
  <c r="BG308" i="1"/>
  <c r="BF308" i="1"/>
  <c r="BE308" i="1"/>
  <c r="BD308" i="1"/>
  <c r="BA308" i="1"/>
  <c r="AZ308" i="1"/>
  <c r="AY308" i="1"/>
  <c r="AX308" i="1"/>
  <c r="AW308" i="1"/>
  <c r="AV308" i="1"/>
  <c r="AT308" i="1"/>
  <c r="AS308" i="1"/>
  <c r="AR308" i="1"/>
  <c r="AQ308" i="1"/>
  <c r="AP308" i="1"/>
  <c r="AM308" i="1"/>
  <c r="AL308" i="1"/>
  <c r="Q308" i="1"/>
  <c r="P308" i="1"/>
  <c r="O308" i="1"/>
  <c r="N308" i="1"/>
  <c r="M308" i="1"/>
  <c r="L308" i="1"/>
  <c r="K308" i="1"/>
  <c r="J308" i="1"/>
  <c r="I308" i="1"/>
  <c r="CI303" i="1"/>
  <c r="CH303" i="1"/>
  <c r="CG303" i="1"/>
  <c r="CE303" i="1"/>
  <c r="CD303" i="1"/>
  <c r="CC303" i="1"/>
  <c r="CB303" i="1"/>
  <c r="CA303" i="1"/>
  <c r="BZ303" i="1"/>
  <c r="BY303" i="1"/>
  <c r="BV303" i="1"/>
  <c r="BU303" i="1"/>
  <c r="BT303" i="1"/>
  <c r="BS303" i="1"/>
  <c r="BR303" i="1"/>
  <c r="BO303" i="1"/>
  <c r="BN303" i="1"/>
  <c r="BM303" i="1"/>
  <c r="BL303" i="1"/>
  <c r="BK303" i="1"/>
  <c r="BJ303" i="1"/>
  <c r="BI303" i="1"/>
  <c r="BG303" i="1"/>
  <c r="BF303" i="1"/>
  <c r="BE303" i="1"/>
  <c r="BD303" i="1"/>
  <c r="BA303" i="1"/>
  <c r="AZ303" i="1"/>
  <c r="AY303" i="1"/>
  <c r="AX303" i="1"/>
  <c r="AW303" i="1"/>
  <c r="AV303" i="1"/>
  <c r="AT303" i="1"/>
  <c r="AS303" i="1"/>
  <c r="AR303" i="1"/>
  <c r="AQ303" i="1"/>
  <c r="AP303" i="1"/>
  <c r="AM303" i="1"/>
  <c r="AL303" i="1"/>
  <c r="Q303" i="1"/>
  <c r="P303" i="1"/>
  <c r="O303" i="1"/>
  <c r="N303" i="1"/>
  <c r="M303" i="1"/>
  <c r="L303" i="1"/>
  <c r="K303" i="1"/>
  <c r="J303" i="1"/>
  <c r="I303" i="1"/>
  <c r="CI299" i="1"/>
  <c r="CH299" i="1"/>
  <c r="CG299" i="1"/>
  <c r="CE299" i="1"/>
  <c r="CD299" i="1"/>
  <c r="CC299" i="1"/>
  <c r="CB299" i="1"/>
  <c r="CA299" i="1"/>
  <c r="BZ299" i="1"/>
  <c r="BY299" i="1"/>
  <c r="BV299" i="1"/>
  <c r="BU299" i="1"/>
  <c r="BT299" i="1"/>
  <c r="BS299" i="1"/>
  <c r="BR299" i="1"/>
  <c r="BO299" i="1"/>
  <c r="BN299" i="1"/>
  <c r="BM299" i="1"/>
  <c r="BL299" i="1"/>
  <c r="BK299" i="1"/>
  <c r="BJ299" i="1"/>
  <c r="BI299" i="1"/>
  <c r="BG299" i="1"/>
  <c r="BF299" i="1"/>
  <c r="BE299" i="1"/>
  <c r="BD299" i="1"/>
  <c r="BA299" i="1"/>
  <c r="AZ299" i="1"/>
  <c r="AY299" i="1"/>
  <c r="AX299" i="1"/>
  <c r="AW299" i="1"/>
  <c r="AV299" i="1"/>
  <c r="AT299" i="1"/>
  <c r="AS299" i="1"/>
  <c r="AR299" i="1"/>
  <c r="AQ299" i="1"/>
  <c r="AP299" i="1"/>
  <c r="AM299" i="1"/>
  <c r="AL299" i="1"/>
  <c r="Q299" i="1"/>
  <c r="P299" i="1"/>
  <c r="O299" i="1"/>
  <c r="N299" i="1"/>
  <c r="M299" i="1"/>
  <c r="L299" i="1"/>
  <c r="K299" i="1"/>
  <c r="J299" i="1"/>
  <c r="I299" i="1"/>
  <c r="CI294" i="1"/>
  <c r="CH294" i="1"/>
  <c r="CG294" i="1"/>
  <c r="CE294" i="1"/>
  <c r="CD294" i="1"/>
  <c r="CC294" i="1"/>
  <c r="CB294" i="1"/>
  <c r="CA294" i="1"/>
  <c r="BZ294" i="1"/>
  <c r="BY294" i="1"/>
  <c r="BV294" i="1"/>
  <c r="BU294" i="1"/>
  <c r="BT294" i="1"/>
  <c r="BS294" i="1"/>
  <c r="BR294" i="1"/>
  <c r="BO294" i="1"/>
  <c r="BN294" i="1"/>
  <c r="BM294" i="1"/>
  <c r="BL294" i="1"/>
  <c r="BK294" i="1"/>
  <c r="BJ294" i="1"/>
  <c r="BI294" i="1"/>
  <c r="BG294" i="1"/>
  <c r="BF294" i="1"/>
  <c r="BE294" i="1"/>
  <c r="BD294" i="1"/>
  <c r="BA294" i="1"/>
  <c r="AZ294" i="1"/>
  <c r="AY294" i="1"/>
  <c r="AX294" i="1"/>
  <c r="AW294" i="1"/>
  <c r="AV294" i="1"/>
  <c r="AT294" i="1"/>
  <c r="AS294" i="1"/>
  <c r="AR294" i="1"/>
  <c r="AQ294" i="1"/>
  <c r="AP294" i="1"/>
  <c r="AM294" i="1"/>
  <c r="AL294" i="1"/>
  <c r="Q294" i="1"/>
  <c r="P294" i="1"/>
  <c r="O294" i="1"/>
  <c r="N294" i="1"/>
  <c r="M294" i="1"/>
  <c r="L294" i="1"/>
  <c r="K294" i="1"/>
  <c r="J294" i="1"/>
  <c r="I294" i="1"/>
  <c r="CI292" i="1"/>
  <c r="CH292" i="1"/>
  <c r="CG292" i="1"/>
  <c r="CE292" i="1"/>
  <c r="CD292" i="1"/>
  <c r="CC292" i="1"/>
  <c r="CB292" i="1"/>
  <c r="CA292" i="1"/>
  <c r="BZ292" i="1"/>
  <c r="BY292" i="1"/>
  <c r="BV292" i="1"/>
  <c r="BU292" i="1"/>
  <c r="BT292" i="1"/>
  <c r="BS292" i="1"/>
  <c r="BR292" i="1"/>
  <c r="BO292" i="1"/>
  <c r="BN292" i="1"/>
  <c r="BM292" i="1"/>
  <c r="BL292" i="1"/>
  <c r="BK292" i="1"/>
  <c r="BJ292" i="1"/>
  <c r="BI292" i="1"/>
  <c r="BG292" i="1"/>
  <c r="BF292" i="1"/>
  <c r="BE292" i="1"/>
  <c r="BD292" i="1"/>
  <c r="BA292" i="1"/>
  <c r="AZ292" i="1"/>
  <c r="AY292" i="1"/>
  <c r="AX292" i="1"/>
  <c r="AW292" i="1"/>
  <c r="AV292" i="1"/>
  <c r="AT292" i="1"/>
  <c r="AS292" i="1"/>
  <c r="AR292" i="1"/>
  <c r="AQ292" i="1"/>
  <c r="AP292" i="1"/>
  <c r="AM292" i="1"/>
  <c r="AL292" i="1"/>
  <c r="Q292" i="1"/>
  <c r="P292" i="1"/>
  <c r="O292" i="1"/>
  <c r="N292" i="1"/>
  <c r="M292" i="1"/>
  <c r="L292" i="1"/>
  <c r="K292" i="1"/>
  <c r="J292" i="1"/>
  <c r="I292" i="1"/>
  <c r="CI259" i="1"/>
  <c r="CH259" i="1"/>
  <c r="CG259" i="1"/>
  <c r="CE259" i="1"/>
  <c r="CD259" i="1"/>
  <c r="CC259" i="1"/>
  <c r="CB259" i="1"/>
  <c r="CA259" i="1"/>
  <c r="BZ259" i="1"/>
  <c r="BY259" i="1"/>
  <c r="BU259" i="1"/>
  <c r="BT259" i="1"/>
  <c r="BS259" i="1"/>
  <c r="BR259" i="1"/>
  <c r="BO259" i="1"/>
  <c r="BN259" i="1"/>
  <c r="BM259" i="1"/>
  <c r="BL259" i="1"/>
  <c r="BK259" i="1"/>
  <c r="BJ259" i="1"/>
  <c r="BI259" i="1"/>
  <c r="BG259" i="1"/>
  <c r="BF259" i="1"/>
  <c r="BE259" i="1"/>
  <c r="BD259" i="1"/>
  <c r="BA259" i="1"/>
  <c r="AZ259" i="1"/>
  <c r="AY259" i="1"/>
  <c r="AX259" i="1"/>
  <c r="AW259" i="1"/>
  <c r="AV259" i="1"/>
  <c r="AT259" i="1"/>
  <c r="AS259" i="1"/>
  <c r="AR259" i="1"/>
  <c r="AQ259" i="1"/>
  <c r="AP259" i="1"/>
  <c r="AM259" i="1"/>
  <c r="AL259" i="1"/>
  <c r="Q259" i="1"/>
  <c r="P259" i="1"/>
  <c r="O259" i="1"/>
  <c r="N259" i="1"/>
  <c r="M259" i="1"/>
  <c r="L259" i="1"/>
  <c r="K259" i="1"/>
  <c r="J259" i="1"/>
  <c r="I259" i="1"/>
  <c r="CI235" i="1"/>
  <c r="CH235" i="1"/>
  <c r="CG235" i="1"/>
  <c r="CE235" i="1"/>
  <c r="CD235" i="1"/>
  <c r="CC235" i="1"/>
  <c r="CB235" i="1"/>
  <c r="CA235" i="1"/>
  <c r="BZ235" i="1"/>
  <c r="BY235" i="1"/>
  <c r="BV235" i="1"/>
  <c r="BU235" i="1"/>
  <c r="BT235" i="1"/>
  <c r="BS235" i="1"/>
  <c r="BR235" i="1"/>
  <c r="BO235" i="1"/>
  <c r="BN235" i="1"/>
  <c r="BM235" i="1"/>
  <c r="BL235" i="1"/>
  <c r="BK235" i="1"/>
  <c r="BJ235" i="1"/>
  <c r="BI235" i="1"/>
  <c r="BG235" i="1"/>
  <c r="BF235" i="1"/>
  <c r="BE235" i="1"/>
  <c r="BD235" i="1"/>
  <c r="BA235" i="1"/>
  <c r="AZ235" i="1"/>
  <c r="AY235" i="1"/>
  <c r="AX235" i="1"/>
  <c r="AW235" i="1"/>
  <c r="AV235" i="1"/>
  <c r="AT235" i="1"/>
  <c r="AS235" i="1"/>
  <c r="AR235" i="1"/>
  <c r="AQ235" i="1"/>
  <c r="AP235" i="1"/>
  <c r="AM235" i="1"/>
  <c r="AL235" i="1"/>
  <c r="Q235" i="1"/>
  <c r="P235" i="1"/>
  <c r="O235" i="1"/>
  <c r="N235" i="1"/>
  <c r="M235" i="1"/>
  <c r="L235" i="1"/>
  <c r="K235" i="1"/>
  <c r="J235" i="1"/>
  <c r="I235" i="1"/>
  <c r="CI132" i="1"/>
  <c r="CH132" i="1"/>
  <c r="CG132" i="1"/>
  <c r="CE132" i="1"/>
  <c r="CD132" i="1"/>
  <c r="CC132" i="1"/>
  <c r="CB132" i="1"/>
  <c r="CA132" i="1"/>
  <c r="BZ132" i="1"/>
  <c r="BY132" i="1"/>
  <c r="BV132" i="1"/>
  <c r="BU132" i="1"/>
  <c r="BT132" i="1"/>
  <c r="BS132" i="1"/>
  <c r="BR132" i="1"/>
  <c r="BO132" i="1"/>
  <c r="BN132" i="1"/>
  <c r="BM132" i="1"/>
  <c r="BL132" i="1"/>
  <c r="BK132" i="1"/>
  <c r="BJ132" i="1"/>
  <c r="BI132" i="1"/>
  <c r="BG132" i="1"/>
  <c r="BF132" i="1"/>
  <c r="BE132" i="1"/>
  <c r="BD132" i="1"/>
  <c r="BA132" i="1"/>
  <c r="AZ132" i="1"/>
  <c r="AY132" i="1"/>
  <c r="AX132" i="1"/>
  <c r="AW132" i="1"/>
  <c r="AV132" i="1"/>
  <c r="AT132" i="1"/>
  <c r="AS132" i="1"/>
  <c r="AR132" i="1"/>
  <c r="AQ132" i="1"/>
  <c r="AP132" i="1"/>
  <c r="AM132" i="1"/>
  <c r="AL132" i="1"/>
  <c r="Q132" i="1"/>
  <c r="P132" i="1"/>
  <c r="O132" i="1"/>
  <c r="N132" i="1"/>
  <c r="M132" i="1"/>
  <c r="L132" i="1"/>
  <c r="K132" i="1"/>
  <c r="J132" i="1"/>
  <c r="I132" i="1"/>
  <c r="CI91" i="1"/>
  <c r="CH91" i="1"/>
  <c r="CG91" i="1"/>
  <c r="CE91" i="1"/>
  <c r="CD91" i="1"/>
  <c r="CC91" i="1"/>
  <c r="CB91" i="1"/>
  <c r="CA91" i="1"/>
  <c r="BZ91" i="1"/>
  <c r="BY91" i="1"/>
  <c r="BV91" i="1"/>
  <c r="BU91" i="1"/>
  <c r="BT91" i="1"/>
  <c r="BS91" i="1"/>
  <c r="BR91" i="1"/>
  <c r="BO91" i="1"/>
  <c r="BN91" i="1"/>
  <c r="BM91" i="1"/>
  <c r="BL91" i="1"/>
  <c r="BK91" i="1"/>
  <c r="BJ91" i="1"/>
  <c r="BI91" i="1"/>
  <c r="BG91" i="1"/>
  <c r="BF91" i="1"/>
  <c r="BE91" i="1"/>
  <c r="BD91" i="1"/>
  <c r="BA91" i="1"/>
  <c r="AZ91" i="1"/>
  <c r="AY91" i="1"/>
  <c r="AX91" i="1"/>
  <c r="AW91" i="1"/>
  <c r="AV91" i="1"/>
  <c r="AT91" i="1"/>
  <c r="AS91" i="1"/>
  <c r="AR91" i="1"/>
  <c r="AQ91" i="1"/>
  <c r="AP91" i="1"/>
  <c r="AM91" i="1"/>
  <c r="AL91" i="1"/>
  <c r="Q91" i="1"/>
  <c r="P91" i="1"/>
  <c r="O91" i="1"/>
  <c r="N91" i="1"/>
  <c r="M91" i="1"/>
  <c r="L91" i="1"/>
  <c r="K91" i="1"/>
  <c r="J91" i="1"/>
  <c r="I91" i="1"/>
  <c r="CI82" i="1"/>
  <c r="CH82" i="1"/>
  <c r="CG82" i="1"/>
  <c r="CE82" i="1"/>
  <c r="CD82" i="1"/>
  <c r="CC82" i="1"/>
  <c r="CB82" i="1"/>
  <c r="CA82" i="1"/>
  <c r="BZ82" i="1"/>
  <c r="BY82" i="1"/>
  <c r="BV82" i="1"/>
  <c r="BU82" i="1"/>
  <c r="BT82" i="1"/>
  <c r="BS82" i="1"/>
  <c r="BR82" i="1"/>
  <c r="BO82" i="1"/>
  <c r="BN82" i="1"/>
  <c r="BM82" i="1"/>
  <c r="BL82" i="1"/>
  <c r="BK82" i="1"/>
  <c r="BJ82" i="1"/>
  <c r="BI82" i="1"/>
  <c r="BG82" i="1"/>
  <c r="BF82" i="1"/>
  <c r="BE82" i="1"/>
  <c r="BD82" i="1"/>
  <c r="BA82" i="1"/>
  <c r="AZ82" i="1"/>
  <c r="AY82" i="1"/>
  <c r="AX82" i="1"/>
  <c r="AW82" i="1"/>
  <c r="AV82" i="1"/>
  <c r="AT82" i="1"/>
  <c r="AS82" i="1"/>
  <c r="AR82" i="1"/>
  <c r="AQ82" i="1"/>
  <c r="AP82" i="1"/>
  <c r="AM82" i="1"/>
  <c r="AL82" i="1"/>
  <c r="Q82" i="1"/>
  <c r="P82" i="1"/>
  <c r="O82" i="1"/>
  <c r="N82" i="1"/>
  <c r="M82" i="1"/>
  <c r="L82" i="1"/>
  <c r="K82" i="1"/>
  <c r="J82" i="1"/>
  <c r="I82" i="1"/>
  <c r="CI70" i="1"/>
  <c r="CH70" i="1"/>
  <c r="CG70" i="1"/>
  <c r="CE70" i="1"/>
  <c r="CD70" i="1"/>
  <c r="CC70" i="1"/>
  <c r="CB70" i="1"/>
  <c r="CA70" i="1"/>
  <c r="BZ70" i="1"/>
  <c r="BY70" i="1"/>
  <c r="BV70" i="1"/>
  <c r="BU70" i="1"/>
  <c r="BT70" i="1"/>
  <c r="BS70" i="1"/>
  <c r="BR70" i="1"/>
  <c r="BO70" i="1"/>
  <c r="BN70" i="1"/>
  <c r="BM70" i="1"/>
  <c r="BL70" i="1"/>
  <c r="BK70" i="1"/>
  <c r="BJ70" i="1"/>
  <c r="BI70" i="1"/>
  <c r="BG70" i="1"/>
  <c r="BF70" i="1"/>
  <c r="BE70" i="1"/>
  <c r="BD70" i="1"/>
  <c r="BA70" i="1"/>
  <c r="AZ70" i="1"/>
  <c r="AY70" i="1"/>
  <c r="AX70" i="1"/>
  <c r="AW70" i="1"/>
  <c r="AV70" i="1"/>
  <c r="AT70" i="1"/>
  <c r="AS70" i="1"/>
  <c r="AR70" i="1"/>
  <c r="AQ70" i="1"/>
  <c r="AP70" i="1"/>
  <c r="AM70" i="1"/>
  <c r="AL70" i="1"/>
  <c r="Q70" i="1"/>
  <c r="P70" i="1"/>
  <c r="O70" i="1"/>
  <c r="N70" i="1"/>
  <c r="M70" i="1"/>
  <c r="L70" i="1"/>
  <c r="K70" i="1"/>
  <c r="J70" i="1"/>
  <c r="I70" i="1"/>
  <c r="CI61" i="1"/>
  <c r="CH61" i="1"/>
  <c r="CG61" i="1"/>
  <c r="CE61" i="1"/>
  <c r="CD61" i="1"/>
  <c r="CC61" i="1"/>
  <c r="CB61" i="1"/>
  <c r="CA61" i="1"/>
  <c r="BZ61" i="1"/>
  <c r="BY61" i="1"/>
  <c r="BV61" i="1"/>
  <c r="BU61" i="1"/>
  <c r="BT61" i="1"/>
  <c r="BS61" i="1"/>
  <c r="BR61" i="1"/>
  <c r="BO61" i="1"/>
  <c r="BN61" i="1"/>
  <c r="BM61" i="1"/>
  <c r="BL61" i="1"/>
  <c r="BK61" i="1"/>
  <c r="BJ61" i="1"/>
  <c r="BI61" i="1"/>
  <c r="BG61" i="1"/>
  <c r="BF61" i="1"/>
  <c r="BE61" i="1"/>
  <c r="BD61" i="1"/>
  <c r="BA61" i="1"/>
  <c r="AZ61" i="1"/>
  <c r="AY61" i="1"/>
  <c r="AX61" i="1"/>
  <c r="AW61" i="1"/>
  <c r="AV61" i="1"/>
  <c r="AT61" i="1"/>
  <c r="AS61" i="1"/>
  <c r="AR61" i="1"/>
  <c r="AQ61" i="1"/>
  <c r="AP61" i="1"/>
  <c r="AM61" i="1"/>
  <c r="AL61" i="1"/>
  <c r="Q61" i="1"/>
  <c r="P61" i="1"/>
  <c r="O61" i="1"/>
  <c r="N61" i="1"/>
  <c r="M61" i="1"/>
  <c r="L61" i="1"/>
  <c r="K61" i="1"/>
  <c r="J61" i="1"/>
  <c r="I61" i="1"/>
  <c r="CI34" i="1"/>
  <c r="CH34" i="1"/>
  <c r="CG34" i="1"/>
  <c r="CE34" i="1"/>
  <c r="CD34" i="1"/>
  <c r="CC34" i="1"/>
  <c r="CB34" i="1"/>
  <c r="CA34" i="1"/>
  <c r="BZ34" i="1"/>
  <c r="BY34" i="1"/>
  <c r="BV34" i="1"/>
  <c r="BU34" i="1"/>
  <c r="BT34" i="1"/>
  <c r="BS34" i="1"/>
  <c r="BR34" i="1"/>
  <c r="BO34" i="1"/>
  <c r="BN34" i="1"/>
  <c r="BM34" i="1"/>
  <c r="BL34" i="1"/>
  <c r="BK34" i="1"/>
  <c r="BJ34" i="1"/>
  <c r="BI34" i="1"/>
  <c r="BG34" i="1"/>
  <c r="BF34" i="1"/>
  <c r="BE34" i="1"/>
  <c r="BD34" i="1"/>
  <c r="BA34" i="1"/>
  <c r="AZ34" i="1"/>
  <c r="AY34" i="1"/>
  <c r="AX34" i="1"/>
  <c r="AW34" i="1"/>
  <c r="AV34" i="1"/>
  <c r="AT34" i="1"/>
  <c r="AS34" i="1"/>
  <c r="AR34" i="1"/>
  <c r="AQ34" i="1"/>
  <c r="AP34" i="1"/>
  <c r="AM34" i="1"/>
  <c r="AL34" i="1"/>
  <c r="Q34" i="1"/>
  <c r="P34" i="1"/>
  <c r="O34" i="1"/>
  <c r="N34" i="1"/>
  <c r="M34" i="1"/>
  <c r="L34" i="1"/>
  <c r="K34" i="1"/>
  <c r="J34" i="1"/>
  <c r="I34" i="1"/>
  <c r="CI26" i="1"/>
  <c r="CH26" i="1"/>
  <c r="CG26" i="1"/>
  <c r="CE26" i="1"/>
  <c r="CD26" i="1"/>
  <c r="CC26" i="1"/>
  <c r="CB26" i="1"/>
  <c r="CA26" i="1"/>
  <c r="BZ26" i="1"/>
  <c r="BY26" i="1"/>
  <c r="BV26" i="1"/>
  <c r="BU26" i="1"/>
  <c r="BT26" i="1"/>
  <c r="BS26" i="1"/>
  <c r="BR26" i="1"/>
  <c r="BO26" i="1"/>
  <c r="BN26" i="1"/>
  <c r="BM26" i="1"/>
  <c r="BL26" i="1"/>
  <c r="BK26" i="1"/>
  <c r="BJ26" i="1"/>
  <c r="BI26" i="1"/>
  <c r="BG26" i="1"/>
  <c r="BF26" i="1"/>
  <c r="BE26" i="1"/>
  <c r="BD26" i="1"/>
  <c r="BA26" i="1"/>
  <c r="AZ26" i="1"/>
  <c r="AY26" i="1"/>
  <c r="AX26" i="1"/>
  <c r="AW26" i="1"/>
  <c r="AV26" i="1"/>
  <c r="AT26" i="1"/>
  <c r="AS26" i="1"/>
  <c r="AR26" i="1"/>
  <c r="AQ26" i="1"/>
  <c r="AP26" i="1"/>
  <c r="AM26" i="1"/>
  <c r="AL26" i="1"/>
  <c r="Q26" i="1"/>
  <c r="P26" i="1"/>
  <c r="O26" i="1"/>
  <c r="N26" i="1"/>
  <c r="M26" i="1"/>
  <c r="L26" i="1"/>
  <c r="K26" i="1"/>
  <c r="J26" i="1"/>
  <c r="I26" i="1"/>
  <c r="CI11" i="1"/>
  <c r="CH11" i="1"/>
  <c r="CG11" i="1"/>
  <c r="CE11" i="1"/>
  <c r="CD11" i="1"/>
  <c r="CC11" i="1"/>
  <c r="CB11" i="1"/>
  <c r="CA11" i="1"/>
  <c r="BZ11" i="1"/>
  <c r="BY11" i="1"/>
  <c r="BV11" i="1"/>
  <c r="BU11" i="1"/>
  <c r="BT11" i="1"/>
  <c r="BS11" i="1"/>
  <c r="BR11" i="1"/>
  <c r="BO11" i="1"/>
  <c r="BN11" i="1"/>
  <c r="BM11" i="1"/>
  <c r="BL11" i="1"/>
  <c r="BK11" i="1"/>
  <c r="BJ11" i="1"/>
  <c r="BI11" i="1"/>
  <c r="BG11" i="1"/>
  <c r="BF11" i="1"/>
  <c r="BE11" i="1"/>
  <c r="BD11" i="1"/>
  <c r="BA11" i="1"/>
  <c r="AZ11" i="1"/>
  <c r="AY11" i="1"/>
  <c r="AX11" i="1"/>
  <c r="AW11" i="1"/>
  <c r="AV11" i="1"/>
  <c r="AT11" i="1"/>
  <c r="AS11" i="1"/>
  <c r="AR11" i="1"/>
  <c r="AQ11" i="1"/>
  <c r="AP11" i="1"/>
  <c r="AM11" i="1"/>
  <c r="AL11" i="1"/>
  <c r="Q11" i="1"/>
  <c r="P11" i="1"/>
  <c r="O11" i="1"/>
  <c r="N11" i="1"/>
  <c r="M11" i="1"/>
  <c r="L11" i="1"/>
  <c r="K11" i="1"/>
  <c r="J11" i="1"/>
  <c r="I11" i="1"/>
  <c r="S132" i="4" l="1"/>
  <c r="S131" i="4" s="1"/>
  <c r="AO312" i="1"/>
  <c r="BQ312" i="1"/>
  <c r="D312" i="1"/>
  <c r="BC312" i="1"/>
  <c r="BX312" i="1"/>
  <c r="H312" i="1"/>
  <c r="AN13" i="1"/>
  <c r="AO322" i="1"/>
  <c r="BW13" i="1"/>
  <c r="BX322" i="1"/>
  <c r="BB13" i="1"/>
  <c r="BC322" i="1"/>
  <c r="BP13" i="1"/>
  <c r="BQ322" i="1"/>
  <c r="G13" i="1"/>
  <c r="H322" i="1"/>
  <c r="AN313" i="1"/>
  <c r="AN312" i="1" s="1"/>
  <c r="BB12" i="1"/>
  <c r="BP12" i="1"/>
  <c r="BP313" i="1"/>
  <c r="BP312" i="1" s="1"/>
  <c r="G313" i="1"/>
  <c r="G312" i="1" s="1"/>
  <c r="BW12" i="1"/>
  <c r="K258" i="1"/>
  <c r="BS258" i="1"/>
  <c r="O258" i="1"/>
  <c r="BI258" i="1"/>
  <c r="AS258" i="1"/>
  <c r="AX258" i="1"/>
  <c r="AM258" i="1"/>
  <c r="BM258" i="1"/>
  <c r="BX317" i="1"/>
  <c r="BX292" i="1"/>
  <c r="BX308" i="1"/>
  <c r="AO292" i="1"/>
  <c r="BZ291" i="1"/>
  <c r="BZ323" i="1" s="1"/>
  <c r="H292" i="1"/>
  <c r="BC317" i="1"/>
  <c r="BB319" i="1"/>
  <c r="BB317" i="1" s="1"/>
  <c r="BC308" i="1"/>
  <c r="AZ291" i="1"/>
  <c r="AZ323" i="1" s="1"/>
  <c r="AW291" i="1"/>
  <c r="AW323" i="1" s="1"/>
  <c r="BR291" i="1"/>
  <c r="BR323" i="1" s="1"/>
  <c r="D308" i="1"/>
  <c r="D317" i="1"/>
  <c r="E298" i="1"/>
  <c r="BQ299" i="1"/>
  <c r="BD258" i="1"/>
  <c r="BC11" i="1"/>
  <c r="AQ291" i="1"/>
  <c r="AQ323" i="1" s="1"/>
  <c r="AO70" i="1"/>
  <c r="BC70" i="1"/>
  <c r="K291" i="1"/>
  <c r="O291" i="1"/>
  <c r="O321" i="1" s="1"/>
  <c r="AM291" i="1"/>
  <c r="BI291" i="1"/>
  <c r="CI291" i="1"/>
  <c r="CI323" i="1" s="1"/>
  <c r="D299" i="1"/>
  <c r="BB309" i="1"/>
  <c r="E309" i="1" s="1"/>
  <c r="E30" i="1"/>
  <c r="BT291" i="1"/>
  <c r="BT323" i="1" s="1"/>
  <c r="BF258" i="1"/>
  <c r="BK258" i="1"/>
  <c r="BO258" i="1"/>
  <c r="BU258" i="1"/>
  <c r="L291" i="1"/>
  <c r="L323" i="1" s="1"/>
  <c r="E246" i="1"/>
  <c r="AN305" i="1"/>
  <c r="AN303" i="1" s="1"/>
  <c r="AO303" i="1"/>
  <c r="AN319" i="1"/>
  <c r="AN317" i="1" s="1"/>
  <c r="AO317" i="1"/>
  <c r="BP261" i="1"/>
  <c r="BP259" i="1" s="1"/>
  <c r="D10" i="5" s="1"/>
  <c r="BQ259" i="1"/>
  <c r="BW92" i="1"/>
  <c r="BW91" i="1" s="1"/>
  <c r="BX91" i="1"/>
  <c r="L258" i="1"/>
  <c r="P258" i="1"/>
  <c r="AP258" i="1"/>
  <c r="AT258" i="1"/>
  <c r="AY258" i="1"/>
  <c r="BY258" i="1"/>
  <c r="CC258" i="1"/>
  <c r="CH258" i="1"/>
  <c r="BX26" i="1"/>
  <c r="AR291" i="1"/>
  <c r="AR323" i="1" s="1"/>
  <c r="BA291" i="1"/>
  <c r="BQ292" i="1"/>
  <c r="BU291" i="1"/>
  <c r="BU323" i="1" s="1"/>
  <c r="BY291" i="1"/>
  <c r="BY323" i="1" s="1"/>
  <c r="CC291" i="1"/>
  <c r="CC323" i="1" s="1"/>
  <c r="CH291" i="1"/>
  <c r="CH323" i="1" s="1"/>
  <c r="BC299" i="1"/>
  <c r="BB301" i="1"/>
  <c r="BB299" i="1" s="1"/>
  <c r="BB313" i="1"/>
  <c r="BB312" i="1" s="1"/>
  <c r="AN262" i="1"/>
  <c r="E262" i="1" s="1"/>
  <c r="AO259" i="1"/>
  <c r="AN295" i="1"/>
  <c r="AN294" i="1" s="1"/>
  <c r="AO294" i="1"/>
  <c r="AN300" i="1"/>
  <c r="E300" i="1" s="1"/>
  <c r="AO299" i="1"/>
  <c r="AN310" i="1"/>
  <c r="AN308" i="1" s="1"/>
  <c r="AO308" i="1"/>
  <c r="BP238" i="1"/>
  <c r="E238" i="1" s="1"/>
  <c r="BQ235" i="1"/>
  <c r="BP304" i="1"/>
  <c r="BP303" i="1" s="1"/>
  <c r="BQ303" i="1"/>
  <c r="BQ317" i="1"/>
  <c r="BP318" i="1"/>
  <c r="BP317" i="1" s="1"/>
  <c r="BW84" i="1"/>
  <c r="BW82" i="1" s="1"/>
  <c r="BX82" i="1"/>
  <c r="BW133" i="1"/>
  <c r="BW132" i="1" s="1"/>
  <c r="BX132" i="1"/>
  <c r="BW301" i="1"/>
  <c r="BW299" i="1" s="1"/>
  <c r="BX299" i="1"/>
  <c r="BW313" i="1"/>
  <c r="BW312" i="1" s="1"/>
  <c r="BN258" i="1"/>
  <c r="CD258" i="1"/>
  <c r="AR258" i="1"/>
  <c r="AW258" i="1"/>
  <c r="BA258" i="1"/>
  <c r="BG258" i="1"/>
  <c r="BL258" i="1"/>
  <c r="BR258" i="1"/>
  <c r="BV258" i="1"/>
  <c r="CB258" i="1"/>
  <c r="BQ308" i="1"/>
  <c r="E17" i="1"/>
  <c r="E99" i="1"/>
  <c r="E104" i="1"/>
  <c r="E114" i="1"/>
  <c r="E123" i="1"/>
  <c r="G310" i="1"/>
  <c r="G308" i="1" s="1"/>
  <c r="H308" i="1"/>
  <c r="G319" i="1"/>
  <c r="H317" i="1"/>
  <c r="AO34" i="1"/>
  <c r="CA258" i="1"/>
  <c r="CE258" i="1"/>
  <c r="BD291" i="1"/>
  <c r="BD323" i="1" s="1"/>
  <c r="BM291" i="1"/>
  <c r="BV291" i="1"/>
  <c r="CD291" i="1"/>
  <c r="E19" i="1"/>
  <c r="E74" i="1"/>
  <c r="E248" i="1"/>
  <c r="E78" i="1"/>
  <c r="CG258" i="1"/>
  <c r="N258" i="1"/>
  <c r="AL258" i="1"/>
  <c r="J291" i="1"/>
  <c r="J323" i="1" s="1"/>
  <c r="N291" i="1"/>
  <c r="N323" i="1" s="1"/>
  <c r="AL291" i="1"/>
  <c r="AL323" i="1" s="1"/>
  <c r="AP291" i="1"/>
  <c r="AP323" i="1" s="1"/>
  <c r="AT291" i="1"/>
  <c r="AT323" i="1" s="1"/>
  <c r="AY291" i="1"/>
  <c r="AY323" i="1" s="1"/>
  <c r="BJ291" i="1"/>
  <c r="BJ323" i="1" s="1"/>
  <c r="P291" i="1"/>
  <c r="P323" i="1" s="1"/>
  <c r="BE291" i="1"/>
  <c r="BE323" i="1" s="1"/>
  <c r="BN291" i="1"/>
  <c r="BN323" i="1" s="1"/>
  <c r="D26" i="1"/>
  <c r="D82" i="1"/>
  <c r="D91" i="1"/>
  <c r="D294" i="1"/>
  <c r="E15" i="1"/>
  <c r="E23" i="1"/>
  <c r="E85" i="1"/>
  <c r="H91" i="1"/>
  <c r="E290" i="1"/>
  <c r="H299" i="1"/>
  <c r="BC259" i="1"/>
  <c r="BC303" i="1"/>
  <c r="BQ26" i="1"/>
  <c r="BQ91" i="1"/>
  <c r="BW303" i="1"/>
  <c r="BW308" i="1"/>
  <c r="BW317" i="1"/>
  <c r="AV291" i="1"/>
  <c r="AV323" i="1" s="1"/>
  <c r="E240" i="1"/>
  <c r="E256" i="1"/>
  <c r="BB303" i="1"/>
  <c r="BC82" i="1"/>
  <c r="J258" i="1"/>
  <c r="I258" i="1"/>
  <c r="M258" i="1"/>
  <c r="Q258" i="1"/>
  <c r="H132" i="1"/>
  <c r="H82" i="1"/>
  <c r="BS291" i="1"/>
  <c r="BS323" i="1" s="1"/>
  <c r="CE291" i="1"/>
  <c r="D61" i="1"/>
  <c r="D132" i="1"/>
  <c r="D235" i="1"/>
  <c r="G93" i="1"/>
  <c r="E93" i="1" s="1"/>
  <c r="G302" i="1"/>
  <c r="G299" i="1" s="1"/>
  <c r="E49" i="1"/>
  <c r="E242" i="1"/>
  <c r="BC292" i="1"/>
  <c r="BB293" i="1"/>
  <c r="BB292" i="1" s="1"/>
  <c r="E269" i="1"/>
  <c r="E286" i="1"/>
  <c r="E95" i="1"/>
  <c r="BE258" i="1"/>
  <c r="BJ258" i="1"/>
  <c r="BT258" i="1"/>
  <c r="BZ258" i="1"/>
  <c r="CI258" i="1"/>
  <c r="BF291" i="1"/>
  <c r="BF323" i="1" s="1"/>
  <c r="BK291" i="1"/>
  <c r="BO291" i="1"/>
  <c r="CB291" i="1"/>
  <c r="CB323" i="1" s="1"/>
  <c r="CG291" i="1"/>
  <c r="CG323" i="1" s="1"/>
  <c r="D303" i="1"/>
  <c r="H70" i="1"/>
  <c r="H294" i="1"/>
  <c r="E41" i="1"/>
  <c r="E282" i="1"/>
  <c r="AN70" i="1"/>
  <c r="BB26" i="1"/>
  <c r="AQ258" i="1"/>
  <c r="AV258" i="1"/>
  <c r="AZ258" i="1"/>
  <c r="H259" i="1"/>
  <c r="I291" i="1"/>
  <c r="I323" i="1" s="1"/>
  <c r="M291" i="1"/>
  <c r="M323" i="1" s="1"/>
  <c r="Q291" i="1"/>
  <c r="Q323" i="1" s="1"/>
  <c r="AS291" i="1"/>
  <c r="AX291" i="1"/>
  <c r="BG291" i="1"/>
  <c r="BL291" i="1"/>
  <c r="BL323" i="1" s="1"/>
  <c r="D34" i="1"/>
  <c r="D70" i="1"/>
  <c r="AO26" i="1"/>
  <c r="AN82" i="1"/>
  <c r="AO91" i="1"/>
  <c r="BB91" i="1"/>
  <c r="E254" i="1"/>
  <c r="E274" i="1"/>
  <c r="AN61" i="1"/>
  <c r="AN132" i="1"/>
  <c r="AN235" i="1"/>
  <c r="E58" i="1"/>
  <c r="BX11" i="1"/>
  <c r="G12" i="1"/>
  <c r="H303" i="1"/>
  <c r="AN12" i="1"/>
  <c r="AO11" i="1"/>
  <c r="E108" i="1"/>
  <c r="E118" i="1"/>
  <c r="E130" i="1"/>
  <c r="BB61" i="1"/>
  <c r="E97" i="1"/>
  <c r="E101" i="1"/>
  <c r="E106" i="1"/>
  <c r="E110" i="1"/>
  <c r="E116" i="1"/>
  <c r="E125" i="1"/>
  <c r="BC132" i="1"/>
  <c r="BQ61" i="1"/>
  <c r="BP132" i="1"/>
  <c r="E307" i="1"/>
  <c r="BW34" i="1"/>
  <c r="BW70" i="1"/>
  <c r="BW294" i="1"/>
  <c r="E278" i="1"/>
  <c r="BQ11" i="1"/>
  <c r="E72" i="1"/>
  <c r="E76" i="1"/>
  <c r="E80" i="1"/>
  <c r="E135" i="1"/>
  <c r="E139" i="1"/>
  <c r="E155" i="1"/>
  <c r="E159" i="1"/>
  <c r="E169" i="1"/>
  <c r="E173" i="1"/>
  <c r="E187" i="1"/>
  <c r="E191" i="1"/>
  <c r="E203" i="1"/>
  <c r="E207" i="1"/>
  <c r="E224" i="1"/>
  <c r="E228" i="1"/>
  <c r="BW26" i="1"/>
  <c r="BP294" i="1"/>
  <c r="BX61" i="1"/>
  <c r="BW235" i="1"/>
  <c r="S56" i="4"/>
  <c r="S152" i="4"/>
  <c r="S50" i="4"/>
  <c r="S78" i="4"/>
  <c r="S74" i="4" s="1"/>
  <c r="S35" i="4"/>
  <c r="S16" i="4"/>
  <c r="S15" i="4" s="1"/>
  <c r="S26" i="4"/>
  <c r="BX303" i="1"/>
  <c r="BX294" i="1"/>
  <c r="BX259" i="1"/>
  <c r="BX235" i="1"/>
  <c r="E137" i="1"/>
  <c r="E157" i="1"/>
  <c r="E175" i="1"/>
  <c r="E193" i="1"/>
  <c r="E211" i="1"/>
  <c r="E233" i="1"/>
  <c r="E149" i="1"/>
  <c r="E171" i="1"/>
  <c r="E189" i="1"/>
  <c r="E205" i="1"/>
  <c r="E226" i="1"/>
  <c r="E102" i="1"/>
  <c r="E88" i="1"/>
  <c r="BX70" i="1"/>
  <c r="BW64" i="1"/>
  <c r="BW61" i="1" s="1"/>
  <c r="BX34" i="1"/>
  <c r="E28" i="1"/>
  <c r="E32" i="1"/>
  <c r="BW16" i="1"/>
  <c r="E314" i="1"/>
  <c r="BP308" i="1"/>
  <c r="BP299" i="1"/>
  <c r="E296" i="1"/>
  <c r="BQ294" i="1"/>
  <c r="E277" i="1"/>
  <c r="BQ132" i="1"/>
  <c r="E145" i="1"/>
  <c r="E166" i="1"/>
  <c r="E185" i="1"/>
  <c r="E201" i="1"/>
  <c r="E222" i="1"/>
  <c r="E143" i="1"/>
  <c r="E164" i="1"/>
  <c r="E182" i="1"/>
  <c r="E199" i="1"/>
  <c r="E220" i="1"/>
  <c r="E147" i="1"/>
  <c r="E141" i="1"/>
  <c r="E161" i="1"/>
  <c r="E180" i="1"/>
  <c r="E197" i="1"/>
  <c r="E218" i="1"/>
  <c r="E165" i="1"/>
  <c r="E177" i="1"/>
  <c r="E195" i="1"/>
  <c r="E213" i="1"/>
  <c r="BP92" i="1"/>
  <c r="BP91" i="1" s="1"/>
  <c r="E83" i="1"/>
  <c r="BP82" i="1"/>
  <c r="BQ82" i="1"/>
  <c r="BP70" i="1"/>
  <c r="BQ70" i="1"/>
  <c r="E68" i="1"/>
  <c r="BP64" i="1"/>
  <c r="BP61" i="1" s="1"/>
  <c r="E63" i="1"/>
  <c r="BQ34" i="1"/>
  <c r="BP34" i="1"/>
  <c r="BP29" i="1"/>
  <c r="E14" i="1"/>
  <c r="BP16" i="1"/>
  <c r="E280" i="1"/>
  <c r="E120" i="1"/>
  <c r="E65" i="1"/>
  <c r="BC294" i="1"/>
  <c r="E297" i="1"/>
  <c r="BB261" i="1"/>
  <c r="BB259" i="1" s="1"/>
  <c r="E244" i="1"/>
  <c r="E250" i="1"/>
  <c r="E252" i="1"/>
  <c r="BB294" i="1"/>
  <c r="BB235" i="1"/>
  <c r="BC235" i="1"/>
  <c r="E251" i="1"/>
  <c r="E271" i="1"/>
  <c r="E288" i="1"/>
  <c r="E148" i="1"/>
  <c r="E170" i="1"/>
  <c r="E188" i="1"/>
  <c r="E204" i="1"/>
  <c r="E225" i="1"/>
  <c r="BB134" i="1"/>
  <c r="BB132" i="1" s="1"/>
  <c r="E144" i="1"/>
  <c r="E183" i="1"/>
  <c r="E200" i="1"/>
  <c r="E221" i="1"/>
  <c r="BC91" i="1"/>
  <c r="E121" i="1"/>
  <c r="BB84" i="1"/>
  <c r="BB82" i="1" s="1"/>
  <c r="BB70" i="1"/>
  <c r="E71" i="1"/>
  <c r="BC61" i="1"/>
  <c r="BB34" i="1"/>
  <c r="E36" i="1"/>
  <c r="E44" i="1"/>
  <c r="E53" i="1"/>
  <c r="BC34" i="1"/>
  <c r="E37" i="1"/>
  <c r="E45" i="1"/>
  <c r="E54" i="1"/>
  <c r="BC26" i="1"/>
  <c r="E306" i="1"/>
  <c r="E273" i="1"/>
  <c r="E289" i="1"/>
  <c r="E268" i="1"/>
  <c r="E285" i="1"/>
  <c r="E263" i="1"/>
  <c r="E281" i="1"/>
  <c r="E266" i="1"/>
  <c r="E270" i="1"/>
  <c r="E275" i="1"/>
  <c r="E279" i="1"/>
  <c r="E283" i="1"/>
  <c r="E287" i="1"/>
  <c r="E247" i="1"/>
  <c r="AO235" i="1"/>
  <c r="E243" i="1"/>
  <c r="E239" i="1"/>
  <c r="E255" i="1"/>
  <c r="AO132" i="1"/>
  <c r="E140" i="1"/>
  <c r="E160" i="1"/>
  <c r="E178" i="1"/>
  <c r="E196" i="1"/>
  <c r="E217" i="1"/>
  <c r="E136" i="1"/>
  <c r="E156" i="1"/>
  <c r="E174" i="1"/>
  <c r="E192" i="1"/>
  <c r="E210" i="1"/>
  <c r="E229" i="1"/>
  <c r="AN92" i="1"/>
  <c r="AN91" i="1" s="1"/>
  <c r="E94" i="1"/>
  <c r="E111" i="1"/>
  <c r="AO82" i="1"/>
  <c r="E86" i="1"/>
  <c r="E79" i="1"/>
  <c r="E75" i="1"/>
  <c r="E62" i="1"/>
  <c r="AO61" i="1"/>
  <c r="E67" i="1"/>
  <c r="AN34" i="1"/>
  <c r="E40" i="1"/>
  <c r="E48" i="1"/>
  <c r="E57" i="1"/>
  <c r="E35" i="1"/>
  <c r="E39" i="1"/>
  <c r="E43" i="1"/>
  <c r="E47" i="1"/>
  <c r="E56" i="1"/>
  <c r="E31" i="1"/>
  <c r="AN29" i="1"/>
  <c r="AN26" i="1" s="1"/>
  <c r="E27" i="1"/>
  <c r="AN16" i="1"/>
  <c r="E267" i="1"/>
  <c r="E284" i="1"/>
  <c r="E276" i="1"/>
  <c r="E236" i="1"/>
  <c r="E241" i="1"/>
  <c r="E245" i="1"/>
  <c r="E249" i="1"/>
  <c r="E253" i="1"/>
  <c r="E138" i="1"/>
  <c r="E142" i="1"/>
  <c r="E146" i="1"/>
  <c r="E150" i="1"/>
  <c r="E158" i="1"/>
  <c r="E162" i="1"/>
  <c r="E167" i="1"/>
  <c r="E172" i="1"/>
  <c r="E176" i="1"/>
  <c r="E181" i="1"/>
  <c r="E186" i="1"/>
  <c r="E190" i="1"/>
  <c r="E194" i="1"/>
  <c r="E198" i="1"/>
  <c r="E202" i="1"/>
  <c r="E206" i="1"/>
  <c r="E212" i="1"/>
  <c r="E219" i="1"/>
  <c r="E223" i="1"/>
  <c r="E227" i="1"/>
  <c r="E107" i="1"/>
  <c r="E129" i="1"/>
  <c r="E96" i="1"/>
  <c r="E100" i="1"/>
  <c r="E105" i="1"/>
  <c r="E109" i="1"/>
  <c r="E115" i="1"/>
  <c r="E119" i="1"/>
  <c r="E124" i="1"/>
  <c r="E98" i="1"/>
  <c r="E117" i="1"/>
  <c r="E77" i="1"/>
  <c r="E38" i="1"/>
  <c r="E42" i="1"/>
  <c r="E46" i="1"/>
  <c r="E50" i="1"/>
  <c r="E55" i="1"/>
  <c r="E20" i="1"/>
  <c r="E18" i="1"/>
  <c r="G304" i="1"/>
  <c r="G303" i="1" s="1"/>
  <c r="G295" i="1"/>
  <c r="H235" i="1"/>
  <c r="G134" i="1"/>
  <c r="G73" i="1"/>
  <c r="E73" i="1" s="1"/>
  <c r="H61" i="1"/>
  <c r="H34" i="1"/>
  <c r="H26" i="1"/>
  <c r="H11" i="1"/>
  <c r="G235" i="1"/>
  <c r="G82" i="1"/>
  <c r="G61" i="1"/>
  <c r="G34" i="1"/>
  <c r="G26" i="1"/>
  <c r="CA291" i="1"/>
  <c r="CA323" i="1" s="1"/>
  <c r="CS320" i="1"/>
  <c r="CS311" i="1"/>
  <c r="CS310" i="1"/>
  <c r="CS309" i="1"/>
  <c r="CS307" i="1"/>
  <c r="CS306" i="1"/>
  <c r="CS305" i="1"/>
  <c r="CS304" i="1"/>
  <c r="CS302" i="1"/>
  <c r="CS301" i="1"/>
  <c r="CS300" i="1"/>
  <c r="CS298" i="1"/>
  <c r="CS297" i="1"/>
  <c r="CS296" i="1"/>
  <c r="CS295" i="1"/>
  <c r="CS290" i="1"/>
  <c r="CS289" i="1"/>
  <c r="CS288" i="1"/>
  <c r="CS287" i="1"/>
  <c r="CS286" i="1"/>
  <c r="CS285" i="1"/>
  <c r="CS284" i="1"/>
  <c r="CS283" i="1"/>
  <c r="CS282" i="1"/>
  <c r="CS281" i="1"/>
  <c r="CS280" i="1"/>
  <c r="CS279" i="1"/>
  <c r="CS278" i="1"/>
  <c r="CS277" i="1"/>
  <c r="CS276" i="1"/>
  <c r="CS275" i="1"/>
  <c r="CS274" i="1"/>
  <c r="CS273" i="1"/>
  <c r="CS271" i="1"/>
  <c r="CS270" i="1"/>
  <c r="CS269" i="1"/>
  <c r="CS268" i="1"/>
  <c r="CS267" i="1"/>
  <c r="CS266" i="1"/>
  <c r="CS263" i="1"/>
  <c r="CS262" i="1"/>
  <c r="CS257" i="1"/>
  <c r="CS234" i="1"/>
  <c r="CS131" i="1"/>
  <c r="CS90" i="1"/>
  <c r="CS81" i="1"/>
  <c r="CS69" i="1"/>
  <c r="CS60" i="1"/>
  <c r="CS33" i="1"/>
  <c r="CS25" i="1"/>
  <c r="E13" i="1" l="1"/>
  <c r="BP11" i="1"/>
  <c r="BB11" i="1"/>
  <c r="BB258" i="1" s="1"/>
  <c r="BP322" i="1"/>
  <c r="BB322" i="1"/>
  <c r="AN322" i="1"/>
  <c r="BI321" i="1"/>
  <c r="K321" i="1"/>
  <c r="AM321" i="1"/>
  <c r="BM321" i="1"/>
  <c r="AX321" i="1"/>
  <c r="AS321" i="1"/>
  <c r="E305" i="1"/>
  <c r="AZ321" i="1"/>
  <c r="AZ324" i="1" s="1"/>
  <c r="K323" i="1"/>
  <c r="BG321" i="1"/>
  <c r="BZ321" i="1"/>
  <c r="BZ324" i="1" s="1"/>
  <c r="BR321" i="1"/>
  <c r="BR324" i="1" s="1"/>
  <c r="E302" i="1"/>
  <c r="CI321" i="1"/>
  <c r="CI324" i="1" s="1"/>
  <c r="AO291" i="1"/>
  <c r="AO323" i="1" s="1"/>
  <c r="BO321" i="1"/>
  <c r="E12" i="1"/>
  <c r="BJ321" i="1"/>
  <c r="BJ324" i="1" s="1"/>
  <c r="L321" i="1"/>
  <c r="L324" i="1" s="1"/>
  <c r="AN11" i="1"/>
  <c r="AN258" i="1" s="1"/>
  <c r="E301" i="1"/>
  <c r="BI323" i="1"/>
  <c r="BP235" i="1"/>
  <c r="J321" i="1"/>
  <c r="J324" i="1" s="1"/>
  <c r="AW321" i="1"/>
  <c r="AW324" i="1" s="1"/>
  <c r="AN299" i="1"/>
  <c r="AN291" i="1" s="1"/>
  <c r="AQ321" i="1"/>
  <c r="AQ324" i="1" s="1"/>
  <c r="O323" i="1"/>
  <c r="O324" i="1" s="1"/>
  <c r="AV321" i="1"/>
  <c r="AV324" i="1" s="1"/>
  <c r="E295" i="1"/>
  <c r="E294" i="1" s="1"/>
  <c r="E313" i="1"/>
  <c r="E312" i="1" s="1"/>
  <c r="BD321" i="1"/>
  <c r="BD324" i="1" s="1"/>
  <c r="BB308" i="1"/>
  <c r="BB291" i="1" s="1"/>
  <c r="BB323" i="1" s="1"/>
  <c r="BM323" i="1"/>
  <c r="BT321" i="1"/>
  <c r="BT324" i="1" s="1"/>
  <c r="AL321" i="1"/>
  <c r="AL324" i="1" s="1"/>
  <c r="BA321" i="1"/>
  <c r="BU321" i="1"/>
  <c r="BU324" i="1" s="1"/>
  <c r="CC321" i="1"/>
  <c r="CC324" i="1" s="1"/>
  <c r="CA321" i="1"/>
  <c r="CA324" i="1" s="1"/>
  <c r="AR321" i="1"/>
  <c r="AR324" i="1" s="1"/>
  <c r="E133" i="1"/>
  <c r="G91" i="1"/>
  <c r="E29" i="1"/>
  <c r="E26" i="1" s="1"/>
  <c r="E310" i="1"/>
  <c r="E308" i="1" s="1"/>
  <c r="BK321" i="1"/>
  <c r="BL321" i="1"/>
  <c r="BL324" i="1" s="1"/>
  <c r="AP321" i="1"/>
  <c r="AP324" i="1" s="1"/>
  <c r="E318" i="1"/>
  <c r="H291" i="1"/>
  <c r="H323" i="1" s="1"/>
  <c r="CD321" i="1"/>
  <c r="CB321" i="1"/>
  <c r="CB324" i="1" s="1"/>
  <c r="BN321" i="1"/>
  <c r="BN324" i="1" s="1"/>
  <c r="BW291" i="1"/>
  <c r="AN259" i="1"/>
  <c r="BC291" i="1"/>
  <c r="BC323" i="1" s="1"/>
  <c r="BQ291" i="1"/>
  <c r="BQ323" i="1" s="1"/>
  <c r="CD323" i="1"/>
  <c r="BF321" i="1"/>
  <c r="BF324" i="1" s="1"/>
  <c r="E319" i="1"/>
  <c r="CH321" i="1"/>
  <c r="CH324" i="1" s="1"/>
  <c r="P321" i="1"/>
  <c r="P324" i="1" s="1"/>
  <c r="E304" i="1"/>
  <c r="BE321" i="1"/>
  <c r="BE324" i="1" s="1"/>
  <c r="CE321" i="1"/>
  <c r="CG321" i="1"/>
  <c r="CG324" i="1" s="1"/>
  <c r="N321" i="1"/>
  <c r="N324" i="1" s="1"/>
  <c r="AY321" i="1"/>
  <c r="AY324" i="1" s="1"/>
  <c r="G317" i="1"/>
  <c r="BW11" i="1"/>
  <c r="BY321" i="1"/>
  <c r="BY324" i="1" s="1"/>
  <c r="AT321" i="1"/>
  <c r="AT324" i="1" s="1"/>
  <c r="BS321" i="1"/>
  <c r="BS324" i="1" s="1"/>
  <c r="AX323" i="1"/>
  <c r="BK323" i="1"/>
  <c r="BG323" i="1"/>
  <c r="G70" i="1"/>
  <c r="G294" i="1"/>
  <c r="BC258" i="1"/>
  <c r="BX291" i="1"/>
  <c r="BX323" i="1" s="1"/>
  <c r="AS323" i="1"/>
  <c r="CE323" i="1"/>
  <c r="Q321" i="1"/>
  <c r="Q324" i="1" s="1"/>
  <c r="I321" i="1"/>
  <c r="I324" i="1" s="1"/>
  <c r="M321" i="1"/>
  <c r="M324" i="1" s="1"/>
  <c r="E92" i="1"/>
  <c r="E91" i="1" s="1"/>
  <c r="BP291" i="1"/>
  <c r="BQ258" i="1"/>
  <c r="S97" i="4"/>
  <c r="S8" i="4" s="1"/>
  <c r="S165" i="4" s="1"/>
  <c r="BX258" i="1"/>
  <c r="E64" i="1"/>
  <c r="E61" i="1" s="1"/>
  <c r="BP26" i="1"/>
  <c r="E16" i="1"/>
  <c r="E235" i="1"/>
  <c r="E84" i="1"/>
  <c r="E82" i="1" s="1"/>
  <c r="E34" i="1"/>
  <c r="AO258" i="1"/>
  <c r="E70" i="1"/>
  <c r="G132" i="1"/>
  <c r="E134" i="1"/>
  <c r="H258" i="1"/>
  <c r="T73" i="4"/>
  <c r="U73" i="4" s="1"/>
  <c r="E73" i="4"/>
  <c r="BV264" i="1"/>
  <c r="BV322" i="1" s="1"/>
  <c r="F264" i="1"/>
  <c r="K324" i="1" l="1"/>
  <c r="BI324" i="1"/>
  <c r="E299" i="1"/>
  <c r="AX324" i="1"/>
  <c r="BM324" i="1"/>
  <c r="AS324" i="1"/>
  <c r="E303" i="1"/>
  <c r="BG324" i="1"/>
  <c r="BQ321" i="1"/>
  <c r="BQ324" i="1" s="1"/>
  <c r="BP258" i="1"/>
  <c r="E132" i="1"/>
  <c r="AO321" i="1"/>
  <c r="AO324" i="1" s="1"/>
  <c r="CS264" i="1"/>
  <c r="D264" i="1"/>
  <c r="G264" i="1"/>
  <c r="BV259" i="1"/>
  <c r="BV321" i="1" s="1"/>
  <c r="BW264" i="1"/>
  <c r="BW322" i="1" s="1"/>
  <c r="U71" i="4"/>
  <c r="U97" i="4" s="1"/>
  <c r="AI73" i="4"/>
  <c r="AI71" i="4" s="1"/>
  <c r="F73" i="4"/>
  <c r="F71" i="4" s="1"/>
  <c r="AI100" i="4"/>
  <c r="AI99" i="4" s="1"/>
  <c r="F100" i="4"/>
  <c r="AN323" i="1"/>
  <c r="H321" i="1"/>
  <c r="H324" i="1" s="1"/>
  <c r="CD324" i="1"/>
  <c r="CE324" i="1"/>
  <c r="BB321" i="1"/>
  <c r="BB324" i="1" s="1"/>
  <c r="AN321" i="1"/>
  <c r="E317" i="1"/>
  <c r="B13" i="5" s="1"/>
  <c r="BW258" i="1"/>
  <c r="BK324" i="1"/>
  <c r="BC321" i="1"/>
  <c r="BC324" i="1" s="1"/>
  <c r="BX321" i="1"/>
  <c r="BX324" i="1" s="1"/>
  <c r="BP323" i="1"/>
  <c r="S164" i="4"/>
  <c r="CS162" i="1"/>
  <c r="BP321" i="1" l="1"/>
  <c r="BP324" i="1" s="1"/>
  <c r="D5" i="5"/>
  <c r="E264" i="1"/>
  <c r="BW259" i="1"/>
  <c r="BW323" i="1" s="1"/>
  <c r="AJ73" i="4"/>
  <c r="AN324" i="1"/>
  <c r="AJ100" i="4"/>
  <c r="F99" i="4"/>
  <c r="U8" i="4"/>
  <c r="U165" i="4" s="1"/>
  <c r="U164" i="4"/>
  <c r="CQ234" i="1"/>
  <c r="CQ257" i="1"/>
  <c r="CQ311" i="1"/>
  <c r="CQ320" i="1"/>
  <c r="CQ25" i="1"/>
  <c r="CQ33" i="1"/>
  <c r="CQ60" i="1"/>
  <c r="CQ69" i="1"/>
  <c r="CQ81" i="1"/>
  <c r="CQ90" i="1"/>
  <c r="CQ131" i="1"/>
  <c r="CR25" i="1"/>
  <c r="CR33" i="1"/>
  <c r="CR60" i="1"/>
  <c r="CR69" i="1"/>
  <c r="CR81" i="1"/>
  <c r="CR90" i="1"/>
  <c r="CR131" i="1"/>
  <c r="CR234" i="1"/>
  <c r="CR257" i="1"/>
  <c r="CR311" i="1"/>
  <c r="CR320" i="1"/>
  <c r="BW321" i="1" l="1"/>
  <c r="BW324" i="1" s="1"/>
  <c r="F260" i="1"/>
  <c r="CS260" i="1" l="1"/>
  <c r="D260" i="1"/>
  <c r="G260" i="1"/>
  <c r="CS261" i="1" l="1"/>
  <c r="D261" i="1"/>
  <c r="D259" i="1" s="1"/>
  <c r="G261" i="1"/>
  <c r="E261" i="1" s="1"/>
  <c r="E260" i="1"/>
  <c r="F21" i="1"/>
  <c r="F22" i="1"/>
  <c r="E19" i="4"/>
  <c r="E25" i="4"/>
  <c r="E259" i="1" l="1"/>
  <c r="B10" i="5" s="1"/>
  <c r="G259" i="1"/>
  <c r="CS22" i="1"/>
  <c r="D22" i="1"/>
  <c r="G22" i="1"/>
  <c r="E22" i="1" s="1"/>
  <c r="CS21" i="1"/>
  <c r="D21" i="1"/>
  <c r="G21" i="1"/>
  <c r="AI25" i="4"/>
  <c r="AI23" i="4" s="1"/>
  <c r="F25" i="4"/>
  <c r="AI19" i="4"/>
  <c r="AI17" i="4" s="1"/>
  <c r="F19" i="4"/>
  <c r="E59" i="4"/>
  <c r="AI16" i="4" l="1"/>
  <c r="AI15" i="4" s="1"/>
  <c r="E21" i="1"/>
  <c r="G11" i="1"/>
  <c r="D11" i="1"/>
  <c r="D258" i="1" s="1"/>
  <c r="AJ19" i="4"/>
  <c r="F17" i="4"/>
  <c r="AI59" i="4"/>
  <c r="AI58" i="4" s="1"/>
  <c r="AI56" i="4" s="1"/>
  <c r="F59" i="4"/>
  <c r="AJ25" i="4"/>
  <c r="F23" i="4"/>
  <c r="CQ319" i="1"/>
  <c r="CS319" i="1"/>
  <c r="F58" i="4" l="1"/>
  <c r="F56" i="4" s="1"/>
  <c r="AJ59" i="4"/>
  <c r="G258" i="1"/>
  <c r="E11" i="1"/>
  <c r="F16" i="4"/>
  <c r="F15" i="4" s="1"/>
  <c r="CR319" i="1"/>
  <c r="F317" i="1"/>
  <c r="CS318" i="1"/>
  <c r="E258" i="1" l="1"/>
  <c r="CS130" i="1"/>
  <c r="CQ130" i="1" l="1"/>
  <c r="CR130" i="1"/>
  <c r="CS314" i="1"/>
  <c r="CS313" i="1"/>
  <c r="F293" i="1" l="1"/>
  <c r="F322" i="1" s="1"/>
  <c r="CS293" i="1" l="1"/>
  <c r="D293" i="1"/>
  <c r="D322" i="1" s="1"/>
  <c r="G293" i="1"/>
  <c r="G322" i="1" s="1"/>
  <c r="CR306" i="1"/>
  <c r="CQ306" i="1"/>
  <c r="CS56" i="1"/>
  <c r="CS55" i="1"/>
  <c r="D292" i="1" l="1"/>
  <c r="D291" i="1" s="1"/>
  <c r="D321" i="1" s="1"/>
  <c r="G292" i="1"/>
  <c r="G291" i="1" s="1"/>
  <c r="E293" i="1"/>
  <c r="E322" i="1" s="1"/>
  <c r="E52" i="4"/>
  <c r="E292" i="1" l="1"/>
  <c r="E291" i="1" s="1"/>
  <c r="G323" i="1"/>
  <c r="G321" i="1"/>
  <c r="AI52" i="4"/>
  <c r="AI51" i="4" s="1"/>
  <c r="AI50" i="4" s="1"/>
  <c r="AI97" i="4" s="1"/>
  <c r="F52" i="4"/>
  <c r="E161" i="4"/>
  <c r="E159" i="4" s="1"/>
  <c r="G324" i="1" l="1"/>
  <c r="B12" i="5"/>
  <c r="E323" i="1"/>
  <c r="E321" i="1"/>
  <c r="AI161" i="4"/>
  <c r="F161" i="4"/>
  <c r="F159" i="4" s="1"/>
  <c r="AI8" i="4"/>
  <c r="AI164" i="4"/>
  <c r="F51" i="4"/>
  <c r="F50" i="4" s="1"/>
  <c r="F97" i="4" s="1"/>
  <c r="AJ52" i="4"/>
  <c r="CS206" i="1"/>
  <c r="CS202" i="1"/>
  <c r="CS200" i="1"/>
  <c r="CS198" i="1"/>
  <c r="CS196" i="1"/>
  <c r="CS194" i="1"/>
  <c r="CS192" i="1"/>
  <c r="CS190" i="1"/>
  <c r="CS188" i="1"/>
  <c r="CS186" i="1"/>
  <c r="AI159" i="4" l="1"/>
  <c r="AI158" i="4" s="1"/>
  <c r="AI152" i="4" s="1"/>
  <c r="AI165" i="4" s="1"/>
  <c r="E324" i="1"/>
  <c r="F164" i="4"/>
  <c r="F8" i="4"/>
  <c r="AJ161" i="4"/>
  <c r="AJ159" i="4" s="1"/>
  <c r="CS228" i="1"/>
  <c r="CS222" i="1"/>
  <c r="CS220" i="1"/>
  <c r="CS218" i="1"/>
  <c r="CS211" i="1"/>
  <c r="CS207" i="1"/>
  <c r="CS203" i="1"/>
  <c r="CS201" i="1"/>
  <c r="CS199" i="1"/>
  <c r="CS197" i="1"/>
  <c r="CS195" i="1"/>
  <c r="CS193" i="1"/>
  <c r="CS191" i="1"/>
  <c r="CS189" i="1"/>
  <c r="CS187" i="1"/>
  <c r="CS181" i="1"/>
  <c r="CS178" i="1"/>
  <c r="CS176" i="1"/>
  <c r="CS174" i="1"/>
  <c r="CS172" i="1"/>
  <c r="CS170" i="1"/>
  <c r="CS165" i="1"/>
  <c r="CS159" i="1"/>
  <c r="CS156" i="1"/>
  <c r="F158" i="4" l="1"/>
  <c r="F152" i="4" s="1"/>
  <c r="F165" i="4" s="1"/>
  <c r="CS256" i="1"/>
  <c r="CS255" i="1"/>
  <c r="CS254" i="1"/>
  <c r="CS253" i="1"/>
  <c r="CS252" i="1"/>
  <c r="CS251" i="1"/>
  <c r="CS250" i="1"/>
  <c r="CS249" i="1"/>
  <c r="CS248" i="1"/>
  <c r="CS245" i="1"/>
  <c r="CS244" i="1"/>
  <c r="CS243" i="1"/>
  <c r="CS242" i="1"/>
  <c r="CS241" i="1"/>
  <c r="CS240" i="1"/>
  <c r="CS239" i="1"/>
  <c r="CS238" i="1"/>
  <c r="CS110" i="1"/>
  <c r="CS109" i="1"/>
  <c r="CS108" i="1"/>
  <c r="CS107" i="1"/>
  <c r="CS106" i="1"/>
  <c r="CS105" i="1"/>
  <c r="CS104" i="1"/>
  <c r="CS88" i="1"/>
  <c r="CS85" i="1"/>
  <c r="CS84" i="1"/>
  <c r="CS83" i="1"/>
  <c r="T68" i="4" l="1"/>
  <c r="CS226" i="1" l="1"/>
  <c r="CS225" i="1"/>
  <c r="CS185" i="1"/>
  <c r="CS177" i="1"/>
  <c r="CS160" i="1"/>
  <c r="CS124" i="1"/>
  <c r="CS123" i="1"/>
  <c r="CS121" i="1"/>
  <c r="CS120" i="1"/>
  <c r="CS119" i="1"/>
  <c r="CS118" i="1"/>
  <c r="CS117" i="1"/>
  <c r="CS116" i="1"/>
  <c r="CS115" i="1"/>
  <c r="CS114" i="1"/>
  <c r="CS111" i="1"/>
  <c r="CS31" i="1"/>
  <c r="CS247" i="1" l="1"/>
  <c r="CS246" i="1"/>
  <c r="CS229" i="1"/>
  <c r="CS223" i="1"/>
  <c r="CS213" i="1"/>
  <c r="CS212" i="1"/>
  <c r="CS205" i="1"/>
  <c r="CS204" i="1"/>
  <c r="CS183" i="1"/>
  <c r="CS182" i="1"/>
  <c r="CS167" i="1"/>
  <c r="CS166" i="1"/>
  <c r="CS161" i="1"/>
  <c r="CS157" i="1"/>
  <c r="CS150" i="1"/>
  <c r="CS149" i="1"/>
  <c r="CS148" i="1"/>
  <c r="CS147" i="1"/>
  <c r="CS146" i="1"/>
  <c r="CS145" i="1"/>
  <c r="CS144" i="1"/>
  <c r="CS143" i="1"/>
  <c r="CS125" i="1"/>
  <c r="CS102" i="1"/>
  <c r="CS86" i="1"/>
  <c r="CS78" i="1"/>
  <c r="CS77" i="1"/>
  <c r="CS50" i="1"/>
  <c r="CS49" i="1"/>
  <c r="CS48" i="1"/>
  <c r="CS47" i="1"/>
  <c r="CS46" i="1"/>
  <c r="CS45" i="1"/>
  <c r="CS44" i="1"/>
  <c r="CS43" i="1"/>
  <c r="CS17" i="1"/>
  <c r="CS227" i="1" l="1"/>
  <c r="CS224" i="1"/>
  <c r="CS221" i="1"/>
  <c r="CS219" i="1"/>
  <c r="CS217" i="1"/>
  <c r="CS210" i="1"/>
  <c r="CS180" i="1"/>
  <c r="CS175" i="1"/>
  <c r="CS173" i="1"/>
  <c r="CS171" i="1"/>
  <c r="CS169" i="1"/>
  <c r="CS164" i="1"/>
  <c r="CS158" i="1"/>
  <c r="CS155" i="1"/>
  <c r="CS233" i="1" l="1"/>
  <c r="CS129" i="1"/>
  <c r="CS80" i="1"/>
  <c r="CS79" i="1"/>
  <c r="CS68" i="1"/>
  <c r="CS67" i="1"/>
  <c r="CS53" i="1"/>
  <c r="CS133" i="1" l="1"/>
  <c r="CS92" i="1"/>
  <c r="CS72" i="1"/>
  <c r="CS71" i="1"/>
  <c r="CS58" i="1"/>
  <c r="CS57" i="1"/>
  <c r="CS54" i="1"/>
  <c r="CS35" i="1"/>
  <c r="CS32" i="1"/>
  <c r="CS27" i="1"/>
  <c r="CS23" i="1"/>
  <c r="CS20" i="1"/>
  <c r="CS19" i="1"/>
  <c r="CS14" i="1"/>
  <c r="CS13" i="1"/>
  <c r="CS12" i="1"/>
  <c r="CS236" i="1" l="1"/>
  <c r="CS142" i="1"/>
  <c r="CS141" i="1"/>
  <c r="CS140" i="1"/>
  <c r="CS139" i="1"/>
  <c r="CS138" i="1"/>
  <c r="CS137" i="1"/>
  <c r="CS136" i="1"/>
  <c r="CS134" i="1"/>
  <c r="CS101" i="1"/>
  <c r="CS100" i="1"/>
  <c r="CS99" i="1"/>
  <c r="CS98" i="1"/>
  <c r="CS97" i="1"/>
  <c r="CS96" i="1"/>
  <c r="CS95" i="1"/>
  <c r="CS94" i="1"/>
  <c r="CS93" i="1"/>
  <c r="CS76" i="1"/>
  <c r="CS75" i="1"/>
  <c r="CS74" i="1"/>
  <c r="CS65" i="1"/>
  <c r="CS64" i="1"/>
  <c r="CS63" i="1"/>
  <c r="CS62" i="1"/>
  <c r="CS42" i="1"/>
  <c r="CS40" i="1"/>
  <c r="CS39" i="1"/>
  <c r="CS38" i="1"/>
  <c r="CS37" i="1"/>
  <c r="CS36" i="1"/>
  <c r="CS30" i="1"/>
  <c r="CS29" i="1"/>
  <c r="CS28" i="1"/>
  <c r="CS16" i="1"/>
  <c r="CS18" i="1"/>
  <c r="CS15" i="1"/>
  <c r="CS317" i="1" l="1"/>
  <c r="CQ32" i="1"/>
  <c r="CQ31" i="1"/>
  <c r="CQ27" i="1"/>
  <c r="F11" i="1"/>
  <c r="E71" i="4"/>
  <c r="T71" i="4"/>
  <c r="E54" i="4"/>
  <c r="E53" i="4" s="1"/>
  <c r="T54" i="4"/>
  <c r="T53" i="4" s="1"/>
  <c r="E40" i="4"/>
  <c r="T40" i="4"/>
  <c r="CR32" i="1" l="1"/>
  <c r="CR27" i="1"/>
  <c r="CR31" i="1"/>
  <c r="CQ270" i="1"/>
  <c r="CR270" i="1"/>
  <c r="CQ287" i="1"/>
  <c r="CR287" i="1"/>
  <c r="CR310" i="1"/>
  <c r="CQ310" i="1"/>
  <c r="CR262" i="1"/>
  <c r="CQ262" i="1"/>
  <c r="CQ267" i="1"/>
  <c r="CR267" i="1"/>
  <c r="CR271" i="1"/>
  <c r="CQ271" i="1"/>
  <c r="CQ276" i="1"/>
  <c r="CR276" i="1"/>
  <c r="CQ280" i="1"/>
  <c r="CR280" i="1"/>
  <c r="CR284" i="1"/>
  <c r="CQ284" i="1"/>
  <c r="CQ288" i="1"/>
  <c r="CR288" i="1"/>
  <c r="CQ295" i="1"/>
  <c r="CR295" i="1"/>
  <c r="CQ300" i="1"/>
  <c r="CR300" i="1"/>
  <c r="CR305" i="1"/>
  <c r="CQ305" i="1"/>
  <c r="CQ261" i="1"/>
  <c r="CR261" i="1"/>
  <c r="CQ279" i="1"/>
  <c r="CR279" i="1"/>
  <c r="CR293" i="1"/>
  <c r="CQ293" i="1"/>
  <c r="CQ304" i="1"/>
  <c r="CR304" i="1"/>
  <c r="CS11" i="1"/>
  <c r="CR263" i="1"/>
  <c r="CQ263" i="1"/>
  <c r="CR268" i="1"/>
  <c r="CQ268" i="1"/>
  <c r="CR273" i="1"/>
  <c r="CQ273" i="1"/>
  <c r="CR277" i="1"/>
  <c r="CQ277" i="1"/>
  <c r="CR281" i="1"/>
  <c r="CQ281" i="1"/>
  <c r="CR285" i="1"/>
  <c r="CQ285" i="1"/>
  <c r="CR289" i="1"/>
  <c r="CQ289" i="1"/>
  <c r="CR296" i="1"/>
  <c r="CQ296" i="1"/>
  <c r="CR301" i="1"/>
  <c r="CQ301" i="1"/>
  <c r="CQ307" i="1"/>
  <c r="CR307" i="1"/>
  <c r="CQ266" i="1"/>
  <c r="CR266" i="1"/>
  <c r="CQ275" i="1"/>
  <c r="CR275" i="1"/>
  <c r="CQ283" i="1"/>
  <c r="CR283" i="1"/>
  <c r="CQ298" i="1"/>
  <c r="CR298" i="1"/>
  <c r="CQ260" i="1"/>
  <c r="CR260" i="1"/>
  <c r="CQ269" i="1"/>
  <c r="CR269" i="1"/>
  <c r="CR274" i="1"/>
  <c r="CQ274" i="1"/>
  <c r="CQ278" i="1"/>
  <c r="CR278" i="1"/>
  <c r="CR282" i="1"/>
  <c r="CQ282" i="1"/>
  <c r="CQ286" i="1"/>
  <c r="CR286" i="1"/>
  <c r="CR290" i="1"/>
  <c r="CQ290" i="1"/>
  <c r="CR297" i="1"/>
  <c r="CQ297" i="1"/>
  <c r="CR302" i="1"/>
  <c r="CQ302" i="1"/>
  <c r="CR309" i="1"/>
  <c r="CQ309" i="1"/>
  <c r="CQ264" i="1"/>
  <c r="CR264" i="1"/>
  <c r="CR14" i="1"/>
  <c r="CQ14" i="1"/>
  <c r="CQ35" i="1"/>
  <c r="CR35" i="1"/>
  <c r="CQ53" i="1"/>
  <c r="CR53" i="1"/>
  <c r="CQ110" i="1"/>
  <c r="CR110" i="1"/>
  <c r="CQ125" i="1"/>
  <c r="CR125" i="1"/>
  <c r="CQ155" i="1"/>
  <c r="CR155" i="1"/>
  <c r="CR174" i="1"/>
  <c r="CQ174" i="1"/>
  <c r="CR192" i="1"/>
  <c r="CQ192" i="1"/>
  <c r="CR204" i="1"/>
  <c r="CQ204" i="1"/>
  <c r="CR221" i="1"/>
  <c r="CQ221" i="1"/>
  <c r="CR243" i="1"/>
  <c r="CQ243" i="1"/>
  <c r="CQ313" i="1"/>
  <c r="CR313" i="1"/>
  <c r="CR19" i="1"/>
  <c r="CQ19" i="1"/>
  <c r="CR23" i="1"/>
  <c r="CQ23" i="1"/>
  <c r="CQ44" i="1"/>
  <c r="CR44" i="1"/>
  <c r="CQ48" i="1"/>
  <c r="CR48" i="1"/>
  <c r="CQ54" i="1"/>
  <c r="CR54" i="1"/>
  <c r="CQ58" i="1"/>
  <c r="CR58" i="1"/>
  <c r="CQ72" i="1"/>
  <c r="CR72" i="1"/>
  <c r="CQ80" i="1"/>
  <c r="CR80" i="1"/>
  <c r="CQ86" i="1"/>
  <c r="CR86" i="1"/>
  <c r="CQ102" i="1"/>
  <c r="CR102" i="1"/>
  <c r="CQ107" i="1"/>
  <c r="CR107" i="1"/>
  <c r="CQ111" i="1"/>
  <c r="CR111" i="1"/>
  <c r="CQ117" i="1"/>
  <c r="CR117" i="1"/>
  <c r="CQ121" i="1"/>
  <c r="CR121" i="1"/>
  <c r="CQ129" i="1"/>
  <c r="CR129" i="1"/>
  <c r="CQ144" i="1"/>
  <c r="CR144" i="1"/>
  <c r="CQ148" i="1"/>
  <c r="CR148" i="1"/>
  <c r="CQ156" i="1"/>
  <c r="CR156" i="1"/>
  <c r="CQ160" i="1"/>
  <c r="CR160" i="1"/>
  <c r="CQ166" i="1"/>
  <c r="CR166" i="1"/>
  <c r="CQ171" i="1"/>
  <c r="CR171" i="1"/>
  <c r="CQ175" i="1"/>
  <c r="CR175" i="1"/>
  <c r="CQ180" i="1"/>
  <c r="CR180" i="1"/>
  <c r="CQ185" i="1"/>
  <c r="CR185" i="1"/>
  <c r="CQ189" i="1"/>
  <c r="CR189" i="1"/>
  <c r="CQ193" i="1"/>
  <c r="CR193" i="1"/>
  <c r="CQ197" i="1"/>
  <c r="CR197" i="1"/>
  <c r="CQ201" i="1"/>
  <c r="CR201" i="1"/>
  <c r="CQ205" i="1"/>
  <c r="CR205" i="1"/>
  <c r="CQ211" i="1"/>
  <c r="CR211" i="1"/>
  <c r="CQ218" i="1"/>
  <c r="CR218" i="1"/>
  <c r="CQ222" i="1"/>
  <c r="CR222" i="1"/>
  <c r="CQ226" i="1"/>
  <c r="CR226" i="1"/>
  <c r="CQ233" i="1"/>
  <c r="CR233" i="1"/>
  <c r="CQ240" i="1"/>
  <c r="CR240" i="1"/>
  <c r="CQ244" i="1"/>
  <c r="CR244" i="1"/>
  <c r="CQ248" i="1"/>
  <c r="CR248" i="1"/>
  <c r="CQ252" i="1"/>
  <c r="CR252" i="1"/>
  <c r="CQ256" i="1"/>
  <c r="CR256" i="1"/>
  <c r="CR314" i="1"/>
  <c r="CQ314" i="1"/>
  <c r="CQ17" i="1"/>
  <c r="CR17" i="1"/>
  <c r="CQ47" i="1"/>
  <c r="CR47" i="1"/>
  <c r="CQ71" i="1"/>
  <c r="CR71" i="1"/>
  <c r="CR85" i="1"/>
  <c r="CQ85" i="1"/>
  <c r="CQ116" i="1"/>
  <c r="CR116" i="1"/>
  <c r="CQ143" i="1"/>
  <c r="CR143" i="1"/>
  <c r="CR159" i="1"/>
  <c r="CQ159" i="1"/>
  <c r="CR170" i="1"/>
  <c r="CQ170" i="1"/>
  <c r="CR183" i="1"/>
  <c r="CQ183" i="1"/>
  <c r="CR200" i="1"/>
  <c r="CQ200" i="1"/>
  <c r="CR217" i="1"/>
  <c r="CQ217" i="1"/>
  <c r="CR229" i="1"/>
  <c r="CQ229" i="1"/>
  <c r="CR251" i="1"/>
  <c r="CQ251" i="1"/>
  <c r="CR12" i="1"/>
  <c r="CQ12" i="1"/>
  <c r="CR20" i="1"/>
  <c r="CQ20" i="1"/>
  <c r="CQ45" i="1"/>
  <c r="CR45" i="1"/>
  <c r="CQ49" i="1"/>
  <c r="CR49" i="1"/>
  <c r="CQ55" i="1"/>
  <c r="CR55" i="1"/>
  <c r="CQ77" i="1"/>
  <c r="CR77" i="1"/>
  <c r="CQ83" i="1"/>
  <c r="CR83" i="1"/>
  <c r="CQ88" i="1"/>
  <c r="CR88" i="1"/>
  <c r="CQ104" i="1"/>
  <c r="CR104" i="1"/>
  <c r="CQ108" i="1"/>
  <c r="CR108" i="1"/>
  <c r="CQ114" i="1"/>
  <c r="CR114" i="1"/>
  <c r="CQ118" i="1"/>
  <c r="CR118" i="1"/>
  <c r="CQ123" i="1"/>
  <c r="CR123" i="1"/>
  <c r="CQ133" i="1"/>
  <c r="CR133" i="1"/>
  <c r="CQ145" i="1"/>
  <c r="CR145" i="1"/>
  <c r="CQ149" i="1"/>
  <c r="CR149" i="1"/>
  <c r="CQ157" i="1"/>
  <c r="CR157" i="1"/>
  <c r="CQ161" i="1"/>
  <c r="CR161" i="1"/>
  <c r="CQ167" i="1"/>
  <c r="CR167" i="1"/>
  <c r="CQ172" i="1"/>
  <c r="CR172" i="1"/>
  <c r="CQ176" i="1"/>
  <c r="CR176" i="1"/>
  <c r="CQ181" i="1"/>
  <c r="CR181" i="1"/>
  <c r="CQ186" i="1"/>
  <c r="CR186" i="1"/>
  <c r="CQ190" i="1"/>
  <c r="CR190" i="1"/>
  <c r="CQ194" i="1"/>
  <c r="CR194" i="1"/>
  <c r="CQ198" i="1"/>
  <c r="CR198" i="1"/>
  <c r="CQ202" i="1"/>
  <c r="CR202" i="1"/>
  <c r="CQ206" i="1"/>
  <c r="CR206" i="1"/>
  <c r="CQ212" i="1"/>
  <c r="CR212" i="1"/>
  <c r="CQ219" i="1"/>
  <c r="CR219" i="1"/>
  <c r="CQ223" i="1"/>
  <c r="CR223" i="1"/>
  <c r="CQ227" i="1"/>
  <c r="CR227" i="1"/>
  <c r="CQ241" i="1"/>
  <c r="CR241" i="1"/>
  <c r="CQ245" i="1"/>
  <c r="CR245" i="1"/>
  <c r="CQ249" i="1"/>
  <c r="CR249" i="1"/>
  <c r="CQ253" i="1"/>
  <c r="CR253" i="1"/>
  <c r="CQ318" i="1"/>
  <c r="CR318" i="1"/>
  <c r="CQ22" i="1"/>
  <c r="CR22" i="1"/>
  <c r="CQ43" i="1"/>
  <c r="CR43" i="1"/>
  <c r="CQ57" i="1"/>
  <c r="CR57" i="1"/>
  <c r="CQ79" i="1"/>
  <c r="CR79" i="1"/>
  <c r="CQ106" i="1"/>
  <c r="CR106" i="1"/>
  <c r="CQ120" i="1"/>
  <c r="CR120" i="1"/>
  <c r="CQ147" i="1"/>
  <c r="CR147" i="1"/>
  <c r="CR165" i="1"/>
  <c r="CQ165" i="1"/>
  <c r="CR178" i="1"/>
  <c r="CQ178" i="1"/>
  <c r="CR188" i="1"/>
  <c r="CQ188" i="1"/>
  <c r="CR196" i="1"/>
  <c r="CQ196" i="1"/>
  <c r="CR210" i="1"/>
  <c r="CQ210" i="1"/>
  <c r="CR225" i="1"/>
  <c r="CQ225" i="1"/>
  <c r="CR239" i="1"/>
  <c r="CQ239" i="1"/>
  <c r="CR247" i="1"/>
  <c r="CQ247" i="1"/>
  <c r="CR255" i="1"/>
  <c r="CQ255" i="1"/>
  <c r="CR13" i="1"/>
  <c r="CQ13" i="1"/>
  <c r="CR21" i="1"/>
  <c r="CQ21" i="1"/>
  <c r="CQ46" i="1"/>
  <c r="CR46" i="1"/>
  <c r="CQ50" i="1"/>
  <c r="CR50" i="1"/>
  <c r="CQ56" i="1"/>
  <c r="CR56" i="1"/>
  <c r="CQ78" i="1"/>
  <c r="CR78" i="1"/>
  <c r="CQ84" i="1"/>
  <c r="CR84" i="1"/>
  <c r="CQ92" i="1"/>
  <c r="CR92" i="1"/>
  <c r="CQ105" i="1"/>
  <c r="CR105" i="1"/>
  <c r="CQ109" i="1"/>
  <c r="CR109" i="1"/>
  <c r="CQ115" i="1"/>
  <c r="CR115" i="1"/>
  <c r="CQ119" i="1"/>
  <c r="CR119" i="1"/>
  <c r="CQ124" i="1"/>
  <c r="CR124" i="1"/>
  <c r="CQ146" i="1"/>
  <c r="CR146" i="1"/>
  <c r="CQ150" i="1"/>
  <c r="CR150" i="1"/>
  <c r="CQ158" i="1"/>
  <c r="CR158" i="1"/>
  <c r="CQ164" i="1"/>
  <c r="CR164" i="1"/>
  <c r="CQ169" i="1"/>
  <c r="CR169" i="1"/>
  <c r="CQ173" i="1"/>
  <c r="CR173" i="1"/>
  <c r="CQ177" i="1"/>
  <c r="CR177" i="1"/>
  <c r="CQ182" i="1"/>
  <c r="CR182" i="1"/>
  <c r="CQ187" i="1"/>
  <c r="CR187" i="1"/>
  <c r="CQ191" i="1"/>
  <c r="CR191" i="1"/>
  <c r="CQ195" i="1"/>
  <c r="CR195" i="1"/>
  <c r="CQ199" i="1"/>
  <c r="CR199" i="1"/>
  <c r="CQ203" i="1"/>
  <c r="CR203" i="1"/>
  <c r="CQ207" i="1"/>
  <c r="CR207" i="1"/>
  <c r="CQ213" i="1"/>
  <c r="CR213" i="1"/>
  <c r="CQ220" i="1"/>
  <c r="CR220" i="1"/>
  <c r="CQ224" i="1"/>
  <c r="CR224" i="1"/>
  <c r="CQ228" i="1"/>
  <c r="CR228" i="1"/>
  <c r="CQ238" i="1"/>
  <c r="CR238" i="1"/>
  <c r="CQ242" i="1"/>
  <c r="CR242" i="1"/>
  <c r="CQ246" i="1"/>
  <c r="CR246" i="1"/>
  <c r="CQ250" i="1"/>
  <c r="CR250" i="1"/>
  <c r="CQ254" i="1"/>
  <c r="CR254" i="1"/>
  <c r="CQ29" i="1"/>
  <c r="CR29" i="1"/>
  <c r="CQ38" i="1"/>
  <c r="CR38" i="1"/>
  <c r="CQ64" i="1"/>
  <c r="CR64" i="1"/>
  <c r="CR75" i="1"/>
  <c r="CQ75" i="1"/>
  <c r="CR93" i="1"/>
  <c r="CQ93" i="1"/>
  <c r="CQ97" i="1"/>
  <c r="CR97" i="1"/>
  <c r="CR101" i="1"/>
  <c r="CQ101" i="1"/>
  <c r="CR139" i="1"/>
  <c r="CQ139" i="1"/>
  <c r="CR15" i="1"/>
  <c r="CQ15" i="1"/>
  <c r="CQ30" i="1"/>
  <c r="CR30" i="1"/>
  <c r="CR39" i="1"/>
  <c r="CQ39" i="1"/>
  <c r="CR65" i="1"/>
  <c r="CQ65" i="1"/>
  <c r="CR76" i="1"/>
  <c r="CQ76" i="1"/>
  <c r="CQ94" i="1"/>
  <c r="CR94" i="1"/>
  <c r="CR98" i="1"/>
  <c r="CQ98" i="1"/>
  <c r="CR140" i="1"/>
  <c r="CQ140" i="1"/>
  <c r="CQ136" i="1"/>
  <c r="CR136" i="1"/>
  <c r="CR18" i="1"/>
  <c r="CQ18" i="1"/>
  <c r="CR36" i="1"/>
  <c r="CQ36" i="1"/>
  <c r="CQ40" i="1"/>
  <c r="CR40" i="1"/>
  <c r="CR62" i="1"/>
  <c r="CQ62" i="1"/>
  <c r="CQ67" i="1"/>
  <c r="CR67" i="1"/>
  <c r="CQ95" i="1"/>
  <c r="CR95" i="1"/>
  <c r="CQ99" i="1"/>
  <c r="CR99" i="1"/>
  <c r="CQ137" i="1"/>
  <c r="CR137" i="1"/>
  <c r="CR141" i="1"/>
  <c r="CQ141" i="1"/>
  <c r="CQ236" i="1"/>
  <c r="CR236" i="1"/>
  <c r="CR16" i="1"/>
  <c r="CQ16" i="1"/>
  <c r="CQ28" i="1"/>
  <c r="CR28" i="1"/>
  <c r="CR37" i="1"/>
  <c r="CQ37" i="1"/>
  <c r="CQ42" i="1"/>
  <c r="CR42" i="1"/>
  <c r="CR63" i="1"/>
  <c r="CQ63" i="1"/>
  <c r="CQ68" i="1"/>
  <c r="CR68" i="1"/>
  <c r="CR74" i="1"/>
  <c r="CQ74" i="1"/>
  <c r="CR96" i="1"/>
  <c r="CQ96" i="1"/>
  <c r="CR100" i="1"/>
  <c r="CQ100" i="1"/>
  <c r="CQ134" i="1"/>
  <c r="CR134" i="1"/>
  <c r="CQ138" i="1"/>
  <c r="CR138" i="1"/>
  <c r="CQ142" i="1"/>
  <c r="CR142" i="1"/>
  <c r="AJ71" i="4"/>
  <c r="BO323" i="1"/>
  <c r="BO324" i="1" s="1"/>
  <c r="BA323" i="1"/>
  <c r="BA324" i="1" s="1"/>
  <c r="F303" i="1"/>
  <c r="CS303" i="1" s="1"/>
  <c r="F292" i="1"/>
  <c r="CS292" i="1" s="1"/>
  <c r="CS312" i="1"/>
  <c r="F294" i="1"/>
  <c r="CS294" i="1" s="1"/>
  <c r="F308" i="1"/>
  <c r="CS308" i="1" s="1"/>
  <c r="F299" i="1"/>
  <c r="CS299" i="1" s="1"/>
  <c r="E158" i="4"/>
  <c r="E154" i="4"/>
  <c r="E143" i="4"/>
  <c r="E138" i="4"/>
  <c r="E99" i="4"/>
  <c r="E93" i="4"/>
  <c r="E61" i="4"/>
  <c r="E58" i="4"/>
  <c r="E51" i="4"/>
  <c r="E36" i="4"/>
  <c r="E33" i="4"/>
  <c r="E32" i="4" s="1"/>
  <c r="E30" i="4"/>
  <c r="E27" i="4"/>
  <c r="E23" i="4"/>
  <c r="E20" i="4"/>
  <c r="E17" i="4"/>
  <c r="E12" i="4"/>
  <c r="T158" i="4"/>
  <c r="T154" i="4"/>
  <c r="T143" i="4"/>
  <c r="T138" i="4"/>
  <c r="T132" i="4" s="1"/>
  <c r="T99" i="4"/>
  <c r="T93" i="4"/>
  <c r="T92" i="4" s="1"/>
  <c r="T88" i="4"/>
  <c r="T85" i="4"/>
  <c r="T83" i="4"/>
  <c r="T79" i="4"/>
  <c r="T75" i="4"/>
  <c r="T67" i="4"/>
  <c r="T65" i="4"/>
  <c r="T61" i="4"/>
  <c r="T58" i="4"/>
  <c r="T51" i="4"/>
  <c r="T45" i="4"/>
  <c r="T36" i="4"/>
  <c r="T33" i="4"/>
  <c r="T32" i="4" s="1"/>
  <c r="T30" i="4"/>
  <c r="T29" i="4" s="1"/>
  <c r="T27" i="4"/>
  <c r="T23" i="4"/>
  <c r="T20" i="4"/>
  <c r="T17" i="4"/>
  <c r="T12" i="4"/>
  <c r="T11" i="4" s="1"/>
  <c r="T10" i="4" s="1"/>
  <c r="E132" i="4" l="1"/>
  <c r="T56" i="4"/>
  <c r="AJ58" i="4"/>
  <c r="CR303" i="1"/>
  <c r="CR308" i="1"/>
  <c r="CR292" i="1"/>
  <c r="CR299" i="1"/>
  <c r="CR294" i="1"/>
  <c r="CR312" i="1"/>
  <c r="CQ317" i="1"/>
  <c r="CR317" i="1"/>
  <c r="CQ11" i="1"/>
  <c r="CR11" i="1"/>
  <c r="B5" i="5"/>
  <c r="E56" i="4"/>
  <c r="F291" i="1"/>
  <c r="CS291" i="1" s="1"/>
  <c r="E131" i="4"/>
  <c r="AJ40" i="4"/>
  <c r="E11" i="4"/>
  <c r="E45" i="4"/>
  <c r="E29" i="4"/>
  <c r="T35" i="4"/>
  <c r="E35" i="4"/>
  <c r="T131" i="4"/>
  <c r="T16" i="4"/>
  <c r="T15" i="4" s="1"/>
  <c r="T26" i="4"/>
  <c r="T50" i="4"/>
  <c r="T78" i="4"/>
  <c r="T74" i="4" s="1"/>
  <c r="E16" i="4"/>
  <c r="E152" i="4"/>
  <c r="T152" i="4"/>
  <c r="AJ53" i="4" l="1"/>
  <c r="CR291" i="1"/>
  <c r="E10" i="4"/>
  <c r="E15" i="4"/>
  <c r="E50" i="4"/>
  <c r="E26" i="4"/>
  <c r="T97" i="4"/>
  <c r="T8" i="4" s="1"/>
  <c r="T165" i="4" s="1"/>
  <c r="T164" i="4" l="1"/>
  <c r="F26" i="1" l="1"/>
  <c r="CS26" i="1" l="1"/>
  <c r="F82" i="1"/>
  <c r="CS82" i="1" s="1"/>
  <c r="F91" i="1" l="1"/>
  <c r="CS91" i="1" s="1"/>
  <c r="F235" i="1" l="1"/>
  <c r="CS235" i="1" s="1"/>
  <c r="F61" i="1" l="1"/>
  <c r="CS61" i="1" s="1"/>
  <c r="F259" i="1" l="1"/>
  <c r="CS259" i="1" s="1"/>
  <c r="CQ292" i="1" l="1"/>
  <c r="CQ312" i="1" l="1"/>
  <c r="CQ294" i="1"/>
  <c r="CQ303" i="1"/>
  <c r="CQ308" i="1"/>
  <c r="CQ299" i="1"/>
  <c r="BV323" i="1" l="1"/>
  <c r="BV324" i="1" s="1"/>
  <c r="CQ291" i="1"/>
  <c r="CQ259" i="1" l="1"/>
  <c r="CR259" i="1"/>
  <c r="CQ82" i="1"/>
  <c r="CR82" i="1"/>
  <c r="CR61" i="1"/>
  <c r="CQ61" i="1"/>
  <c r="CQ26" i="1"/>
  <c r="CR26" i="1"/>
  <c r="CQ235" i="1"/>
  <c r="CR235" i="1"/>
  <c r="CQ91" i="1"/>
  <c r="CR91" i="1"/>
  <c r="AJ33" i="4" l="1"/>
  <c r="AJ32" i="4" s="1"/>
  <c r="AJ93" i="4"/>
  <c r="AJ51" i="4"/>
  <c r="AJ138" i="4" l="1"/>
  <c r="AJ143" i="4"/>
  <c r="AJ27" i="4"/>
  <c r="AJ30" i="4"/>
  <c r="AJ12" i="4"/>
  <c r="AJ20" i="4"/>
  <c r="AJ17" i="4"/>
  <c r="AJ36" i="4"/>
  <c r="AJ154" i="4"/>
  <c r="AJ23" i="4"/>
  <c r="AJ132" i="4" l="1"/>
  <c r="AJ11" i="4"/>
  <c r="D4" i="5"/>
  <c r="AJ29" i="4"/>
  <c r="AJ35" i="4"/>
  <c r="AJ16" i="4"/>
  <c r="AJ158" i="4" l="1"/>
  <c r="AJ26" i="4"/>
  <c r="AJ10" i="4"/>
  <c r="AJ15" i="4"/>
  <c r="AJ131" i="4"/>
  <c r="AJ50" i="4" l="1"/>
  <c r="B11" i="5"/>
  <c r="D9" i="5"/>
  <c r="AJ152" i="4"/>
  <c r="AJ61" i="4"/>
  <c r="AJ56" i="4" l="1"/>
  <c r="AJ99" i="4"/>
  <c r="B9" i="5" l="1"/>
  <c r="AJ45" i="4" l="1"/>
  <c r="D8" i="5"/>
  <c r="D7" i="5"/>
  <c r="B8" i="5" l="1"/>
  <c r="CS41" i="1" l="1"/>
  <c r="AM323" i="1"/>
  <c r="AM324" i="1" s="1"/>
  <c r="F34" i="1" l="1"/>
  <c r="CS34" i="1" l="1"/>
  <c r="CQ41" i="1"/>
  <c r="CR41" i="1"/>
  <c r="CQ34" i="1" l="1"/>
  <c r="CR34" i="1"/>
  <c r="E83" i="4" l="1"/>
  <c r="E85" i="4"/>
  <c r="E79" i="4"/>
  <c r="E88" i="4"/>
  <c r="E92" i="4"/>
  <c r="AJ92" i="4" l="1"/>
  <c r="E78" i="4"/>
  <c r="AJ78" i="4" l="1"/>
  <c r="CS135" i="1" l="1"/>
  <c r="CS73" i="1"/>
  <c r="F132" i="1" l="1"/>
  <c r="F70" i="1"/>
  <c r="CS322" i="1"/>
  <c r="CS70" i="1" l="1"/>
  <c r="F323" i="1"/>
  <c r="CS323" i="1" s="1"/>
  <c r="CR132" i="1"/>
  <c r="CS132" i="1"/>
  <c r="CQ135" i="1"/>
  <c r="CR135" i="1"/>
  <c r="F258" i="1"/>
  <c r="CR73" i="1"/>
  <c r="CQ73" i="1"/>
  <c r="CQ132" i="1" l="1"/>
  <c r="F321" i="1"/>
  <c r="CS258" i="1"/>
  <c r="CQ322" i="1"/>
  <c r="CR322" i="1"/>
  <c r="CR70" i="1"/>
  <c r="CQ70" i="1"/>
  <c r="D323" i="1"/>
  <c r="D324" i="1" s="1"/>
  <c r="CS321" i="1" l="1"/>
  <c r="F324" i="1"/>
  <c r="CR323" i="1"/>
  <c r="CQ323" i="1"/>
  <c r="CQ258" i="1"/>
  <c r="CR258" i="1"/>
  <c r="CQ321" i="1" l="1"/>
  <c r="CR321" i="1"/>
  <c r="E75" i="4" l="1"/>
  <c r="E74" i="4" l="1"/>
  <c r="E65" i="4"/>
  <c r="AJ65" i="4" l="1"/>
  <c r="AJ75" i="4"/>
  <c r="AJ74" i="4" l="1"/>
  <c r="E68" i="4" l="1"/>
  <c r="AJ68" i="4" l="1"/>
  <c r="E67" i="4"/>
  <c r="AJ67" i="4" l="1"/>
  <c r="E97" i="4"/>
  <c r="E8" i="4" l="1"/>
  <c r="E164" i="4"/>
  <c r="AJ97" i="4"/>
  <c r="E165" i="4" l="1"/>
  <c r="AJ8" i="4"/>
  <c r="AJ164" i="4"/>
  <c r="B4" i="5"/>
  <c r="B7" i="5" s="1"/>
  <c r="AJ165" i="4" l="1"/>
  <c r="D326" i="1" s="1"/>
</calcChain>
</file>

<file path=xl/comments1.xml><?xml version="1.0" encoding="utf-8"?>
<comments xmlns="http://schemas.openxmlformats.org/spreadsheetml/2006/main">
  <authors>
    <author>Kristīne Hermane</author>
  </authors>
  <commentList>
    <comment ref="U267" authorId="0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Veselības veicināšanas projektam</t>
        </r>
      </text>
    </comment>
    <comment ref="R268" authorId="0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Veselības veicināšanas projektam</t>
        </r>
      </text>
    </comment>
  </commentList>
</comments>
</file>

<file path=xl/sharedStrings.xml><?xml version="1.0" encoding="utf-8"?>
<sst xmlns="http://schemas.openxmlformats.org/spreadsheetml/2006/main" count="1468" uniqueCount="886">
  <si>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</si>
  <si>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</si>
  <si>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</si>
  <si>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</si>
  <si>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</si>
  <si>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</si>
  <si>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</si>
  <si>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</si>
  <si>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</si>
  <si>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</si>
  <si>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</si>
  <si>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</si>
  <si>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</si>
  <si>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</si>
  <si>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</si>
  <si>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</si>
  <si>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</si>
  <si>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</si>
  <si>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</si>
  <si>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</si>
  <si>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</si>
  <si>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</si>
  <si>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</si>
  <si>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</si>
  <si>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</si>
  <si>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</si>
  <si>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</si>
  <si>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</si>
  <si>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</si>
  <si>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</si>
  <si>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</si>
  <si>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</si>
  <si>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</si>
  <si>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</si>
  <si>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</si>
  <si>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</si>
  <si>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</si>
  <si>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</si>
  <si>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</si>
  <si>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</si>
  <si>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</si>
  <si>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</si>
  <si>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</si>
  <si>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</si>
  <si>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</si>
  <si>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</si>
  <si>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</si>
  <si>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</si>
  <si>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</si>
  <si>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</si>
  <si>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</si>
  <si>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</si>
  <si>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</si>
  <si>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</si>
  <si>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</si>
  <si>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</si>
  <si>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</si>
  <si>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</si>
  <si>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</si>
  <si>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</si>
  <si>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</si>
  <si>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</si>
  <si>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</si>
  <si>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</si>
  <si>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</si>
  <si>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</si>
  <si>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</si>
  <si>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</si>
  <si>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</si>
  <si>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</si>
  <si>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</si>
  <si>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</si>
  <si>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</si>
  <si>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</si>
  <si>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</si>
  <si>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</si>
  <si>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</si>
  <si>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</si>
  <si>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</si>
  <si>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</si>
  <si>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</si>
  <si>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</si>
  <si>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</si>
  <si>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</si>
  <si>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</si>
  <si>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</si>
  <si>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</si>
  <si>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</si>
  <si>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</si>
  <si>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</si>
  <si>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</si>
  <si>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</si>
  <si>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</si>
  <si>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</si>
  <si>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</si>
  <si>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</si>
  <si>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</si>
  <si>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</si>
  <si>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</si>
  <si>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</si>
  <si>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</si>
  <si>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</si>
  <si>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</si>
  <si>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</si>
  <si>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</si>
  <si>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</si>
  <si>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</si>
  <si>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</si>
  <si>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</si>
  <si>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</si>
  <si>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</si>
  <si>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</si>
  <si>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</si>
  <si>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</si>
  <si>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</si>
  <si>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</si>
  <si>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</si>
  <si>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</si>
  <si>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</si>
  <si>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</si>
  <si>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</si>
  <si>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</si>
  <si>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</si>
  <si>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</si>
  <si>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</si>
  <si>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</si>
  <si>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</si>
  <si>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</si>
  <si>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</si>
  <si>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</si>
  <si>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</si>
  <si>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</si>
  <si>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</si>
  <si>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</si>
  <si>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</si>
  <si>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</si>
  <si>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</si>
  <si>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</si>
  <si>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</si>
  <si>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</si>
  <si>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</si>
  <si>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</si>
  <si>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</si>
  <si>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</si>
  <si>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</si>
  <si>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</si>
  <si>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</si>
  <si>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</si>
  <si>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</si>
  <si>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</si>
  <si>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</si>
  <si>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</si>
  <si>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</si>
  <si>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</si>
  <si>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</si>
  <si>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</si>
  <si>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</si>
  <si>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</si>
  <si>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</si>
  <si>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</si>
  <si>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</si>
  <si>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</si>
  <si>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</si>
  <si>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</si>
  <si>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</si>
  <si>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</si>
  <si>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</si>
  <si>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</si>
  <si>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</si>
  <si>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</si>
  <si>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</si>
  <si>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</si>
  <si>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</si>
  <si>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</si>
  <si>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</si>
  <si>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</si>
  <si>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</si>
  <si>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</si>
  <si>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</si>
  <si>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</si>
  <si>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</si>
  <si>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</si>
  <si>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</si>
  <si>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</si>
  <si>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</si>
  <si>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</si>
  <si>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</si>
  <si>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</si>
  <si>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</si>
  <si>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</si>
  <si>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</si>
  <si>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</si>
  <si>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</si>
  <si>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</si>
  <si>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</si>
  <si>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</si>
  <si>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</si>
  <si>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</si>
  <si>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</si>
  <si>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</si>
  <si>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</si>
  <si>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</si>
  <si>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</si>
  <si>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</si>
  <si>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</si>
  <si>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</si>
  <si>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</si>
  <si>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</si>
  <si>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</si>
  <si>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</si>
  <si>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</si>
  <si>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</si>
  <si>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</si>
  <si>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</si>
  <si>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</si>
  <si>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</si>
  <si>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</si>
  <si>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</si>
  <si>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</si>
  <si>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</si>
  <si>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</si>
  <si>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</si>
  <si>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</si>
  <si>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</si>
  <si>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</si>
  <si>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</si>
  <si>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</si>
  <si>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</si>
  <si>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</si>
  <si>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</si>
  <si>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</si>
  <si>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</si>
  <si>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</si>
  <si>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</si>
  <si>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</si>
  <si>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</si>
  <si>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</si>
  <si>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</si>
  <si>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</si>
  <si>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</si>
  <si>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</si>
  <si>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</si>
  <si>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</si>
  <si>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</si>
  <si>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</si>
  <si>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</si>
  <si>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</si>
  <si>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</si>
  <si>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</si>
  <si>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</si>
  <si>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</si>
  <si>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</si>
  <si>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</si>
  <si>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</si>
  <si>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</si>
  <si>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</si>
  <si>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</si>
  <si>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</si>
  <si>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</si>
  <si>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</si>
  <si>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</si>
  <si>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</si>
  <si>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</si>
  <si>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</si>
  <si>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</si>
  <si>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</si>
  <si>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</si>
  <si>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</si>
  <si>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</si>
  <si>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</si>
  <si>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</si>
  <si>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</si>
  <si>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</si>
  <si>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</si>
  <si>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</si>
  <si>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</si>
  <si>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</si>
  <si>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</si>
  <si>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</si>
  <si>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</si>
  <si>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</si>
  <si>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</si>
  <si>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</si>
  <si>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</si>
  <si>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</si>
  <si>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</si>
  <si>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</si>
  <si>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</si>
  <si>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</si>
  <si>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</si>
  <si>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</si>
  <si>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</si>
  <si>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</si>
  <si>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</si>
  <si>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</si>
  <si>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</si>
  <si>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</si>
  <si>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</si>
  <si>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</si>
  <si>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</si>
  <si>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</si>
  <si>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</si>
  <si>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</si>
  <si>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</si>
  <si>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</si>
  <si>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</si>
  <si>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</si>
  <si>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</si>
  <si>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05.1.1.</t>
  </si>
  <si>
    <t>05.1.2.</t>
  </si>
  <si>
    <t>05.1.4.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</si>
  <si>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</si>
  <si>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</si>
  <si>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</si>
  <si>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</si>
  <si>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</si>
  <si>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</si>
  <si>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</si>
  <si>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</si>
  <si>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</si>
  <si>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</si>
  <si>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</si>
  <si>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</si>
  <si>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</si>
  <si>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</si>
  <si>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</si>
  <si>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</si>
  <si>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</si>
  <si>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</si>
  <si>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</si>
  <si>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</si>
  <si>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</si>
  <si>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</si>
  <si>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</si>
  <si>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</si>
  <si>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</si>
  <si>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</si>
  <si>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</si>
  <si>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</si>
  <si>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</si>
  <si>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</si>
  <si>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</si>
  <si>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</si>
  <si>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</si>
  <si>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</si>
  <si>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</si>
  <si>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</si>
  <si>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</si>
  <si>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</si>
  <si>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</si>
  <si>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</si>
  <si>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</si>
  <si>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</si>
  <si>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</si>
  <si>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</si>
  <si>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</si>
  <si>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</si>
  <si>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</si>
  <si>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</si>
  <si>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</si>
  <si>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</si>
  <si>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</si>
  <si>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</si>
  <si>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</si>
  <si>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</si>
  <si>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</si>
  <si>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</si>
  <si>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</si>
  <si>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</si>
  <si>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</si>
  <si>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</si>
  <si>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</si>
  <si>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</si>
  <si>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</si>
  <si>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</si>
  <si>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</si>
  <si>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</si>
  <si>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</si>
  <si>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</si>
  <si>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</si>
  <si>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</si>
  <si>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</si>
  <si>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</si>
  <si>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</si>
  <si>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</si>
  <si>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</si>
  <si>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</si>
  <si>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</si>
  <si>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</si>
  <si>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</si>
  <si>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</si>
  <si>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</si>
  <si>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</si>
  <si>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</si>
  <si>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</si>
  <si>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</si>
  <si>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09.25.1.</t>
  </si>
  <si>
    <t>09.25.2.</t>
  </si>
  <si>
    <t>09.26.1.</t>
  </si>
  <si>
    <t>09.26.2.</t>
  </si>
  <si>
    <t>09.27.1.</t>
  </si>
  <si>
    <t>09.28.1.</t>
  </si>
  <si>
    <t>09.29.1.</t>
  </si>
  <si>
    <t>09.29.2.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</si>
  <si>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</si>
  <si>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</si>
  <si>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</si>
  <si>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</si>
  <si>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</si>
  <si>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</si>
  <si>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</si>
  <si>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</si>
  <si>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</si>
  <si>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</si>
  <si>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</si>
  <si>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</si>
  <si>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</si>
  <si>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</si>
  <si>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</si>
  <si>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</si>
  <si>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</si>
  <si>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</si>
  <si>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</si>
  <si>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</si>
  <si>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</si>
  <si>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</si>
  <si>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</si>
  <si>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</si>
  <si>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</si>
  <si>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</si>
  <si>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</si>
  <si>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</si>
  <si>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</si>
  <si>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</si>
  <si>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</si>
  <si>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Procentu maksājumi Valsts kasei</t>
  </si>
  <si>
    <t>Pārējo sociālo iestāžu būvniecība, atjaunošana un uzlabošana</t>
  </si>
  <si>
    <t>Pamatkapitāla palielināšana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</si>
  <si>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</si>
  <si>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</si>
  <si>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</si>
  <si>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</si>
  <si>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</si>
  <si>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</si>
  <si>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</si>
  <si>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</si>
  <si>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</si>
  <si>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</si>
  <si>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</si>
  <si>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</si>
  <si>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</si>
  <si>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</si>
  <si>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</si>
  <si>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</si>
  <si>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</si>
  <si>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</si>
  <si>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</si>
  <si>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</si>
  <si>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14.pielikums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</si>
  <si>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</si>
  <si>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</si>
  <si>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</si>
  <si>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</si>
  <si>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</si>
  <si>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</si>
  <si>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</si>
  <si>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</si>
  <si>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</si>
  <si>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</si>
  <si>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</si>
  <si>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</si>
  <si>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</si>
  <si>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</si>
  <si>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</si>
  <si>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</si>
  <si>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</si>
  <si>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</si>
  <si>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</si>
  <si>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</si>
  <si>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</si>
  <si>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</si>
  <si>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</si>
  <si>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</si>
  <si>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</si>
  <si>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</si>
  <si>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</si>
  <si>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</si>
  <si>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</si>
  <si>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</si>
  <si>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</si>
  <si>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</si>
  <si>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</si>
  <si>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</si>
  <si>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</si>
  <si>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</si>
  <si>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</si>
  <si>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</si>
  <si>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</si>
  <si>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</si>
  <si>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</si>
  <si>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</si>
  <si>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</si>
  <si>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</si>
  <si>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</si>
  <si>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</si>
  <si>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</si>
  <si>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</si>
  <si>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</si>
  <si>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 "Pasākumi vietējās sabiedrības veselības veicināšanai un slimību profilaksei Jūrmalā"</t>
  </si>
  <si>
    <t>Projekts "Proti un dari"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</si>
  <si>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</si>
  <si>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</si>
  <si>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</si>
  <si>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</si>
  <si>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</si>
  <si>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</si>
  <si>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</si>
  <si>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</si>
  <si>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</si>
  <si>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</si>
  <si>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</si>
  <si>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09.11.3.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</si>
  <si>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</si>
  <si>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</si>
  <si>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</si>
  <si>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</si>
  <si>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</si>
  <si>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</si>
  <si>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</si>
  <si>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</si>
  <si>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</si>
  <si>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</si>
  <si>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</si>
  <si>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</si>
  <si>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</si>
  <si>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</si>
  <si>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</si>
  <si>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</si>
  <si>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</si>
  <si>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</si>
  <si>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</si>
  <si>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</si>
  <si>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</si>
  <si>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</si>
  <si>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</si>
  <si>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</si>
  <si>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</si>
  <si>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</si>
  <si>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</si>
  <si>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</si>
  <si>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</si>
  <si>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</si>
  <si>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</si>
  <si>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</si>
  <si>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</si>
  <si>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</si>
  <si>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</si>
  <si>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</si>
  <si>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</si>
  <si>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</si>
  <si>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</si>
  <si>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</si>
  <si>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</si>
  <si>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</si>
  <si>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</si>
  <si>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</si>
  <si>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</si>
  <si>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</si>
  <si>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</si>
  <si>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</si>
  <si>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</si>
  <si>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</si>
  <si>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</si>
  <si>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</si>
  <si>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</si>
  <si>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</si>
  <si>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</si>
  <si>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</si>
  <si>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</si>
  <si>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</si>
  <si>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</si>
  <si>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</si>
  <si>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"Jūrmalas pilsētas Kauguru vidusskolas ēkas energoefektivitātes paaugstināšana"</t>
  </si>
  <si>
    <t>Projekts "Atbalsts priekšlaicīgas mācību pārtraukšanas samazināšanai”</t>
  </si>
  <si>
    <t>Projekts "Skolēnu starptautiskā zinātniskā konference"</t>
  </si>
  <si>
    <t xml:space="preserve">Projekts "Ja es būtu/IF I were"  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</si>
  <si>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</si>
  <si>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</si>
  <si>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</si>
  <si>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</si>
  <si>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</si>
  <si>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</si>
  <si>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</si>
  <si>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</si>
  <si>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</si>
  <si>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</si>
  <si>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</si>
  <si>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</si>
  <si>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</si>
  <si>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</si>
  <si>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04.1.10.</t>
  </si>
  <si>
    <t>04.1.11.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</si>
  <si>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</si>
  <si>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</si>
  <si>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</si>
  <si>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</si>
  <si>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</si>
  <si>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</si>
  <si>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</si>
  <si>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</si>
  <si>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</si>
  <si>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19.pielikums</t>
  </si>
  <si>
    <t>4., 10.pielikums</t>
  </si>
  <si>
    <t>33.pielikums</t>
  </si>
  <si>
    <t>09.1.11.</t>
  </si>
  <si>
    <t>09.1.17.</t>
  </si>
  <si>
    <t>09.1.18.</t>
  </si>
  <si>
    <t>09.4.2.</t>
  </si>
  <si>
    <t>16.pielikums</t>
  </si>
  <si>
    <t>09.5.3.</t>
  </si>
  <si>
    <t>09.5.4.</t>
  </si>
  <si>
    <t>09.11.4.</t>
  </si>
  <si>
    <t>10.2.10.</t>
  </si>
  <si>
    <t>30., 31.pielikums</t>
  </si>
  <si>
    <t>29., 30.pielikums</t>
  </si>
  <si>
    <t>29., 30., 31.pielikums</t>
  </si>
  <si>
    <t>10.6.2.</t>
  </si>
  <si>
    <t>09.30.1.</t>
  </si>
  <si>
    <t>Mērķdotācija  - Skolas soma</t>
  </si>
  <si>
    <t>Jūrmalas pilsētas pašvaldības iestāde "Jūrmalas kapi"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</si>
  <si>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</si>
  <si>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</si>
  <si>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</si>
  <si>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Kauguru vidusskola</t>
  </si>
  <si>
    <t xml:space="preserve">Projekts "Atbalsts integrētu teritoriālo investīciju īstenošanai Jūrmalas pilsētas pašvaldībā, II kārta" </t>
  </si>
  <si>
    <t>Konsolidējamie izdevumi uz ieņēmumu pārsniegumu</t>
  </si>
  <si>
    <t>Atlikums pārskaitītajam pamatkapitāla palielinājumam</t>
  </si>
  <si>
    <t>Projekts "Baltijas jūras reģiona apgaismojums – pilsētu līdzdalība ilgtspējīga viedā apgaismojuma risinājumu izstrādē/ LUCIA"</t>
  </si>
  <si>
    <t>06.1.9.</t>
  </si>
  <si>
    <t>Konkurss "Ģimenei draudzīgākā pašvaldība"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</si>
  <si>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</si>
  <si>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</si>
  <si>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</si>
  <si>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</si>
  <si>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</si>
  <si>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</si>
  <si>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</si>
  <si>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</si>
  <si>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</si>
  <si>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</si>
  <si>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</si>
  <si>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Pasākums "Algoti pagaidu sabiedriskie darbi 2019”</t>
  </si>
  <si>
    <t>Projekts "Jūrmalas Sporta skolas peldbaseinu ēkas pārbūve un energoefektivitātes paaugstināšana"</t>
  </si>
  <si>
    <t>Jūrmalas Sporta skolas peldbaseinu ēkas pārbūve un energoefektivitātes paaugstināšana</t>
  </si>
  <si>
    <t>Projekts "Jūrmalas pilsētas vispārējās vidējās izglītības iestāžu infrastruktūras pilnveide"</t>
  </si>
  <si>
    <t>Jūrmalas pilsētas vispārējās vidējās izglītības iestāžu infrastruktūras pilnveide</t>
  </si>
  <si>
    <t>Projekts "Ceļā uz apjomīgākiem mērķiem un pilsoniskumu Eiropas reģionos"</t>
  </si>
  <si>
    <t>8., 18.pielikums</t>
  </si>
  <si>
    <t>Projekts "Ceļu infrastruktūras atjaunošana un autostāvvietas izbūve Ķemeros"</t>
  </si>
  <si>
    <t>F40220010</t>
  </si>
  <si>
    <t>Vidēja termiņa aizņēmumi</t>
  </si>
  <si>
    <t>Bibliotēku ēku būvniecība, atjaunošana un uzlabošana</t>
  </si>
  <si>
    <t>Ūdenstilpju iznomāšana</t>
  </si>
  <si>
    <t>Projekts "Nordplus jauniešu mobilitātes projekts"</t>
  </si>
  <si>
    <t>09.2.3.</t>
  </si>
  <si>
    <t>Ieņēmumu pārsniegums pār izdevumiem uzņemto saistību segšanai</t>
  </si>
  <si>
    <t>Jūrmalas pilsētas pamatskola</t>
  </si>
  <si>
    <t>Atgriežamie līdzekļi valsts budžetam programmas "Skolas soma" ietvaros</t>
  </si>
  <si>
    <t>Projekts "Solis tuvāk nākotnes skolai"</t>
  </si>
  <si>
    <t>Projekts "Ķemeru parka pārbūve un restaurācija"</t>
  </si>
  <si>
    <t>Projekts "Ilgtspējīga [sa]darbība"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</si>
  <si>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</si>
  <si>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</si>
  <si>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</si>
  <si>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Projekts "SKOLĒNU PARLAMENTS-skolas darbības aktivizēšana, izmantojot skolēnu idejas, intereses un viņu aktīvu iesaistīšanos"</t>
  </si>
  <si>
    <t>Projekts "Dalīsimies ar rotaļām"</t>
  </si>
  <si>
    <t>09.21.3.</t>
  </si>
  <si>
    <t xml:space="preserve">Mērķdotācija Latvijas skolas soma </t>
  </si>
  <si>
    <t>Projekts "Prevencija ir labāka nekā dziedināšana", kā teica Hipokrāts"</t>
  </si>
  <si>
    <t>09.21.4.</t>
  </si>
  <si>
    <t>Projekts "Jūrmalas brīvdabas muzeja infrastruktūras attīstība un zvejas kuģa atjaunošana"</t>
  </si>
  <si>
    <r>
      <t>Jūrmalas pilsētas pašvaldības 2020.gada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</si>
  <si>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Ieņēmumi no vecāku maksām</t>
  </si>
  <si>
    <t>21.3.5.2.</t>
  </si>
  <si>
    <r>
      <t>Jūrmalas pilsētas pašvaldības budžeta izdevumi 2020.gadam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</si>
  <si>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2020.gadam</t>
  </si>
  <si>
    <t>Dome_uztur</t>
  </si>
  <si>
    <t>D_uzt</t>
  </si>
  <si>
    <t>Dome</t>
  </si>
  <si>
    <t>Proj</t>
  </si>
  <si>
    <t>Kultura</t>
  </si>
  <si>
    <t>Līga</t>
  </si>
  <si>
    <t>Komercsab</t>
  </si>
  <si>
    <t>Arvis</t>
  </si>
  <si>
    <t>Soc</t>
  </si>
  <si>
    <t>Gundega</t>
  </si>
  <si>
    <t>Skolas</t>
  </si>
  <si>
    <t>Daiga</t>
  </si>
  <si>
    <t>Edinasana</t>
  </si>
  <si>
    <t>Ēdināš</t>
  </si>
  <si>
    <t>PII</t>
  </si>
  <si>
    <t>Kristīne</t>
  </si>
  <si>
    <t>Jūrmalas pilsētas pašvaldības 2020.-2022.gada Ceļu fonda izlietojuma programma</t>
  </si>
  <si>
    <t>Sporta veidu attīstība</t>
  </si>
  <si>
    <t>Projekts ""Starptautiskās konkurētspējas veicināšana" (uzņēmējdarbībā)/ 2020.gada aktivitātes"</t>
  </si>
  <si>
    <t>Ieņēmumi no ēku un būvju īpašuma pārdošanas</t>
  </si>
  <si>
    <t>13.4.0.0.</t>
  </si>
  <si>
    <t>13.1.0.0.</t>
  </si>
  <si>
    <t>Ieņēmumi no valsts un pašvaldību kustamā īpašuma un mantas realizācijas</t>
  </si>
  <si>
    <t>Kontrole 1:</t>
  </si>
  <si>
    <t>Kontrole 2:</t>
  </si>
  <si>
    <t>Kontrole 3:</t>
  </si>
  <si>
    <t>Bilance</t>
  </si>
  <si>
    <t>ERAF projekta "Jūrmalas pilsētas Jaundubultu vidusskolas ēkas energoefektivitātes paaugstināšana"</t>
  </si>
  <si>
    <t>nav ielinkots 4.1.9.</t>
  </si>
  <si>
    <t>nav ielinkots 09.1.9.</t>
  </si>
  <si>
    <t>nav ielinkots 10.1.2.</t>
  </si>
  <si>
    <t>nav 04.1.9. KR</t>
  </si>
  <si>
    <t>nav 09.1.9. tāme KR</t>
  </si>
  <si>
    <t>nav 10.1.2. tāme KR</t>
  </si>
  <si>
    <t>Pilsētas mežu un publiskās teritorijās esošo koku un apstādījumu kopšanas pasākumi</t>
  </si>
  <si>
    <t>09.24.1.</t>
  </si>
  <si>
    <t>09.24.2.</t>
  </si>
  <si>
    <t>09.26.3.</t>
  </si>
  <si>
    <t>09.28.2.</t>
  </si>
  <si>
    <t>09.29.3.</t>
  </si>
  <si>
    <t>04.1.8.</t>
  </si>
  <si>
    <t>04.1.9.</t>
  </si>
  <si>
    <t>04.1.12.</t>
  </si>
  <si>
    <t>01.1.8.</t>
  </si>
  <si>
    <t>05.1.3.</t>
  </si>
  <si>
    <t>08.1.9.</t>
  </si>
  <si>
    <t>08.1.12.</t>
  </si>
  <si>
    <t>08.6.3.</t>
  </si>
  <si>
    <t xml:space="preserve">09.1.8. </t>
  </si>
  <si>
    <t>09.1.9.</t>
  </si>
  <si>
    <t>09.1.14.</t>
  </si>
  <si>
    <t>09.1.15.</t>
  </si>
  <si>
    <t>09.1.16.</t>
  </si>
  <si>
    <t>09.23.3.</t>
  </si>
  <si>
    <t>09.23.4.</t>
  </si>
  <si>
    <t xml:space="preserve">10.1.1.
</t>
  </si>
  <si>
    <t>08.7.2.</t>
  </si>
  <si>
    <t>07.3.1.</t>
  </si>
  <si>
    <t>4., 10., 11., 25.pielikums</t>
  </si>
  <si>
    <t>05.2.3.</t>
  </si>
  <si>
    <t>Dzintaru koncertzāles mazās zāles atjaunošana</t>
  </si>
  <si>
    <t>pret gaidāmo</t>
  </si>
  <si>
    <t>pret pierasījumu</t>
  </si>
  <si>
    <t>35.pielikums</t>
  </si>
  <si>
    <t>09.4.3.</t>
  </si>
  <si>
    <t>Projekts "Take a step forward!"/"Sper soli uz priekšu!"</t>
  </si>
  <si>
    <t>pamatbudž pret gaidamo</t>
  </si>
  <si>
    <t>Sabiedrība ar ierobežotu atbildību "Jūrmalas slimnīca"</t>
  </si>
  <si>
    <t>2020.gada budžets</t>
  </si>
  <si>
    <t>Konsolidējamie izdevumi, apstiprināti</t>
  </si>
  <si>
    <t>Konsolidējamie izdevumi,  izmaiņas kopā</t>
  </si>
  <si>
    <t>SN/Rīkojuma Nr.</t>
  </si>
  <si>
    <t>Ziedojumi apstiprināti</t>
  </si>
  <si>
    <t>Ziedojumi, izmaiņas kopā</t>
  </si>
  <si>
    <t>Maksas pakalpojumi apstiprināti</t>
  </si>
  <si>
    <t>Maksas pakalpojumi, izmaiņas kopā</t>
  </si>
  <si>
    <t>Valsts budžeta transferti apstiprināti</t>
  </si>
  <si>
    <t>Valsts budžeta transferti, izmaiņas kopā</t>
  </si>
  <si>
    <t>Pamatbudžets apstiprināts</t>
  </si>
  <si>
    <t>Pamatbudžets, izmaiņas kopā</t>
  </si>
  <si>
    <t>Kopā apstiprināts</t>
  </si>
  <si>
    <t>1.pielikums Jūrmalas pilsētas domes</t>
  </si>
  <si>
    <t>2019.gada 19.decembra saistošajiem noteikumiem Nr.57</t>
  </si>
  <si>
    <t>(protokols Nr.16. 32.punkts)</t>
  </si>
  <si>
    <t>2020.gada budžets apstiprināts</t>
  </si>
  <si>
    <t>2020.gada budžets, izmaiņas kopā</t>
  </si>
  <si>
    <t>Konsolidē-jamie ieņēmumi, apstiprināti</t>
  </si>
  <si>
    <t>Konsolidē-jamie ieņēmumi, izmaiņas kopā</t>
  </si>
  <si>
    <t>2020.gada budžets kopā ar konsolidāciju, apstiprināts</t>
  </si>
  <si>
    <t>2020.gada budžets kopā ar konsolidāciju</t>
  </si>
  <si>
    <t>2.pielikums Jūrmalas pilsētas domes</t>
  </si>
  <si>
    <t>16.01. Nr.1.1-14/20-12</t>
  </si>
  <si>
    <t>22.01. Nr.1.1-14/20-26</t>
  </si>
  <si>
    <t>23.01. Nr.1.1-14/20-29</t>
  </si>
  <si>
    <t>29.01. Nr.1.1-14/20-42</t>
  </si>
  <si>
    <t>Jūrmalas pilsētas vēlēšanu komisija</t>
  </si>
  <si>
    <t>01.3.1.</t>
  </si>
  <si>
    <t>nākamie</t>
  </si>
  <si>
    <t>Projekts “Infrastruktūras pilnveide sabiedrībā balstītu sociālo pakalpojumu nodrošināšanai Jūrmalā”</t>
  </si>
  <si>
    <t>10.1.2.</t>
  </si>
  <si>
    <t xml:space="preserve">Projekts "Skolotāju kompetenču attīstība darbā ar skolēniem ar uzvedības problēmām" </t>
  </si>
  <si>
    <t>09.29.4.</t>
  </si>
  <si>
    <t>09.29.5</t>
  </si>
  <si>
    <t xml:space="preserve">Projekts "Autisks bērns vispārizglītojošā klasē: skolas personāla iespējas pilnvērtība iekļaujoša mācību procesa veicināšanai" </t>
  </si>
  <si>
    <t>Projekts "Iniciatīvas veicināšana un kapacitātes stiprināšana jauniešu uzņēmējdarbības sekmēšanai"</t>
  </si>
  <si>
    <t>09.1.19.</t>
  </si>
  <si>
    <t>Projekts "Mediji vieno un šķir"</t>
  </si>
  <si>
    <t>09.23.5.</t>
  </si>
  <si>
    <t>10.1.5.0.</t>
  </si>
  <si>
    <t>10.1.5.4.</t>
  </si>
  <si>
    <t>Naudas sodi, ko uzliek pašvaldību institūcijas par pārkāpumiem ceļu satiksmē</t>
  </si>
  <si>
    <t>Naudas sodi, ko uzliek par pārkāpumiem ceļu satiksmē</t>
  </si>
  <si>
    <t>Projekta "Nacionālas nozīmes projekts "Piekrastes apsaimniekošanas praktisko aktivitāšu realizēšana" Jūrmalas pašvaldībā 2020.gadā"</t>
  </si>
  <si>
    <t>05.1.5.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</si>
  <si>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</si>
  <si>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</si>
  <si>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09.1.20.</t>
  </si>
  <si>
    <t>09.1.21.</t>
  </si>
  <si>
    <t>Projekts "Es esmu moderns skolotājs / I am modern teacher"</t>
  </si>
  <si>
    <t>09.11.5.</t>
  </si>
  <si>
    <t>Ieņēmumu pārsniegums pār izdevumiem projektam vietējās sabiedrības veselības veicināšanai</t>
  </si>
  <si>
    <t>Atlikums no projektu līdzekļiem (Domei) projektam vietējās sabiedrības veselības veicināšanai</t>
  </si>
  <si>
    <t>Ieņēmumi no zvejas tiesību nomas un zvejas tiesību rūpnieciskas izmantošanas (licences)</t>
  </si>
  <si>
    <t xml:space="preserve">Ieņēmumi no ūdenstilpju nomas </t>
  </si>
  <si>
    <t>10</t>
  </si>
  <si>
    <t xml:space="preserve">ziedojumi un dāvinājumi, kas saņemti no juridiskajām personām </t>
  </si>
  <si>
    <t xml:space="preserve"> </t>
  </si>
  <si>
    <t>20.02.SN Nr.5</t>
  </si>
  <si>
    <t>05.03. Nr.1.1-14/20-83</t>
  </si>
  <si>
    <t>16.03. Nr.1.1-14/20-92</t>
  </si>
  <si>
    <t>08.3.2.</t>
  </si>
  <si>
    <t>Projekts "Mazais Lielais cilvēks bibliotēkā"</t>
  </si>
  <si>
    <t>Projekts "Laivu būves attīstība Rīgas jūras līča piekrastē. 2.daļa."</t>
  </si>
  <si>
    <t>08.6.4.</t>
  </si>
  <si>
    <t>09.10.3.</t>
  </si>
  <si>
    <t>Projekts "Mācību stundu "Datorgrafika" un "Darbs materiālā - animācija" mācību procesa kvalitatīva nodrošināšana un pilnveidošana"</t>
  </si>
  <si>
    <t>07.1.5.</t>
  </si>
  <si>
    <t>PSIA "Kauguru veselības centrs"</t>
  </si>
  <si>
    <t>07.4.1.</t>
  </si>
  <si>
    <t>COVID-19 izplatības ierobežošana</t>
  </si>
  <si>
    <t>27.03.SN Nr.9</t>
  </si>
  <si>
    <t>09.1.22.</t>
  </si>
  <si>
    <t>23.04.SN Nr.11</t>
  </si>
  <si>
    <t>05.2.4.</t>
  </si>
  <si>
    <t>Projekts "Aprīkojuma iegāde zivju resursu aizsardzībai"</t>
  </si>
  <si>
    <t>04.4.1.</t>
  </si>
  <si>
    <t>08.7.3.</t>
  </si>
  <si>
    <t>21.05.SN Nr.15</t>
  </si>
  <si>
    <t>05.05. Nr.1.1-14/20-128</t>
  </si>
  <si>
    <t>08.06. Nr.1.1-14/20-160</t>
  </si>
  <si>
    <t>18.06.SN Nr.17</t>
  </si>
  <si>
    <t>26.07. Nr.1.1-14/20-179</t>
  </si>
  <si>
    <t>14.07. Nr.1.1-14/20-188</t>
  </si>
  <si>
    <t>Projekts "Pilsētas atpūtas parka un jauniešu mājas izveide Kauguros"</t>
  </si>
  <si>
    <t>08.1.13.</t>
  </si>
  <si>
    <t xml:space="preserve">Pilsētas atpūtas parka un jauniešu mājas izveide Kauguros </t>
  </si>
  <si>
    <t>Projekts Interaktīva izstāde "Saulains stūrītis"</t>
  </si>
  <si>
    <t>08.6.5.</t>
  </si>
  <si>
    <t>23.07.SN Nr.18</t>
  </si>
  <si>
    <t>04.1.17.</t>
  </si>
  <si>
    <t>06.08.SN Nr.20</t>
  </si>
  <si>
    <t>12.08. Nr.1.1-14/20-203</t>
  </si>
  <si>
    <t>Projekts “Bring out the different!”/ “Izcelsim dažādo!”</t>
  </si>
  <si>
    <t>09.4.4.</t>
  </si>
  <si>
    <t>09.29.6.</t>
  </si>
  <si>
    <t>Projekta "Dzīvojam atbildīgi Baltijas jūras piekrastē"</t>
  </si>
  <si>
    <t>Reģionālā metodiskā centra un pedagogu tālākizglītības centra darbības nodrošināšana</t>
  </si>
  <si>
    <t>09.5.5.</t>
  </si>
  <si>
    <t>9.4.6.0.</t>
  </si>
  <si>
    <t>Valsts nodeva par speciālu atļauju (licenču) izsniegšanu</t>
  </si>
  <si>
    <t>Peldbaseina uzturēšana</t>
  </si>
  <si>
    <t>08.5.7.</t>
  </si>
  <si>
    <t>Jūrmalas pirmsskolas izglītības iestāde "Taurenītis"</t>
  </si>
  <si>
    <t>09.31.1.</t>
  </si>
  <si>
    <t>09.31.2.</t>
  </si>
  <si>
    <t>27.08.SN Nr.23</t>
  </si>
  <si>
    <t>04.09. Nr.1.1-14/20-219</t>
  </si>
  <si>
    <t>11.09. Nr.1.1-14/20-225</t>
  </si>
  <si>
    <t>Nekustamā īpašuma iegāde</t>
  </si>
  <si>
    <t>04.1.18.</t>
  </si>
  <si>
    <t>Īstermiņa aizņēmumi</t>
  </si>
  <si>
    <t>Rēzeknes pulka ielas pārbūve posmā no Viestura ielas līdz Aizputes ielai, Jūrmalā</t>
  </si>
  <si>
    <t>Teātra ielas posma no Lienes ielas līdz Jomas ielai infrastruktūras atjaunošana un autostāvvietu izbūve, Jūrmalā</t>
  </si>
  <si>
    <t>F40120010</t>
  </si>
  <si>
    <t>Īstermiņa, vidēja termiņa un ilgtermiņa aizņēmumi</t>
  </si>
  <si>
    <t>24.09.SN Nr.26</t>
  </si>
  <si>
    <t>07.10. Nr.1.1-14/20-250</t>
  </si>
  <si>
    <t>12.10. Nr.1.1-14/20-259</t>
  </si>
  <si>
    <t>20.10. Nr.1.1-14/20-268</t>
  </si>
  <si>
    <t xml:space="preserve">Projekts  “Eiropas jaunieši DOMĀ. DARA. ZINA. IZVĒRTĒ” </t>
  </si>
  <si>
    <t>09.23.6.</t>
  </si>
  <si>
    <t>09.23.7.</t>
  </si>
  <si>
    <t>Projekts “ĻAUJ MAN DZĪVOT UN ES DZĪVOŠU, UN PASAULE DZĪVOS”</t>
  </si>
  <si>
    <t>Projekts "Grāmata un tulkotājs"</t>
  </si>
  <si>
    <t>08.3.3.</t>
  </si>
  <si>
    <t>Projekts "Jūrmalas pilsētas muzeja filiāļu sniegto pakalpojumu attīstība un digitalizācija"</t>
  </si>
  <si>
    <t>08.6.6.</t>
  </si>
  <si>
    <t>04.1.7.
04.1.19.</t>
  </si>
  <si>
    <t>29.10.SN Nr.27</t>
  </si>
  <si>
    <t>22.10. Nr.1.1-14/20-271,
10.11.Nr.1.1-14/20-282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</si>
</sst>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6" fillId="0" borderId="21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left" vertical="center" wrapText="1"/>
    </xf>
    <xf numFmtId="3" fontId="7" fillId="3" borderId="22" xfId="2" applyNumberFormat="1" applyFont="1" applyFill="1" applyBorder="1" applyAlignment="1">
      <alignment horizontal="right" vertical="center" wrapText="1"/>
    </xf>
    <xf numFmtId="0" fontId="5" fillId="0" borderId="21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1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wrapText="1"/>
    </xf>
    <xf numFmtId="0" fontId="4" fillId="0" borderId="21" xfId="2" applyFont="1" applyFill="1" applyBorder="1"/>
    <xf numFmtId="0" fontId="4" fillId="0" borderId="22" xfId="2" applyFont="1" applyFill="1" applyBorder="1" applyAlignment="1">
      <alignment wrapText="1"/>
    </xf>
    <xf numFmtId="0" fontId="7" fillId="3" borderId="22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/>
    </xf>
    <xf numFmtId="0" fontId="5" fillId="0" borderId="21" xfId="2" applyFont="1" applyFill="1" applyBorder="1"/>
    <xf numFmtId="0" fontId="5" fillId="0" borderId="22" xfId="2" applyFont="1" applyFill="1" applyBorder="1" applyAlignment="1">
      <alignment wrapText="1"/>
    </xf>
    <xf numFmtId="0" fontId="4" fillId="0" borderId="18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4" fillId="0" borderId="18" xfId="2" applyFont="1" applyFill="1" applyBorder="1"/>
    <xf numFmtId="0" fontId="4" fillId="0" borderId="19" xfId="2" applyFont="1" applyFill="1" applyBorder="1"/>
    <xf numFmtId="0" fontId="5" fillId="0" borderId="18" xfId="2" applyFont="1" applyFill="1" applyBorder="1"/>
    <xf numFmtId="0" fontId="4" fillId="0" borderId="9" xfId="2" applyFont="1" applyFill="1" applyBorder="1"/>
    <xf numFmtId="0" fontId="4" fillId="0" borderId="10" xfId="2" applyFont="1" applyFill="1" applyBorder="1"/>
    <xf numFmtId="0" fontId="4" fillId="0" borderId="32" xfId="2" applyFont="1" applyFill="1" applyBorder="1"/>
    <xf numFmtId="0" fontId="4" fillId="0" borderId="0" xfId="2" applyFont="1" applyFill="1"/>
    <xf numFmtId="49" fontId="4" fillId="0" borderId="4" xfId="0" applyNumberFormat="1" applyFont="1" applyFill="1" applyBorder="1" applyAlignment="1">
      <alignment horizontal="left" vertical="center" wrapText="1"/>
    </xf>
    <xf numFmtId="0" fontId="8" fillId="0" borderId="34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/>
    <xf numFmtId="0" fontId="4" fillId="0" borderId="90" xfId="2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4" fillId="0" borderId="73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0" fontId="5" fillId="0" borderId="9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3" fontId="5" fillId="0" borderId="22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11" fillId="0" borderId="99" xfId="0" applyNumberFormat="1" applyFont="1" applyFill="1" applyBorder="1" applyAlignment="1">
      <alignment horizontal="left" vertical="center" wrapText="1"/>
    </xf>
    <xf numFmtId="49" fontId="4" fillId="0" borderId="98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right" wrapText="1"/>
    </xf>
    <xf numFmtId="0" fontId="4" fillId="0" borderId="22" xfId="2" applyFont="1" applyFill="1" applyBorder="1" applyAlignment="1">
      <alignment horizontal="left" wrapText="1"/>
    </xf>
    <xf numFmtId="0" fontId="4" fillId="0" borderId="93" xfId="2" applyFont="1" applyFill="1" applyBorder="1" applyAlignment="1">
      <alignment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35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center" wrapText="1"/>
    </xf>
    <xf numFmtId="0" fontId="5" fillId="0" borderId="95" xfId="2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left" vertical="center" wrapText="1"/>
    </xf>
    <xf numFmtId="3" fontId="4" fillId="0" borderId="0" xfId="2" applyNumberFormat="1" applyFont="1" applyFill="1" applyBorder="1"/>
    <xf numFmtId="0" fontId="8" fillId="0" borderId="5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118" xfId="0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left" vertical="center" wrapText="1"/>
    </xf>
    <xf numFmtId="49" fontId="4" fillId="0" borderId="117" xfId="0" applyNumberFormat="1" applyFont="1" applyFill="1" applyBorder="1" applyAlignment="1">
      <alignment horizontal="left" vertical="center" wrapText="1"/>
    </xf>
    <xf numFmtId="0" fontId="4" fillId="0" borderId="117" xfId="0" applyFont="1" applyFill="1" applyBorder="1" applyAlignment="1">
      <alignment horizontal="left" vertical="center" wrapText="1"/>
    </xf>
    <xf numFmtId="0" fontId="4" fillId="0" borderId="55" xfId="2" applyFont="1" applyFill="1" applyBorder="1" applyAlignment="1">
      <alignment vertical="center" wrapText="1"/>
    </xf>
    <xf numFmtId="0" fontId="8" fillId="0" borderId="74" xfId="2" applyFont="1" applyFill="1" applyBorder="1" applyAlignment="1">
      <alignment horizontal="center" vertical="center"/>
    </xf>
    <xf numFmtId="0" fontId="8" fillId="0" borderId="123" xfId="2" applyFont="1" applyFill="1" applyBorder="1" applyAlignment="1">
      <alignment horizontal="center" vertical="center" wrapText="1"/>
    </xf>
    <xf numFmtId="3" fontId="6" fillId="0" borderId="125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8" xfId="2" applyNumberFormat="1" applyFont="1" applyFill="1" applyBorder="1" applyAlignment="1">
      <alignment horizontal="right" vertical="center"/>
    </xf>
    <xf numFmtId="0" fontId="5" fillId="0" borderId="22" xfId="2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15" fillId="0" borderId="30" xfId="0" applyNumberFormat="1" applyFont="1" applyFill="1" applyBorder="1" applyAlignment="1">
      <alignment vertical="center" wrapText="1"/>
    </xf>
    <xf numFmtId="3" fontId="4" fillId="0" borderId="12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104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118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102" xfId="0" applyNumberFormat="1" applyFont="1" applyFill="1" applyBorder="1" applyAlignment="1">
      <alignment vertical="center" wrapText="1"/>
    </xf>
    <xf numFmtId="3" fontId="5" fillId="0" borderId="10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24" xfId="2" applyNumberFormat="1" applyFont="1" applyFill="1" applyBorder="1" applyAlignment="1">
      <alignment horizontal="right" vertical="center" wrapText="1"/>
    </xf>
    <xf numFmtId="3" fontId="4" fillId="0" borderId="26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22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horizontal="right" vertical="center" wrapText="1"/>
    </xf>
    <xf numFmtId="3" fontId="4" fillId="0" borderId="11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4" fillId="0" borderId="30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47" xfId="2" applyNumberFormat="1" applyFont="1" applyFill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5" fillId="0" borderId="11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10" fillId="0" borderId="19" xfId="2" applyNumberFormat="1" applyFont="1" applyFill="1" applyBorder="1" applyAlignment="1">
      <alignment horizontal="right" vertical="center" wrapText="1"/>
    </xf>
    <xf numFmtId="3" fontId="4" fillId="0" borderId="93" xfId="2" applyNumberFormat="1" applyFont="1" applyFill="1" applyBorder="1" applyAlignment="1">
      <alignment horizontal="right" vertical="center" wrapText="1"/>
    </xf>
    <xf numFmtId="3" fontId="4" fillId="0" borderId="55" xfId="2" applyNumberFormat="1" applyFont="1" applyFill="1" applyBorder="1" applyAlignment="1">
      <alignment horizontal="right" vertical="center" wrapText="1"/>
    </xf>
    <xf numFmtId="3" fontId="4" fillId="0" borderId="53" xfId="2" applyNumberFormat="1" applyFont="1" applyFill="1" applyBorder="1" applyAlignment="1">
      <alignment horizontal="right" vertical="center" wrapText="1"/>
    </xf>
    <xf numFmtId="3" fontId="5" fillId="0" borderId="89" xfId="2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6" xfId="0" applyFont="1" applyFill="1" applyBorder="1" applyAlignment="1">
      <alignment horizontal="left" vertical="center" wrapText="1"/>
    </xf>
    <xf numFmtId="3" fontId="4" fillId="0" borderId="115" xfId="0" applyNumberFormat="1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3" fontId="5" fillId="0" borderId="134" xfId="0" applyNumberFormat="1" applyFont="1" applyFill="1" applyBorder="1" applyAlignment="1">
      <alignment vertical="center" wrapText="1"/>
    </xf>
    <xf numFmtId="3" fontId="4" fillId="0" borderId="116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15" fillId="0" borderId="115" xfId="0" applyNumberFormat="1" applyFont="1" applyFill="1" applyBorder="1" applyAlignment="1">
      <alignment vertical="center" wrapText="1"/>
    </xf>
    <xf numFmtId="3" fontId="4" fillId="0" borderId="136" xfId="0" applyNumberFormat="1" applyFont="1" applyFill="1" applyBorder="1" applyAlignment="1">
      <alignment vertical="center" wrapText="1"/>
    </xf>
    <xf numFmtId="3" fontId="5" fillId="0" borderId="121" xfId="0" applyNumberFormat="1" applyFont="1" applyFill="1" applyBorder="1" applyAlignment="1">
      <alignment vertical="center" wrapText="1"/>
    </xf>
    <xf numFmtId="3" fontId="5" fillId="0" borderId="137" xfId="0" applyNumberFormat="1" applyFont="1" applyFill="1" applyBorder="1" applyAlignment="1">
      <alignment vertical="center" wrapText="1"/>
    </xf>
    <xf numFmtId="3" fontId="5" fillId="0" borderId="125" xfId="0" applyNumberFormat="1" applyFont="1" applyFill="1" applyBorder="1" applyAlignment="1">
      <alignment vertical="center" wrapText="1"/>
    </xf>
    <xf numFmtId="3" fontId="4" fillId="0" borderId="135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9" xfId="0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left" vertical="center" wrapText="1"/>
    </xf>
    <xf numFmtId="3" fontId="4" fillId="0" borderId="139" xfId="0" applyNumberFormat="1" applyFont="1" applyFill="1" applyBorder="1" applyAlignment="1">
      <alignment vertical="center" wrapText="1"/>
    </xf>
    <xf numFmtId="3" fontId="4" fillId="0" borderId="140" xfId="0" applyNumberFormat="1" applyFont="1" applyFill="1" applyBorder="1" applyAlignment="1">
      <alignment vertical="center" wrapText="1"/>
    </xf>
    <xf numFmtId="3" fontId="4" fillId="0" borderId="141" xfId="0" applyNumberFormat="1" applyFont="1" applyFill="1" applyBorder="1" applyAlignment="1">
      <alignment vertical="center" wrapText="1"/>
    </xf>
    <xf numFmtId="49" fontId="4" fillId="0" borderId="96" xfId="0" applyNumberFormat="1" applyFont="1" applyFill="1" applyBorder="1" applyAlignment="1">
      <alignment horizontal="left" vertical="center" wrapText="1"/>
    </xf>
    <xf numFmtId="3" fontId="6" fillId="2" borderId="124" xfId="2" applyNumberFormat="1" applyFont="1" applyFill="1" applyBorder="1" applyAlignment="1">
      <alignment horizontal="right" vertical="center" wrapText="1"/>
    </xf>
    <xf numFmtId="3" fontId="7" fillId="3" borderId="125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horizontal="right" vertical="center"/>
    </xf>
    <xf numFmtId="3" fontId="4" fillId="0" borderId="116" xfId="2" applyNumberFormat="1" applyFont="1" applyFill="1" applyBorder="1" applyAlignment="1">
      <alignment horizontal="right" vertical="center"/>
    </xf>
    <xf numFmtId="3" fontId="7" fillId="3" borderId="125" xfId="2" applyNumberFormat="1" applyFont="1" applyFill="1" applyBorder="1" applyAlignment="1">
      <alignment horizontal="right" vertical="center"/>
    </xf>
    <xf numFmtId="3" fontId="5" fillId="0" borderId="125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7" xfId="2" applyNumberFormat="1" applyFont="1" applyFill="1" applyBorder="1" applyAlignment="1">
      <alignment horizontal="right" vertical="center"/>
    </xf>
    <xf numFmtId="3" fontId="4" fillId="0" borderId="115" xfId="2" applyNumberFormat="1" applyFont="1" applyFill="1" applyBorder="1" applyAlignment="1">
      <alignment horizontal="right" vertical="center"/>
    </xf>
    <xf numFmtId="3" fontId="4" fillId="0" borderId="126" xfId="2" applyNumberFormat="1" applyFont="1" applyFill="1" applyBorder="1" applyAlignment="1">
      <alignment horizontal="right" vertical="center" wrapText="1"/>
    </xf>
    <xf numFmtId="3" fontId="4" fillId="0" borderId="129" xfId="2" applyNumberFormat="1" applyFont="1" applyFill="1" applyBorder="1" applyAlignment="1">
      <alignment horizontal="right" vertical="center"/>
    </xf>
    <xf numFmtId="3" fontId="7" fillId="4" borderId="12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horizontal="right" vertical="center"/>
    </xf>
    <xf numFmtId="3" fontId="5" fillId="0" borderId="124" xfId="2" applyNumberFormat="1" applyFont="1" applyFill="1" applyBorder="1" applyAlignment="1">
      <alignment horizontal="right" vertical="center"/>
    </xf>
    <xf numFmtId="3" fontId="10" fillId="0" borderId="125" xfId="2" applyNumberFormat="1" applyFont="1" applyFill="1" applyBorder="1" applyAlignment="1">
      <alignment horizontal="right" vertical="center"/>
    </xf>
    <xf numFmtId="3" fontId="16" fillId="5" borderId="128" xfId="2" applyNumberFormat="1" applyFont="1" applyFill="1" applyBorder="1" applyAlignment="1">
      <alignment horizontal="right" vertical="center"/>
    </xf>
    <xf numFmtId="3" fontId="7" fillId="4" borderId="128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123" xfId="0" applyFont="1" applyFill="1" applyBorder="1" applyAlignment="1">
      <alignment horizontal="center" vertical="center" textRotation="90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3" fontId="4" fillId="0" borderId="121" xfId="0" applyNumberFormat="1" applyFont="1" applyFill="1" applyBorder="1" applyAlignment="1">
      <alignment vertical="center" wrapText="1"/>
    </xf>
    <xf numFmtId="3" fontId="4" fillId="0" borderId="104" xfId="0" applyNumberFormat="1" applyFont="1" applyFill="1" applyBorder="1" applyAlignment="1">
      <alignment vertical="center" wrapText="1"/>
    </xf>
    <xf numFmtId="3" fontId="4" fillId="0" borderId="137" xfId="0" applyNumberFormat="1" applyFont="1" applyFill="1" applyBorder="1" applyAlignment="1">
      <alignment vertical="center" wrapText="1"/>
    </xf>
    <xf numFmtId="3" fontId="13" fillId="0" borderId="115" xfId="0" applyNumberFormat="1" applyFont="1" applyFill="1" applyBorder="1" applyAlignment="1">
      <alignment vertical="center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/>
    </xf>
    <xf numFmtId="0" fontId="4" fillId="0" borderId="92" xfId="0" applyFont="1" applyFill="1" applyBorder="1" applyAlignment="1">
      <alignment horizontal="left" vertical="center" wrapText="1"/>
    </xf>
    <xf numFmtId="0" fontId="4" fillId="0" borderId="76" xfId="2" applyFont="1" applyFill="1" applyBorder="1" applyAlignment="1">
      <alignment horizontal="center" vertical="center" wrapText="1"/>
    </xf>
    <xf numFmtId="3" fontId="7" fillId="3" borderId="95" xfId="2" applyNumberFormat="1" applyFont="1" applyFill="1" applyBorder="1" applyAlignment="1">
      <alignment horizontal="right" vertical="center" wrapText="1"/>
    </xf>
    <xf numFmtId="3" fontId="5" fillId="0" borderId="95" xfId="2" applyNumberFormat="1" applyFont="1" applyFill="1" applyBorder="1" applyAlignment="1">
      <alignment horizontal="right" vertical="center" wrapText="1"/>
    </xf>
    <xf numFmtId="3" fontId="4" fillId="0" borderId="144" xfId="2" applyNumberFormat="1" applyFont="1" applyFill="1" applyBorder="1" applyAlignment="1">
      <alignment horizontal="right" vertical="center" wrapText="1"/>
    </xf>
    <xf numFmtId="3" fontId="4" fillId="0" borderId="145" xfId="2" applyNumberFormat="1" applyFont="1" applyFill="1" applyBorder="1" applyAlignment="1">
      <alignment horizontal="right" vertical="center" wrapText="1"/>
    </xf>
    <xf numFmtId="3" fontId="4" fillId="0" borderId="95" xfId="2" applyNumberFormat="1" applyFont="1" applyFill="1" applyBorder="1" applyAlignment="1">
      <alignment horizontal="right" vertical="center" wrapText="1"/>
    </xf>
    <xf numFmtId="3" fontId="4" fillId="0" borderId="122" xfId="2" applyNumberFormat="1" applyFont="1" applyFill="1" applyBorder="1" applyAlignment="1">
      <alignment horizontal="right" vertical="center" wrapText="1"/>
    </xf>
    <xf numFmtId="3" fontId="4" fillId="0" borderId="146" xfId="2" applyNumberFormat="1" applyFont="1" applyFill="1" applyBorder="1" applyAlignment="1">
      <alignment horizontal="right" vertical="center" wrapText="1"/>
    </xf>
    <xf numFmtId="3" fontId="7" fillId="3" borderId="144" xfId="2" applyNumberFormat="1" applyFont="1" applyFill="1" applyBorder="1" applyAlignment="1">
      <alignment horizontal="right" vertical="center" wrapText="1"/>
    </xf>
    <xf numFmtId="3" fontId="5" fillId="0" borderId="144" xfId="2" applyNumberFormat="1" applyFont="1" applyFill="1" applyBorder="1" applyAlignment="1">
      <alignment horizontal="right" vertical="center" wrapText="1"/>
    </xf>
    <xf numFmtId="3" fontId="4" fillId="0" borderId="147" xfId="2" applyNumberFormat="1" applyFont="1" applyFill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3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58" xfId="2" applyNumberFormat="1" applyFont="1" applyFill="1" applyBorder="1" applyAlignment="1">
      <alignment horizontal="right" vertical="center" wrapText="1"/>
    </xf>
    <xf numFmtId="3" fontId="5" fillId="0" borderId="131" xfId="2" applyNumberFormat="1" applyFont="1" applyFill="1" applyBorder="1" applyAlignment="1">
      <alignment horizontal="right" vertical="center"/>
    </xf>
    <xf numFmtId="3" fontId="5" fillId="0" borderId="148" xfId="2" applyNumberFormat="1" applyFont="1" applyFill="1" applyBorder="1" applyAlignment="1">
      <alignment horizontal="right" vertical="center" wrapText="1"/>
    </xf>
    <xf numFmtId="3" fontId="10" fillId="0" borderId="22" xfId="2" applyNumberFormat="1" applyFont="1" applyFill="1" applyBorder="1" applyAlignment="1">
      <alignment horizontal="right" vertical="center" wrapText="1"/>
    </xf>
    <xf numFmtId="3" fontId="16" fillId="5" borderId="32" xfId="2" applyNumberFormat="1" applyFont="1" applyFill="1" applyBorder="1" applyAlignment="1">
      <alignment horizontal="right" vertical="center"/>
    </xf>
    <xf numFmtId="3" fontId="16" fillId="5" borderId="10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 wrapText="1"/>
    </xf>
    <xf numFmtId="3" fontId="7" fillId="4" borderId="122" xfId="2" applyNumberFormat="1" applyFont="1" applyFill="1" applyBorder="1" applyAlignment="1">
      <alignment horizontal="right" vertical="center" wrapText="1"/>
    </xf>
    <xf numFmtId="3" fontId="5" fillId="0" borderId="106" xfId="2" applyNumberFormat="1" applyFont="1" applyFill="1" applyBorder="1" applyAlignment="1">
      <alignment horizontal="right" vertical="center"/>
    </xf>
    <xf numFmtId="3" fontId="5" fillId="0" borderId="149" xfId="2" applyNumberFormat="1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 wrapText="1"/>
    </xf>
    <xf numFmtId="0" fontId="6" fillId="0" borderId="95" xfId="2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146" xfId="2" applyFont="1" applyFill="1" applyBorder="1" applyAlignment="1">
      <alignment vertical="center" wrapText="1"/>
    </xf>
    <xf numFmtId="0" fontId="4" fillId="0" borderId="142" xfId="2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 wrapText="1"/>
    </xf>
    <xf numFmtId="3" fontId="5" fillId="0" borderId="46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11" fillId="0" borderId="120" xfId="0" applyNumberFormat="1" applyFont="1" applyFill="1" applyBorder="1" applyAlignment="1">
      <alignment horizontal="left" vertical="center" wrapText="1"/>
    </xf>
    <xf numFmtId="49" fontId="4" fillId="0" borderId="120" xfId="0" applyNumberFormat="1" applyFont="1" applyFill="1" applyBorder="1" applyAlignment="1">
      <alignment horizontal="left" vertical="center" wrapText="1"/>
    </xf>
    <xf numFmtId="49" fontId="4" fillId="0" borderId="136" xfId="0" applyNumberFormat="1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115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91" xfId="2" applyFont="1" applyFill="1" applyBorder="1" applyAlignment="1">
      <alignment vertical="center"/>
    </xf>
    <xf numFmtId="0" fontId="5" fillId="0" borderId="78" xfId="0" applyFont="1" applyBorder="1" applyAlignment="1">
      <alignment horizontal="center"/>
    </xf>
    <xf numFmtId="3" fontId="5" fillId="0" borderId="35" xfId="2" applyNumberFormat="1" applyFont="1" applyFill="1" applyBorder="1" applyAlignment="1">
      <alignment horizontal="right" vertical="center" wrapText="1"/>
    </xf>
    <xf numFmtId="3" fontId="5" fillId="0" borderId="147" xfId="2" applyNumberFormat="1" applyFont="1" applyFill="1" applyBorder="1" applyAlignment="1">
      <alignment horizontal="right" vertical="center" wrapText="1"/>
    </xf>
    <xf numFmtId="3" fontId="5" fillId="0" borderId="127" xfId="2" applyNumberFormat="1" applyFont="1" applyFill="1" applyBorder="1" applyAlignment="1">
      <alignment horizontal="right" vertical="center"/>
    </xf>
    <xf numFmtId="0" fontId="5" fillId="0" borderId="29" xfId="2" applyFont="1" applyFill="1" applyBorder="1" applyAlignment="1">
      <alignment vertical="center"/>
    </xf>
    <xf numFmtId="0" fontId="5" fillId="0" borderId="37" xfId="0" applyFont="1" applyBorder="1" applyAlignment="1">
      <alignment horizontal="center"/>
    </xf>
    <xf numFmtId="0" fontId="5" fillId="0" borderId="90" xfId="2" applyFont="1" applyFill="1" applyBorder="1" applyAlignment="1">
      <alignment vertical="center"/>
    </xf>
    <xf numFmtId="0" fontId="5" fillId="0" borderId="8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5" fillId="0" borderId="35" xfId="2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3" fontId="17" fillId="7" borderId="0" xfId="0" applyNumberFormat="1" applyFont="1" applyFill="1" applyBorder="1" applyAlignment="1">
      <alignment horizontal="right"/>
    </xf>
    <xf numFmtId="3" fontId="21" fillId="7" borderId="0" xfId="0" applyNumberFormat="1" applyFont="1" applyFill="1" applyBorder="1" applyAlignment="1">
      <alignment horizontal="left"/>
    </xf>
    <xf numFmtId="0" fontId="4" fillId="0" borderId="37" xfId="2" applyFont="1" applyFill="1" applyBorder="1" applyAlignment="1">
      <alignment horizontal="left" wrapText="1"/>
    </xf>
    <xf numFmtId="0" fontId="4" fillId="0" borderId="92" xfId="2" applyFont="1" applyFill="1" applyBorder="1" applyAlignment="1">
      <alignment horizontal="left" wrapText="1"/>
    </xf>
    <xf numFmtId="0" fontId="4" fillId="0" borderId="55" xfId="2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1" fillId="0" borderId="113" xfId="0" applyFont="1" applyFill="1" applyBorder="1" applyAlignment="1">
      <alignment horizontal="left" vertical="center" wrapText="1"/>
    </xf>
    <xf numFmtId="0" fontId="11" fillId="0" borderId="11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Fill="1" applyBorder="1" applyAlignment="1">
      <alignment horizontal="center" vertical="center" textRotation="90" wrapText="1"/>
    </xf>
    <xf numFmtId="49" fontId="4" fillId="0" borderId="6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48" xfId="2" applyFont="1" applyFill="1" applyBorder="1" applyAlignment="1">
      <alignment horizontal="left" wrapText="1"/>
    </xf>
    <xf numFmtId="0" fontId="4" fillId="0" borderId="100" xfId="2" applyFont="1" applyFill="1" applyBorder="1" applyAlignment="1">
      <alignment horizontal="left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50" xfId="0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left" vertical="top" wrapText="1"/>
    </xf>
    <xf numFmtId="0" fontId="4" fillId="0" borderId="92" xfId="2" applyFont="1" applyFill="1" applyBorder="1" applyAlignment="1">
      <alignment horizontal="left" vertical="top" wrapText="1"/>
    </xf>
    <xf numFmtId="0" fontId="5" fillId="0" borderId="107" xfId="0" applyFont="1" applyFill="1" applyBorder="1" applyAlignment="1">
      <alignment horizontal="center" vertical="center" textRotation="90" wrapText="1"/>
    </xf>
    <xf numFmtId="0" fontId="5" fillId="0" borderId="85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4" fillId="0" borderId="18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left" vertical="center"/>
    </xf>
    <xf numFmtId="0" fontId="7" fillId="3" borderId="18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4" fillId="0" borderId="78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/>
    </xf>
    <xf numFmtId="0" fontId="5" fillId="0" borderId="32" xfId="2" applyFont="1" applyFill="1" applyBorder="1" applyAlignment="1">
      <alignment horizontal="left"/>
    </xf>
    <xf numFmtId="0" fontId="4" fillId="0" borderId="50" xfId="2" applyFont="1" applyFill="1" applyBorder="1" applyAlignment="1">
      <alignment horizontal="right" vertical="center"/>
    </xf>
    <xf numFmtId="0" fontId="4" fillId="0" borderId="48" xfId="2" applyFont="1" applyFill="1" applyBorder="1" applyAlignment="1">
      <alignment horizontal="right"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8" xfId="2" applyFont="1" applyFill="1" applyBorder="1" applyAlignment="1">
      <alignment horizontal="left" vertical="top"/>
    </xf>
    <xf numFmtId="0" fontId="5" fillId="0" borderId="19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center" vertical="top"/>
    </xf>
    <xf numFmtId="0" fontId="4" fillId="0" borderId="19" xfId="2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84" xfId="2" applyFont="1" applyFill="1" applyBorder="1" applyAlignment="1">
      <alignment horizontal="center" vertical="center" wrapText="1"/>
    </xf>
    <xf numFmtId="0" fontId="8" fillId="0" borderId="8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right" vertical="center" wrapText="1"/>
    </xf>
    <xf numFmtId="49" fontId="4" fillId="0" borderId="0" xfId="2" applyNumberFormat="1" applyFont="1" applyFill="1" applyAlignment="1">
      <alignment horizontal="left"/>
    </xf>
    <xf numFmtId="0" fontId="7" fillId="4" borderId="21" xfId="2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/>
    </xf>
    <xf numFmtId="0" fontId="7" fillId="4" borderId="19" xfId="2" applyFont="1" applyFill="1" applyBorder="1" applyAlignment="1">
      <alignment horizontal="center"/>
    </xf>
    <xf numFmtId="0" fontId="5" fillId="0" borderId="87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5" fillId="0" borderId="70" xfId="2" applyFont="1" applyFill="1" applyBorder="1" applyAlignment="1">
      <alignment horizontal="center"/>
    </xf>
    <xf numFmtId="0" fontId="5" fillId="0" borderId="71" xfId="2" applyFont="1" applyFill="1" applyBorder="1" applyAlignment="1">
      <alignment horizontal="center"/>
    </xf>
    <xf numFmtId="0" fontId="5" fillId="0" borderId="86" xfId="2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51" xfId="2" applyFont="1" applyFill="1" applyBorder="1" applyAlignment="1">
      <alignment horizontal="right" vertical="center"/>
    </xf>
    <xf numFmtId="0" fontId="16" fillId="5" borderId="21" xfId="2" applyFont="1" applyFill="1" applyBorder="1" applyAlignment="1">
      <alignment horizontal="center"/>
    </xf>
    <xf numFmtId="0" fontId="16" fillId="5" borderId="18" xfId="2" applyFont="1" applyFill="1" applyBorder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0" xfId="2" applyFont="1" applyFill="1" applyBorder="1" applyAlignment="1">
      <alignment horizontal="right" vertical="center"/>
    </xf>
    <xf numFmtId="0" fontId="4" fillId="0" borderId="78" xfId="2" applyFont="1" applyFill="1" applyBorder="1" applyAlignment="1">
      <alignment horizontal="right" vertical="center"/>
    </xf>
    <xf numFmtId="0" fontId="4" fillId="0" borderId="79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5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T1436"/>
  <sheetViews>
    <sheetView showGridLines="0" tabSelected="1" view="pageLayout" zoomScaleNormal="100" workbookViewId="0">
      <selection activeCell="CP14" sqref="CP14"/>
    </sheetView>
  </sheetViews>
  <sheetFormatPr defaultColWidth="8.42578125" defaultRowHeight="12" outlineLevelRow="1" outlineLevelCol="1" x14ac:dyDescent="0.2"/>
  <cols>
    <col min="1" max="1" width="12" style="67" customWidth="1"/>
    <col min="2" max="2" width="21.5703125" style="1" customWidth="1"/>
    <col min="3" max="3" width="34" style="1" customWidth="1"/>
    <col min="4" max="4" width="9.5703125" style="3" hidden="1" customWidth="1" outlineLevel="1"/>
    <col min="5" max="5" width="9.42578125" style="3" customWidth="1" collapsed="1"/>
    <col min="6" max="6" width="10.42578125" style="130" hidden="1" customWidth="1" outlineLevel="1"/>
    <col min="7" max="7" width="10.28515625" style="130" customWidth="1" collapsed="1"/>
    <col min="8" max="8" width="9.42578125" style="130" hidden="1" customWidth="1" outlineLevel="1"/>
    <col min="9" max="9" width="6.28515625" style="130" hidden="1" customWidth="1" outlineLevel="1"/>
    <col min="10" max="10" width="5.42578125" style="130" hidden="1" customWidth="1" outlineLevel="1"/>
    <col min="11" max="11" width="4.85546875" style="130" hidden="1" customWidth="1" outlineLevel="1"/>
    <col min="12" max="12" width="5.42578125" style="130" hidden="1" customWidth="1" outlineLevel="1"/>
    <col min="13" max="13" width="8" style="130" hidden="1" customWidth="1" outlineLevel="1"/>
    <col min="14" max="15" width="5.42578125" style="130" hidden="1" customWidth="1" outlineLevel="1"/>
    <col min="16" max="16" width="6.5703125" style="130" hidden="1" customWidth="1" outlineLevel="1"/>
    <col min="17" max="18" width="7.140625" style="130" hidden="1" customWidth="1" outlineLevel="1"/>
    <col min="19" max="20" width="5.42578125" style="130" hidden="1" customWidth="1" outlineLevel="1"/>
    <col min="21" max="21" width="7.140625" style="130" hidden="1" customWidth="1" outlineLevel="1"/>
    <col min="22" max="22" width="5.42578125" style="130" hidden="1" customWidth="1" outlineLevel="1"/>
    <col min="23" max="23" width="6.28515625" style="130" hidden="1" customWidth="1" outlineLevel="1"/>
    <col min="24" max="24" width="7.85546875" style="130" hidden="1" customWidth="1" outlineLevel="1"/>
    <col min="25" max="25" width="7.140625" style="130" hidden="1" customWidth="1" outlineLevel="1"/>
    <col min="26" max="26" width="6.28515625" style="130" hidden="1" customWidth="1" outlineLevel="1"/>
    <col min="27" max="28" width="7.140625" style="130" hidden="1" customWidth="1" outlineLevel="1"/>
    <col min="29" max="29" width="5.42578125" style="130" hidden="1" customWidth="1" outlineLevel="1"/>
    <col min="30" max="30" width="7.140625" style="130" hidden="1" customWidth="1" outlineLevel="1"/>
    <col min="31" max="32" width="5.42578125" style="130" hidden="1" customWidth="1" outlineLevel="1"/>
    <col min="33" max="33" width="8.42578125" style="130" hidden="1" customWidth="1" outlineLevel="1"/>
    <col min="34" max="34" width="9.42578125" style="130" hidden="1" customWidth="1" outlineLevel="1"/>
    <col min="35" max="35" width="8.42578125" style="130" hidden="1" customWidth="1" outlineLevel="1"/>
    <col min="36" max="38" width="9.42578125" style="130" hidden="1" customWidth="1" outlineLevel="1"/>
    <col min="39" max="39" width="9" style="130" hidden="1" customWidth="1" outlineLevel="1"/>
    <col min="40" max="40" width="9.5703125" style="130" customWidth="1" collapsed="1"/>
    <col min="41" max="41" width="9" style="130" hidden="1" customWidth="1" outlineLevel="1"/>
    <col min="42" max="43" width="6.28515625" style="130" hidden="1" customWidth="1" outlineLevel="1"/>
    <col min="44" max="45" width="9" style="130" hidden="1" customWidth="1" outlineLevel="1"/>
    <col min="46" max="46" width="9.140625" style="130" hidden="1" customWidth="1" outlineLevel="1"/>
    <col min="47" max="47" width="6.28515625" style="130" hidden="1" customWidth="1" outlineLevel="1"/>
    <col min="48" max="48" width="7.140625" style="130" hidden="1" customWidth="1" outlineLevel="1"/>
    <col min="49" max="52" width="9" style="130" hidden="1" customWidth="1" outlineLevel="1"/>
    <col min="53" max="53" width="8" style="130" hidden="1" customWidth="1" outlineLevel="1"/>
    <col min="54" max="54" width="8" style="130" customWidth="1" collapsed="1"/>
    <col min="55" max="55" width="9" style="130" hidden="1" customWidth="1" outlineLevel="1"/>
    <col min="56" max="56" width="7.5703125" style="130" hidden="1" customWidth="1" outlineLevel="1"/>
    <col min="57" max="57" width="4.85546875" style="130" hidden="1" customWidth="1" outlineLevel="1"/>
    <col min="58" max="58" width="5.7109375" style="130" hidden="1" customWidth="1" outlineLevel="1"/>
    <col min="59" max="60" width="6.28515625" style="130" hidden="1" customWidth="1" outlineLevel="1"/>
    <col min="61" max="61" width="4.85546875" style="130" hidden="1" customWidth="1" outlineLevel="1"/>
    <col min="62" max="62" width="7.140625" style="130" hidden="1" customWidth="1" outlineLevel="1"/>
    <col min="63" max="66" width="9" style="130" hidden="1" customWidth="1" outlineLevel="1"/>
    <col min="67" max="67" width="6" style="130" hidden="1" customWidth="1" outlineLevel="1"/>
    <col min="68" max="68" width="5.42578125" style="130" customWidth="1" collapsed="1"/>
    <col min="69" max="69" width="9" style="130" hidden="1" customWidth="1" outlineLevel="1"/>
    <col min="70" max="70" width="6.140625" style="130" hidden="1" customWidth="1" outlineLevel="1"/>
    <col min="71" max="71" width="5.85546875" style="130" hidden="1" customWidth="1" outlineLevel="1"/>
    <col min="72" max="73" width="9" style="130" hidden="1" customWidth="1" outlineLevel="1"/>
    <col min="74" max="74" width="9.140625" style="130" hidden="1" customWidth="1" outlineLevel="1"/>
    <col min="75" max="75" width="8.140625" style="130" customWidth="1" collapsed="1"/>
    <col min="76" max="76" width="8.5703125" style="130" hidden="1" customWidth="1" outlineLevel="1"/>
    <col min="77" max="77" width="8.42578125" style="130" hidden="1" customWidth="1" outlineLevel="1"/>
    <col min="78" max="78" width="5" style="130" hidden="1" customWidth="1" outlineLevel="1"/>
    <col min="79" max="79" width="7.140625" style="130" hidden="1" customWidth="1" outlineLevel="1"/>
    <col min="80" max="80" width="4.140625" style="130" hidden="1" customWidth="1" outlineLevel="1"/>
    <col min="81" max="81" width="6.28515625" style="130" hidden="1" customWidth="1" outlineLevel="1"/>
    <col min="82" max="82" width="5.42578125" style="130" hidden="1" customWidth="1" outlineLevel="1"/>
    <col min="83" max="83" width="5.7109375" style="130" hidden="1" customWidth="1" outlineLevel="1"/>
    <col min="84" max="84" width="5.42578125" style="130" hidden="1" customWidth="1" outlineLevel="1"/>
    <col min="85" max="85" width="7.140625" style="130" hidden="1" customWidth="1" outlineLevel="1"/>
    <col min="86" max="87" width="8.5703125" style="130" hidden="1" customWidth="1" outlineLevel="1"/>
    <col min="88" max="88" width="7" style="2" customWidth="1" collapsed="1"/>
    <col min="89" max="89" width="12.7109375" style="1" customWidth="1"/>
    <col min="90" max="90" width="9.7109375" style="1" hidden="1" customWidth="1"/>
    <col min="91" max="92" width="8.42578125" style="1" hidden="1" customWidth="1"/>
    <col min="93" max="93" width="11" style="1" hidden="1" customWidth="1"/>
    <col min="94" max="94" width="8.42578125" style="1"/>
    <col min="95" max="97" width="0" style="1" hidden="1" customWidth="1"/>
    <col min="98" max="16384" width="8.42578125" style="1"/>
  </cols>
  <sheetData>
    <row r="1" spans="1:98" s="130" customFormat="1" x14ac:dyDescent="0.2">
      <c r="D1" s="3"/>
      <c r="E1" s="3"/>
      <c r="CJ1" s="2"/>
      <c r="CK1" s="329" t="s">
        <v>776</v>
      </c>
    </row>
    <row r="2" spans="1:98" s="130" customFormat="1" x14ac:dyDescent="0.2">
      <c r="D2" s="3"/>
      <c r="E2" s="3"/>
      <c r="CJ2" s="2"/>
      <c r="CK2" s="329" t="s">
        <v>768</v>
      </c>
    </row>
    <row r="3" spans="1:98" s="130" customFormat="1" x14ac:dyDescent="0.2">
      <c r="D3" s="3"/>
      <c r="E3" s="3"/>
      <c r="CJ3" s="2"/>
      <c r="CK3" s="329" t="s">
        <v>769</v>
      </c>
      <c r="CP3" s="130" t="s">
        <v>812</v>
      </c>
    </row>
    <row r="4" spans="1:98" ht="18.75" customHeight="1" x14ac:dyDescent="0.2">
      <c r="A4" s="463" t="s">
        <v>684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</row>
    <row r="5" spans="1:98" ht="12.75" thickBot="1" x14ac:dyDescent="0.25"/>
    <row r="6" spans="1:98" ht="13.5" customHeight="1" thickBot="1" x14ac:dyDescent="0.25">
      <c r="A6" s="441" t="s">
        <v>563</v>
      </c>
      <c r="B6" s="475" t="s">
        <v>570</v>
      </c>
      <c r="C6" s="468" t="s">
        <v>151</v>
      </c>
      <c r="D6" s="455" t="s">
        <v>685</v>
      </c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7"/>
      <c r="CJ6" s="443" t="s">
        <v>564</v>
      </c>
      <c r="CK6" s="443" t="s">
        <v>187</v>
      </c>
    </row>
    <row r="7" spans="1:98" ht="13.5" customHeight="1" thickBot="1" x14ac:dyDescent="0.25">
      <c r="A7" s="442"/>
      <c r="B7" s="476"/>
      <c r="C7" s="469"/>
      <c r="D7" s="477" t="s">
        <v>766</v>
      </c>
      <c r="E7" s="473" t="s">
        <v>0</v>
      </c>
      <c r="F7" s="446" t="s">
        <v>764</v>
      </c>
      <c r="G7" s="454" t="s">
        <v>1</v>
      </c>
      <c r="H7" s="454" t="s">
        <v>765</v>
      </c>
      <c r="I7" s="464" t="s">
        <v>757</v>
      </c>
      <c r="J7" s="466"/>
      <c r="K7" s="466"/>
      <c r="L7" s="466"/>
      <c r="M7" s="466"/>
      <c r="N7" s="466"/>
      <c r="O7" s="466"/>
      <c r="P7" s="465"/>
      <c r="Q7" s="465"/>
      <c r="R7" s="465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7"/>
      <c r="AM7" s="461" t="s">
        <v>762</v>
      </c>
      <c r="AN7" s="461" t="s">
        <v>125</v>
      </c>
      <c r="AO7" s="461" t="s">
        <v>763</v>
      </c>
      <c r="AP7" s="464" t="s">
        <v>757</v>
      </c>
      <c r="AQ7" s="466"/>
      <c r="AR7" s="466"/>
      <c r="AS7" s="466"/>
      <c r="AT7" s="466"/>
      <c r="AU7" s="466"/>
      <c r="AV7" s="466"/>
      <c r="AW7" s="466"/>
      <c r="AX7" s="466"/>
      <c r="AY7" s="466"/>
      <c r="AZ7" s="467"/>
      <c r="BA7" s="454" t="s">
        <v>760</v>
      </c>
      <c r="BB7" s="454" t="s">
        <v>2</v>
      </c>
      <c r="BC7" s="454" t="s">
        <v>761</v>
      </c>
      <c r="BD7" s="464" t="s">
        <v>757</v>
      </c>
      <c r="BE7" s="465"/>
      <c r="BF7" s="465"/>
      <c r="BG7" s="466"/>
      <c r="BH7" s="466"/>
      <c r="BI7" s="466"/>
      <c r="BJ7" s="466"/>
      <c r="BK7" s="466"/>
      <c r="BL7" s="466"/>
      <c r="BM7" s="466"/>
      <c r="BN7" s="467"/>
      <c r="BO7" s="450" t="s">
        <v>758</v>
      </c>
      <c r="BP7" s="454" t="s">
        <v>3</v>
      </c>
      <c r="BQ7" s="450" t="s">
        <v>759</v>
      </c>
      <c r="BR7" s="458" t="s">
        <v>757</v>
      </c>
      <c r="BS7" s="458"/>
      <c r="BT7" s="458"/>
      <c r="BU7" s="458"/>
      <c r="BV7" s="454" t="s">
        <v>755</v>
      </c>
      <c r="BW7" s="454" t="s">
        <v>418</v>
      </c>
      <c r="BX7" s="454" t="s">
        <v>756</v>
      </c>
      <c r="BY7" s="458" t="s">
        <v>757</v>
      </c>
      <c r="BZ7" s="458"/>
      <c r="CA7" s="459"/>
      <c r="CB7" s="459"/>
      <c r="CC7" s="458"/>
      <c r="CD7" s="458"/>
      <c r="CE7" s="458"/>
      <c r="CF7" s="458"/>
      <c r="CG7" s="458"/>
      <c r="CH7" s="458"/>
      <c r="CI7" s="460"/>
      <c r="CJ7" s="444"/>
      <c r="CK7" s="444"/>
    </row>
    <row r="8" spans="1:98" ht="72" customHeight="1" thickBot="1" x14ac:dyDescent="0.25">
      <c r="A8" s="442"/>
      <c r="B8" s="476"/>
      <c r="C8" s="470"/>
      <c r="D8" s="478"/>
      <c r="E8" s="474"/>
      <c r="F8" s="447"/>
      <c r="G8" s="447"/>
      <c r="H8" s="447"/>
      <c r="I8" s="357" t="s">
        <v>777</v>
      </c>
      <c r="J8" s="357" t="s">
        <v>778</v>
      </c>
      <c r="K8" s="357" t="s">
        <v>779</v>
      </c>
      <c r="L8" s="357" t="s">
        <v>780</v>
      </c>
      <c r="M8" s="371" t="s">
        <v>813</v>
      </c>
      <c r="N8" s="357" t="s">
        <v>814</v>
      </c>
      <c r="O8" s="357" t="s">
        <v>815</v>
      </c>
      <c r="P8" s="390" t="s">
        <v>826</v>
      </c>
      <c r="Q8" s="390" t="s">
        <v>828</v>
      </c>
      <c r="R8" s="390" t="s">
        <v>833</v>
      </c>
      <c r="S8" s="357" t="s">
        <v>834</v>
      </c>
      <c r="T8" s="357" t="s">
        <v>835</v>
      </c>
      <c r="U8" s="391" t="s">
        <v>836</v>
      </c>
      <c r="V8" s="357" t="s">
        <v>837</v>
      </c>
      <c r="W8" s="357" t="s">
        <v>838</v>
      </c>
      <c r="X8" s="398" t="s">
        <v>844</v>
      </c>
      <c r="Y8" s="400" t="s">
        <v>846</v>
      </c>
      <c r="Z8" s="357" t="s">
        <v>847</v>
      </c>
      <c r="AA8" s="407" t="s">
        <v>861</v>
      </c>
      <c r="AB8" s="357" t="s">
        <v>862</v>
      </c>
      <c r="AC8" s="357" t="s">
        <v>863</v>
      </c>
      <c r="AD8" s="422" t="s">
        <v>871</v>
      </c>
      <c r="AE8" s="357" t="s">
        <v>872</v>
      </c>
      <c r="AF8" s="357" t="s">
        <v>873</v>
      </c>
      <c r="AG8" s="427" t="s">
        <v>884</v>
      </c>
      <c r="AH8" s="357" t="s">
        <v>885</v>
      </c>
      <c r="AI8" s="358" t="s">
        <v>783</v>
      </c>
      <c r="AJ8" s="406"/>
      <c r="AK8" s="406"/>
      <c r="AL8" s="320"/>
      <c r="AM8" s="462"/>
      <c r="AN8" s="462"/>
      <c r="AO8" s="462"/>
      <c r="AP8" s="371" t="s">
        <v>813</v>
      </c>
      <c r="AQ8" s="372" t="s">
        <v>828</v>
      </c>
      <c r="AR8" s="372" t="s">
        <v>833</v>
      </c>
      <c r="AS8" s="398" t="s">
        <v>844</v>
      </c>
      <c r="AT8" s="407" t="s">
        <v>861</v>
      </c>
      <c r="AU8" s="357" t="s">
        <v>862</v>
      </c>
      <c r="AV8" s="427" t="s">
        <v>884</v>
      </c>
      <c r="AW8" s="358" t="s">
        <v>783</v>
      </c>
      <c r="AX8" s="320"/>
      <c r="AY8" s="320"/>
      <c r="AZ8" s="320"/>
      <c r="BA8" s="447"/>
      <c r="BB8" s="447"/>
      <c r="BC8" s="447"/>
      <c r="BD8" s="371" t="s">
        <v>813</v>
      </c>
      <c r="BE8" s="390" t="s">
        <v>828</v>
      </c>
      <c r="BF8" s="390" t="s">
        <v>833</v>
      </c>
      <c r="BG8" s="407" t="s">
        <v>861</v>
      </c>
      <c r="BH8" s="357" t="s">
        <v>862</v>
      </c>
      <c r="BI8" s="422" t="s">
        <v>871</v>
      </c>
      <c r="BJ8" s="427" t="s">
        <v>884</v>
      </c>
      <c r="BK8" s="358" t="s">
        <v>783</v>
      </c>
      <c r="BL8" s="328"/>
      <c r="BM8" s="328"/>
      <c r="BN8" s="328"/>
      <c r="BO8" s="451"/>
      <c r="BP8" s="447"/>
      <c r="BQ8" s="451"/>
      <c r="BR8" s="371" t="s">
        <v>813</v>
      </c>
      <c r="BS8" s="427" t="s">
        <v>884</v>
      </c>
      <c r="BT8" s="358" t="s">
        <v>783</v>
      </c>
      <c r="BU8" s="320"/>
      <c r="BV8" s="447"/>
      <c r="BW8" s="447"/>
      <c r="BX8" s="447"/>
      <c r="BY8" s="371" t="s">
        <v>813</v>
      </c>
      <c r="BZ8" s="377" t="s">
        <v>826</v>
      </c>
      <c r="CA8" s="390" t="s">
        <v>828</v>
      </c>
      <c r="CB8" s="390" t="s">
        <v>833</v>
      </c>
      <c r="CC8" s="398" t="s">
        <v>844</v>
      </c>
      <c r="CD8" s="407" t="s">
        <v>861</v>
      </c>
      <c r="CE8" s="422" t="s">
        <v>871</v>
      </c>
      <c r="CF8" s="357" t="s">
        <v>874</v>
      </c>
      <c r="CG8" s="427" t="s">
        <v>884</v>
      </c>
      <c r="CH8" s="358" t="s">
        <v>783</v>
      </c>
      <c r="CI8" s="321"/>
      <c r="CJ8" s="445"/>
      <c r="CK8" s="445"/>
      <c r="CQ8" s="1" t="s">
        <v>747</v>
      </c>
      <c r="CR8" s="1" t="s">
        <v>748</v>
      </c>
      <c r="CS8" s="1" t="s">
        <v>752</v>
      </c>
    </row>
    <row r="9" spans="1:98" s="68" customFormat="1" ht="12.75" thickTop="1" thickBot="1" x14ac:dyDescent="0.25">
      <c r="A9" s="94">
        <v>1</v>
      </c>
      <c r="B9" s="129">
        <v>2</v>
      </c>
      <c r="C9" s="183">
        <v>3</v>
      </c>
      <c r="D9" s="181">
        <v>9</v>
      </c>
      <c r="E9" s="181">
        <v>4</v>
      </c>
      <c r="F9" s="95">
        <v>10</v>
      </c>
      <c r="G9" s="95">
        <v>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>
        <v>11</v>
      </c>
      <c r="AN9" s="96">
        <v>6</v>
      </c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>
        <v>12</v>
      </c>
      <c r="BB9" s="96">
        <v>7</v>
      </c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>
        <v>13</v>
      </c>
      <c r="BP9" s="96">
        <v>8</v>
      </c>
      <c r="BQ9" s="96"/>
      <c r="BR9" s="96"/>
      <c r="BS9" s="96"/>
      <c r="BT9" s="96"/>
      <c r="BU9" s="96"/>
      <c r="BV9" s="322">
        <v>14</v>
      </c>
      <c r="BW9" s="322">
        <v>9</v>
      </c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3"/>
      <c r="CJ9" s="97" t="s">
        <v>810</v>
      </c>
      <c r="CK9" s="94">
        <v>11</v>
      </c>
    </row>
    <row r="10" spans="1:98" ht="10.5" customHeight="1" thickTop="1" thickBot="1" x14ac:dyDescent="0.25">
      <c r="A10" s="64"/>
      <c r="B10" s="128"/>
      <c r="C10" s="184"/>
      <c r="D10" s="182"/>
      <c r="E10" s="18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219"/>
      <c r="CJ10" s="5"/>
      <c r="CK10" s="55"/>
    </row>
    <row r="11" spans="1:98" ht="24.75" customHeight="1" thickBot="1" x14ac:dyDescent="0.25">
      <c r="A11" s="138" t="s">
        <v>4</v>
      </c>
      <c r="B11" s="90" t="s">
        <v>159</v>
      </c>
      <c r="C11" s="185"/>
      <c r="D11" s="223">
        <f t="shared" ref="D11:E11" si="0">SUM(D12:D25)</f>
        <v>14295049</v>
      </c>
      <c r="E11" s="262">
        <f t="shared" si="0"/>
        <v>13260292</v>
      </c>
      <c r="F11" s="262">
        <f>SUM(F12:F25)</f>
        <v>14270869</v>
      </c>
      <c r="G11" s="262">
        <f t="shared" ref="G11:CI11" si="1">SUM(G12:G25)</f>
        <v>13225725</v>
      </c>
      <c r="H11" s="262">
        <f t="shared" si="1"/>
        <v>-1045144</v>
      </c>
      <c r="I11" s="262">
        <f t="shared" si="1"/>
        <v>0</v>
      </c>
      <c r="J11" s="262">
        <f t="shared" si="1"/>
        <v>0</v>
      </c>
      <c r="K11" s="262">
        <f t="shared" si="1"/>
        <v>-599</v>
      </c>
      <c r="L11" s="262">
        <f t="shared" si="1"/>
        <v>-4970</v>
      </c>
      <c r="M11" s="262">
        <f t="shared" si="1"/>
        <v>117447</v>
      </c>
      <c r="N11" s="262">
        <f t="shared" si="1"/>
        <v>-6009</v>
      </c>
      <c r="O11" s="262">
        <f t="shared" si="1"/>
        <v>-2579</v>
      </c>
      <c r="P11" s="262">
        <f t="shared" si="1"/>
        <v>53176</v>
      </c>
      <c r="Q11" s="262">
        <f t="shared" si="1"/>
        <v>0</v>
      </c>
      <c r="R11" s="262">
        <f t="shared" ref="R11:AK11" si="2">SUM(R12:R25)</f>
        <v>0</v>
      </c>
      <c r="S11" s="262">
        <f t="shared" si="2"/>
        <v>0</v>
      </c>
      <c r="T11" s="262">
        <f t="shared" si="2"/>
        <v>0</v>
      </c>
      <c r="U11" s="262">
        <f t="shared" si="2"/>
        <v>0</v>
      </c>
      <c r="V11" s="262">
        <f t="shared" si="2"/>
        <v>-6542</v>
      </c>
      <c r="W11" s="262">
        <f t="shared" si="2"/>
        <v>0</v>
      </c>
      <c r="X11" s="262">
        <f t="shared" si="2"/>
        <v>11000</v>
      </c>
      <c r="Y11" s="262">
        <f t="shared" si="2"/>
        <v>15000</v>
      </c>
      <c r="Z11" s="262">
        <f t="shared" si="2"/>
        <v>0</v>
      </c>
      <c r="AA11" s="262">
        <f t="shared" si="2"/>
        <v>193639</v>
      </c>
      <c r="AB11" s="262">
        <f t="shared" si="2"/>
        <v>0</v>
      </c>
      <c r="AC11" s="262">
        <f t="shared" si="2"/>
        <v>-2578</v>
      </c>
      <c r="AD11" s="262">
        <f t="shared" si="2"/>
        <v>-2081</v>
      </c>
      <c r="AE11" s="262">
        <f t="shared" ref="AE11:AI11" si="3">SUM(AE12:AE25)</f>
        <v>-7837</v>
      </c>
      <c r="AF11" s="262">
        <f t="shared" ref="AF11:AG11" si="4">SUM(AF12:AF25)</f>
        <v>-1272</v>
      </c>
      <c r="AG11" s="262">
        <f t="shared" si="4"/>
        <v>-1401697</v>
      </c>
      <c r="AH11" s="262">
        <f t="shared" si="3"/>
        <v>-5736</v>
      </c>
      <c r="AI11" s="262">
        <f t="shared" si="3"/>
        <v>6494</v>
      </c>
      <c r="AJ11" s="262">
        <f t="shared" si="2"/>
        <v>0</v>
      </c>
      <c r="AK11" s="262">
        <f t="shared" si="2"/>
        <v>0</v>
      </c>
      <c r="AL11" s="262">
        <f t="shared" si="1"/>
        <v>0</v>
      </c>
      <c r="AM11" s="262">
        <f t="shared" si="1"/>
        <v>0</v>
      </c>
      <c r="AN11" s="262">
        <f t="shared" si="1"/>
        <v>11667</v>
      </c>
      <c r="AO11" s="262">
        <f t="shared" si="1"/>
        <v>11667</v>
      </c>
      <c r="AP11" s="262">
        <f t="shared" si="1"/>
        <v>11667</v>
      </c>
      <c r="AQ11" s="262">
        <f t="shared" si="1"/>
        <v>0</v>
      </c>
      <c r="AR11" s="262">
        <f t="shared" si="1"/>
        <v>0</v>
      </c>
      <c r="AS11" s="262">
        <f t="shared" si="1"/>
        <v>0</v>
      </c>
      <c r="AT11" s="262">
        <f t="shared" si="1"/>
        <v>0</v>
      </c>
      <c r="AU11" s="262">
        <f t="shared" ref="AU11" si="5">SUM(AU12:AU25)</f>
        <v>0</v>
      </c>
      <c r="AV11" s="262">
        <f t="shared" si="1"/>
        <v>0</v>
      </c>
      <c r="AW11" s="262">
        <f t="shared" si="1"/>
        <v>0</v>
      </c>
      <c r="AX11" s="262">
        <f t="shared" si="1"/>
        <v>0</v>
      </c>
      <c r="AY11" s="262">
        <f t="shared" si="1"/>
        <v>0</v>
      </c>
      <c r="AZ11" s="262">
        <f t="shared" si="1"/>
        <v>0</v>
      </c>
      <c r="BA11" s="262">
        <f t="shared" si="1"/>
        <v>24180</v>
      </c>
      <c r="BB11" s="262">
        <f t="shared" si="1"/>
        <v>23484</v>
      </c>
      <c r="BC11" s="262">
        <f t="shared" si="1"/>
        <v>-696</v>
      </c>
      <c r="BD11" s="262">
        <f t="shared" si="1"/>
        <v>-696</v>
      </c>
      <c r="BE11" s="262">
        <f t="shared" si="1"/>
        <v>0</v>
      </c>
      <c r="BF11" s="262">
        <f t="shared" si="1"/>
        <v>0</v>
      </c>
      <c r="BG11" s="262">
        <f t="shared" si="1"/>
        <v>0</v>
      </c>
      <c r="BH11" s="262">
        <f t="shared" ref="BH11" si="6">SUM(BH12:BH25)</f>
        <v>0</v>
      </c>
      <c r="BI11" s="262">
        <f t="shared" si="1"/>
        <v>0</v>
      </c>
      <c r="BJ11" s="262">
        <f t="shared" si="1"/>
        <v>0</v>
      </c>
      <c r="BK11" s="262">
        <f t="shared" si="1"/>
        <v>0</v>
      </c>
      <c r="BL11" s="262">
        <f t="shared" si="1"/>
        <v>0</v>
      </c>
      <c r="BM11" s="262">
        <f t="shared" si="1"/>
        <v>0</v>
      </c>
      <c r="BN11" s="262">
        <f t="shared" si="1"/>
        <v>0</v>
      </c>
      <c r="BO11" s="262">
        <f t="shared" si="1"/>
        <v>0</v>
      </c>
      <c r="BP11" s="262">
        <f t="shared" si="1"/>
        <v>0</v>
      </c>
      <c r="BQ11" s="262">
        <f t="shared" si="1"/>
        <v>0</v>
      </c>
      <c r="BR11" s="262">
        <f t="shared" si="1"/>
        <v>0</v>
      </c>
      <c r="BS11" s="262">
        <f t="shared" si="1"/>
        <v>0</v>
      </c>
      <c r="BT11" s="262">
        <f t="shared" si="1"/>
        <v>0</v>
      </c>
      <c r="BU11" s="262">
        <f t="shared" si="1"/>
        <v>0</v>
      </c>
      <c r="BV11" s="262">
        <f t="shared" si="1"/>
        <v>0</v>
      </c>
      <c r="BW11" s="262">
        <f t="shared" si="1"/>
        <v>-584</v>
      </c>
      <c r="BX11" s="262">
        <f t="shared" si="1"/>
        <v>-584</v>
      </c>
      <c r="BY11" s="262">
        <f t="shared" si="1"/>
        <v>0</v>
      </c>
      <c r="BZ11" s="262">
        <f t="shared" si="1"/>
        <v>0</v>
      </c>
      <c r="CA11" s="262">
        <f t="shared" si="1"/>
        <v>-584</v>
      </c>
      <c r="CB11" s="262">
        <f t="shared" si="1"/>
        <v>0</v>
      </c>
      <c r="CC11" s="262">
        <f t="shared" si="1"/>
        <v>0</v>
      </c>
      <c r="CD11" s="262">
        <f t="shared" si="1"/>
        <v>0</v>
      </c>
      <c r="CE11" s="262">
        <f t="shared" si="1"/>
        <v>0</v>
      </c>
      <c r="CF11" s="262">
        <f t="shared" ref="CF11" si="7">SUM(CF12:CF25)</f>
        <v>0</v>
      </c>
      <c r="CG11" s="262">
        <f t="shared" si="1"/>
        <v>0</v>
      </c>
      <c r="CH11" s="262">
        <f t="shared" si="1"/>
        <v>0</v>
      </c>
      <c r="CI11" s="270">
        <f t="shared" si="1"/>
        <v>0</v>
      </c>
      <c r="CJ11" s="6"/>
      <c r="CK11" s="56"/>
      <c r="CQ11" s="10" t="e">
        <f>D11-#REF!</f>
        <v>#REF!</v>
      </c>
      <c r="CR11" s="10" t="e">
        <f>D11-#REF!</f>
        <v>#REF!</v>
      </c>
      <c r="CS11" s="10" t="e">
        <f>F11-#REF!</f>
        <v>#REF!</v>
      </c>
      <c r="CT11" s="10"/>
    </row>
    <row r="12" spans="1:98" ht="16.5" customHeight="1" thickTop="1" x14ac:dyDescent="0.2">
      <c r="A12" s="88">
        <v>90000056357</v>
      </c>
      <c r="B12" s="164" t="s">
        <v>5</v>
      </c>
      <c r="C12" s="232" t="s">
        <v>177</v>
      </c>
      <c r="D12" s="220">
        <f t="shared" ref="D12:D24" si="8">F12+AM12+BA12+BO12+BV12</f>
        <v>955650</v>
      </c>
      <c r="E12" s="208">
        <f t="shared" ref="E12:E24" si="9">G12+AN12+BB12+BP12+BW12</f>
        <v>986414</v>
      </c>
      <c r="F12" s="208">
        <v>931470</v>
      </c>
      <c r="G12" s="208">
        <f>F12+H12</f>
        <v>962930</v>
      </c>
      <c r="H12" s="208">
        <f t="shared" ref="H12:H24" si="10">SUM(I12:AL12)</f>
        <v>31460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>
        <v>11000</v>
      </c>
      <c r="Y12" s="208"/>
      <c r="Z12" s="208"/>
      <c r="AA12" s="208"/>
      <c r="AB12" s="208"/>
      <c r="AC12" s="208"/>
      <c r="AD12" s="208"/>
      <c r="AE12" s="208"/>
      <c r="AF12" s="208"/>
      <c r="AG12" s="208">
        <f>250+13716</f>
        <v>13966</v>
      </c>
      <c r="AH12" s="208"/>
      <c r="AI12" s="208">
        <v>6494</v>
      </c>
      <c r="AJ12" s="208"/>
      <c r="AK12" s="208"/>
      <c r="AL12" s="208"/>
      <c r="AM12" s="208">
        <v>0</v>
      </c>
      <c r="AN12" s="208">
        <f>AM12+AO12</f>
        <v>0</v>
      </c>
      <c r="AO12" s="208">
        <f>SUM(AP12:AZ12)</f>
        <v>0</v>
      </c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>
        <v>24180</v>
      </c>
      <c r="BB12" s="208">
        <f>BA12+BC12</f>
        <v>23484</v>
      </c>
      <c r="BC12" s="208">
        <f>SUM(BD12:BN12)</f>
        <v>-696</v>
      </c>
      <c r="BD12" s="208">
        <v>-696</v>
      </c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>
        <v>0</v>
      </c>
      <c r="BP12" s="208">
        <f>BO12+BQ12</f>
        <v>0</v>
      </c>
      <c r="BQ12" s="208">
        <f>SUM(BR12:BU12)</f>
        <v>0</v>
      </c>
      <c r="BR12" s="208"/>
      <c r="BS12" s="208"/>
      <c r="BT12" s="208"/>
      <c r="BU12" s="208"/>
      <c r="BV12" s="208"/>
      <c r="BW12" s="208">
        <f>BV12+BX12</f>
        <v>0</v>
      </c>
      <c r="BX12" s="208">
        <f t="shared" ref="BX12:BX24" si="11">SUM(BY12:CI12)</f>
        <v>0</v>
      </c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59"/>
      <c r="CJ12" s="54" t="s">
        <v>297</v>
      </c>
      <c r="CK12" s="136"/>
      <c r="CL12" s="230" t="s">
        <v>686</v>
      </c>
      <c r="CM12" s="10" t="s">
        <v>687</v>
      </c>
      <c r="CQ12" s="10" t="e">
        <f>D12-#REF!</f>
        <v>#REF!</v>
      </c>
      <c r="CR12" s="10" t="e">
        <f>D12-#REF!</f>
        <v>#REF!</v>
      </c>
      <c r="CS12" s="1" t="e">
        <f>F12-#REF!</f>
        <v>#REF!</v>
      </c>
    </row>
    <row r="13" spans="1:98" s="87" customFormat="1" ht="24" x14ac:dyDescent="0.2">
      <c r="A13" s="89"/>
      <c r="B13" s="165"/>
      <c r="C13" s="232" t="s">
        <v>244</v>
      </c>
      <c r="D13" s="220">
        <f t="shared" si="8"/>
        <v>152223</v>
      </c>
      <c r="E13" s="208">
        <f t="shared" si="9"/>
        <v>152223</v>
      </c>
      <c r="F13" s="208">
        <v>152223</v>
      </c>
      <c r="G13" s="208">
        <f t="shared" ref="G13:G24" si="12">F13+H13</f>
        <v>152223</v>
      </c>
      <c r="H13" s="208">
        <f t="shared" si="10"/>
        <v>0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>
        <v>0</v>
      </c>
      <c r="AN13" s="208">
        <f t="shared" ref="AN13:AN23" si="13">AM13+AO13</f>
        <v>0</v>
      </c>
      <c r="AO13" s="208">
        <f t="shared" ref="AO13:AO23" si="14">SUM(AP13:AZ13)</f>
        <v>0</v>
      </c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>
        <v>0</v>
      </c>
      <c r="BB13" s="208">
        <f t="shared" ref="BB13:BB23" si="15">BA13+BC13</f>
        <v>0</v>
      </c>
      <c r="BC13" s="208">
        <f t="shared" ref="BC13:BC23" si="16">SUM(BD13:BN13)</f>
        <v>0</v>
      </c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>
        <v>0</v>
      </c>
      <c r="BP13" s="208">
        <f t="shared" ref="BP13:BP23" si="17">BO13+BQ13</f>
        <v>0</v>
      </c>
      <c r="BQ13" s="208">
        <f t="shared" ref="BQ13:BQ23" si="18">SUM(BR13:BU13)</f>
        <v>0</v>
      </c>
      <c r="BR13" s="208"/>
      <c r="BS13" s="208"/>
      <c r="BT13" s="208"/>
      <c r="BU13" s="208"/>
      <c r="BV13" s="208"/>
      <c r="BW13" s="208">
        <f t="shared" ref="BW13:BW23" si="19">BV13+BX13</f>
        <v>0</v>
      </c>
      <c r="BX13" s="208">
        <f t="shared" si="11"/>
        <v>0</v>
      </c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59"/>
      <c r="CJ13" s="54" t="s">
        <v>298</v>
      </c>
      <c r="CK13" s="57"/>
      <c r="CL13" s="230" t="s">
        <v>686</v>
      </c>
      <c r="CM13" s="10" t="s">
        <v>687</v>
      </c>
      <c r="CQ13" s="10" t="e">
        <f>D13-#REF!</f>
        <v>#REF!</v>
      </c>
      <c r="CR13" s="10" t="e">
        <f>D13-#REF!</f>
        <v>#REF!</v>
      </c>
      <c r="CS13" s="87" t="e">
        <f>F13-#REF!</f>
        <v>#REF!</v>
      </c>
    </row>
    <row r="14" spans="1:98" ht="24" x14ac:dyDescent="0.2">
      <c r="A14" s="75"/>
      <c r="B14" s="159"/>
      <c r="C14" s="232" t="s">
        <v>218</v>
      </c>
      <c r="D14" s="220">
        <f t="shared" si="8"/>
        <v>736514</v>
      </c>
      <c r="E14" s="208">
        <f t="shared" si="9"/>
        <v>757794</v>
      </c>
      <c r="F14" s="208">
        <v>736514</v>
      </c>
      <c r="G14" s="208">
        <f t="shared" si="12"/>
        <v>757794</v>
      </c>
      <c r="H14" s="208">
        <f t="shared" si="10"/>
        <v>21280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>
        <v>21280</v>
      </c>
      <c r="AH14" s="208"/>
      <c r="AI14" s="208"/>
      <c r="AJ14" s="208"/>
      <c r="AK14" s="208"/>
      <c r="AL14" s="208"/>
      <c r="AM14" s="208">
        <v>0</v>
      </c>
      <c r="AN14" s="208">
        <f t="shared" si="13"/>
        <v>0</v>
      </c>
      <c r="AO14" s="208">
        <f t="shared" si="14"/>
        <v>0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>
        <v>0</v>
      </c>
      <c r="BB14" s="208">
        <f t="shared" si="15"/>
        <v>0</v>
      </c>
      <c r="BC14" s="208">
        <f t="shared" si="16"/>
        <v>0</v>
      </c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>
        <v>0</v>
      </c>
      <c r="BP14" s="208">
        <f t="shared" si="17"/>
        <v>0</v>
      </c>
      <c r="BQ14" s="208">
        <f t="shared" si="18"/>
        <v>0</v>
      </c>
      <c r="BR14" s="208"/>
      <c r="BS14" s="208"/>
      <c r="BT14" s="208"/>
      <c r="BU14" s="208"/>
      <c r="BV14" s="208"/>
      <c r="BW14" s="208">
        <f t="shared" si="19"/>
        <v>0</v>
      </c>
      <c r="BX14" s="208">
        <f t="shared" si="11"/>
        <v>0</v>
      </c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59"/>
      <c r="CJ14" s="54" t="s">
        <v>299</v>
      </c>
      <c r="CK14" s="57"/>
      <c r="CL14" s="230" t="s">
        <v>686</v>
      </c>
      <c r="CM14" s="10" t="s">
        <v>687</v>
      </c>
      <c r="CQ14" s="10" t="e">
        <f>D14-#REF!</f>
        <v>#REF!</v>
      </c>
      <c r="CR14" s="10" t="e">
        <f>D14-#REF!</f>
        <v>#REF!</v>
      </c>
      <c r="CS14" s="1" t="e">
        <f>F14-#REF!</f>
        <v>#REF!</v>
      </c>
    </row>
    <row r="15" spans="1:98" s="87" customFormat="1" x14ac:dyDescent="0.2">
      <c r="A15" s="75"/>
      <c r="B15" s="159"/>
      <c r="C15" s="231" t="s">
        <v>255</v>
      </c>
      <c r="D15" s="220">
        <f t="shared" si="8"/>
        <v>2117130</v>
      </c>
      <c r="E15" s="208">
        <f t="shared" si="9"/>
        <v>706010</v>
      </c>
      <c r="F15" s="208">
        <v>2117130</v>
      </c>
      <c r="G15" s="208">
        <f t="shared" si="12"/>
        <v>706010</v>
      </c>
      <c r="H15" s="208">
        <f t="shared" si="10"/>
        <v>-1411120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>
        <v>-1411120</v>
      </c>
      <c r="AH15" s="208"/>
      <c r="AI15" s="208"/>
      <c r="AJ15" s="208"/>
      <c r="AK15" s="208"/>
      <c r="AL15" s="208"/>
      <c r="AM15" s="208">
        <v>0</v>
      </c>
      <c r="AN15" s="208">
        <f t="shared" si="13"/>
        <v>0</v>
      </c>
      <c r="AO15" s="208">
        <f t="shared" si="14"/>
        <v>0</v>
      </c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>
        <v>0</v>
      </c>
      <c r="BB15" s="208">
        <f t="shared" si="15"/>
        <v>0</v>
      </c>
      <c r="BC15" s="208">
        <f t="shared" si="16"/>
        <v>0</v>
      </c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>
        <v>0</v>
      </c>
      <c r="BP15" s="208">
        <f t="shared" si="17"/>
        <v>0</v>
      </c>
      <c r="BQ15" s="208">
        <f t="shared" si="18"/>
        <v>0</v>
      </c>
      <c r="BR15" s="208"/>
      <c r="BS15" s="208"/>
      <c r="BT15" s="208"/>
      <c r="BU15" s="208"/>
      <c r="BV15" s="208"/>
      <c r="BW15" s="208">
        <f t="shared" si="19"/>
        <v>0</v>
      </c>
      <c r="BX15" s="208">
        <f t="shared" si="11"/>
        <v>0</v>
      </c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59"/>
      <c r="CJ15" s="54" t="s">
        <v>300</v>
      </c>
      <c r="CK15" s="57" t="s">
        <v>420</v>
      </c>
      <c r="CL15" s="230" t="s">
        <v>688</v>
      </c>
      <c r="CM15" s="10" t="s">
        <v>688</v>
      </c>
      <c r="CQ15" s="10" t="e">
        <f>D15-#REF!</f>
        <v>#REF!</v>
      </c>
      <c r="CR15" s="10" t="e">
        <f>D15-#REF!</f>
        <v>#REF!</v>
      </c>
      <c r="CS15" s="87" t="e">
        <f>F15-#REF!</f>
        <v>#REF!</v>
      </c>
    </row>
    <row r="16" spans="1:98" s="116" customFormat="1" ht="24" x14ac:dyDescent="0.2">
      <c r="A16" s="75"/>
      <c r="B16" s="159"/>
      <c r="C16" s="231" t="s">
        <v>245</v>
      </c>
      <c r="D16" s="220">
        <f t="shared" si="8"/>
        <v>158664</v>
      </c>
      <c r="E16" s="208">
        <f t="shared" si="9"/>
        <v>253533</v>
      </c>
      <c r="F16" s="208">
        <v>158664</v>
      </c>
      <c r="G16" s="208">
        <f t="shared" si="12"/>
        <v>253533</v>
      </c>
      <c r="H16" s="208">
        <f t="shared" si="10"/>
        <v>94869</v>
      </c>
      <c r="I16" s="208"/>
      <c r="J16" s="208"/>
      <c r="K16" s="208"/>
      <c r="L16" s="208"/>
      <c r="M16" s="208">
        <v>116583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>
        <v>-21714</v>
      </c>
      <c r="AH16" s="208"/>
      <c r="AI16" s="208"/>
      <c r="AJ16" s="208"/>
      <c r="AK16" s="208"/>
      <c r="AL16" s="208"/>
      <c r="AM16" s="208">
        <v>0</v>
      </c>
      <c r="AN16" s="208">
        <f t="shared" si="13"/>
        <v>0</v>
      </c>
      <c r="AO16" s="208">
        <f t="shared" si="14"/>
        <v>0</v>
      </c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>
        <v>0</v>
      </c>
      <c r="BB16" s="208">
        <f t="shared" si="15"/>
        <v>0</v>
      </c>
      <c r="BC16" s="208">
        <f t="shared" si="16"/>
        <v>0</v>
      </c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>
        <v>0</v>
      </c>
      <c r="BP16" s="208">
        <f t="shared" si="17"/>
        <v>0</v>
      </c>
      <c r="BQ16" s="208">
        <f t="shared" si="18"/>
        <v>0</v>
      </c>
      <c r="BR16" s="208"/>
      <c r="BS16" s="208"/>
      <c r="BT16" s="208"/>
      <c r="BU16" s="208"/>
      <c r="BV16" s="208"/>
      <c r="BW16" s="208">
        <f t="shared" si="19"/>
        <v>0</v>
      </c>
      <c r="BX16" s="208">
        <f t="shared" si="11"/>
        <v>0</v>
      </c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59"/>
      <c r="CJ16" s="54" t="s">
        <v>301</v>
      </c>
      <c r="CK16" s="57" t="s">
        <v>422</v>
      </c>
      <c r="CL16" s="230" t="s">
        <v>688</v>
      </c>
      <c r="CM16" s="10" t="s">
        <v>688</v>
      </c>
      <c r="CQ16" s="10" t="e">
        <f>D16-#REF!</f>
        <v>#REF!</v>
      </c>
      <c r="CR16" s="10" t="e">
        <f>D16-#REF!</f>
        <v>#REF!</v>
      </c>
      <c r="CS16" s="116" t="e">
        <f>F16-#REF!</f>
        <v>#REF!</v>
      </c>
    </row>
    <row r="17" spans="1:97" s="130" customFormat="1" ht="36" x14ac:dyDescent="0.2">
      <c r="A17" s="75"/>
      <c r="B17" s="159"/>
      <c r="C17" s="233" t="s">
        <v>634</v>
      </c>
      <c r="D17" s="220">
        <f t="shared" si="8"/>
        <v>24905</v>
      </c>
      <c r="E17" s="208">
        <f t="shared" si="9"/>
        <v>21660</v>
      </c>
      <c r="F17" s="208">
        <v>24905</v>
      </c>
      <c r="G17" s="208">
        <f t="shared" si="12"/>
        <v>21660</v>
      </c>
      <c r="H17" s="208">
        <f t="shared" si="10"/>
        <v>-3245</v>
      </c>
      <c r="I17" s="208"/>
      <c r="J17" s="208"/>
      <c r="K17" s="208"/>
      <c r="L17" s="208"/>
      <c r="M17" s="208">
        <v>864</v>
      </c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>
        <v>-4109</v>
      </c>
      <c r="AH17" s="208"/>
      <c r="AI17" s="208"/>
      <c r="AJ17" s="208"/>
      <c r="AK17" s="208"/>
      <c r="AL17" s="208"/>
      <c r="AM17" s="208">
        <v>0</v>
      </c>
      <c r="AN17" s="208">
        <f t="shared" si="13"/>
        <v>0</v>
      </c>
      <c r="AO17" s="208">
        <f t="shared" si="14"/>
        <v>0</v>
      </c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>
        <v>0</v>
      </c>
      <c r="BB17" s="208">
        <f t="shared" si="15"/>
        <v>0</v>
      </c>
      <c r="BC17" s="208">
        <f t="shared" si="16"/>
        <v>0</v>
      </c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>
        <v>0</v>
      </c>
      <c r="BP17" s="208">
        <f t="shared" si="17"/>
        <v>0</v>
      </c>
      <c r="BQ17" s="208">
        <f t="shared" si="18"/>
        <v>0</v>
      </c>
      <c r="BR17" s="208"/>
      <c r="BS17" s="208"/>
      <c r="BT17" s="208"/>
      <c r="BU17" s="208"/>
      <c r="BV17" s="208"/>
      <c r="BW17" s="208">
        <f t="shared" si="19"/>
        <v>0</v>
      </c>
      <c r="BX17" s="208">
        <f t="shared" si="11"/>
        <v>0</v>
      </c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59"/>
      <c r="CJ17" s="54" t="s">
        <v>473</v>
      </c>
      <c r="CK17" s="57"/>
      <c r="CL17" s="230" t="s">
        <v>689</v>
      </c>
      <c r="CM17" s="230" t="s">
        <v>689</v>
      </c>
      <c r="CQ17" s="10" t="e">
        <f>D17-#REF!</f>
        <v>#REF!</v>
      </c>
      <c r="CR17" s="10" t="e">
        <f>D17-#REF!</f>
        <v>#REF!</v>
      </c>
      <c r="CS17" s="130" t="e">
        <f>F17-#REF!</f>
        <v>#REF!</v>
      </c>
    </row>
    <row r="18" spans="1:97" s="87" customFormat="1" ht="24" x14ac:dyDescent="0.2">
      <c r="A18" s="75"/>
      <c r="B18" s="159"/>
      <c r="C18" s="231" t="s">
        <v>256</v>
      </c>
      <c r="D18" s="220">
        <f t="shared" si="8"/>
        <v>0</v>
      </c>
      <c r="E18" s="208">
        <f t="shared" si="9"/>
        <v>0</v>
      </c>
      <c r="F18" s="208">
        <v>0</v>
      </c>
      <c r="G18" s="208">
        <f t="shared" si="12"/>
        <v>0</v>
      </c>
      <c r="H18" s="208">
        <f t="shared" si="10"/>
        <v>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>
        <v>0</v>
      </c>
      <c r="AN18" s="208">
        <f t="shared" si="13"/>
        <v>0</v>
      </c>
      <c r="AO18" s="208">
        <f t="shared" si="14"/>
        <v>0</v>
      </c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>
        <v>0</v>
      </c>
      <c r="BB18" s="208">
        <f t="shared" si="15"/>
        <v>0</v>
      </c>
      <c r="BC18" s="208">
        <f t="shared" si="16"/>
        <v>0</v>
      </c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>
        <v>0</v>
      </c>
      <c r="BP18" s="208">
        <f t="shared" si="17"/>
        <v>0</v>
      </c>
      <c r="BQ18" s="208">
        <f t="shared" si="18"/>
        <v>0</v>
      </c>
      <c r="BR18" s="208"/>
      <c r="BS18" s="208"/>
      <c r="BT18" s="208"/>
      <c r="BU18" s="208"/>
      <c r="BV18" s="208"/>
      <c r="BW18" s="208">
        <f t="shared" si="19"/>
        <v>0</v>
      </c>
      <c r="BX18" s="208">
        <f t="shared" si="11"/>
        <v>0</v>
      </c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59"/>
      <c r="CJ18" s="54" t="s">
        <v>729</v>
      </c>
      <c r="CK18" s="58" t="s">
        <v>749</v>
      </c>
      <c r="CL18" s="230" t="s">
        <v>688</v>
      </c>
      <c r="CM18" s="10" t="s">
        <v>688</v>
      </c>
      <c r="CQ18" s="10" t="e">
        <f>D18-#REF!</f>
        <v>#REF!</v>
      </c>
      <c r="CR18" s="10" t="e">
        <f>D18-#REF!</f>
        <v>#REF!</v>
      </c>
      <c r="CS18" s="87" t="e">
        <f>F18-#REF!</f>
        <v>#REF!</v>
      </c>
    </row>
    <row r="19" spans="1:97" ht="12" customHeight="1" x14ac:dyDescent="0.2">
      <c r="A19" s="75"/>
      <c r="B19" s="158" t="s">
        <v>162</v>
      </c>
      <c r="C19" s="232" t="s">
        <v>121</v>
      </c>
      <c r="D19" s="220">
        <f t="shared" si="8"/>
        <v>241000</v>
      </c>
      <c r="E19" s="208">
        <f t="shared" si="9"/>
        <v>524513</v>
      </c>
      <c r="F19" s="208">
        <v>241000</v>
      </c>
      <c r="G19" s="208">
        <f t="shared" si="12"/>
        <v>524513</v>
      </c>
      <c r="H19" s="208">
        <f t="shared" si="10"/>
        <v>283513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>
        <f>268513+15000</f>
        <v>283513</v>
      </c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>
        <v>0</v>
      </c>
      <c r="AN19" s="208">
        <f t="shared" si="13"/>
        <v>0</v>
      </c>
      <c r="AO19" s="208">
        <f t="shared" si="14"/>
        <v>0</v>
      </c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>
        <v>0</v>
      </c>
      <c r="BB19" s="208">
        <f t="shared" si="15"/>
        <v>0</v>
      </c>
      <c r="BC19" s="208">
        <f t="shared" si="16"/>
        <v>0</v>
      </c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>
        <v>0</v>
      </c>
      <c r="BP19" s="208">
        <f t="shared" si="17"/>
        <v>0</v>
      </c>
      <c r="BQ19" s="208">
        <f t="shared" si="18"/>
        <v>0</v>
      </c>
      <c r="BR19" s="208"/>
      <c r="BS19" s="208"/>
      <c r="BT19" s="208"/>
      <c r="BU19" s="208"/>
      <c r="BV19" s="208"/>
      <c r="BW19" s="208">
        <f t="shared" si="19"/>
        <v>0</v>
      </c>
      <c r="BX19" s="208">
        <f t="shared" si="11"/>
        <v>0</v>
      </c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59"/>
      <c r="CJ19" s="54" t="s">
        <v>514</v>
      </c>
      <c r="CK19" s="57"/>
      <c r="CL19" s="230" t="s">
        <v>686</v>
      </c>
      <c r="CM19" s="10" t="s">
        <v>687</v>
      </c>
      <c r="CQ19" s="10" t="e">
        <f>D19-#REF!</f>
        <v>#REF!</v>
      </c>
      <c r="CR19" s="10" t="e">
        <f>D19-#REF!</f>
        <v>#REF!</v>
      </c>
      <c r="CS19" s="1" t="e">
        <f>F19-#REF!</f>
        <v>#REF!</v>
      </c>
    </row>
    <row r="20" spans="1:97" ht="14.25" customHeight="1" x14ac:dyDescent="0.2">
      <c r="A20" s="75"/>
      <c r="B20" s="159"/>
      <c r="C20" s="232" t="s">
        <v>178</v>
      </c>
      <c r="D20" s="220">
        <f t="shared" si="8"/>
        <v>9392022</v>
      </c>
      <c r="E20" s="208">
        <f t="shared" si="9"/>
        <v>9585661</v>
      </c>
      <c r="F20" s="208">
        <v>9392022</v>
      </c>
      <c r="G20" s="208">
        <f t="shared" si="12"/>
        <v>9585661</v>
      </c>
      <c r="H20" s="208">
        <f t="shared" si="10"/>
        <v>193639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>
        <f>193639</f>
        <v>193639</v>
      </c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>
        <v>0</v>
      </c>
      <c r="AN20" s="208">
        <f t="shared" si="13"/>
        <v>0</v>
      </c>
      <c r="AO20" s="208">
        <f t="shared" si="14"/>
        <v>0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>
        <v>0</v>
      </c>
      <c r="BB20" s="208">
        <f t="shared" si="15"/>
        <v>0</v>
      </c>
      <c r="BC20" s="208">
        <f t="shared" si="16"/>
        <v>0</v>
      </c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>
        <v>0</v>
      </c>
      <c r="BP20" s="208">
        <f t="shared" si="17"/>
        <v>0</v>
      </c>
      <c r="BQ20" s="208">
        <f t="shared" si="18"/>
        <v>0</v>
      </c>
      <c r="BR20" s="208"/>
      <c r="BS20" s="208"/>
      <c r="BT20" s="208"/>
      <c r="BU20" s="208"/>
      <c r="BV20" s="208"/>
      <c r="BW20" s="208">
        <f t="shared" si="19"/>
        <v>0</v>
      </c>
      <c r="BX20" s="208">
        <f t="shared" si="11"/>
        <v>0</v>
      </c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59"/>
      <c r="CJ20" s="54" t="s">
        <v>515</v>
      </c>
      <c r="CK20" s="57"/>
      <c r="CL20" s="230" t="s">
        <v>686</v>
      </c>
      <c r="CM20" s="10" t="s">
        <v>687</v>
      </c>
      <c r="CQ20" s="10" t="e">
        <f>D20-#REF!</f>
        <v>#REF!</v>
      </c>
      <c r="CR20" s="10" t="e">
        <f>D20-#REF!</f>
        <v>#REF!</v>
      </c>
      <c r="CS20" s="1" t="e">
        <f>F20-#REF!</f>
        <v>#REF!</v>
      </c>
    </row>
    <row r="21" spans="1:97" x14ac:dyDescent="0.2">
      <c r="A21" s="75"/>
      <c r="B21" s="167"/>
      <c r="C21" s="232" t="s">
        <v>179</v>
      </c>
      <c r="D21" s="220">
        <f t="shared" si="8"/>
        <v>150000</v>
      </c>
      <c r="E21" s="208">
        <f t="shared" si="9"/>
        <v>158488</v>
      </c>
      <c r="F21" s="208">
        <f>200000-50000</f>
        <v>150000</v>
      </c>
      <c r="G21" s="208">
        <f t="shared" si="12"/>
        <v>158488</v>
      </c>
      <c r="H21" s="208">
        <f t="shared" si="10"/>
        <v>8488</v>
      </c>
      <c r="I21" s="208"/>
      <c r="J21" s="208">
        <v>-4485</v>
      </c>
      <c r="K21" s="208">
        <v>-599</v>
      </c>
      <c r="L21" s="208">
        <v>-4970</v>
      </c>
      <c r="M21" s="208"/>
      <c r="N21" s="208">
        <v>-6009</v>
      </c>
      <c r="O21" s="208">
        <v>-2579</v>
      </c>
      <c r="P21" s="208">
        <v>53176</v>
      </c>
      <c r="Q21" s="208"/>
      <c r="R21" s="208"/>
      <c r="S21" s="208"/>
      <c r="T21" s="208"/>
      <c r="U21" s="208"/>
      <c r="V21" s="208">
        <v>-6542</v>
      </c>
      <c r="W21" s="208"/>
      <c r="X21" s="208"/>
      <c r="Y21" s="208"/>
      <c r="Z21" s="208"/>
      <c r="AA21" s="208"/>
      <c r="AB21" s="208"/>
      <c r="AC21" s="208">
        <v>-2578</v>
      </c>
      <c r="AD21" s="208">
        <f>-2081</f>
        <v>-2081</v>
      </c>
      <c r="AE21" s="208">
        <v>-7837</v>
      </c>
      <c r="AF21" s="208">
        <v>-1272</v>
      </c>
      <c r="AG21" s="208"/>
      <c r="AH21" s="208">
        <v>-5736</v>
      </c>
      <c r="AI21" s="208"/>
      <c r="AJ21" s="208"/>
      <c r="AK21" s="208"/>
      <c r="AL21" s="208"/>
      <c r="AM21" s="208">
        <v>0</v>
      </c>
      <c r="AN21" s="208">
        <f t="shared" si="13"/>
        <v>0</v>
      </c>
      <c r="AO21" s="208">
        <f t="shared" si="14"/>
        <v>0</v>
      </c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>
        <v>0</v>
      </c>
      <c r="BB21" s="208">
        <f t="shared" si="15"/>
        <v>0</v>
      </c>
      <c r="BC21" s="208">
        <f t="shared" si="16"/>
        <v>0</v>
      </c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>
        <v>0</v>
      </c>
      <c r="BP21" s="208">
        <f t="shared" si="17"/>
        <v>0</v>
      </c>
      <c r="BQ21" s="208">
        <f t="shared" si="18"/>
        <v>0</v>
      </c>
      <c r="BR21" s="208"/>
      <c r="BS21" s="208"/>
      <c r="BT21" s="208"/>
      <c r="BU21" s="208"/>
      <c r="BV21" s="208"/>
      <c r="BW21" s="208">
        <f t="shared" si="19"/>
        <v>0</v>
      </c>
      <c r="BX21" s="208">
        <f t="shared" si="11"/>
        <v>0</v>
      </c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59"/>
      <c r="CJ21" s="54" t="s">
        <v>516</v>
      </c>
      <c r="CK21" s="57"/>
      <c r="CL21" s="230" t="s">
        <v>686</v>
      </c>
      <c r="CM21" s="10" t="s">
        <v>687</v>
      </c>
      <c r="CQ21" s="10" t="e">
        <f>D21-#REF!</f>
        <v>#REF!</v>
      </c>
      <c r="CR21" s="10" t="e">
        <f>D21-#REF!</f>
        <v>#REF!</v>
      </c>
      <c r="CS21" s="1" t="e">
        <f>F21-#REF!</f>
        <v>#REF!</v>
      </c>
    </row>
    <row r="22" spans="1:97" s="93" customFormat="1" x14ac:dyDescent="0.2">
      <c r="A22" s="75"/>
      <c r="B22" s="167"/>
      <c r="C22" s="232" t="s">
        <v>435</v>
      </c>
      <c r="D22" s="220">
        <f t="shared" si="8"/>
        <v>366513</v>
      </c>
      <c r="E22" s="208">
        <f t="shared" si="9"/>
        <v>98000</v>
      </c>
      <c r="F22" s="208">
        <f>416513-50000</f>
        <v>366513</v>
      </c>
      <c r="G22" s="208">
        <f t="shared" si="12"/>
        <v>98000</v>
      </c>
      <c r="H22" s="208">
        <f t="shared" si="10"/>
        <v>-268513</v>
      </c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>
        <v>-268513</v>
      </c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>
        <v>0</v>
      </c>
      <c r="AN22" s="208">
        <f t="shared" si="13"/>
        <v>0</v>
      </c>
      <c r="AO22" s="208">
        <f t="shared" si="14"/>
        <v>0</v>
      </c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>
        <v>0</v>
      </c>
      <c r="BB22" s="208">
        <f t="shared" si="15"/>
        <v>0</v>
      </c>
      <c r="BC22" s="208">
        <f t="shared" si="16"/>
        <v>0</v>
      </c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>
        <v>0</v>
      </c>
      <c r="BP22" s="208">
        <f t="shared" si="17"/>
        <v>0</v>
      </c>
      <c r="BQ22" s="208">
        <f t="shared" si="18"/>
        <v>0</v>
      </c>
      <c r="BR22" s="208"/>
      <c r="BS22" s="208"/>
      <c r="BT22" s="208"/>
      <c r="BU22" s="208"/>
      <c r="BV22" s="208"/>
      <c r="BW22" s="208">
        <f t="shared" si="19"/>
        <v>0</v>
      </c>
      <c r="BX22" s="208">
        <f t="shared" si="11"/>
        <v>0</v>
      </c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59"/>
      <c r="CJ22" s="54" t="s">
        <v>517</v>
      </c>
      <c r="CK22" s="57"/>
      <c r="CL22" s="230" t="s">
        <v>686</v>
      </c>
      <c r="CM22" s="10" t="s">
        <v>687</v>
      </c>
      <c r="CQ22" s="10" t="e">
        <f>D22-#REF!</f>
        <v>#REF!</v>
      </c>
      <c r="CR22" s="10" t="e">
        <f>D22-#REF!</f>
        <v>#REF!</v>
      </c>
      <c r="CS22" s="93" t="e">
        <f>F22-#REF!</f>
        <v>#REF!</v>
      </c>
    </row>
    <row r="23" spans="1:97" s="130" customFormat="1" x14ac:dyDescent="0.2">
      <c r="A23" s="75"/>
      <c r="B23" s="167"/>
      <c r="C23" s="232" t="s">
        <v>631</v>
      </c>
      <c r="D23" s="220">
        <f t="shared" si="8"/>
        <v>428</v>
      </c>
      <c r="E23" s="208">
        <f t="shared" si="9"/>
        <v>12095</v>
      </c>
      <c r="F23" s="208">
        <v>428</v>
      </c>
      <c r="G23" s="208">
        <f t="shared" si="12"/>
        <v>428</v>
      </c>
      <c r="H23" s="208">
        <f t="shared" si="10"/>
        <v>0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>
        <v>0</v>
      </c>
      <c r="AN23" s="208">
        <f t="shared" si="13"/>
        <v>11667</v>
      </c>
      <c r="AO23" s="208">
        <f t="shared" si="14"/>
        <v>11667</v>
      </c>
      <c r="AP23" s="208">
        <f>6003+442+35+5187</f>
        <v>11667</v>
      </c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>
        <v>0</v>
      </c>
      <c r="BB23" s="208">
        <f t="shared" si="15"/>
        <v>0</v>
      </c>
      <c r="BC23" s="208">
        <f t="shared" si="16"/>
        <v>0</v>
      </c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>
        <v>0</v>
      </c>
      <c r="BP23" s="208">
        <f t="shared" si="17"/>
        <v>0</v>
      </c>
      <c r="BQ23" s="208">
        <f t="shared" si="18"/>
        <v>0</v>
      </c>
      <c r="BR23" s="208"/>
      <c r="BS23" s="208"/>
      <c r="BT23" s="208"/>
      <c r="BU23" s="208"/>
      <c r="BV23" s="208"/>
      <c r="BW23" s="208">
        <f t="shared" si="19"/>
        <v>0</v>
      </c>
      <c r="BX23" s="208">
        <f t="shared" si="11"/>
        <v>0</v>
      </c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59"/>
      <c r="CJ23" s="54" t="s">
        <v>632</v>
      </c>
      <c r="CK23" s="57"/>
      <c r="CL23" s="230" t="s">
        <v>686</v>
      </c>
      <c r="CM23" s="10" t="s">
        <v>687</v>
      </c>
      <c r="CQ23" s="10" t="e">
        <f>D23-#REF!</f>
        <v>#REF!</v>
      </c>
      <c r="CR23" s="10" t="e">
        <f>D23-#REF!</f>
        <v>#REF!</v>
      </c>
      <c r="CS23" s="130" t="e">
        <f>F23-#REF!</f>
        <v>#REF!</v>
      </c>
    </row>
    <row r="24" spans="1:97" s="130" customFormat="1" ht="12" customHeight="1" x14ac:dyDescent="0.2">
      <c r="A24" s="75">
        <v>90000543728</v>
      </c>
      <c r="B24" s="159" t="s">
        <v>781</v>
      </c>
      <c r="C24" s="330" t="s">
        <v>177</v>
      </c>
      <c r="D24" s="220">
        <f t="shared" si="8"/>
        <v>0</v>
      </c>
      <c r="E24" s="208">
        <f t="shared" si="9"/>
        <v>3901</v>
      </c>
      <c r="F24" s="208"/>
      <c r="G24" s="208">
        <f t="shared" si="12"/>
        <v>4485</v>
      </c>
      <c r="H24" s="208">
        <f t="shared" si="10"/>
        <v>4485</v>
      </c>
      <c r="I24" s="208"/>
      <c r="J24" s="208">
        <v>4485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>
        <f t="shared" ref="AN24" si="20">AM24+AO24</f>
        <v>0</v>
      </c>
      <c r="AO24" s="208">
        <f t="shared" ref="AO24" si="21">SUM(AP24:AZ24)</f>
        <v>0</v>
      </c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>
        <f t="shared" ref="BB24" si="22">BA24+BC24</f>
        <v>0</v>
      </c>
      <c r="BC24" s="208">
        <f t="shared" ref="BC24" si="23">SUM(BD24:BN24)</f>
        <v>0</v>
      </c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>
        <f t="shared" ref="BP24" si="24">BO24+BQ24</f>
        <v>0</v>
      </c>
      <c r="BQ24" s="208">
        <f t="shared" ref="BQ24" si="25">SUM(BR24:BU24)</f>
        <v>0</v>
      </c>
      <c r="BR24" s="208"/>
      <c r="BS24" s="208"/>
      <c r="BT24" s="208"/>
      <c r="BU24" s="208"/>
      <c r="BV24" s="208"/>
      <c r="BW24" s="208">
        <f t="shared" ref="BW24" si="26">BV24+BX24</f>
        <v>-584</v>
      </c>
      <c r="BX24" s="208">
        <f t="shared" si="11"/>
        <v>-584</v>
      </c>
      <c r="BY24" s="208"/>
      <c r="BZ24" s="208"/>
      <c r="CA24" s="208">
        <v>-584</v>
      </c>
      <c r="CB24" s="208"/>
      <c r="CC24" s="208"/>
      <c r="CD24" s="208"/>
      <c r="CE24" s="208"/>
      <c r="CF24" s="208"/>
      <c r="CG24" s="208"/>
      <c r="CH24" s="208"/>
      <c r="CI24" s="259"/>
      <c r="CJ24" s="54" t="s">
        <v>782</v>
      </c>
      <c r="CK24" s="57"/>
      <c r="CL24" s="230"/>
      <c r="CM24" s="10"/>
      <c r="CQ24" s="10"/>
      <c r="CR24" s="10"/>
    </row>
    <row r="25" spans="1:97" ht="16.5" customHeight="1" thickBot="1" x14ac:dyDescent="0.25">
      <c r="A25" s="98"/>
      <c r="B25" s="173"/>
      <c r="C25" s="186"/>
      <c r="D25" s="222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72"/>
      <c r="CJ25" s="53"/>
      <c r="CK25" s="58"/>
      <c r="CQ25" s="10" t="e">
        <f>D25-#REF!</f>
        <v>#REF!</v>
      </c>
      <c r="CR25" s="10" t="e">
        <f>D25-#REF!</f>
        <v>#REF!</v>
      </c>
      <c r="CS25" s="1" t="e">
        <f>F25-#REF!</f>
        <v>#REF!</v>
      </c>
    </row>
    <row r="26" spans="1:97" ht="24.75" thickBot="1" x14ac:dyDescent="0.25">
      <c r="A26" s="140" t="s">
        <v>6</v>
      </c>
      <c r="B26" s="90" t="s">
        <v>160</v>
      </c>
      <c r="C26" s="187"/>
      <c r="D26" s="223">
        <f t="shared" ref="D26:CI26" si="27">SUM(D27:D33)</f>
        <v>2975997</v>
      </c>
      <c r="E26" s="262">
        <f t="shared" si="27"/>
        <v>3161760</v>
      </c>
      <c r="F26" s="262">
        <f t="shared" si="27"/>
        <v>2937378</v>
      </c>
      <c r="G26" s="262">
        <f t="shared" si="27"/>
        <v>3120597</v>
      </c>
      <c r="H26" s="262">
        <f t="shared" si="27"/>
        <v>183219</v>
      </c>
      <c r="I26" s="262">
        <f t="shared" si="27"/>
        <v>0</v>
      </c>
      <c r="J26" s="262">
        <f t="shared" si="27"/>
        <v>0</v>
      </c>
      <c r="K26" s="262">
        <f t="shared" si="27"/>
        <v>0</v>
      </c>
      <c r="L26" s="262">
        <f t="shared" si="27"/>
        <v>4970</v>
      </c>
      <c r="M26" s="262">
        <f t="shared" si="27"/>
        <v>31747</v>
      </c>
      <c r="N26" s="262">
        <f t="shared" si="27"/>
        <v>0</v>
      </c>
      <c r="O26" s="262">
        <f t="shared" si="27"/>
        <v>0</v>
      </c>
      <c r="P26" s="262">
        <f t="shared" si="27"/>
        <v>0</v>
      </c>
      <c r="Q26" s="262">
        <f t="shared" si="27"/>
        <v>0</v>
      </c>
      <c r="R26" s="262">
        <f t="shared" ref="R26:AK26" si="28">SUM(R27:R33)</f>
        <v>500</v>
      </c>
      <c r="S26" s="262">
        <f t="shared" si="28"/>
        <v>0</v>
      </c>
      <c r="T26" s="262">
        <f t="shared" si="28"/>
        <v>0</v>
      </c>
      <c r="U26" s="262">
        <f t="shared" si="28"/>
        <v>1428</v>
      </c>
      <c r="V26" s="262">
        <f t="shared" si="28"/>
        <v>0</v>
      </c>
      <c r="W26" s="262">
        <f t="shared" si="28"/>
        <v>11900</v>
      </c>
      <c r="X26" s="262">
        <f t="shared" si="28"/>
        <v>0</v>
      </c>
      <c r="Y26" s="262">
        <f t="shared" si="28"/>
        <v>0</v>
      </c>
      <c r="Z26" s="262">
        <f t="shared" si="28"/>
        <v>23511</v>
      </c>
      <c r="AA26" s="262">
        <f t="shared" si="28"/>
        <v>18717</v>
      </c>
      <c r="AB26" s="262">
        <f t="shared" si="28"/>
        <v>0</v>
      </c>
      <c r="AC26" s="262">
        <f t="shared" si="28"/>
        <v>0</v>
      </c>
      <c r="AD26" s="262">
        <f t="shared" si="28"/>
        <v>0</v>
      </c>
      <c r="AE26" s="262">
        <f t="shared" ref="AE26:AI26" si="29">SUM(AE27:AE33)</f>
        <v>0</v>
      </c>
      <c r="AF26" s="262">
        <f t="shared" ref="AF26:AG26" si="30">SUM(AF27:AF33)</f>
        <v>0</v>
      </c>
      <c r="AG26" s="262">
        <f t="shared" si="30"/>
        <v>90446</v>
      </c>
      <c r="AH26" s="262">
        <f t="shared" si="29"/>
        <v>0</v>
      </c>
      <c r="AI26" s="262">
        <f t="shared" si="29"/>
        <v>0</v>
      </c>
      <c r="AJ26" s="262">
        <f t="shared" si="28"/>
        <v>0</v>
      </c>
      <c r="AK26" s="262">
        <f t="shared" si="28"/>
        <v>0</v>
      </c>
      <c r="AL26" s="262">
        <f t="shared" si="27"/>
        <v>0</v>
      </c>
      <c r="AM26" s="262">
        <f t="shared" si="27"/>
        <v>0</v>
      </c>
      <c r="AN26" s="262">
        <f t="shared" si="27"/>
        <v>0</v>
      </c>
      <c r="AO26" s="262">
        <f t="shared" si="27"/>
        <v>0</v>
      </c>
      <c r="AP26" s="262">
        <f t="shared" si="27"/>
        <v>0</v>
      </c>
      <c r="AQ26" s="262">
        <f t="shared" si="27"/>
        <v>0</v>
      </c>
      <c r="AR26" s="262">
        <f t="shared" si="27"/>
        <v>0</v>
      </c>
      <c r="AS26" s="262">
        <f t="shared" si="27"/>
        <v>0</v>
      </c>
      <c r="AT26" s="262">
        <f t="shared" si="27"/>
        <v>0</v>
      </c>
      <c r="AU26" s="262">
        <f t="shared" ref="AU26" si="31">SUM(AU27:AU33)</f>
        <v>0</v>
      </c>
      <c r="AV26" s="262">
        <f t="shared" si="27"/>
        <v>0</v>
      </c>
      <c r="AW26" s="262">
        <f t="shared" si="27"/>
        <v>0</v>
      </c>
      <c r="AX26" s="262">
        <f t="shared" si="27"/>
        <v>0</v>
      </c>
      <c r="AY26" s="262">
        <f t="shared" si="27"/>
        <v>0</v>
      </c>
      <c r="AZ26" s="262">
        <f t="shared" si="27"/>
        <v>0</v>
      </c>
      <c r="BA26" s="262">
        <f t="shared" si="27"/>
        <v>38619</v>
      </c>
      <c r="BB26" s="262">
        <f t="shared" si="27"/>
        <v>42564</v>
      </c>
      <c r="BC26" s="262">
        <f t="shared" si="27"/>
        <v>3945</v>
      </c>
      <c r="BD26" s="262">
        <f t="shared" si="27"/>
        <v>2627</v>
      </c>
      <c r="BE26" s="262">
        <f t="shared" si="27"/>
        <v>1304</v>
      </c>
      <c r="BF26" s="262">
        <f t="shared" si="27"/>
        <v>0</v>
      </c>
      <c r="BG26" s="262">
        <f t="shared" si="27"/>
        <v>0</v>
      </c>
      <c r="BH26" s="262">
        <f t="shared" ref="BH26" si="32">SUM(BH27:BH33)</f>
        <v>0</v>
      </c>
      <c r="BI26" s="262">
        <f t="shared" si="27"/>
        <v>0</v>
      </c>
      <c r="BJ26" s="262">
        <f t="shared" si="27"/>
        <v>14</v>
      </c>
      <c r="BK26" s="262">
        <f t="shared" si="27"/>
        <v>0</v>
      </c>
      <c r="BL26" s="262">
        <f t="shared" si="27"/>
        <v>0</v>
      </c>
      <c r="BM26" s="262">
        <f t="shared" si="27"/>
        <v>0</v>
      </c>
      <c r="BN26" s="262">
        <f t="shared" si="27"/>
        <v>0</v>
      </c>
      <c r="BO26" s="262">
        <f t="shared" si="27"/>
        <v>0</v>
      </c>
      <c r="BP26" s="262">
        <f t="shared" si="27"/>
        <v>0</v>
      </c>
      <c r="BQ26" s="262">
        <f t="shared" si="27"/>
        <v>0</v>
      </c>
      <c r="BR26" s="262">
        <f t="shared" si="27"/>
        <v>0</v>
      </c>
      <c r="BS26" s="262">
        <f t="shared" si="27"/>
        <v>0</v>
      </c>
      <c r="BT26" s="262">
        <f t="shared" si="27"/>
        <v>0</v>
      </c>
      <c r="BU26" s="262">
        <f t="shared" si="27"/>
        <v>0</v>
      </c>
      <c r="BV26" s="262">
        <f t="shared" si="27"/>
        <v>0</v>
      </c>
      <c r="BW26" s="262">
        <f t="shared" si="27"/>
        <v>-1401</v>
      </c>
      <c r="BX26" s="262">
        <f t="shared" si="27"/>
        <v>-1401</v>
      </c>
      <c r="BY26" s="262">
        <f t="shared" si="27"/>
        <v>-200</v>
      </c>
      <c r="BZ26" s="262">
        <f t="shared" si="27"/>
        <v>0</v>
      </c>
      <c r="CA26" s="262">
        <f t="shared" si="27"/>
        <v>-1201</v>
      </c>
      <c r="CB26" s="262">
        <f t="shared" si="27"/>
        <v>0</v>
      </c>
      <c r="CC26" s="262">
        <f t="shared" si="27"/>
        <v>0</v>
      </c>
      <c r="CD26" s="262">
        <f t="shared" si="27"/>
        <v>0</v>
      </c>
      <c r="CE26" s="262">
        <f t="shared" si="27"/>
        <v>0</v>
      </c>
      <c r="CF26" s="262">
        <f t="shared" ref="CF26" si="33">SUM(CF27:CF33)</f>
        <v>0</v>
      </c>
      <c r="CG26" s="262">
        <f t="shared" si="27"/>
        <v>0</v>
      </c>
      <c r="CH26" s="262">
        <f t="shared" si="27"/>
        <v>0</v>
      </c>
      <c r="CI26" s="270">
        <f t="shared" si="27"/>
        <v>0</v>
      </c>
      <c r="CJ26" s="7"/>
      <c r="CK26" s="59"/>
      <c r="CQ26" s="10" t="e">
        <f>D26-#REF!</f>
        <v>#REF!</v>
      </c>
      <c r="CR26" s="10" t="e">
        <f>D26-#REF!</f>
        <v>#REF!</v>
      </c>
      <c r="CS26" s="1" t="e">
        <f>F26-#REF!</f>
        <v>#REF!</v>
      </c>
    </row>
    <row r="27" spans="1:97" ht="15.75" customHeight="1" thickTop="1" x14ac:dyDescent="0.2">
      <c r="A27" s="92">
        <v>90000056357</v>
      </c>
      <c r="B27" s="164" t="s">
        <v>5</v>
      </c>
      <c r="C27" s="232" t="s">
        <v>177</v>
      </c>
      <c r="D27" s="220">
        <f t="shared" ref="D27:E32" si="34">F27+AM27+BA27+BO27+BV27</f>
        <v>187493</v>
      </c>
      <c r="E27" s="208">
        <f t="shared" si="34"/>
        <v>197942</v>
      </c>
      <c r="F27" s="208">
        <v>187493</v>
      </c>
      <c r="G27" s="208">
        <f t="shared" ref="G27:G32" si="35">F27+H27</f>
        <v>197942</v>
      </c>
      <c r="H27" s="208">
        <f t="shared" ref="H27:H32" si="36">SUM(I27:AL27)</f>
        <v>10449</v>
      </c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>
        <f>-267+10716</f>
        <v>10449</v>
      </c>
      <c r="AH27" s="208"/>
      <c r="AI27" s="208"/>
      <c r="AJ27" s="208"/>
      <c r="AK27" s="208"/>
      <c r="AL27" s="208"/>
      <c r="AM27" s="208">
        <v>0</v>
      </c>
      <c r="AN27" s="208">
        <f t="shared" ref="AN27:AN32" si="37">AM27+AO27</f>
        <v>0</v>
      </c>
      <c r="AO27" s="208">
        <f t="shared" ref="AO27:AO32" si="38">SUM(AP27:AZ27)</f>
        <v>0</v>
      </c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>
        <v>0</v>
      </c>
      <c r="BB27" s="208">
        <f t="shared" ref="BB27:BB32" si="39">BA27+BC27</f>
        <v>0</v>
      </c>
      <c r="BC27" s="208">
        <f t="shared" ref="BC27:BC32" si="40">SUM(BD27:BN27)</f>
        <v>0</v>
      </c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>
        <v>0</v>
      </c>
      <c r="BP27" s="208">
        <f t="shared" ref="BP27:BP32" si="41">BO27+BQ27</f>
        <v>0</v>
      </c>
      <c r="BQ27" s="208">
        <f t="shared" ref="BQ27:BQ32" si="42">SUM(BR27:BU27)</f>
        <v>0</v>
      </c>
      <c r="BR27" s="208"/>
      <c r="BS27" s="208"/>
      <c r="BT27" s="208"/>
      <c r="BU27" s="208"/>
      <c r="BV27" s="208"/>
      <c r="BW27" s="208">
        <f t="shared" ref="BW27:BW32" si="43">BV27+BX27</f>
        <v>0</v>
      </c>
      <c r="BX27" s="208">
        <f t="shared" ref="BX27:BX32" si="44">SUM(BY27:CI27)</f>
        <v>0</v>
      </c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59"/>
      <c r="CJ27" s="54" t="s">
        <v>302</v>
      </c>
      <c r="CK27" s="57"/>
      <c r="CL27" s="230" t="s">
        <v>686</v>
      </c>
      <c r="CM27" s="10" t="s">
        <v>687</v>
      </c>
      <c r="CQ27" s="10" t="e">
        <f>D27-#REF!</f>
        <v>#REF!</v>
      </c>
      <c r="CR27" s="10" t="e">
        <f>D27-#REF!</f>
        <v>#REF!</v>
      </c>
      <c r="CS27" s="1" t="e">
        <f>F27-#REF!</f>
        <v>#REF!</v>
      </c>
    </row>
    <row r="28" spans="1:97" s="87" customFormat="1" ht="24" x14ac:dyDescent="0.2">
      <c r="A28" s="91"/>
      <c r="B28" s="165"/>
      <c r="C28" s="231" t="s">
        <v>180</v>
      </c>
      <c r="D28" s="220">
        <f t="shared" si="34"/>
        <v>224397</v>
      </c>
      <c r="E28" s="208">
        <f t="shared" si="34"/>
        <v>290116</v>
      </c>
      <c r="F28" s="208">
        <v>200280</v>
      </c>
      <c r="G28" s="208">
        <f t="shared" si="35"/>
        <v>266808</v>
      </c>
      <c r="H28" s="208">
        <f t="shared" si="36"/>
        <v>66528</v>
      </c>
      <c r="I28" s="208"/>
      <c r="J28" s="208"/>
      <c r="K28" s="208"/>
      <c r="L28" s="208"/>
      <c r="M28" s="208">
        <v>12400</v>
      </c>
      <c r="N28" s="208"/>
      <c r="O28" s="208"/>
      <c r="P28" s="208"/>
      <c r="Q28" s="208"/>
      <c r="R28" s="208"/>
      <c r="S28" s="208"/>
      <c r="T28" s="208"/>
      <c r="U28" s="208"/>
      <c r="V28" s="208"/>
      <c r="W28" s="208">
        <v>11900</v>
      </c>
      <c r="X28" s="208"/>
      <c r="Y28" s="208"/>
      <c r="Z28" s="208">
        <v>23511</v>
      </c>
      <c r="AA28" s="208">
        <v>18717</v>
      </c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>
        <v>0</v>
      </c>
      <c r="AN28" s="208">
        <f t="shared" si="37"/>
        <v>0</v>
      </c>
      <c r="AO28" s="208">
        <f t="shared" si="38"/>
        <v>0</v>
      </c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>
        <v>24117</v>
      </c>
      <c r="BB28" s="208">
        <f t="shared" si="39"/>
        <v>23308</v>
      </c>
      <c r="BC28" s="208">
        <f t="shared" si="40"/>
        <v>-809</v>
      </c>
      <c r="BD28" s="208">
        <v>-809</v>
      </c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>
        <v>0</v>
      </c>
      <c r="BP28" s="208">
        <f t="shared" si="41"/>
        <v>0</v>
      </c>
      <c r="BQ28" s="208">
        <f t="shared" si="42"/>
        <v>0</v>
      </c>
      <c r="BR28" s="208"/>
      <c r="BS28" s="208"/>
      <c r="BT28" s="208"/>
      <c r="BU28" s="208"/>
      <c r="BV28" s="208"/>
      <c r="BW28" s="208">
        <f t="shared" si="43"/>
        <v>0</v>
      </c>
      <c r="BX28" s="208">
        <f t="shared" si="44"/>
        <v>0</v>
      </c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59"/>
      <c r="CJ28" s="54" t="s">
        <v>303</v>
      </c>
      <c r="CK28" s="57" t="s">
        <v>421</v>
      </c>
      <c r="CL28" s="230" t="s">
        <v>688</v>
      </c>
      <c r="CM28" s="10" t="s">
        <v>688</v>
      </c>
      <c r="CQ28" s="10" t="e">
        <f>D28-#REF!</f>
        <v>#REF!</v>
      </c>
      <c r="CR28" s="10" t="e">
        <f>D28-#REF!</f>
        <v>#REF!</v>
      </c>
      <c r="CS28" s="87" t="e">
        <f>F28-#REF!</f>
        <v>#REF!</v>
      </c>
    </row>
    <row r="29" spans="1:97" s="130" customFormat="1" ht="24" x14ac:dyDescent="0.2">
      <c r="A29" s="75"/>
      <c r="B29" s="159"/>
      <c r="C29" s="233" t="s">
        <v>592</v>
      </c>
      <c r="D29" s="220">
        <f t="shared" si="34"/>
        <v>10673</v>
      </c>
      <c r="E29" s="210">
        <f t="shared" si="34"/>
        <v>20493</v>
      </c>
      <c r="F29" s="210">
        <v>10673</v>
      </c>
      <c r="G29" s="210">
        <f t="shared" si="35"/>
        <v>20493</v>
      </c>
      <c r="H29" s="210">
        <f t="shared" si="36"/>
        <v>9820</v>
      </c>
      <c r="I29" s="210"/>
      <c r="J29" s="210"/>
      <c r="K29" s="210"/>
      <c r="L29" s="210"/>
      <c r="M29" s="210">
        <v>19347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>
        <v>-9527</v>
      </c>
      <c r="AH29" s="210"/>
      <c r="AI29" s="210"/>
      <c r="AJ29" s="210"/>
      <c r="AK29" s="210"/>
      <c r="AL29" s="210"/>
      <c r="AM29" s="210">
        <v>0</v>
      </c>
      <c r="AN29" s="210">
        <f t="shared" si="37"/>
        <v>0</v>
      </c>
      <c r="AO29" s="210">
        <f t="shared" si="38"/>
        <v>0</v>
      </c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>
        <v>0</v>
      </c>
      <c r="BB29" s="210">
        <f t="shared" si="39"/>
        <v>0</v>
      </c>
      <c r="BC29" s="210">
        <f t="shared" si="40"/>
        <v>0</v>
      </c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>
        <v>0</v>
      </c>
      <c r="BP29" s="209">
        <f t="shared" si="41"/>
        <v>0</v>
      </c>
      <c r="BQ29" s="209">
        <f t="shared" si="42"/>
        <v>0</v>
      </c>
      <c r="BR29" s="209"/>
      <c r="BS29" s="209"/>
      <c r="BT29" s="209"/>
      <c r="BU29" s="209"/>
      <c r="BV29" s="209"/>
      <c r="BW29" s="209">
        <f t="shared" si="43"/>
        <v>0</v>
      </c>
      <c r="BX29" s="209">
        <f t="shared" si="44"/>
        <v>0</v>
      </c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72"/>
      <c r="CJ29" s="54" t="s">
        <v>304</v>
      </c>
      <c r="CK29" s="57" t="s">
        <v>422</v>
      </c>
      <c r="CL29" s="230" t="s">
        <v>688</v>
      </c>
      <c r="CM29" s="10" t="s">
        <v>688</v>
      </c>
      <c r="CQ29" s="10" t="e">
        <f>D29-#REF!</f>
        <v>#REF!</v>
      </c>
      <c r="CR29" s="10" t="e">
        <f>D29-#REF!</f>
        <v>#REF!</v>
      </c>
      <c r="CS29" s="130" t="e">
        <f>F29-#REF!</f>
        <v>#REF!</v>
      </c>
    </row>
    <row r="30" spans="1:97" s="130" customFormat="1" ht="24" x14ac:dyDescent="0.2">
      <c r="A30" s="75"/>
      <c r="B30" s="159"/>
      <c r="C30" s="233" t="s">
        <v>645</v>
      </c>
      <c r="D30" s="220">
        <f t="shared" si="34"/>
        <v>9700</v>
      </c>
      <c r="E30" s="209">
        <f t="shared" si="34"/>
        <v>9400</v>
      </c>
      <c r="F30" s="209">
        <v>9700</v>
      </c>
      <c r="G30" s="209">
        <f t="shared" si="35"/>
        <v>9400</v>
      </c>
      <c r="H30" s="209">
        <f t="shared" si="36"/>
        <v>-300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>
        <v>500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>
        <v>-800</v>
      </c>
      <c r="AH30" s="209"/>
      <c r="AI30" s="209"/>
      <c r="AJ30" s="209"/>
      <c r="AK30" s="209"/>
      <c r="AL30" s="209"/>
      <c r="AM30" s="209">
        <v>0</v>
      </c>
      <c r="AN30" s="209">
        <f t="shared" si="37"/>
        <v>0</v>
      </c>
      <c r="AO30" s="209">
        <f t="shared" si="38"/>
        <v>0</v>
      </c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>
        <v>0</v>
      </c>
      <c r="BB30" s="209">
        <f t="shared" si="39"/>
        <v>0</v>
      </c>
      <c r="BC30" s="209">
        <f t="shared" si="40"/>
        <v>0</v>
      </c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>
        <v>0</v>
      </c>
      <c r="BP30" s="209">
        <f t="shared" si="41"/>
        <v>0</v>
      </c>
      <c r="BQ30" s="209">
        <f t="shared" si="42"/>
        <v>0</v>
      </c>
      <c r="BR30" s="209"/>
      <c r="BS30" s="209"/>
      <c r="BT30" s="209"/>
      <c r="BU30" s="209"/>
      <c r="BV30" s="209"/>
      <c r="BW30" s="209">
        <f t="shared" si="43"/>
        <v>0</v>
      </c>
      <c r="BX30" s="209">
        <f t="shared" si="44"/>
        <v>0</v>
      </c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72"/>
      <c r="CJ30" s="54" t="s">
        <v>646</v>
      </c>
      <c r="CK30" s="57" t="s">
        <v>422</v>
      </c>
      <c r="CL30" s="230" t="s">
        <v>688</v>
      </c>
      <c r="CM30" s="10" t="s">
        <v>688</v>
      </c>
      <c r="CQ30" s="10" t="e">
        <f>D30-#REF!</f>
        <v>#REF!</v>
      </c>
      <c r="CR30" s="10" t="e">
        <f>D30-#REF!</f>
        <v>#REF!</v>
      </c>
      <c r="CS30" s="130" t="e">
        <f>F30-#REF!</f>
        <v>#REF!</v>
      </c>
    </row>
    <row r="31" spans="1:97" ht="24" customHeight="1" x14ac:dyDescent="0.2">
      <c r="A31" s="75">
        <v>90000056554</v>
      </c>
      <c r="B31" s="158" t="s">
        <v>429</v>
      </c>
      <c r="C31" s="255" t="s">
        <v>236</v>
      </c>
      <c r="D31" s="220">
        <f t="shared" si="34"/>
        <v>2507734</v>
      </c>
      <c r="E31" s="208">
        <f t="shared" si="34"/>
        <v>2607809</v>
      </c>
      <c r="F31" s="208">
        <v>2493232</v>
      </c>
      <c r="G31" s="208">
        <f t="shared" si="35"/>
        <v>2589954</v>
      </c>
      <c r="H31" s="208">
        <f t="shared" si="36"/>
        <v>96722</v>
      </c>
      <c r="I31" s="208"/>
      <c r="J31" s="208"/>
      <c r="K31" s="208"/>
      <c r="L31" s="208">
        <v>4970</v>
      </c>
      <c r="M31" s="208"/>
      <c r="N31" s="208"/>
      <c r="O31" s="208"/>
      <c r="P31" s="208"/>
      <c r="Q31" s="208"/>
      <c r="R31" s="208"/>
      <c r="S31" s="208"/>
      <c r="T31" s="208"/>
      <c r="U31" s="208">
        <v>1428</v>
      </c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>
        <v>90324</v>
      </c>
      <c r="AH31" s="208"/>
      <c r="AI31" s="208"/>
      <c r="AJ31" s="208"/>
      <c r="AK31" s="208"/>
      <c r="AL31" s="208"/>
      <c r="AM31" s="208">
        <v>0</v>
      </c>
      <c r="AN31" s="208">
        <f t="shared" si="37"/>
        <v>0</v>
      </c>
      <c r="AO31" s="208">
        <f t="shared" si="38"/>
        <v>0</v>
      </c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>
        <v>14502</v>
      </c>
      <c r="BB31" s="208">
        <f t="shared" si="39"/>
        <v>19256</v>
      </c>
      <c r="BC31" s="208">
        <f t="shared" si="40"/>
        <v>4754</v>
      </c>
      <c r="BD31" s="208">
        <f>3236+200</f>
        <v>3436</v>
      </c>
      <c r="BE31" s="208">
        <v>1304</v>
      </c>
      <c r="BF31" s="208"/>
      <c r="BG31" s="208"/>
      <c r="BH31" s="208"/>
      <c r="BI31" s="208"/>
      <c r="BJ31" s="208">
        <v>14</v>
      </c>
      <c r="BK31" s="208"/>
      <c r="BL31" s="208"/>
      <c r="BM31" s="208"/>
      <c r="BN31" s="208"/>
      <c r="BO31" s="208">
        <v>0</v>
      </c>
      <c r="BP31" s="208">
        <f t="shared" si="41"/>
        <v>0</v>
      </c>
      <c r="BQ31" s="208">
        <f t="shared" si="42"/>
        <v>0</v>
      </c>
      <c r="BR31" s="208"/>
      <c r="BS31" s="208"/>
      <c r="BT31" s="208"/>
      <c r="BU31" s="208"/>
      <c r="BV31" s="208"/>
      <c r="BW31" s="208">
        <f t="shared" si="43"/>
        <v>-1401</v>
      </c>
      <c r="BX31" s="208">
        <f t="shared" si="44"/>
        <v>-1401</v>
      </c>
      <c r="BY31" s="208">
        <v>-200</v>
      </c>
      <c r="BZ31" s="208"/>
      <c r="CA31" s="208">
        <v>-1201</v>
      </c>
      <c r="CB31" s="208"/>
      <c r="CC31" s="208"/>
      <c r="CD31" s="208"/>
      <c r="CE31" s="208"/>
      <c r="CF31" s="208"/>
      <c r="CG31" s="208"/>
      <c r="CH31" s="208"/>
      <c r="CI31" s="259"/>
      <c r="CJ31" s="54" t="s">
        <v>598</v>
      </c>
      <c r="CK31" s="57"/>
      <c r="CL31" s="230" t="s">
        <v>690</v>
      </c>
      <c r="CM31" s="10" t="s">
        <v>691</v>
      </c>
      <c r="CQ31" s="10" t="e">
        <f>D31-#REF!</f>
        <v>#REF!</v>
      </c>
      <c r="CR31" s="10" t="e">
        <f>D31-#REF!</f>
        <v>#REF!</v>
      </c>
      <c r="CS31" s="1" t="e">
        <f>F31-#REF!</f>
        <v>#REF!</v>
      </c>
    </row>
    <row r="32" spans="1:97" ht="36" x14ac:dyDescent="0.2">
      <c r="A32" s="75"/>
      <c r="B32" s="158" t="s">
        <v>162</v>
      </c>
      <c r="C32" s="235" t="s">
        <v>219</v>
      </c>
      <c r="D32" s="220">
        <f t="shared" si="34"/>
        <v>36000</v>
      </c>
      <c r="E32" s="208">
        <f t="shared" si="34"/>
        <v>36000</v>
      </c>
      <c r="F32" s="208">
        <v>36000</v>
      </c>
      <c r="G32" s="208">
        <f t="shared" si="35"/>
        <v>36000</v>
      </c>
      <c r="H32" s="208">
        <f t="shared" si="36"/>
        <v>0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>
        <v>0</v>
      </c>
      <c r="AN32" s="208">
        <f t="shared" si="37"/>
        <v>0</v>
      </c>
      <c r="AO32" s="208">
        <f t="shared" si="38"/>
        <v>0</v>
      </c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>
        <v>0</v>
      </c>
      <c r="BB32" s="208">
        <f t="shared" si="39"/>
        <v>0</v>
      </c>
      <c r="BC32" s="208">
        <f t="shared" si="40"/>
        <v>0</v>
      </c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>
        <v>0</v>
      </c>
      <c r="BP32" s="208">
        <f t="shared" si="41"/>
        <v>0</v>
      </c>
      <c r="BQ32" s="208">
        <f t="shared" si="42"/>
        <v>0</v>
      </c>
      <c r="BR32" s="208"/>
      <c r="BS32" s="208"/>
      <c r="BT32" s="208"/>
      <c r="BU32" s="208"/>
      <c r="BV32" s="208"/>
      <c r="BW32" s="208">
        <f t="shared" si="43"/>
        <v>0</v>
      </c>
      <c r="BX32" s="208">
        <f t="shared" si="44"/>
        <v>0</v>
      </c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59"/>
      <c r="CJ32" s="54" t="s">
        <v>330</v>
      </c>
      <c r="CK32" s="57"/>
      <c r="CL32" s="230" t="s">
        <v>686</v>
      </c>
      <c r="CM32" s="10" t="s">
        <v>687</v>
      </c>
      <c r="CQ32" s="10" t="e">
        <f>D32-#REF!</f>
        <v>#REF!</v>
      </c>
      <c r="CR32" s="10" t="e">
        <f>D32-#REF!</f>
        <v>#REF!</v>
      </c>
      <c r="CS32" s="1" t="e">
        <f>F32-#REF!</f>
        <v>#REF!</v>
      </c>
    </row>
    <row r="33" spans="1:97" ht="15.75" customHeight="1" thickBot="1" x14ac:dyDescent="0.25">
      <c r="A33" s="75"/>
      <c r="B33" s="141"/>
      <c r="C33" s="188"/>
      <c r="D33" s="222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72"/>
      <c r="CJ33" s="50"/>
      <c r="CK33" s="58"/>
      <c r="CL33" s="230"/>
      <c r="CM33" s="10"/>
      <c r="CQ33" s="10" t="e">
        <f>D33-#REF!</f>
        <v>#REF!</v>
      </c>
      <c r="CR33" s="10" t="e">
        <f>D33-#REF!</f>
        <v>#REF!</v>
      </c>
      <c r="CS33" s="1" t="e">
        <f>F33-#REF!</f>
        <v>#REF!</v>
      </c>
    </row>
    <row r="34" spans="1:97" ht="12.75" thickBot="1" x14ac:dyDescent="0.25">
      <c r="A34" s="140" t="s">
        <v>7</v>
      </c>
      <c r="B34" s="90" t="s">
        <v>8</v>
      </c>
      <c r="C34" s="187"/>
      <c r="D34" s="223">
        <f t="shared" ref="D34:BD34" si="45">SUM(D35:D60)</f>
        <v>18185678</v>
      </c>
      <c r="E34" s="262">
        <f t="shared" si="45"/>
        <v>18093471</v>
      </c>
      <c r="F34" s="262">
        <f t="shared" si="45"/>
        <v>17263723</v>
      </c>
      <c r="G34" s="262">
        <f t="shared" si="45"/>
        <v>17986664</v>
      </c>
      <c r="H34" s="262">
        <f t="shared" si="45"/>
        <v>722941</v>
      </c>
      <c r="I34" s="262">
        <f t="shared" si="45"/>
        <v>0</v>
      </c>
      <c r="J34" s="262">
        <f t="shared" si="45"/>
        <v>0</v>
      </c>
      <c r="K34" s="262">
        <f t="shared" si="45"/>
        <v>0</v>
      </c>
      <c r="L34" s="262">
        <f t="shared" si="45"/>
        <v>0</v>
      </c>
      <c r="M34" s="262">
        <f t="shared" si="45"/>
        <v>1050789</v>
      </c>
      <c r="N34" s="262">
        <f t="shared" si="45"/>
        <v>0</v>
      </c>
      <c r="O34" s="262">
        <f t="shared" si="45"/>
        <v>0</v>
      </c>
      <c r="P34" s="262">
        <f t="shared" si="45"/>
        <v>0</v>
      </c>
      <c r="Q34" s="262">
        <f t="shared" si="45"/>
        <v>190940</v>
      </c>
      <c r="R34" s="262">
        <f t="shared" ref="R34:AK34" si="46">SUM(R35:R60)</f>
        <v>2657</v>
      </c>
      <c r="S34" s="262">
        <f t="shared" si="46"/>
        <v>0</v>
      </c>
      <c r="T34" s="262">
        <f t="shared" si="46"/>
        <v>0</v>
      </c>
      <c r="U34" s="262">
        <f t="shared" si="46"/>
        <v>274325</v>
      </c>
      <c r="V34" s="262">
        <f t="shared" si="46"/>
        <v>0</v>
      </c>
      <c r="W34" s="262">
        <f t="shared" si="46"/>
        <v>-11900</v>
      </c>
      <c r="X34" s="262">
        <f t="shared" si="46"/>
        <v>0</v>
      </c>
      <c r="Y34" s="262">
        <f t="shared" si="46"/>
        <v>0</v>
      </c>
      <c r="Z34" s="262">
        <f t="shared" si="46"/>
        <v>-23511</v>
      </c>
      <c r="AA34" s="262">
        <f t="shared" si="46"/>
        <v>-59475</v>
      </c>
      <c r="AB34" s="262">
        <f t="shared" si="46"/>
        <v>0</v>
      </c>
      <c r="AC34" s="262">
        <f t="shared" si="46"/>
        <v>0</v>
      </c>
      <c r="AD34" s="262">
        <f t="shared" si="46"/>
        <v>532872</v>
      </c>
      <c r="AE34" s="262">
        <f t="shared" ref="AE34:AI34" si="47">SUM(AE35:AE60)</f>
        <v>0</v>
      </c>
      <c r="AF34" s="262">
        <f t="shared" ref="AF34:AG34" si="48">SUM(AF35:AF60)</f>
        <v>0</v>
      </c>
      <c r="AG34" s="262">
        <f t="shared" si="48"/>
        <v>-1233756</v>
      </c>
      <c r="AH34" s="262">
        <f t="shared" si="47"/>
        <v>0</v>
      </c>
      <c r="AI34" s="262">
        <f t="shared" si="47"/>
        <v>0</v>
      </c>
      <c r="AJ34" s="262">
        <f t="shared" si="46"/>
        <v>0</v>
      </c>
      <c r="AK34" s="262">
        <f t="shared" si="46"/>
        <v>0</v>
      </c>
      <c r="AL34" s="262">
        <f t="shared" si="45"/>
        <v>0</v>
      </c>
      <c r="AM34" s="262">
        <f t="shared" si="45"/>
        <v>901567</v>
      </c>
      <c r="AN34" s="262">
        <f t="shared" si="45"/>
        <v>1211567</v>
      </c>
      <c r="AO34" s="262">
        <f t="shared" si="45"/>
        <v>310000</v>
      </c>
      <c r="AP34" s="262">
        <f t="shared" si="45"/>
        <v>0</v>
      </c>
      <c r="AQ34" s="262">
        <f t="shared" si="45"/>
        <v>0</v>
      </c>
      <c r="AR34" s="262">
        <f t="shared" si="45"/>
        <v>0</v>
      </c>
      <c r="AS34" s="262">
        <f t="shared" si="45"/>
        <v>0</v>
      </c>
      <c r="AT34" s="262">
        <f t="shared" si="45"/>
        <v>0</v>
      </c>
      <c r="AU34" s="262">
        <f t="shared" ref="AU34" si="49">SUM(AU35:AU60)</f>
        <v>0</v>
      </c>
      <c r="AV34" s="262">
        <f t="shared" si="45"/>
        <v>310000</v>
      </c>
      <c r="AW34" s="262">
        <f t="shared" si="45"/>
        <v>0</v>
      </c>
      <c r="AX34" s="262">
        <f t="shared" si="45"/>
        <v>0</v>
      </c>
      <c r="AY34" s="262">
        <f t="shared" si="45"/>
        <v>0</v>
      </c>
      <c r="AZ34" s="262">
        <f t="shared" si="45"/>
        <v>0</v>
      </c>
      <c r="BA34" s="262">
        <f t="shared" si="45"/>
        <v>20388</v>
      </c>
      <c r="BB34" s="262">
        <f t="shared" si="45"/>
        <v>18726</v>
      </c>
      <c r="BC34" s="262">
        <f t="shared" si="45"/>
        <v>-1662</v>
      </c>
      <c r="BD34" s="262">
        <f t="shared" si="45"/>
        <v>-862</v>
      </c>
      <c r="BE34" s="262">
        <f t="shared" ref="BE34:CI34" si="50">SUM(BE35:BE60)</f>
        <v>0</v>
      </c>
      <c r="BF34" s="262">
        <f t="shared" si="50"/>
        <v>0</v>
      </c>
      <c r="BG34" s="262">
        <f t="shared" si="50"/>
        <v>-800</v>
      </c>
      <c r="BH34" s="262">
        <f t="shared" ref="BH34" si="51">SUM(BH35:BH60)</f>
        <v>0</v>
      </c>
      <c r="BI34" s="262">
        <f t="shared" si="50"/>
        <v>0</v>
      </c>
      <c r="BJ34" s="262">
        <f t="shared" si="50"/>
        <v>0</v>
      </c>
      <c r="BK34" s="262">
        <f t="shared" si="50"/>
        <v>0</v>
      </c>
      <c r="BL34" s="262">
        <f t="shared" si="50"/>
        <v>0</v>
      </c>
      <c r="BM34" s="262">
        <f t="shared" si="50"/>
        <v>0</v>
      </c>
      <c r="BN34" s="262">
        <f t="shared" si="50"/>
        <v>0</v>
      </c>
      <c r="BO34" s="262">
        <f t="shared" si="50"/>
        <v>0</v>
      </c>
      <c r="BP34" s="262">
        <f t="shared" si="50"/>
        <v>0</v>
      </c>
      <c r="BQ34" s="262">
        <f t="shared" si="50"/>
        <v>0</v>
      </c>
      <c r="BR34" s="262">
        <f t="shared" si="50"/>
        <v>0</v>
      </c>
      <c r="BS34" s="262">
        <f t="shared" si="50"/>
        <v>0</v>
      </c>
      <c r="BT34" s="262">
        <f t="shared" si="50"/>
        <v>0</v>
      </c>
      <c r="BU34" s="262">
        <f t="shared" si="50"/>
        <v>0</v>
      </c>
      <c r="BV34" s="262">
        <f t="shared" si="50"/>
        <v>0</v>
      </c>
      <c r="BW34" s="262">
        <f t="shared" si="50"/>
        <v>-1123486</v>
      </c>
      <c r="BX34" s="262">
        <f t="shared" si="50"/>
        <v>-1123486</v>
      </c>
      <c r="BY34" s="262">
        <f t="shared" si="50"/>
        <v>-842272</v>
      </c>
      <c r="BZ34" s="262">
        <f t="shared" si="50"/>
        <v>0</v>
      </c>
      <c r="CA34" s="262">
        <f t="shared" si="50"/>
        <v>-150231</v>
      </c>
      <c r="CB34" s="262">
        <f t="shared" si="50"/>
        <v>-812</v>
      </c>
      <c r="CC34" s="262">
        <f t="shared" si="50"/>
        <v>0</v>
      </c>
      <c r="CD34" s="262">
        <f t="shared" si="50"/>
        <v>0</v>
      </c>
      <c r="CE34" s="262">
        <f t="shared" si="50"/>
        <v>0</v>
      </c>
      <c r="CF34" s="262">
        <f t="shared" ref="CF34" si="52">SUM(CF35:CF60)</f>
        <v>0</v>
      </c>
      <c r="CG34" s="262">
        <f t="shared" si="50"/>
        <v>-130171</v>
      </c>
      <c r="CH34" s="262">
        <f t="shared" si="50"/>
        <v>0</v>
      </c>
      <c r="CI34" s="270">
        <f t="shared" si="50"/>
        <v>0</v>
      </c>
      <c r="CJ34" s="7"/>
      <c r="CK34" s="59"/>
      <c r="CL34" s="230"/>
      <c r="CM34" s="10"/>
      <c r="CQ34" s="10" t="e">
        <f>D34-#REF!</f>
        <v>#REF!</v>
      </c>
      <c r="CR34" s="10" t="e">
        <f>D34-#REF!</f>
        <v>#REF!</v>
      </c>
      <c r="CS34" s="1" t="e">
        <f>F34-#REF!</f>
        <v>#REF!</v>
      </c>
    </row>
    <row r="35" spans="1:97" ht="17.25" customHeight="1" thickTop="1" x14ac:dyDescent="0.2">
      <c r="A35" s="75">
        <v>90000056357</v>
      </c>
      <c r="B35" s="164" t="s">
        <v>5</v>
      </c>
      <c r="C35" s="232" t="s">
        <v>177</v>
      </c>
      <c r="D35" s="220">
        <f t="shared" ref="D35:D59" si="53">F35+AM35+BA35+BO35+BV35</f>
        <v>3221935</v>
      </c>
      <c r="E35" s="208">
        <f t="shared" ref="E35:E59" si="54">G35+AN35+BB35+BP35+BW35</f>
        <v>3411947</v>
      </c>
      <c r="F35" s="208">
        <v>3221935</v>
      </c>
      <c r="G35" s="208">
        <f t="shared" ref="G35:G59" si="55">F35+H35</f>
        <v>3411947</v>
      </c>
      <c r="H35" s="208">
        <f t="shared" ref="H35:H59" si="56">SUM(I35:AL35)</f>
        <v>190012</v>
      </c>
      <c r="I35" s="208"/>
      <c r="J35" s="208"/>
      <c r="K35" s="208"/>
      <c r="L35" s="208"/>
      <c r="M35" s="208">
        <v>11800</v>
      </c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>
        <v>1200</v>
      </c>
      <c r="AB35" s="208"/>
      <c r="AC35" s="208"/>
      <c r="AD35" s="208"/>
      <c r="AE35" s="208"/>
      <c r="AF35" s="208"/>
      <c r="AG35" s="208">
        <f>3067+173945</f>
        <v>177012</v>
      </c>
      <c r="AH35" s="208"/>
      <c r="AI35" s="208"/>
      <c r="AJ35" s="208"/>
      <c r="AK35" s="208"/>
      <c r="AL35" s="208"/>
      <c r="AM35" s="208">
        <v>0</v>
      </c>
      <c r="AN35" s="208">
        <f t="shared" ref="AN35:AN58" si="57">AM35+AO35</f>
        <v>0</v>
      </c>
      <c r="AO35" s="208">
        <f t="shared" ref="AO35:AO58" si="58">SUM(AP35:AZ35)</f>
        <v>0</v>
      </c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>
        <v>0</v>
      </c>
      <c r="BB35" s="208">
        <f t="shared" ref="BB35:BB58" si="59">BA35+BC35</f>
        <v>0</v>
      </c>
      <c r="BC35" s="208">
        <f t="shared" ref="BC35:BC58" si="60">SUM(BD35:BN35)</f>
        <v>0</v>
      </c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>
        <v>0</v>
      </c>
      <c r="BP35" s="208">
        <f t="shared" ref="BP35:BP58" si="61">BO35+BQ35</f>
        <v>0</v>
      </c>
      <c r="BQ35" s="208">
        <f t="shared" ref="BQ35:BQ58" si="62">SUM(BR35:BU35)</f>
        <v>0</v>
      </c>
      <c r="BR35" s="208"/>
      <c r="BS35" s="208"/>
      <c r="BT35" s="208"/>
      <c r="BU35" s="208"/>
      <c r="BV35" s="208"/>
      <c r="BW35" s="208">
        <f t="shared" ref="BW35:BW58" si="63">BV35+BX35</f>
        <v>0</v>
      </c>
      <c r="BX35" s="208">
        <f t="shared" ref="BX35:BX59" si="64">SUM(BY35:CI35)</f>
        <v>0</v>
      </c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59"/>
      <c r="CJ35" s="54" t="s">
        <v>595</v>
      </c>
      <c r="CK35" s="57"/>
      <c r="CL35" s="230" t="s">
        <v>686</v>
      </c>
      <c r="CM35" s="10" t="s">
        <v>687</v>
      </c>
      <c r="CQ35" s="10" t="e">
        <f>D35-#REF!</f>
        <v>#REF!</v>
      </c>
      <c r="CR35" s="10" t="e">
        <f>D35-#REF!</f>
        <v>#REF!</v>
      </c>
      <c r="CS35" s="1" t="e">
        <f>F35-#REF!</f>
        <v>#REF!</v>
      </c>
    </row>
    <row r="36" spans="1:97" ht="12.75" x14ac:dyDescent="0.2">
      <c r="A36" s="75"/>
      <c r="B36" s="160"/>
      <c r="C36" s="231" t="s">
        <v>210</v>
      </c>
      <c r="D36" s="220">
        <f t="shared" si="53"/>
        <v>2526157</v>
      </c>
      <c r="E36" s="208">
        <f t="shared" si="54"/>
        <v>2526157</v>
      </c>
      <c r="F36" s="208">
        <v>2384157</v>
      </c>
      <c r="G36" s="208">
        <f t="shared" si="55"/>
        <v>2384157</v>
      </c>
      <c r="H36" s="208">
        <f t="shared" si="56"/>
        <v>0</v>
      </c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>
        <v>137000</v>
      </c>
      <c r="AN36" s="208">
        <f t="shared" si="57"/>
        <v>137000</v>
      </c>
      <c r="AO36" s="208">
        <f t="shared" si="58"/>
        <v>0</v>
      </c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>
        <v>5000</v>
      </c>
      <c r="BB36" s="208">
        <f t="shared" si="59"/>
        <v>5000</v>
      </c>
      <c r="BC36" s="208">
        <f t="shared" si="60"/>
        <v>0</v>
      </c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>
        <v>0</v>
      </c>
      <c r="BP36" s="208">
        <f t="shared" si="61"/>
        <v>0</v>
      </c>
      <c r="BQ36" s="208">
        <f t="shared" si="62"/>
        <v>0</v>
      </c>
      <c r="BR36" s="208"/>
      <c r="BS36" s="208"/>
      <c r="BT36" s="208"/>
      <c r="BU36" s="208"/>
      <c r="BV36" s="208"/>
      <c r="BW36" s="210">
        <f t="shared" si="63"/>
        <v>0</v>
      </c>
      <c r="BX36" s="210">
        <f t="shared" si="64"/>
        <v>0</v>
      </c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71"/>
      <c r="CJ36" s="145" t="s">
        <v>599</v>
      </c>
      <c r="CK36" s="57" t="s">
        <v>603</v>
      </c>
      <c r="CL36" s="230" t="s">
        <v>688</v>
      </c>
      <c r="CM36" s="10" t="s">
        <v>688</v>
      </c>
      <c r="CQ36" s="10" t="e">
        <f>D36-#REF!</f>
        <v>#REF!</v>
      </c>
      <c r="CR36" s="10" t="e">
        <f>D36-#REF!</f>
        <v>#REF!</v>
      </c>
      <c r="CS36" s="1" t="e">
        <f>F36-#REF!</f>
        <v>#REF!</v>
      </c>
    </row>
    <row r="37" spans="1:97" s="73" customFormat="1" ht="36" x14ac:dyDescent="0.2">
      <c r="A37" s="75"/>
      <c r="B37" s="163"/>
      <c r="C37" s="231" t="s">
        <v>237</v>
      </c>
      <c r="D37" s="220">
        <f t="shared" si="53"/>
        <v>58978</v>
      </c>
      <c r="E37" s="210">
        <f t="shared" si="54"/>
        <v>50478</v>
      </c>
      <c r="F37" s="210">
        <v>58978</v>
      </c>
      <c r="G37" s="210">
        <f t="shared" si="55"/>
        <v>50478</v>
      </c>
      <c r="H37" s="210">
        <f t="shared" si="56"/>
        <v>-8500</v>
      </c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>
        <v>-8500</v>
      </c>
      <c r="AH37" s="210"/>
      <c r="AI37" s="210"/>
      <c r="AJ37" s="210"/>
      <c r="AK37" s="210"/>
      <c r="AL37" s="210"/>
      <c r="AM37" s="210">
        <v>0</v>
      </c>
      <c r="AN37" s="210">
        <f t="shared" si="57"/>
        <v>0</v>
      </c>
      <c r="AO37" s="210">
        <f t="shared" si="58"/>
        <v>0</v>
      </c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>
        <v>0</v>
      </c>
      <c r="BB37" s="210">
        <f t="shared" si="59"/>
        <v>0</v>
      </c>
      <c r="BC37" s="210">
        <f t="shared" si="60"/>
        <v>0</v>
      </c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>
        <v>0</v>
      </c>
      <c r="BP37" s="210">
        <f t="shared" si="61"/>
        <v>0</v>
      </c>
      <c r="BQ37" s="210">
        <f t="shared" si="62"/>
        <v>0</v>
      </c>
      <c r="BR37" s="210"/>
      <c r="BS37" s="210"/>
      <c r="BT37" s="210"/>
      <c r="BU37" s="210"/>
      <c r="BV37" s="210"/>
      <c r="BW37" s="210">
        <f t="shared" si="63"/>
        <v>0</v>
      </c>
      <c r="BX37" s="210">
        <f t="shared" si="64"/>
        <v>0</v>
      </c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71"/>
      <c r="CJ37" s="145" t="s">
        <v>305</v>
      </c>
      <c r="CK37" s="57" t="s">
        <v>531</v>
      </c>
      <c r="CL37" s="230" t="s">
        <v>688</v>
      </c>
      <c r="CM37" s="10" t="s">
        <v>688</v>
      </c>
      <c r="CQ37" s="10" t="e">
        <f>D37-#REF!</f>
        <v>#REF!</v>
      </c>
      <c r="CR37" s="10" t="e">
        <f>D37-#REF!</f>
        <v>#REF!</v>
      </c>
      <c r="CS37" s="73" t="e">
        <f>F37-#REF!</f>
        <v>#REF!</v>
      </c>
    </row>
    <row r="38" spans="1:97" s="116" customFormat="1" ht="12.75" x14ac:dyDescent="0.2">
      <c r="A38" s="75"/>
      <c r="B38" s="163"/>
      <c r="C38" s="231" t="s">
        <v>214</v>
      </c>
      <c r="D38" s="220">
        <f t="shared" si="53"/>
        <v>280163</v>
      </c>
      <c r="E38" s="208">
        <f t="shared" si="54"/>
        <v>243642</v>
      </c>
      <c r="F38" s="208">
        <v>275861</v>
      </c>
      <c r="G38" s="208">
        <f t="shared" si="55"/>
        <v>241022</v>
      </c>
      <c r="H38" s="208">
        <f t="shared" si="56"/>
        <v>-34839</v>
      </c>
      <c r="I38" s="208"/>
      <c r="J38" s="208"/>
      <c r="K38" s="208"/>
      <c r="L38" s="208"/>
      <c r="M38" s="208"/>
      <c r="N38" s="208"/>
      <c r="O38" s="208"/>
      <c r="P38" s="208"/>
      <c r="Q38" s="208">
        <v>-2589</v>
      </c>
      <c r="R38" s="208"/>
      <c r="S38" s="208"/>
      <c r="T38" s="208"/>
      <c r="U38" s="208"/>
      <c r="V38" s="208"/>
      <c r="W38" s="208"/>
      <c r="X38" s="208"/>
      <c r="Y38" s="208">
        <v>-850</v>
      </c>
      <c r="Z38" s="208"/>
      <c r="AA38" s="208">
        <v>-31400</v>
      </c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>
        <v>0</v>
      </c>
      <c r="AN38" s="208">
        <f t="shared" si="57"/>
        <v>0</v>
      </c>
      <c r="AO38" s="208">
        <f t="shared" si="58"/>
        <v>0</v>
      </c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>
        <v>4302</v>
      </c>
      <c r="BB38" s="208">
        <f t="shared" si="59"/>
        <v>2620</v>
      </c>
      <c r="BC38" s="208">
        <f t="shared" si="60"/>
        <v>-1682</v>
      </c>
      <c r="BD38" s="208">
        <v>-882</v>
      </c>
      <c r="BE38" s="208"/>
      <c r="BF38" s="208"/>
      <c r="BG38" s="208">
        <v>-800</v>
      </c>
      <c r="BH38" s="208"/>
      <c r="BI38" s="208"/>
      <c r="BJ38" s="208"/>
      <c r="BK38" s="208"/>
      <c r="BL38" s="208"/>
      <c r="BM38" s="208"/>
      <c r="BN38" s="208"/>
      <c r="BO38" s="208">
        <v>0</v>
      </c>
      <c r="BP38" s="208">
        <f t="shared" si="61"/>
        <v>0</v>
      </c>
      <c r="BQ38" s="208">
        <f t="shared" si="62"/>
        <v>0</v>
      </c>
      <c r="BR38" s="208"/>
      <c r="BS38" s="208"/>
      <c r="BT38" s="208"/>
      <c r="BU38" s="208"/>
      <c r="BV38" s="208"/>
      <c r="BW38" s="210">
        <f t="shared" si="63"/>
        <v>0</v>
      </c>
      <c r="BX38" s="210">
        <f t="shared" si="64"/>
        <v>0</v>
      </c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71"/>
      <c r="CJ38" s="145" t="s">
        <v>518</v>
      </c>
      <c r="CK38" s="57" t="s">
        <v>657</v>
      </c>
      <c r="CL38" s="230" t="s">
        <v>688</v>
      </c>
      <c r="CM38" s="10" t="s">
        <v>688</v>
      </c>
      <c r="CQ38" s="10" t="e">
        <f>D38-#REF!</f>
        <v>#REF!</v>
      </c>
      <c r="CR38" s="10" t="e">
        <f>D38-#REF!</f>
        <v>#REF!</v>
      </c>
      <c r="CS38" s="116" t="e">
        <f>F38-#REF!</f>
        <v>#REF!</v>
      </c>
    </row>
    <row r="39" spans="1:97" s="86" customFormat="1" ht="24" x14ac:dyDescent="0.2">
      <c r="A39" s="75"/>
      <c r="B39" s="160"/>
      <c r="C39" s="231" t="s">
        <v>243</v>
      </c>
      <c r="D39" s="220">
        <f t="shared" si="53"/>
        <v>661323</v>
      </c>
      <c r="E39" s="208">
        <f t="shared" si="54"/>
        <v>486008</v>
      </c>
      <c r="F39" s="208">
        <v>650237</v>
      </c>
      <c r="G39" s="208">
        <f t="shared" si="55"/>
        <v>474902</v>
      </c>
      <c r="H39" s="208">
        <f t="shared" si="56"/>
        <v>-175335</v>
      </c>
      <c r="I39" s="208"/>
      <c r="J39" s="208"/>
      <c r="K39" s="208"/>
      <c r="L39" s="208"/>
      <c r="M39" s="208"/>
      <c r="N39" s="208"/>
      <c r="O39" s="208"/>
      <c r="P39" s="208"/>
      <c r="Q39" s="208">
        <v>-10000</v>
      </c>
      <c r="R39" s="208"/>
      <c r="S39" s="208"/>
      <c r="T39" s="208"/>
      <c r="U39" s="208">
        <f>-30720-10000</f>
        <v>-40720</v>
      </c>
      <c r="V39" s="208"/>
      <c r="W39" s="208"/>
      <c r="X39" s="208"/>
      <c r="Y39" s="208"/>
      <c r="Z39" s="208"/>
      <c r="AA39" s="208">
        <v>-104615</v>
      </c>
      <c r="AB39" s="208"/>
      <c r="AC39" s="208"/>
      <c r="AD39" s="208"/>
      <c r="AE39" s="208"/>
      <c r="AF39" s="208"/>
      <c r="AG39" s="208">
        <v>-20000</v>
      </c>
      <c r="AH39" s="208"/>
      <c r="AI39" s="208"/>
      <c r="AJ39" s="208"/>
      <c r="AK39" s="208"/>
      <c r="AL39" s="208"/>
      <c r="AM39" s="208">
        <v>0</v>
      </c>
      <c r="AN39" s="208">
        <f t="shared" si="57"/>
        <v>0</v>
      </c>
      <c r="AO39" s="208">
        <f t="shared" si="58"/>
        <v>0</v>
      </c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>
        <v>11086</v>
      </c>
      <c r="BB39" s="208">
        <f t="shared" si="59"/>
        <v>11106</v>
      </c>
      <c r="BC39" s="208">
        <f t="shared" si="60"/>
        <v>20</v>
      </c>
      <c r="BD39" s="208">
        <f>17+3</f>
        <v>20</v>
      </c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>
        <v>0</v>
      </c>
      <c r="BP39" s="208">
        <f t="shared" si="61"/>
        <v>0</v>
      </c>
      <c r="BQ39" s="208">
        <f t="shared" si="62"/>
        <v>0</v>
      </c>
      <c r="BR39" s="208"/>
      <c r="BS39" s="208"/>
      <c r="BT39" s="208"/>
      <c r="BU39" s="208"/>
      <c r="BV39" s="208"/>
      <c r="BW39" s="210">
        <f t="shared" si="63"/>
        <v>0</v>
      </c>
      <c r="BX39" s="210">
        <f t="shared" si="64"/>
        <v>0</v>
      </c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71"/>
      <c r="CJ39" s="145" t="s">
        <v>306</v>
      </c>
      <c r="CK39" s="57" t="s">
        <v>604</v>
      </c>
      <c r="CL39" s="230" t="s">
        <v>688</v>
      </c>
      <c r="CM39" s="10" t="s">
        <v>688</v>
      </c>
      <c r="CQ39" s="10" t="e">
        <f>D39-#REF!</f>
        <v>#REF!</v>
      </c>
      <c r="CR39" s="10" t="e">
        <f>D39-#REF!</f>
        <v>#REF!</v>
      </c>
      <c r="CS39" s="86" t="e">
        <f>F39-#REF!</f>
        <v>#REF!</v>
      </c>
    </row>
    <row r="40" spans="1:97" s="116" customFormat="1" ht="24" x14ac:dyDescent="0.2">
      <c r="A40" s="75"/>
      <c r="B40" s="160"/>
      <c r="C40" s="280" t="s">
        <v>720</v>
      </c>
      <c r="D40" s="220">
        <f t="shared" si="53"/>
        <v>144100</v>
      </c>
      <c r="E40" s="210">
        <f t="shared" si="54"/>
        <v>144100</v>
      </c>
      <c r="F40" s="210">
        <v>144100</v>
      </c>
      <c r="G40" s="210">
        <f t="shared" si="55"/>
        <v>144100</v>
      </c>
      <c r="H40" s="210">
        <f t="shared" si="56"/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>
        <v>0</v>
      </c>
      <c r="AN40" s="210">
        <f t="shared" si="57"/>
        <v>0</v>
      </c>
      <c r="AO40" s="210">
        <f t="shared" si="58"/>
        <v>0</v>
      </c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>
        <v>0</v>
      </c>
      <c r="BB40" s="210">
        <f t="shared" si="59"/>
        <v>0</v>
      </c>
      <c r="BC40" s="210">
        <f t="shared" si="60"/>
        <v>0</v>
      </c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>
        <v>0</v>
      </c>
      <c r="BP40" s="210">
        <f t="shared" si="61"/>
        <v>0</v>
      </c>
      <c r="BQ40" s="210">
        <f t="shared" si="62"/>
        <v>0</v>
      </c>
      <c r="BR40" s="210"/>
      <c r="BS40" s="210"/>
      <c r="BT40" s="210"/>
      <c r="BU40" s="210"/>
      <c r="BV40" s="210"/>
      <c r="BW40" s="210">
        <f t="shared" si="63"/>
        <v>0</v>
      </c>
      <c r="BX40" s="210">
        <f t="shared" si="64"/>
        <v>0</v>
      </c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71"/>
      <c r="CJ40" s="145" t="s">
        <v>307</v>
      </c>
      <c r="CK40" s="58" t="s">
        <v>458</v>
      </c>
      <c r="CL40" s="230" t="s">
        <v>688</v>
      </c>
      <c r="CM40" s="10" t="s">
        <v>688</v>
      </c>
      <c r="CN40" s="130"/>
      <c r="CQ40" s="10" t="e">
        <f>D40-#REF!</f>
        <v>#REF!</v>
      </c>
      <c r="CR40" s="10" t="e">
        <f>D40-#REF!</f>
        <v>#REF!</v>
      </c>
      <c r="CS40" s="116" t="e">
        <f>F40-#REF!</f>
        <v>#REF!</v>
      </c>
    </row>
    <row r="41" spans="1:97" s="116" customFormat="1" ht="36" x14ac:dyDescent="0.2">
      <c r="A41" s="75"/>
      <c r="B41" s="160"/>
      <c r="C41" s="282" t="s">
        <v>702</v>
      </c>
      <c r="D41" s="220">
        <f t="shared" si="53"/>
        <v>4170845</v>
      </c>
      <c r="E41" s="208">
        <f t="shared" si="54"/>
        <v>4438833</v>
      </c>
      <c r="F41" s="208">
        <v>3406278</v>
      </c>
      <c r="G41" s="208">
        <f t="shared" si="55"/>
        <v>3364266</v>
      </c>
      <c r="H41" s="208">
        <f t="shared" si="56"/>
        <v>-42012</v>
      </c>
      <c r="I41" s="208"/>
      <c r="J41" s="208"/>
      <c r="K41" s="208"/>
      <c r="L41" s="208"/>
      <c r="M41" s="208">
        <v>118872</v>
      </c>
      <c r="N41" s="208"/>
      <c r="O41" s="208"/>
      <c r="P41" s="208"/>
      <c r="Q41" s="208"/>
      <c r="R41" s="208"/>
      <c r="S41" s="208"/>
      <c r="T41" s="208"/>
      <c r="U41" s="208">
        <v>300545</v>
      </c>
      <c r="V41" s="208"/>
      <c r="W41" s="208"/>
      <c r="X41" s="208"/>
      <c r="Y41" s="208"/>
      <c r="Z41" s="208"/>
      <c r="AA41" s="208"/>
      <c r="AB41" s="208"/>
      <c r="AC41" s="208"/>
      <c r="AD41" s="208">
        <f>167972+130270</f>
        <v>298242</v>
      </c>
      <c r="AE41" s="208"/>
      <c r="AF41" s="208"/>
      <c r="AG41" s="208">
        <f>-310000-449671</f>
        <v>-759671</v>
      </c>
      <c r="AH41" s="208"/>
      <c r="AI41" s="208"/>
      <c r="AJ41" s="208"/>
      <c r="AK41" s="208"/>
      <c r="AL41" s="208"/>
      <c r="AM41" s="208">
        <v>764567</v>
      </c>
      <c r="AN41" s="208">
        <f t="shared" si="57"/>
        <v>1074567</v>
      </c>
      <c r="AO41" s="208">
        <f t="shared" si="58"/>
        <v>310000</v>
      </c>
      <c r="AP41" s="208"/>
      <c r="AQ41" s="208"/>
      <c r="AR41" s="208"/>
      <c r="AS41" s="208"/>
      <c r="AT41" s="208"/>
      <c r="AU41" s="208"/>
      <c r="AV41" s="208">
        <v>310000</v>
      </c>
      <c r="AW41" s="208"/>
      <c r="AX41" s="208"/>
      <c r="AY41" s="208"/>
      <c r="AZ41" s="208"/>
      <c r="BA41" s="208">
        <v>0</v>
      </c>
      <c r="BB41" s="208">
        <f t="shared" si="59"/>
        <v>0</v>
      </c>
      <c r="BC41" s="208">
        <f t="shared" si="60"/>
        <v>0</v>
      </c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>
        <v>0</v>
      </c>
      <c r="BP41" s="208">
        <f t="shared" si="61"/>
        <v>0</v>
      </c>
      <c r="BQ41" s="208">
        <f t="shared" si="62"/>
        <v>0</v>
      </c>
      <c r="BR41" s="208"/>
      <c r="BS41" s="208"/>
      <c r="BT41" s="208"/>
      <c r="BU41" s="208"/>
      <c r="BV41" s="208"/>
      <c r="BW41" s="210">
        <f t="shared" si="63"/>
        <v>0</v>
      </c>
      <c r="BX41" s="210">
        <f t="shared" si="64"/>
        <v>0</v>
      </c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71"/>
      <c r="CJ41" s="145" t="s">
        <v>883</v>
      </c>
      <c r="CK41" s="57" t="s">
        <v>419</v>
      </c>
      <c r="CL41" s="230" t="s">
        <v>688</v>
      </c>
      <c r="CM41" s="10" t="s">
        <v>688</v>
      </c>
      <c r="CN41" s="234" t="s">
        <v>717</v>
      </c>
      <c r="CO41" s="116" t="s">
        <v>714</v>
      </c>
      <c r="CQ41" s="10" t="e">
        <f>D41-#REF!</f>
        <v>#REF!</v>
      </c>
      <c r="CR41" s="10" t="e">
        <f>D41-#REF!</f>
        <v>#REF!</v>
      </c>
      <c r="CS41" s="116" t="e">
        <f>F41-#REF!</f>
        <v>#REF!</v>
      </c>
    </row>
    <row r="42" spans="1:97" s="130" customFormat="1" ht="24" x14ac:dyDescent="0.2">
      <c r="A42" s="75"/>
      <c r="B42" s="160"/>
      <c r="C42" s="231" t="s">
        <v>587</v>
      </c>
      <c r="D42" s="220">
        <f t="shared" si="53"/>
        <v>719966</v>
      </c>
      <c r="E42" s="208">
        <f t="shared" si="54"/>
        <v>769375</v>
      </c>
      <c r="F42" s="208">
        <v>719966</v>
      </c>
      <c r="G42" s="208">
        <f t="shared" si="55"/>
        <v>769375</v>
      </c>
      <c r="H42" s="208">
        <f t="shared" si="56"/>
        <v>49409</v>
      </c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>
        <v>-11900</v>
      </c>
      <c r="X42" s="208"/>
      <c r="Y42" s="208"/>
      <c r="Z42" s="208">
        <v>-23511</v>
      </c>
      <c r="AA42" s="208">
        <v>84820</v>
      </c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>
        <v>0</v>
      </c>
      <c r="AN42" s="208">
        <f t="shared" si="57"/>
        <v>0</v>
      </c>
      <c r="AO42" s="208">
        <f t="shared" si="58"/>
        <v>0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>
        <v>0</v>
      </c>
      <c r="BB42" s="208">
        <f t="shared" si="59"/>
        <v>0</v>
      </c>
      <c r="BC42" s="208">
        <f t="shared" si="60"/>
        <v>0</v>
      </c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>
        <v>0</v>
      </c>
      <c r="BP42" s="208">
        <f t="shared" si="61"/>
        <v>0</v>
      </c>
      <c r="BQ42" s="208">
        <f t="shared" si="62"/>
        <v>0</v>
      </c>
      <c r="BR42" s="208"/>
      <c r="BS42" s="208"/>
      <c r="BT42" s="208"/>
      <c r="BU42" s="208"/>
      <c r="BV42" s="208"/>
      <c r="BW42" s="210">
        <f t="shared" si="63"/>
        <v>0</v>
      </c>
      <c r="BX42" s="210">
        <f t="shared" si="64"/>
        <v>0</v>
      </c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71"/>
      <c r="CJ42" s="145" t="s">
        <v>726</v>
      </c>
      <c r="CK42" s="57" t="s">
        <v>421</v>
      </c>
      <c r="CL42" s="230" t="s">
        <v>688</v>
      </c>
      <c r="CM42" s="10" t="s">
        <v>688</v>
      </c>
      <c r="CQ42" s="10" t="e">
        <f>D42-#REF!</f>
        <v>#REF!</v>
      </c>
      <c r="CR42" s="10" t="e">
        <f>D42-#REF!</f>
        <v>#REF!</v>
      </c>
      <c r="CS42" s="130" t="e">
        <f>F42-#REF!</f>
        <v>#REF!</v>
      </c>
    </row>
    <row r="43" spans="1:97" s="113" customFormat="1" ht="36" x14ac:dyDescent="0.2">
      <c r="A43" s="75"/>
      <c r="B43" s="160"/>
      <c r="C43" s="255" t="s">
        <v>704</v>
      </c>
      <c r="D43" s="220">
        <f t="shared" si="53"/>
        <v>8482</v>
      </c>
      <c r="E43" s="208">
        <f t="shared" si="54"/>
        <v>8482</v>
      </c>
      <c r="F43" s="208">
        <v>8482</v>
      </c>
      <c r="G43" s="208">
        <f t="shared" si="55"/>
        <v>11164</v>
      </c>
      <c r="H43" s="208">
        <f t="shared" si="56"/>
        <v>2682</v>
      </c>
      <c r="I43" s="208"/>
      <c r="J43" s="208"/>
      <c r="K43" s="208"/>
      <c r="L43" s="208"/>
      <c r="M43" s="208">
        <v>2682</v>
      </c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>
        <v>0</v>
      </c>
      <c r="AN43" s="208">
        <f t="shared" si="57"/>
        <v>0</v>
      </c>
      <c r="AO43" s="208">
        <f t="shared" si="58"/>
        <v>0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>
        <v>0</v>
      </c>
      <c r="BB43" s="208">
        <f t="shared" si="59"/>
        <v>0</v>
      </c>
      <c r="BC43" s="208">
        <f t="shared" si="60"/>
        <v>0</v>
      </c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>
        <v>0</v>
      </c>
      <c r="BP43" s="208">
        <f t="shared" si="61"/>
        <v>0</v>
      </c>
      <c r="BQ43" s="208">
        <f t="shared" si="62"/>
        <v>0</v>
      </c>
      <c r="BR43" s="208"/>
      <c r="BS43" s="208"/>
      <c r="BT43" s="208"/>
      <c r="BU43" s="208"/>
      <c r="BV43" s="208"/>
      <c r="BW43" s="210">
        <f t="shared" si="63"/>
        <v>-2682</v>
      </c>
      <c r="BX43" s="210">
        <f t="shared" si="64"/>
        <v>-2682</v>
      </c>
      <c r="BY43" s="210">
        <f>-2957+275</f>
        <v>-2682</v>
      </c>
      <c r="BZ43" s="210"/>
      <c r="CA43" s="210"/>
      <c r="CB43" s="210"/>
      <c r="CC43" s="210"/>
      <c r="CD43" s="210"/>
      <c r="CE43" s="210"/>
      <c r="CF43" s="210"/>
      <c r="CG43" s="210"/>
      <c r="CH43" s="210"/>
      <c r="CI43" s="271"/>
      <c r="CJ43" s="145" t="s">
        <v>727</v>
      </c>
      <c r="CK43" s="57"/>
      <c r="CL43" s="230" t="s">
        <v>689</v>
      </c>
      <c r="CM43" s="10" t="s">
        <v>689</v>
      </c>
      <c r="CN43" s="130"/>
      <c r="CQ43" s="10" t="e">
        <f>D43-#REF!</f>
        <v>#REF!</v>
      </c>
      <c r="CR43" s="10" t="e">
        <f>D43-#REF!</f>
        <v>#REF!</v>
      </c>
      <c r="CS43" s="113" t="e">
        <f>F43-#REF!</f>
        <v>#REF!</v>
      </c>
    </row>
    <row r="44" spans="1:97" s="130" customFormat="1" ht="24" x14ac:dyDescent="0.2">
      <c r="A44" s="75"/>
      <c r="B44" s="160"/>
      <c r="C44" s="255" t="s">
        <v>578</v>
      </c>
      <c r="D44" s="220">
        <f t="shared" si="53"/>
        <v>15563</v>
      </c>
      <c r="E44" s="208">
        <f t="shared" si="54"/>
        <v>15092</v>
      </c>
      <c r="F44" s="208">
        <v>15563</v>
      </c>
      <c r="G44" s="208">
        <f t="shared" si="55"/>
        <v>15092</v>
      </c>
      <c r="H44" s="208">
        <f t="shared" si="56"/>
        <v>-471</v>
      </c>
      <c r="I44" s="208"/>
      <c r="J44" s="208"/>
      <c r="K44" s="208"/>
      <c r="L44" s="208"/>
      <c r="M44" s="208">
        <v>-471</v>
      </c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>
        <v>0</v>
      </c>
      <c r="AN44" s="208">
        <f t="shared" si="57"/>
        <v>0</v>
      </c>
      <c r="AO44" s="208">
        <f t="shared" si="58"/>
        <v>0</v>
      </c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>
        <v>0</v>
      </c>
      <c r="BB44" s="208">
        <f t="shared" si="59"/>
        <v>0</v>
      </c>
      <c r="BC44" s="208">
        <f t="shared" si="60"/>
        <v>0</v>
      </c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>
        <v>0</v>
      </c>
      <c r="BP44" s="208">
        <f t="shared" si="61"/>
        <v>0</v>
      </c>
      <c r="BQ44" s="208">
        <f t="shared" si="62"/>
        <v>0</v>
      </c>
      <c r="BR44" s="208"/>
      <c r="BS44" s="208"/>
      <c r="BT44" s="208"/>
      <c r="BU44" s="208"/>
      <c r="BV44" s="208"/>
      <c r="BW44" s="210">
        <f t="shared" si="63"/>
        <v>0</v>
      </c>
      <c r="BX44" s="210">
        <f t="shared" si="64"/>
        <v>0</v>
      </c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71"/>
      <c r="CJ44" s="145" t="s">
        <v>600</v>
      </c>
      <c r="CK44" s="57"/>
      <c r="CL44" s="230" t="s">
        <v>689</v>
      </c>
      <c r="CM44" s="10" t="s">
        <v>689</v>
      </c>
      <c r="CQ44" s="10" t="e">
        <f>D44-#REF!</f>
        <v>#REF!</v>
      </c>
      <c r="CR44" s="10" t="e">
        <f>D44-#REF!</f>
        <v>#REF!</v>
      </c>
      <c r="CS44" s="130" t="e">
        <f>F44-#REF!</f>
        <v>#REF!</v>
      </c>
    </row>
    <row r="45" spans="1:97" s="130" customFormat="1" ht="12.75" x14ac:dyDescent="0.2">
      <c r="A45" s="75"/>
      <c r="B45" s="160"/>
      <c r="C45" s="255" t="s">
        <v>579</v>
      </c>
      <c r="D45" s="220">
        <f t="shared" si="53"/>
        <v>60075</v>
      </c>
      <c r="E45" s="208">
        <f t="shared" si="54"/>
        <v>59644</v>
      </c>
      <c r="F45" s="208">
        <v>60075</v>
      </c>
      <c r="G45" s="208">
        <f t="shared" si="55"/>
        <v>59644</v>
      </c>
      <c r="H45" s="208">
        <f t="shared" si="56"/>
        <v>-431</v>
      </c>
      <c r="I45" s="208"/>
      <c r="J45" s="208"/>
      <c r="K45" s="208"/>
      <c r="L45" s="208"/>
      <c r="M45" s="208">
        <v>-431</v>
      </c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>
        <v>0</v>
      </c>
      <c r="AN45" s="208">
        <f t="shared" si="57"/>
        <v>0</v>
      </c>
      <c r="AO45" s="208">
        <f t="shared" si="58"/>
        <v>0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>
        <v>0</v>
      </c>
      <c r="BB45" s="208">
        <f t="shared" si="59"/>
        <v>0</v>
      </c>
      <c r="BC45" s="208">
        <f t="shared" si="60"/>
        <v>0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>
        <v>0</v>
      </c>
      <c r="BP45" s="208">
        <f t="shared" si="61"/>
        <v>0</v>
      </c>
      <c r="BQ45" s="208">
        <f t="shared" si="62"/>
        <v>0</v>
      </c>
      <c r="BR45" s="208"/>
      <c r="BS45" s="208"/>
      <c r="BT45" s="208"/>
      <c r="BU45" s="208"/>
      <c r="BV45" s="208"/>
      <c r="BW45" s="210">
        <f t="shared" si="63"/>
        <v>0</v>
      </c>
      <c r="BX45" s="210">
        <f t="shared" si="64"/>
        <v>0</v>
      </c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71"/>
      <c r="CJ45" s="145" t="s">
        <v>601</v>
      </c>
      <c r="CK45" s="57"/>
      <c r="CL45" s="230" t="s">
        <v>689</v>
      </c>
      <c r="CM45" s="10" t="s">
        <v>689</v>
      </c>
      <c r="CQ45" s="10" t="e">
        <f>D45-#REF!</f>
        <v>#REF!</v>
      </c>
      <c r="CR45" s="10" t="e">
        <f>D45-#REF!</f>
        <v>#REF!</v>
      </c>
      <c r="CS45" s="130" t="e">
        <f>F45-#REF!</f>
        <v>#REF!</v>
      </c>
    </row>
    <row r="46" spans="1:97" s="130" customFormat="1" ht="36" x14ac:dyDescent="0.2">
      <c r="A46" s="75"/>
      <c r="B46" s="160"/>
      <c r="C46" s="255" t="s">
        <v>581</v>
      </c>
      <c r="D46" s="220">
        <f t="shared" si="53"/>
        <v>1105786</v>
      </c>
      <c r="E46" s="208">
        <f t="shared" si="54"/>
        <v>1152414</v>
      </c>
      <c r="F46" s="208">
        <v>1105786</v>
      </c>
      <c r="G46" s="208">
        <f t="shared" si="55"/>
        <v>1992004</v>
      </c>
      <c r="H46" s="208">
        <f t="shared" si="56"/>
        <v>886218</v>
      </c>
      <c r="I46" s="208"/>
      <c r="J46" s="208"/>
      <c r="K46" s="208"/>
      <c r="L46" s="208"/>
      <c r="M46" s="208">
        <v>839590</v>
      </c>
      <c r="N46" s="208"/>
      <c r="O46" s="208"/>
      <c r="P46" s="208"/>
      <c r="Q46" s="208">
        <v>40709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>
        <v>5919</v>
      </c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>
        <v>0</v>
      </c>
      <c r="AN46" s="208">
        <f t="shared" si="57"/>
        <v>0</v>
      </c>
      <c r="AO46" s="208">
        <f t="shared" si="58"/>
        <v>0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>
        <v>0</v>
      </c>
      <c r="BB46" s="208">
        <f t="shared" si="59"/>
        <v>0</v>
      </c>
      <c r="BC46" s="208">
        <f t="shared" si="60"/>
        <v>0</v>
      </c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>
        <v>0</v>
      </c>
      <c r="BP46" s="208">
        <f t="shared" si="61"/>
        <v>0</v>
      </c>
      <c r="BQ46" s="208">
        <f t="shared" si="62"/>
        <v>0</v>
      </c>
      <c r="BR46" s="208"/>
      <c r="BS46" s="208"/>
      <c r="BT46" s="208"/>
      <c r="BU46" s="208"/>
      <c r="BV46" s="208"/>
      <c r="BW46" s="210">
        <f t="shared" si="63"/>
        <v>-839590</v>
      </c>
      <c r="BX46" s="210">
        <f t="shared" si="64"/>
        <v>-839590</v>
      </c>
      <c r="BY46" s="210">
        <v>-839590</v>
      </c>
      <c r="BZ46" s="210"/>
      <c r="CA46" s="210"/>
      <c r="CB46" s="210"/>
      <c r="CC46" s="210"/>
      <c r="CD46" s="210"/>
      <c r="CE46" s="210"/>
      <c r="CF46" s="210"/>
      <c r="CG46" s="210"/>
      <c r="CH46" s="210"/>
      <c r="CI46" s="271"/>
      <c r="CJ46" s="145" t="s">
        <v>728</v>
      </c>
      <c r="CK46" s="57"/>
      <c r="CL46" s="230" t="s">
        <v>689</v>
      </c>
      <c r="CM46" s="230" t="s">
        <v>689</v>
      </c>
      <c r="CQ46" s="10" t="e">
        <f>D46-#REF!</f>
        <v>#REF!</v>
      </c>
      <c r="CR46" s="10" t="e">
        <f>D46-#REF!</f>
        <v>#REF!</v>
      </c>
      <c r="CS46" s="130" t="e">
        <f>F46-#REF!</f>
        <v>#REF!</v>
      </c>
    </row>
    <row r="47" spans="1:97" s="130" customFormat="1" ht="36" x14ac:dyDescent="0.2">
      <c r="A47" s="75"/>
      <c r="B47" s="160"/>
      <c r="C47" s="233" t="s">
        <v>580</v>
      </c>
      <c r="D47" s="220">
        <f t="shared" si="53"/>
        <v>2369718</v>
      </c>
      <c r="E47" s="210">
        <f t="shared" si="54"/>
        <v>2386153</v>
      </c>
      <c r="F47" s="210">
        <v>2369718</v>
      </c>
      <c r="G47" s="210">
        <f t="shared" si="55"/>
        <v>2386153</v>
      </c>
      <c r="H47" s="210">
        <f t="shared" si="56"/>
        <v>16435</v>
      </c>
      <c r="I47" s="210"/>
      <c r="J47" s="210"/>
      <c r="K47" s="210"/>
      <c r="L47" s="210"/>
      <c r="M47" s="210">
        <v>16435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>
        <v>0</v>
      </c>
      <c r="AN47" s="210">
        <f t="shared" si="57"/>
        <v>0</v>
      </c>
      <c r="AO47" s="210">
        <f t="shared" si="58"/>
        <v>0</v>
      </c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>
        <v>0</v>
      </c>
      <c r="BB47" s="210">
        <f t="shared" si="59"/>
        <v>0</v>
      </c>
      <c r="BC47" s="210">
        <f t="shared" si="60"/>
        <v>0</v>
      </c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>
        <v>0</v>
      </c>
      <c r="BP47" s="210">
        <f t="shared" si="61"/>
        <v>0</v>
      </c>
      <c r="BQ47" s="210">
        <f t="shared" si="62"/>
        <v>0</v>
      </c>
      <c r="BR47" s="210"/>
      <c r="BS47" s="210"/>
      <c r="BT47" s="210"/>
      <c r="BU47" s="210"/>
      <c r="BV47" s="210"/>
      <c r="BW47" s="210">
        <f t="shared" si="63"/>
        <v>0</v>
      </c>
      <c r="BX47" s="210">
        <f t="shared" si="64"/>
        <v>0</v>
      </c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71"/>
      <c r="CJ47" s="145" t="s">
        <v>475</v>
      </c>
      <c r="CK47" s="131"/>
      <c r="CL47" s="230" t="s">
        <v>689</v>
      </c>
      <c r="CM47" s="230" t="s">
        <v>689</v>
      </c>
      <c r="CQ47" s="10" t="e">
        <f>D47-#REF!</f>
        <v>#REF!</v>
      </c>
      <c r="CR47" s="10" t="e">
        <f>D47-#REF!</f>
        <v>#REF!</v>
      </c>
      <c r="CS47" s="130" t="e">
        <f>F47-#REF!</f>
        <v>#REF!</v>
      </c>
    </row>
    <row r="48" spans="1:97" s="130" customFormat="1" ht="22.5" customHeight="1" x14ac:dyDescent="0.2">
      <c r="A48" s="75"/>
      <c r="B48" s="160"/>
      <c r="C48" s="233" t="s">
        <v>651</v>
      </c>
      <c r="D48" s="220">
        <f t="shared" si="53"/>
        <v>5584</v>
      </c>
      <c r="E48" s="210">
        <f t="shared" si="54"/>
        <v>67896</v>
      </c>
      <c r="F48" s="210">
        <v>5584</v>
      </c>
      <c r="G48" s="210">
        <f t="shared" si="55"/>
        <v>67896</v>
      </c>
      <c r="H48" s="210">
        <f t="shared" si="56"/>
        <v>62312</v>
      </c>
      <c r="I48" s="210"/>
      <c r="J48" s="210"/>
      <c r="K48" s="210"/>
      <c r="L48" s="210"/>
      <c r="M48" s="210">
        <v>62312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>
        <v>0</v>
      </c>
      <c r="AN48" s="210">
        <f t="shared" si="57"/>
        <v>0</v>
      </c>
      <c r="AO48" s="210">
        <f t="shared" si="58"/>
        <v>0</v>
      </c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>
        <v>0</v>
      </c>
      <c r="BB48" s="210">
        <f t="shared" si="59"/>
        <v>0</v>
      </c>
      <c r="BC48" s="210">
        <f t="shared" si="60"/>
        <v>0</v>
      </c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>
        <v>0</v>
      </c>
      <c r="BP48" s="210">
        <f t="shared" si="61"/>
        <v>0</v>
      </c>
      <c r="BQ48" s="210">
        <f t="shared" si="62"/>
        <v>0</v>
      </c>
      <c r="BR48" s="210"/>
      <c r="BS48" s="210"/>
      <c r="BT48" s="210"/>
      <c r="BU48" s="210"/>
      <c r="BV48" s="210"/>
      <c r="BW48" s="210">
        <f t="shared" si="63"/>
        <v>0</v>
      </c>
      <c r="BX48" s="210">
        <f t="shared" si="64"/>
        <v>0</v>
      </c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71"/>
      <c r="CJ48" s="145" t="s">
        <v>602</v>
      </c>
      <c r="CK48" s="131"/>
      <c r="CL48" s="230" t="s">
        <v>689</v>
      </c>
      <c r="CM48" s="230" t="s">
        <v>689</v>
      </c>
      <c r="CQ48" s="10" t="e">
        <f>D48-#REF!</f>
        <v>#REF!</v>
      </c>
      <c r="CR48" s="10" t="e">
        <f>D48-#REF!</f>
        <v>#REF!</v>
      </c>
      <c r="CS48" s="130" t="e">
        <f>F48-#REF!</f>
        <v>#REF!</v>
      </c>
    </row>
    <row r="49" spans="1:97" s="130" customFormat="1" ht="36" x14ac:dyDescent="0.2">
      <c r="A49" s="75"/>
      <c r="B49" s="160"/>
      <c r="C49" s="233" t="s">
        <v>649</v>
      </c>
      <c r="D49" s="220">
        <f t="shared" si="53"/>
        <v>1257894</v>
      </c>
      <c r="E49" s="210">
        <f t="shared" si="54"/>
        <v>505126</v>
      </c>
      <c r="F49" s="210">
        <v>1257894</v>
      </c>
      <c r="G49" s="210">
        <f t="shared" si="55"/>
        <v>635297</v>
      </c>
      <c r="H49" s="210">
        <f t="shared" si="56"/>
        <v>-622597</v>
      </c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>
        <v>-622597</v>
      </c>
      <c r="AH49" s="210"/>
      <c r="AI49" s="210"/>
      <c r="AJ49" s="210"/>
      <c r="AK49" s="210"/>
      <c r="AL49" s="210"/>
      <c r="AM49" s="210">
        <v>0</v>
      </c>
      <c r="AN49" s="210">
        <f t="shared" si="57"/>
        <v>0</v>
      </c>
      <c r="AO49" s="210">
        <f t="shared" si="58"/>
        <v>0</v>
      </c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>
        <v>0</v>
      </c>
      <c r="BB49" s="210">
        <f t="shared" si="59"/>
        <v>0</v>
      </c>
      <c r="BC49" s="210">
        <f t="shared" si="60"/>
        <v>0</v>
      </c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>
        <v>0</v>
      </c>
      <c r="BP49" s="210">
        <f t="shared" si="61"/>
        <v>0</v>
      </c>
      <c r="BQ49" s="210">
        <f t="shared" si="62"/>
        <v>0</v>
      </c>
      <c r="BR49" s="210"/>
      <c r="BS49" s="210"/>
      <c r="BT49" s="210"/>
      <c r="BU49" s="210"/>
      <c r="BV49" s="210"/>
      <c r="BW49" s="210">
        <f t="shared" si="63"/>
        <v>-130171</v>
      </c>
      <c r="BX49" s="210">
        <f t="shared" si="64"/>
        <v>-130171</v>
      </c>
      <c r="BY49" s="210"/>
      <c r="BZ49" s="210"/>
      <c r="CA49" s="210"/>
      <c r="CB49" s="210"/>
      <c r="CC49" s="210"/>
      <c r="CD49" s="210"/>
      <c r="CE49" s="210"/>
      <c r="CF49" s="210"/>
      <c r="CG49" s="210">
        <v>-130171</v>
      </c>
      <c r="CH49" s="210"/>
      <c r="CI49" s="271"/>
      <c r="CJ49" s="145" t="s">
        <v>524</v>
      </c>
      <c r="CK49" s="131"/>
      <c r="CL49" s="230" t="s">
        <v>689</v>
      </c>
      <c r="CM49" s="230" t="s">
        <v>689</v>
      </c>
      <c r="CQ49" s="10" t="e">
        <f>D49-#REF!</f>
        <v>#REF!</v>
      </c>
      <c r="CR49" s="10" t="e">
        <f>D49-#REF!</f>
        <v>#REF!</v>
      </c>
      <c r="CS49" s="130" t="e">
        <f>F49-#REF!</f>
        <v>#REF!</v>
      </c>
    </row>
    <row r="50" spans="1:97" s="130" customFormat="1" ht="24" x14ac:dyDescent="0.2">
      <c r="A50" s="75"/>
      <c r="B50" s="160"/>
      <c r="C50" s="233" t="s">
        <v>658</v>
      </c>
      <c r="D50" s="220">
        <f t="shared" si="53"/>
        <v>1306302</v>
      </c>
      <c r="E50" s="210">
        <f t="shared" si="54"/>
        <v>1340068</v>
      </c>
      <c r="F50" s="210">
        <v>1306302</v>
      </c>
      <c r="G50" s="210">
        <f t="shared" si="55"/>
        <v>1490299</v>
      </c>
      <c r="H50" s="210">
        <f t="shared" si="56"/>
        <v>183997</v>
      </c>
      <c r="I50" s="210"/>
      <c r="J50" s="210"/>
      <c r="K50" s="210"/>
      <c r="L50" s="210"/>
      <c r="M50" s="210"/>
      <c r="N50" s="210"/>
      <c r="O50" s="210"/>
      <c r="P50" s="210"/>
      <c r="Q50" s="210">
        <v>162820</v>
      </c>
      <c r="R50" s="210"/>
      <c r="S50" s="210"/>
      <c r="T50" s="210"/>
      <c r="U50" s="210"/>
      <c r="V50" s="210"/>
      <c r="W50" s="210"/>
      <c r="X50" s="210"/>
      <c r="Y50" s="210"/>
      <c r="Z50" s="210"/>
      <c r="AA50" s="210">
        <v>21177</v>
      </c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>
        <v>0</v>
      </c>
      <c r="AN50" s="210">
        <f t="shared" si="57"/>
        <v>0</v>
      </c>
      <c r="AO50" s="210">
        <f t="shared" si="58"/>
        <v>0</v>
      </c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>
        <v>0</v>
      </c>
      <c r="BB50" s="210">
        <f t="shared" si="59"/>
        <v>0</v>
      </c>
      <c r="BC50" s="210">
        <f t="shared" si="60"/>
        <v>0</v>
      </c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>
        <v>0</v>
      </c>
      <c r="BP50" s="210">
        <f t="shared" si="61"/>
        <v>0</v>
      </c>
      <c r="BQ50" s="210">
        <f t="shared" si="62"/>
        <v>0</v>
      </c>
      <c r="BR50" s="210"/>
      <c r="BS50" s="210"/>
      <c r="BT50" s="210"/>
      <c r="BU50" s="210"/>
      <c r="BV50" s="210"/>
      <c r="BW50" s="210">
        <f t="shared" si="63"/>
        <v>-150231</v>
      </c>
      <c r="BX50" s="210">
        <f t="shared" si="64"/>
        <v>-150231</v>
      </c>
      <c r="BY50" s="210"/>
      <c r="BZ50" s="210"/>
      <c r="CA50" s="210">
        <v>-150231</v>
      </c>
      <c r="CB50" s="210"/>
      <c r="CC50" s="210"/>
      <c r="CD50" s="210"/>
      <c r="CE50" s="210"/>
      <c r="CF50" s="210"/>
      <c r="CG50" s="210"/>
      <c r="CH50" s="210"/>
      <c r="CI50" s="271"/>
      <c r="CJ50" s="145" t="s">
        <v>525</v>
      </c>
      <c r="CK50" s="131"/>
      <c r="CL50" s="230" t="s">
        <v>689</v>
      </c>
      <c r="CM50" s="230" t="s">
        <v>689</v>
      </c>
      <c r="CQ50" s="10" t="e">
        <f>D50-#REF!</f>
        <v>#REF!</v>
      </c>
      <c r="CR50" s="10" t="e">
        <f>D50-#REF!</f>
        <v>#REF!</v>
      </c>
      <c r="CS50" s="130" t="e">
        <f>F50-#REF!</f>
        <v>#REF!</v>
      </c>
    </row>
    <row r="51" spans="1:97" s="130" customFormat="1" ht="12.75" x14ac:dyDescent="0.2">
      <c r="A51" s="75"/>
      <c r="B51" s="160"/>
      <c r="C51" s="399" t="s">
        <v>214</v>
      </c>
      <c r="D51" s="220">
        <f t="shared" si="53"/>
        <v>0</v>
      </c>
      <c r="E51" s="210">
        <f t="shared" si="54"/>
        <v>850</v>
      </c>
      <c r="F51" s="210"/>
      <c r="G51" s="210">
        <f t="shared" ref="G51:G52" si="65">F51+H51</f>
        <v>850</v>
      </c>
      <c r="H51" s="210">
        <f t="shared" si="56"/>
        <v>850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>
        <v>850</v>
      </c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>
        <f t="shared" ref="AN51" si="66">AM51+AO51</f>
        <v>0</v>
      </c>
      <c r="AO51" s="210">
        <f t="shared" ref="AO51" si="67">SUM(AP51:AZ51)</f>
        <v>0</v>
      </c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>
        <f t="shared" ref="BB51" si="68">BA51+BC51</f>
        <v>0</v>
      </c>
      <c r="BC51" s="210">
        <f t="shared" ref="BC51" si="69">SUM(BD51:BN51)</f>
        <v>0</v>
      </c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>
        <f t="shared" ref="BP51" si="70">BO51+BQ51</f>
        <v>0</v>
      </c>
      <c r="BQ51" s="210">
        <f t="shared" ref="BQ51" si="71">SUM(BR51:BU51)</f>
        <v>0</v>
      </c>
      <c r="BR51" s="210"/>
      <c r="BS51" s="210"/>
      <c r="BT51" s="210"/>
      <c r="BU51" s="210"/>
      <c r="BV51" s="210"/>
      <c r="BW51" s="210">
        <f t="shared" ref="BW51" si="72">BV51+BX51</f>
        <v>0</v>
      </c>
      <c r="BX51" s="210">
        <f t="shared" si="64"/>
        <v>0</v>
      </c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71"/>
      <c r="CJ51" s="145" t="s">
        <v>845</v>
      </c>
      <c r="CK51" s="131"/>
      <c r="CL51" s="230"/>
      <c r="CM51" s="230"/>
      <c r="CQ51" s="10"/>
      <c r="CR51" s="10"/>
    </row>
    <row r="52" spans="1:97" s="130" customFormat="1" ht="12.75" x14ac:dyDescent="0.2">
      <c r="A52" s="75"/>
      <c r="B52" s="160"/>
      <c r="C52" s="408" t="s">
        <v>864</v>
      </c>
      <c r="D52" s="220">
        <f t="shared" si="53"/>
        <v>0</v>
      </c>
      <c r="E52" s="210">
        <f t="shared" si="54"/>
        <v>234630</v>
      </c>
      <c r="F52" s="210"/>
      <c r="G52" s="210">
        <f t="shared" si="65"/>
        <v>234630</v>
      </c>
      <c r="H52" s="210">
        <f t="shared" si="56"/>
        <v>234630</v>
      </c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>
        <v>234630</v>
      </c>
      <c r="AE52" s="210"/>
      <c r="AF52" s="210"/>
      <c r="AG52" s="210"/>
      <c r="AH52" s="210"/>
      <c r="AI52" s="210"/>
      <c r="AJ52" s="210"/>
      <c r="AK52" s="210"/>
      <c r="AL52" s="210"/>
      <c r="AM52" s="210"/>
      <c r="AN52" s="210">
        <f t="shared" ref="AN52" si="73">AM52+AO52</f>
        <v>0</v>
      </c>
      <c r="AO52" s="210">
        <f t="shared" ref="AO52" si="74">SUM(AP52:AZ52)</f>
        <v>0</v>
      </c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>
        <f t="shared" ref="BB52" si="75">BA52+BC52</f>
        <v>0</v>
      </c>
      <c r="BC52" s="210">
        <f t="shared" ref="BC52" si="76">SUM(BD52:BN52)</f>
        <v>0</v>
      </c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>
        <f t="shared" ref="BP52" si="77">BO52+BQ52</f>
        <v>0</v>
      </c>
      <c r="BQ52" s="210">
        <f t="shared" ref="BQ52" si="78">SUM(BR52:BU52)</f>
        <v>0</v>
      </c>
      <c r="BR52" s="210"/>
      <c r="BS52" s="210"/>
      <c r="BT52" s="210"/>
      <c r="BU52" s="210"/>
      <c r="BV52" s="210"/>
      <c r="BW52" s="210">
        <f t="shared" ref="BW52" si="79">BV52+BX52</f>
        <v>0</v>
      </c>
      <c r="BX52" s="210">
        <f t="shared" si="64"/>
        <v>0</v>
      </c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71"/>
      <c r="CJ52" s="145" t="s">
        <v>865</v>
      </c>
      <c r="CK52" s="131"/>
      <c r="CL52" s="230"/>
      <c r="CM52" s="230"/>
      <c r="CQ52" s="10"/>
      <c r="CR52" s="10"/>
    </row>
    <row r="53" spans="1:97" ht="24" customHeight="1" x14ac:dyDescent="0.2">
      <c r="A53" s="75">
        <v>90000518538</v>
      </c>
      <c r="B53" s="158" t="s">
        <v>287</v>
      </c>
      <c r="C53" s="255" t="s">
        <v>181</v>
      </c>
      <c r="D53" s="220">
        <f t="shared" si="53"/>
        <v>168925</v>
      </c>
      <c r="E53" s="208">
        <f t="shared" si="54"/>
        <v>168925</v>
      </c>
      <c r="F53" s="208">
        <v>168925</v>
      </c>
      <c r="G53" s="208">
        <f t="shared" si="55"/>
        <v>168925</v>
      </c>
      <c r="H53" s="208">
        <f t="shared" si="56"/>
        <v>0</v>
      </c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>
        <v>0</v>
      </c>
      <c r="AN53" s="208">
        <f t="shared" si="57"/>
        <v>0</v>
      </c>
      <c r="AO53" s="208">
        <f t="shared" si="58"/>
        <v>0</v>
      </c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>
        <v>0</v>
      </c>
      <c r="BB53" s="208">
        <f t="shared" si="59"/>
        <v>0</v>
      </c>
      <c r="BC53" s="208">
        <f t="shared" si="60"/>
        <v>0</v>
      </c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>
        <v>0</v>
      </c>
      <c r="BP53" s="208">
        <f t="shared" si="61"/>
        <v>0</v>
      </c>
      <c r="BQ53" s="208">
        <f t="shared" si="62"/>
        <v>0</v>
      </c>
      <c r="BR53" s="208"/>
      <c r="BS53" s="208"/>
      <c r="BT53" s="208"/>
      <c r="BU53" s="208"/>
      <c r="BV53" s="208"/>
      <c r="BW53" s="208">
        <f t="shared" si="63"/>
        <v>0</v>
      </c>
      <c r="BX53" s="208">
        <f t="shared" si="64"/>
        <v>0</v>
      </c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59"/>
      <c r="CJ53" s="54" t="s">
        <v>423</v>
      </c>
      <c r="CK53" s="57"/>
      <c r="CL53" s="230" t="s">
        <v>692</v>
      </c>
      <c r="CM53" s="10" t="s">
        <v>693</v>
      </c>
      <c r="CQ53" s="10" t="e">
        <f>D53-#REF!</f>
        <v>#REF!</v>
      </c>
      <c r="CR53" s="10" t="e">
        <f>D53-#REF!</f>
        <v>#REF!</v>
      </c>
      <c r="CS53" s="1" t="e">
        <f>F53-#REF!</f>
        <v>#REF!</v>
      </c>
    </row>
    <row r="54" spans="1:97" ht="39" customHeight="1" x14ac:dyDescent="0.2">
      <c r="A54" s="75"/>
      <c r="B54" s="158" t="s">
        <v>162</v>
      </c>
      <c r="C54" s="235" t="s">
        <v>163</v>
      </c>
      <c r="D54" s="220">
        <f t="shared" si="53"/>
        <v>50000</v>
      </c>
      <c r="E54" s="208">
        <f t="shared" si="54"/>
        <v>13424</v>
      </c>
      <c r="F54" s="208">
        <v>50000</v>
      </c>
      <c r="G54" s="208">
        <f t="shared" si="55"/>
        <v>13424</v>
      </c>
      <c r="H54" s="208">
        <f t="shared" si="56"/>
        <v>-36576</v>
      </c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>
        <f>-9480-5919-21177</f>
        <v>-36576</v>
      </c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>
        <v>0</v>
      </c>
      <c r="AN54" s="208">
        <f t="shared" si="57"/>
        <v>0</v>
      </c>
      <c r="AO54" s="208">
        <f t="shared" si="58"/>
        <v>0</v>
      </c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>
        <v>0</v>
      </c>
      <c r="BB54" s="208">
        <f t="shared" si="59"/>
        <v>0</v>
      </c>
      <c r="BC54" s="208">
        <f t="shared" si="60"/>
        <v>0</v>
      </c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>
        <v>0</v>
      </c>
      <c r="BP54" s="208">
        <f t="shared" si="61"/>
        <v>0</v>
      </c>
      <c r="BQ54" s="208">
        <f t="shared" si="62"/>
        <v>0</v>
      </c>
      <c r="BR54" s="208"/>
      <c r="BS54" s="208"/>
      <c r="BT54" s="208"/>
      <c r="BU54" s="208"/>
      <c r="BV54" s="208"/>
      <c r="BW54" s="208">
        <f t="shared" si="63"/>
        <v>0</v>
      </c>
      <c r="BX54" s="208">
        <f t="shared" si="64"/>
        <v>0</v>
      </c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59"/>
      <c r="CJ54" s="54" t="s">
        <v>312</v>
      </c>
      <c r="CK54" s="57"/>
      <c r="CL54" s="230" t="s">
        <v>686</v>
      </c>
      <c r="CM54" s="10" t="s">
        <v>687</v>
      </c>
      <c r="CQ54" s="10" t="e">
        <f>D54-#REF!</f>
        <v>#REF!</v>
      </c>
      <c r="CR54" s="10" t="e">
        <f>D54-#REF!</f>
        <v>#REF!</v>
      </c>
      <c r="CS54" s="1" t="e">
        <f>F54-#REF!</f>
        <v>#REF!</v>
      </c>
    </row>
    <row r="55" spans="1:97" ht="12.75" x14ac:dyDescent="0.2">
      <c r="A55" s="75"/>
      <c r="B55" s="160"/>
      <c r="C55" s="235" t="s">
        <v>190</v>
      </c>
      <c r="D55" s="220">
        <f t="shared" si="53"/>
        <v>2100</v>
      </c>
      <c r="E55" s="208">
        <f t="shared" si="54"/>
        <v>16600</v>
      </c>
      <c r="F55" s="208">
        <v>2100</v>
      </c>
      <c r="G55" s="208">
        <f t="shared" si="55"/>
        <v>16600</v>
      </c>
      <c r="H55" s="208">
        <f t="shared" si="56"/>
        <v>14500</v>
      </c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>
        <v>14500</v>
      </c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>
        <v>0</v>
      </c>
      <c r="AN55" s="208">
        <f t="shared" si="57"/>
        <v>0</v>
      </c>
      <c r="AO55" s="208">
        <f t="shared" si="58"/>
        <v>0</v>
      </c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>
        <v>0</v>
      </c>
      <c r="BB55" s="208">
        <f t="shared" si="59"/>
        <v>0</v>
      </c>
      <c r="BC55" s="208">
        <f t="shared" si="60"/>
        <v>0</v>
      </c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>
        <v>0</v>
      </c>
      <c r="BP55" s="208">
        <f t="shared" si="61"/>
        <v>0</v>
      </c>
      <c r="BQ55" s="208">
        <f t="shared" si="62"/>
        <v>0</v>
      </c>
      <c r="BR55" s="208"/>
      <c r="BS55" s="208"/>
      <c r="BT55" s="208"/>
      <c r="BU55" s="208"/>
      <c r="BV55" s="208"/>
      <c r="BW55" s="208">
        <f t="shared" si="63"/>
        <v>0</v>
      </c>
      <c r="BX55" s="208">
        <f t="shared" si="64"/>
        <v>0</v>
      </c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59"/>
      <c r="CJ55" s="54" t="s">
        <v>313</v>
      </c>
      <c r="CK55" s="57"/>
      <c r="CL55" s="230" t="s">
        <v>686</v>
      </c>
      <c r="CM55" s="10" t="s">
        <v>687</v>
      </c>
      <c r="CQ55" s="10" t="e">
        <f>D55-#REF!</f>
        <v>#REF!</v>
      </c>
      <c r="CR55" s="10" t="e">
        <f>D55-#REF!</f>
        <v>#REF!</v>
      </c>
      <c r="CS55" s="1" t="e">
        <f>F55-#REF!</f>
        <v>#REF!</v>
      </c>
    </row>
    <row r="56" spans="1:97" ht="12.75" x14ac:dyDescent="0.2">
      <c r="A56" s="75"/>
      <c r="B56" s="160"/>
      <c r="C56" s="235" t="s">
        <v>176</v>
      </c>
      <c r="D56" s="220">
        <f t="shared" si="53"/>
        <v>15782</v>
      </c>
      <c r="E56" s="208">
        <f t="shared" si="54"/>
        <v>15782</v>
      </c>
      <c r="F56" s="208">
        <v>15782</v>
      </c>
      <c r="G56" s="208">
        <f t="shared" si="55"/>
        <v>15782</v>
      </c>
      <c r="H56" s="208">
        <f t="shared" si="56"/>
        <v>0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>
        <v>0</v>
      </c>
      <c r="AN56" s="208">
        <f t="shared" si="57"/>
        <v>0</v>
      </c>
      <c r="AO56" s="208">
        <f t="shared" si="58"/>
        <v>0</v>
      </c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>
        <v>0</v>
      </c>
      <c r="BB56" s="208">
        <f t="shared" si="59"/>
        <v>0</v>
      </c>
      <c r="BC56" s="208">
        <f t="shared" si="60"/>
        <v>0</v>
      </c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>
        <v>0</v>
      </c>
      <c r="BP56" s="208">
        <f t="shared" si="61"/>
        <v>0</v>
      </c>
      <c r="BQ56" s="208">
        <f t="shared" si="62"/>
        <v>0</v>
      </c>
      <c r="BR56" s="208"/>
      <c r="BS56" s="208"/>
      <c r="BT56" s="208"/>
      <c r="BU56" s="208"/>
      <c r="BV56" s="208"/>
      <c r="BW56" s="208">
        <f t="shared" si="63"/>
        <v>0</v>
      </c>
      <c r="BX56" s="208">
        <f t="shared" si="64"/>
        <v>0</v>
      </c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59"/>
      <c r="CJ56" s="54" t="s">
        <v>314</v>
      </c>
      <c r="CK56" s="57"/>
      <c r="CL56" s="230" t="s">
        <v>686</v>
      </c>
      <c r="CM56" s="10" t="s">
        <v>687</v>
      </c>
      <c r="CQ56" s="10" t="e">
        <f>D56-#REF!</f>
        <v>#REF!</v>
      </c>
      <c r="CR56" s="10" t="e">
        <f>D56-#REF!</f>
        <v>#REF!</v>
      </c>
      <c r="CS56" s="1" t="e">
        <f>F56-#REF!</f>
        <v>#REF!</v>
      </c>
    </row>
    <row r="57" spans="1:97" s="118" customFormat="1" ht="36" x14ac:dyDescent="0.2">
      <c r="A57" s="75"/>
      <c r="B57" s="160"/>
      <c r="C57" s="235" t="s">
        <v>468</v>
      </c>
      <c r="D57" s="220">
        <f t="shared" si="53"/>
        <v>30000</v>
      </c>
      <c r="E57" s="208">
        <f t="shared" si="54"/>
        <v>30000</v>
      </c>
      <c r="F57" s="208">
        <v>30000</v>
      </c>
      <c r="G57" s="208">
        <f t="shared" si="55"/>
        <v>30000</v>
      </c>
      <c r="H57" s="208">
        <f t="shared" si="56"/>
        <v>0</v>
      </c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>
        <v>0</v>
      </c>
      <c r="AN57" s="208">
        <f t="shared" si="57"/>
        <v>0</v>
      </c>
      <c r="AO57" s="208">
        <f t="shared" si="58"/>
        <v>0</v>
      </c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>
        <v>0</v>
      </c>
      <c r="BB57" s="208">
        <f t="shared" si="59"/>
        <v>0</v>
      </c>
      <c r="BC57" s="208">
        <f t="shared" si="60"/>
        <v>0</v>
      </c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>
        <v>0</v>
      </c>
      <c r="BP57" s="208">
        <f t="shared" si="61"/>
        <v>0</v>
      </c>
      <c r="BQ57" s="208">
        <f t="shared" si="62"/>
        <v>0</v>
      </c>
      <c r="BR57" s="208"/>
      <c r="BS57" s="208"/>
      <c r="BT57" s="208"/>
      <c r="BU57" s="208"/>
      <c r="BV57" s="208"/>
      <c r="BW57" s="208">
        <f t="shared" si="63"/>
        <v>0</v>
      </c>
      <c r="BX57" s="208">
        <f t="shared" si="64"/>
        <v>0</v>
      </c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59"/>
      <c r="CJ57" s="54" t="s">
        <v>469</v>
      </c>
      <c r="CK57" s="57"/>
      <c r="CL57" s="230" t="s">
        <v>686</v>
      </c>
      <c r="CM57" s="10" t="s">
        <v>687</v>
      </c>
      <c r="CQ57" s="10" t="e">
        <f>D57-#REF!</f>
        <v>#REF!</v>
      </c>
      <c r="CR57" s="10" t="e">
        <f>D57-#REF!</f>
        <v>#REF!</v>
      </c>
      <c r="CS57" s="118" t="e">
        <f>F57-#REF!</f>
        <v>#REF!</v>
      </c>
    </row>
    <row r="58" spans="1:97" s="130" customFormat="1" ht="36" x14ac:dyDescent="0.2">
      <c r="A58" s="75"/>
      <c r="B58" s="160"/>
      <c r="C58" s="235" t="s">
        <v>591</v>
      </c>
      <c r="D58" s="220">
        <f t="shared" si="53"/>
        <v>6000</v>
      </c>
      <c r="E58" s="208">
        <f t="shared" si="54"/>
        <v>6000</v>
      </c>
      <c r="F58" s="208">
        <v>6000</v>
      </c>
      <c r="G58" s="208">
        <f t="shared" si="55"/>
        <v>6000</v>
      </c>
      <c r="H58" s="208">
        <f t="shared" si="56"/>
        <v>0</v>
      </c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>
        <v>0</v>
      </c>
      <c r="AN58" s="208">
        <f t="shared" si="57"/>
        <v>0</v>
      </c>
      <c r="AO58" s="208">
        <f t="shared" si="58"/>
        <v>0</v>
      </c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>
        <v>0</v>
      </c>
      <c r="BB58" s="208">
        <f t="shared" si="59"/>
        <v>0</v>
      </c>
      <c r="BC58" s="208">
        <f t="shared" si="60"/>
        <v>0</v>
      </c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>
        <v>0</v>
      </c>
      <c r="BP58" s="208">
        <f t="shared" si="61"/>
        <v>0</v>
      </c>
      <c r="BQ58" s="208">
        <f t="shared" si="62"/>
        <v>0</v>
      </c>
      <c r="BR58" s="208"/>
      <c r="BS58" s="208"/>
      <c r="BT58" s="208"/>
      <c r="BU58" s="208"/>
      <c r="BV58" s="208"/>
      <c r="BW58" s="208">
        <f t="shared" si="63"/>
        <v>0</v>
      </c>
      <c r="BX58" s="208">
        <f t="shared" si="64"/>
        <v>0</v>
      </c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59"/>
      <c r="CJ58" s="54" t="s">
        <v>605</v>
      </c>
      <c r="CK58" s="57"/>
      <c r="CL58" s="230" t="s">
        <v>686</v>
      </c>
      <c r="CM58" s="10" t="s">
        <v>687</v>
      </c>
      <c r="CQ58" s="10" t="e">
        <f>D58-#REF!</f>
        <v>#REF!</v>
      </c>
      <c r="CR58" s="10" t="e">
        <f>D58-#REF!</f>
        <v>#REF!</v>
      </c>
      <c r="CS58" s="130" t="e">
        <f>F58-#REF!</f>
        <v>#REF!</v>
      </c>
    </row>
    <row r="59" spans="1:97" s="130" customFormat="1" ht="24" x14ac:dyDescent="0.2">
      <c r="A59" s="75">
        <v>90000056554</v>
      </c>
      <c r="B59" s="158" t="s">
        <v>429</v>
      </c>
      <c r="C59" s="235" t="s">
        <v>830</v>
      </c>
      <c r="D59" s="220">
        <f t="shared" si="53"/>
        <v>0</v>
      </c>
      <c r="E59" s="208">
        <f t="shared" si="54"/>
        <v>1845</v>
      </c>
      <c r="F59" s="208"/>
      <c r="G59" s="208">
        <f t="shared" si="55"/>
        <v>2657</v>
      </c>
      <c r="H59" s="208">
        <f t="shared" si="56"/>
        <v>2657</v>
      </c>
      <c r="I59" s="208"/>
      <c r="J59" s="208"/>
      <c r="K59" s="208"/>
      <c r="L59" s="208"/>
      <c r="M59" s="208"/>
      <c r="N59" s="208"/>
      <c r="O59" s="208"/>
      <c r="P59" s="208"/>
      <c r="Q59" s="208"/>
      <c r="R59" s="208">
        <v>2657</v>
      </c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>
        <f t="shared" ref="AN59" si="80">AM59+AO59</f>
        <v>0</v>
      </c>
      <c r="AO59" s="208">
        <f t="shared" ref="AO59" si="81">SUM(AP59:AZ59)</f>
        <v>0</v>
      </c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>
        <f t="shared" ref="BB59" si="82">BA59+BC59</f>
        <v>0</v>
      </c>
      <c r="BC59" s="208">
        <f t="shared" ref="BC59" si="83">SUM(BD59:BN59)</f>
        <v>0</v>
      </c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>
        <f t="shared" ref="BP59" si="84">BO59+BQ59</f>
        <v>0</v>
      </c>
      <c r="BQ59" s="208">
        <f t="shared" ref="BQ59" si="85">SUM(BR59:BU59)</f>
        <v>0</v>
      </c>
      <c r="BR59" s="208"/>
      <c r="BS59" s="208"/>
      <c r="BT59" s="208"/>
      <c r="BU59" s="208"/>
      <c r="BV59" s="208"/>
      <c r="BW59" s="208">
        <f t="shared" ref="BW59" si="86">BV59+BX59</f>
        <v>-812</v>
      </c>
      <c r="BX59" s="208">
        <f t="shared" si="64"/>
        <v>-812</v>
      </c>
      <c r="BY59" s="208"/>
      <c r="BZ59" s="208"/>
      <c r="CA59" s="208"/>
      <c r="CB59" s="208">
        <v>-812</v>
      </c>
      <c r="CC59" s="208"/>
      <c r="CD59" s="208"/>
      <c r="CE59" s="208"/>
      <c r="CF59" s="208"/>
      <c r="CG59" s="208"/>
      <c r="CH59" s="208"/>
      <c r="CI59" s="259"/>
      <c r="CJ59" s="54" t="s">
        <v>831</v>
      </c>
      <c r="CK59" s="57"/>
      <c r="CL59" s="230"/>
      <c r="CM59" s="10"/>
      <c r="CQ59" s="10"/>
      <c r="CR59" s="10"/>
    </row>
    <row r="60" spans="1:97" ht="10.5" customHeight="1" thickBot="1" x14ac:dyDescent="0.25">
      <c r="A60" s="197"/>
      <c r="B60" s="385"/>
      <c r="C60" s="198"/>
      <c r="D60" s="225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74"/>
      <c r="CJ60" s="199"/>
      <c r="CK60" s="200"/>
      <c r="CQ60" s="10" t="e">
        <f>D60-#REF!</f>
        <v>#REF!</v>
      </c>
      <c r="CR60" s="10" t="e">
        <f>D60-#REF!</f>
        <v>#REF!</v>
      </c>
      <c r="CS60" s="1" t="e">
        <f>F60-#REF!</f>
        <v>#REF!</v>
      </c>
    </row>
    <row r="61" spans="1:97" ht="12.75" thickBot="1" x14ac:dyDescent="0.25">
      <c r="A61" s="140" t="s">
        <v>9</v>
      </c>
      <c r="B61" s="90" t="s">
        <v>10</v>
      </c>
      <c r="C61" s="187"/>
      <c r="D61" s="223">
        <f t="shared" ref="D61:E61" si="87">SUM(D62:D69)</f>
        <v>4945765</v>
      </c>
      <c r="E61" s="262">
        <f t="shared" si="87"/>
        <v>4896009</v>
      </c>
      <c r="F61" s="262">
        <f>SUM(F62:F69)</f>
        <v>4172116</v>
      </c>
      <c r="G61" s="262">
        <f t="shared" ref="G61:CI61" si="88">SUM(G62:G69)</f>
        <v>4473072</v>
      </c>
      <c r="H61" s="262">
        <f t="shared" si="88"/>
        <v>300956</v>
      </c>
      <c r="I61" s="262">
        <f t="shared" si="88"/>
        <v>0</v>
      </c>
      <c r="J61" s="262">
        <f t="shared" si="88"/>
        <v>0</v>
      </c>
      <c r="K61" s="262">
        <f t="shared" si="88"/>
        <v>0</v>
      </c>
      <c r="L61" s="262">
        <f t="shared" si="88"/>
        <v>0</v>
      </c>
      <c r="M61" s="262">
        <f t="shared" si="88"/>
        <v>38066</v>
      </c>
      <c r="N61" s="262">
        <f t="shared" si="88"/>
        <v>6009</v>
      </c>
      <c r="O61" s="262">
        <f t="shared" si="88"/>
        <v>0</v>
      </c>
      <c r="P61" s="262">
        <f t="shared" si="88"/>
        <v>0</v>
      </c>
      <c r="Q61" s="262">
        <f t="shared" si="88"/>
        <v>0</v>
      </c>
      <c r="R61" s="262">
        <f t="shared" ref="R61:AK61" si="89">SUM(R62:R69)</f>
        <v>0</v>
      </c>
      <c r="S61" s="262">
        <f t="shared" si="89"/>
        <v>0</v>
      </c>
      <c r="T61" s="262">
        <f t="shared" si="89"/>
        <v>0</v>
      </c>
      <c r="U61" s="262">
        <f t="shared" si="89"/>
        <v>0</v>
      </c>
      <c r="V61" s="262">
        <f t="shared" si="89"/>
        <v>0</v>
      </c>
      <c r="W61" s="262">
        <f t="shared" si="89"/>
        <v>0</v>
      </c>
      <c r="X61" s="262">
        <f t="shared" si="89"/>
        <v>0</v>
      </c>
      <c r="Y61" s="262">
        <f t="shared" si="89"/>
        <v>0</v>
      </c>
      <c r="Z61" s="262">
        <f t="shared" si="89"/>
        <v>0</v>
      </c>
      <c r="AA61" s="262">
        <f t="shared" si="89"/>
        <v>0</v>
      </c>
      <c r="AB61" s="262">
        <f t="shared" si="89"/>
        <v>0</v>
      </c>
      <c r="AC61" s="262">
        <f t="shared" si="89"/>
        <v>0</v>
      </c>
      <c r="AD61" s="262">
        <f t="shared" si="89"/>
        <v>0</v>
      </c>
      <c r="AE61" s="262">
        <f t="shared" ref="AE61:AI61" si="90">SUM(AE62:AE69)</f>
        <v>0</v>
      </c>
      <c r="AF61" s="262">
        <f t="shared" ref="AF61:AG61" si="91">SUM(AF62:AF69)</f>
        <v>0</v>
      </c>
      <c r="AG61" s="262">
        <f t="shared" si="91"/>
        <v>256881</v>
      </c>
      <c r="AH61" s="262">
        <f t="shared" si="90"/>
        <v>0</v>
      </c>
      <c r="AI61" s="262">
        <f t="shared" si="90"/>
        <v>0</v>
      </c>
      <c r="AJ61" s="262">
        <f t="shared" si="89"/>
        <v>0</v>
      </c>
      <c r="AK61" s="262">
        <f t="shared" si="89"/>
        <v>0</v>
      </c>
      <c r="AL61" s="262">
        <f t="shared" si="88"/>
        <v>0</v>
      </c>
      <c r="AM61" s="262">
        <f t="shared" si="88"/>
        <v>773649</v>
      </c>
      <c r="AN61" s="262">
        <f t="shared" si="88"/>
        <v>441970</v>
      </c>
      <c r="AO61" s="262">
        <f t="shared" si="88"/>
        <v>-331679</v>
      </c>
      <c r="AP61" s="262">
        <f t="shared" si="88"/>
        <v>-21679</v>
      </c>
      <c r="AQ61" s="262">
        <f t="shared" si="88"/>
        <v>0</v>
      </c>
      <c r="AR61" s="262">
        <f t="shared" si="88"/>
        <v>0</v>
      </c>
      <c r="AS61" s="262">
        <f t="shared" si="88"/>
        <v>0</v>
      </c>
      <c r="AT61" s="262">
        <f t="shared" si="88"/>
        <v>0</v>
      </c>
      <c r="AU61" s="262">
        <f t="shared" ref="AU61" si="92">SUM(AU62:AU69)</f>
        <v>0</v>
      </c>
      <c r="AV61" s="262">
        <f t="shared" si="88"/>
        <v>-310000</v>
      </c>
      <c r="AW61" s="262">
        <f t="shared" si="88"/>
        <v>0</v>
      </c>
      <c r="AX61" s="262">
        <f t="shared" si="88"/>
        <v>0</v>
      </c>
      <c r="AY61" s="262">
        <f t="shared" si="88"/>
        <v>0</v>
      </c>
      <c r="AZ61" s="262">
        <f t="shared" si="88"/>
        <v>0</v>
      </c>
      <c r="BA61" s="262">
        <f t="shared" si="88"/>
        <v>0</v>
      </c>
      <c r="BB61" s="262">
        <f t="shared" si="88"/>
        <v>0</v>
      </c>
      <c r="BC61" s="262">
        <f t="shared" si="88"/>
        <v>0</v>
      </c>
      <c r="BD61" s="262">
        <f t="shared" si="88"/>
        <v>0</v>
      </c>
      <c r="BE61" s="262">
        <f t="shared" si="88"/>
        <v>0</v>
      </c>
      <c r="BF61" s="262">
        <f t="shared" si="88"/>
        <v>0</v>
      </c>
      <c r="BG61" s="262">
        <f t="shared" si="88"/>
        <v>0</v>
      </c>
      <c r="BH61" s="262">
        <f t="shared" ref="BH61" si="93">SUM(BH62:BH69)</f>
        <v>0</v>
      </c>
      <c r="BI61" s="262">
        <f t="shared" si="88"/>
        <v>0</v>
      </c>
      <c r="BJ61" s="262">
        <f t="shared" si="88"/>
        <v>0</v>
      </c>
      <c r="BK61" s="262">
        <f t="shared" si="88"/>
        <v>0</v>
      </c>
      <c r="BL61" s="262">
        <f t="shared" si="88"/>
        <v>0</v>
      </c>
      <c r="BM61" s="262">
        <f t="shared" si="88"/>
        <v>0</v>
      </c>
      <c r="BN61" s="262">
        <f t="shared" si="88"/>
        <v>0</v>
      </c>
      <c r="BO61" s="262">
        <f t="shared" si="88"/>
        <v>0</v>
      </c>
      <c r="BP61" s="262">
        <f t="shared" si="88"/>
        <v>0</v>
      </c>
      <c r="BQ61" s="262">
        <f t="shared" si="88"/>
        <v>0</v>
      </c>
      <c r="BR61" s="262">
        <f t="shared" si="88"/>
        <v>0</v>
      </c>
      <c r="BS61" s="262">
        <f t="shared" si="88"/>
        <v>0</v>
      </c>
      <c r="BT61" s="262">
        <f t="shared" si="88"/>
        <v>0</v>
      </c>
      <c r="BU61" s="262">
        <f t="shared" si="88"/>
        <v>0</v>
      </c>
      <c r="BV61" s="262">
        <f t="shared" si="88"/>
        <v>0</v>
      </c>
      <c r="BW61" s="262">
        <f t="shared" si="88"/>
        <v>-19033</v>
      </c>
      <c r="BX61" s="262">
        <f t="shared" si="88"/>
        <v>-19033</v>
      </c>
      <c r="BY61" s="262">
        <f t="shared" si="88"/>
        <v>-19033</v>
      </c>
      <c r="BZ61" s="262">
        <f t="shared" si="88"/>
        <v>0</v>
      </c>
      <c r="CA61" s="262">
        <f t="shared" si="88"/>
        <v>0</v>
      </c>
      <c r="CB61" s="262">
        <f t="shared" si="88"/>
        <v>0</v>
      </c>
      <c r="CC61" s="262">
        <f t="shared" si="88"/>
        <v>0</v>
      </c>
      <c r="CD61" s="262">
        <f t="shared" si="88"/>
        <v>0</v>
      </c>
      <c r="CE61" s="262">
        <f t="shared" si="88"/>
        <v>0</v>
      </c>
      <c r="CF61" s="262">
        <f t="shared" ref="CF61" si="94">SUM(CF62:CF69)</f>
        <v>0</v>
      </c>
      <c r="CG61" s="262">
        <f t="shared" si="88"/>
        <v>0</v>
      </c>
      <c r="CH61" s="262">
        <f t="shared" si="88"/>
        <v>0</v>
      </c>
      <c r="CI61" s="270">
        <f t="shared" si="88"/>
        <v>0</v>
      </c>
      <c r="CJ61" s="7"/>
      <c r="CK61" s="59"/>
      <c r="CQ61" s="10" t="e">
        <f>D61-#REF!</f>
        <v>#REF!</v>
      </c>
      <c r="CR61" s="10" t="e">
        <f>D61-#REF!</f>
        <v>#REF!</v>
      </c>
      <c r="CS61" s="1" t="e">
        <f>F61-#REF!</f>
        <v>#REF!</v>
      </c>
    </row>
    <row r="62" spans="1:97" ht="15.75" customHeight="1" thickTop="1" x14ac:dyDescent="0.2">
      <c r="A62" s="75">
        <v>90000056357</v>
      </c>
      <c r="B62" s="164" t="s">
        <v>5</v>
      </c>
      <c r="C62" s="189" t="s">
        <v>253</v>
      </c>
      <c r="D62" s="220">
        <f t="shared" ref="D62:E65" si="95">F62+AM62+BA62+BO62+BV62</f>
        <v>13197</v>
      </c>
      <c r="E62" s="210">
        <f t="shared" si="95"/>
        <v>13111</v>
      </c>
      <c r="F62" s="212">
        <v>13197</v>
      </c>
      <c r="G62" s="212">
        <f t="shared" ref="G62:G68" si="96">F62+H62</f>
        <v>13111</v>
      </c>
      <c r="H62" s="212">
        <f t="shared" ref="H62:H68" si="97">SUM(I62:AL62)</f>
        <v>-86</v>
      </c>
      <c r="I62" s="212"/>
      <c r="J62" s="212"/>
      <c r="K62" s="212"/>
      <c r="L62" s="212"/>
      <c r="M62" s="212"/>
      <c r="N62" s="212"/>
      <c r="O62" s="212"/>
      <c r="P62" s="212"/>
      <c r="Q62" s="212"/>
      <c r="R62" s="212">
        <v>-86</v>
      </c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>
        <v>0</v>
      </c>
      <c r="AN62" s="212">
        <f t="shared" ref="AN62:AN68" si="98">AM62+AO62</f>
        <v>0</v>
      </c>
      <c r="AO62" s="212">
        <f t="shared" ref="AO62:AO68" si="99">SUM(AP62:AZ62)</f>
        <v>0</v>
      </c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>
        <v>0</v>
      </c>
      <c r="BB62" s="212">
        <f t="shared" ref="BB62:BB68" si="100">BA62+BC62</f>
        <v>0</v>
      </c>
      <c r="BC62" s="212">
        <f t="shared" ref="BC62:BC68" si="101">SUM(BD62:BN62)</f>
        <v>0</v>
      </c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>
        <v>0</v>
      </c>
      <c r="BP62" s="212">
        <f t="shared" ref="BP62:BP68" si="102">BO62+BQ62</f>
        <v>0</v>
      </c>
      <c r="BQ62" s="212">
        <f t="shared" ref="BQ62:BQ68" si="103">SUM(BR62:BU62)</f>
        <v>0</v>
      </c>
      <c r="BR62" s="212"/>
      <c r="BS62" s="212"/>
      <c r="BT62" s="212"/>
      <c r="BU62" s="212"/>
      <c r="BV62" s="212"/>
      <c r="BW62" s="212">
        <f t="shared" ref="BW62:BW68" si="104">BV62+BX62</f>
        <v>0</v>
      </c>
      <c r="BX62" s="212">
        <f t="shared" ref="BX62:BX68" si="105">SUM(BY62:CI62)</f>
        <v>0</v>
      </c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324"/>
      <c r="CJ62" s="135" t="s">
        <v>308</v>
      </c>
      <c r="CK62" s="136" t="s">
        <v>532</v>
      </c>
      <c r="CL62" s="230" t="s">
        <v>688</v>
      </c>
      <c r="CM62" s="10" t="s">
        <v>688</v>
      </c>
      <c r="CQ62" s="10" t="e">
        <f>D62-#REF!</f>
        <v>#REF!</v>
      </c>
      <c r="CR62" s="10" t="e">
        <f>D62-#REF!</f>
        <v>#REF!</v>
      </c>
      <c r="CS62" s="1" t="e">
        <f>F62-#REF!</f>
        <v>#REF!</v>
      </c>
    </row>
    <row r="63" spans="1:97" s="87" customFormat="1" ht="24" x14ac:dyDescent="0.2">
      <c r="A63" s="75"/>
      <c r="B63" s="159"/>
      <c r="C63" s="231" t="s">
        <v>254</v>
      </c>
      <c r="D63" s="220">
        <f t="shared" si="95"/>
        <v>22340</v>
      </c>
      <c r="E63" s="208">
        <f t="shared" si="95"/>
        <v>19307</v>
      </c>
      <c r="F63" s="208">
        <v>22340</v>
      </c>
      <c r="G63" s="208">
        <f t="shared" si="96"/>
        <v>19307</v>
      </c>
      <c r="H63" s="208">
        <f t="shared" si="97"/>
        <v>-3033</v>
      </c>
      <c r="I63" s="208"/>
      <c r="J63" s="208"/>
      <c r="K63" s="208"/>
      <c r="L63" s="208"/>
      <c r="M63" s="208"/>
      <c r="N63" s="208"/>
      <c r="O63" s="208"/>
      <c r="P63" s="208"/>
      <c r="Q63" s="208"/>
      <c r="R63" s="208">
        <v>86</v>
      </c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>
        <v>-3119</v>
      </c>
      <c r="AH63" s="208"/>
      <c r="AI63" s="208"/>
      <c r="AJ63" s="208"/>
      <c r="AK63" s="208"/>
      <c r="AL63" s="208"/>
      <c r="AM63" s="208">
        <v>0</v>
      </c>
      <c r="AN63" s="208">
        <f t="shared" si="98"/>
        <v>0</v>
      </c>
      <c r="AO63" s="208">
        <f t="shared" si="99"/>
        <v>0</v>
      </c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>
        <v>0</v>
      </c>
      <c r="BB63" s="208">
        <f t="shared" si="100"/>
        <v>0</v>
      </c>
      <c r="BC63" s="208">
        <f t="shared" si="101"/>
        <v>0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>
        <v>0</v>
      </c>
      <c r="BP63" s="208">
        <f t="shared" si="102"/>
        <v>0</v>
      </c>
      <c r="BQ63" s="208">
        <f t="shared" si="103"/>
        <v>0</v>
      </c>
      <c r="BR63" s="208"/>
      <c r="BS63" s="208"/>
      <c r="BT63" s="208"/>
      <c r="BU63" s="208"/>
      <c r="BV63" s="208"/>
      <c r="BW63" s="208">
        <f t="shared" si="104"/>
        <v>0</v>
      </c>
      <c r="BX63" s="208">
        <f t="shared" si="105"/>
        <v>0</v>
      </c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59"/>
      <c r="CJ63" s="54" t="s">
        <v>309</v>
      </c>
      <c r="CK63" s="57" t="s">
        <v>532</v>
      </c>
      <c r="CL63" s="230" t="s">
        <v>688</v>
      </c>
      <c r="CM63" s="10" t="s">
        <v>688</v>
      </c>
      <c r="CQ63" s="10" t="e">
        <f>D63-#REF!</f>
        <v>#REF!</v>
      </c>
      <c r="CR63" s="10" t="e">
        <f>D63-#REF!</f>
        <v>#REF!</v>
      </c>
      <c r="CS63" s="87" t="e">
        <f>F63-#REF!</f>
        <v>#REF!</v>
      </c>
    </row>
    <row r="64" spans="1:97" ht="24" x14ac:dyDescent="0.2">
      <c r="A64" s="75"/>
      <c r="B64" s="159"/>
      <c r="C64" s="231" t="s">
        <v>220</v>
      </c>
      <c r="D64" s="220">
        <f t="shared" si="95"/>
        <v>3029962</v>
      </c>
      <c r="E64" s="208">
        <f t="shared" si="95"/>
        <v>3035971</v>
      </c>
      <c r="F64" s="208">
        <v>3029962</v>
      </c>
      <c r="G64" s="208">
        <f t="shared" si="96"/>
        <v>3035971</v>
      </c>
      <c r="H64" s="208">
        <f t="shared" si="97"/>
        <v>6009</v>
      </c>
      <c r="I64" s="208"/>
      <c r="J64" s="208"/>
      <c r="K64" s="208"/>
      <c r="L64" s="208"/>
      <c r="M64" s="208"/>
      <c r="N64" s="208">
        <v>6009</v>
      </c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>
        <v>0</v>
      </c>
      <c r="AN64" s="208">
        <f t="shared" si="98"/>
        <v>0</v>
      </c>
      <c r="AO64" s="208">
        <f t="shared" si="99"/>
        <v>0</v>
      </c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>
        <v>0</v>
      </c>
      <c r="BB64" s="208">
        <f t="shared" si="100"/>
        <v>0</v>
      </c>
      <c r="BC64" s="208">
        <f t="shared" si="101"/>
        <v>0</v>
      </c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>
        <v>0</v>
      </c>
      <c r="BP64" s="208">
        <f t="shared" si="102"/>
        <v>0</v>
      </c>
      <c r="BQ64" s="208">
        <f t="shared" si="103"/>
        <v>0</v>
      </c>
      <c r="BR64" s="208"/>
      <c r="BS64" s="208"/>
      <c r="BT64" s="208"/>
      <c r="BU64" s="208"/>
      <c r="BV64" s="208"/>
      <c r="BW64" s="208">
        <f t="shared" si="104"/>
        <v>0</v>
      </c>
      <c r="BX64" s="208">
        <f t="shared" si="105"/>
        <v>0</v>
      </c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59"/>
      <c r="CJ64" s="54" t="s">
        <v>730</v>
      </c>
      <c r="CK64" s="57" t="s">
        <v>530</v>
      </c>
      <c r="CL64" s="230" t="s">
        <v>688</v>
      </c>
      <c r="CM64" s="10" t="s">
        <v>688</v>
      </c>
      <c r="CQ64" s="10" t="e">
        <f>D64-#REF!</f>
        <v>#REF!</v>
      </c>
      <c r="CR64" s="10" t="e">
        <f>D64-#REF!</f>
        <v>#REF!</v>
      </c>
      <c r="CS64" s="1" t="e">
        <f>F64-#REF!</f>
        <v>#REF!</v>
      </c>
    </row>
    <row r="65" spans="1:97" ht="24" x14ac:dyDescent="0.2">
      <c r="A65" s="75"/>
      <c r="B65" s="159"/>
      <c r="C65" s="231" t="s">
        <v>702</v>
      </c>
      <c r="D65" s="220">
        <f t="shared" si="95"/>
        <v>1558293</v>
      </c>
      <c r="E65" s="208">
        <f t="shared" si="95"/>
        <v>1486614</v>
      </c>
      <c r="F65" s="208">
        <v>784644</v>
      </c>
      <c r="G65" s="208">
        <f t="shared" si="96"/>
        <v>1044644</v>
      </c>
      <c r="H65" s="208">
        <f t="shared" si="97"/>
        <v>260000</v>
      </c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>
        <v>260000</v>
      </c>
      <c r="AH65" s="208"/>
      <c r="AI65" s="208"/>
      <c r="AJ65" s="208"/>
      <c r="AK65" s="208"/>
      <c r="AL65" s="208"/>
      <c r="AM65" s="208">
        <v>773649</v>
      </c>
      <c r="AN65" s="208">
        <f t="shared" si="98"/>
        <v>441970</v>
      </c>
      <c r="AO65" s="208">
        <f t="shared" si="99"/>
        <v>-331679</v>
      </c>
      <c r="AP65" s="208">
        <v>-21679</v>
      </c>
      <c r="AQ65" s="208"/>
      <c r="AR65" s="208"/>
      <c r="AS65" s="208"/>
      <c r="AT65" s="208"/>
      <c r="AU65" s="208"/>
      <c r="AV65" s="208">
        <v>-310000</v>
      </c>
      <c r="AW65" s="208"/>
      <c r="AX65" s="208"/>
      <c r="AY65" s="208"/>
      <c r="AZ65" s="208"/>
      <c r="BA65" s="208">
        <v>0</v>
      </c>
      <c r="BB65" s="208">
        <f t="shared" si="100"/>
        <v>0</v>
      </c>
      <c r="BC65" s="208">
        <f t="shared" si="101"/>
        <v>0</v>
      </c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>
        <v>0</v>
      </c>
      <c r="BP65" s="208">
        <f t="shared" si="102"/>
        <v>0</v>
      </c>
      <c r="BQ65" s="208">
        <f t="shared" si="103"/>
        <v>0</v>
      </c>
      <c r="BR65" s="208"/>
      <c r="BS65" s="208"/>
      <c r="BT65" s="208"/>
      <c r="BU65" s="208"/>
      <c r="BV65" s="208"/>
      <c r="BW65" s="208">
        <f t="shared" si="104"/>
        <v>0</v>
      </c>
      <c r="BX65" s="208">
        <f t="shared" si="105"/>
        <v>0</v>
      </c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59"/>
      <c r="CJ65" s="54" t="s">
        <v>310</v>
      </c>
      <c r="CK65" s="57" t="s">
        <v>419</v>
      </c>
      <c r="CL65" s="230" t="s">
        <v>688</v>
      </c>
      <c r="CM65" s="10" t="s">
        <v>688</v>
      </c>
      <c r="CQ65" s="10" t="e">
        <f>D65-#REF!</f>
        <v>#REF!</v>
      </c>
      <c r="CR65" s="10" t="e">
        <f>D65-#REF!</f>
        <v>#REF!</v>
      </c>
      <c r="CS65" s="1" t="e">
        <f>F65-#REF!</f>
        <v>#REF!</v>
      </c>
    </row>
    <row r="66" spans="1:97" s="130" customFormat="1" ht="48" x14ac:dyDescent="0.2">
      <c r="A66" s="75"/>
      <c r="B66" s="159"/>
      <c r="C66" s="363" t="s">
        <v>798</v>
      </c>
      <c r="D66" s="220"/>
      <c r="E66" s="208">
        <f>G66+AN66+BB66+BP66+BW66</f>
        <v>19033</v>
      </c>
      <c r="F66" s="208"/>
      <c r="G66" s="208">
        <f t="shared" ref="G66" si="106">F66+H66</f>
        <v>38066</v>
      </c>
      <c r="H66" s="208">
        <f t="shared" si="97"/>
        <v>38066</v>
      </c>
      <c r="I66" s="208"/>
      <c r="J66" s="208"/>
      <c r="K66" s="208"/>
      <c r="L66" s="208"/>
      <c r="M66" s="208">
        <v>38066</v>
      </c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>
        <f t="shared" ref="AN66" si="107">AM66+AO66</f>
        <v>0</v>
      </c>
      <c r="AO66" s="208">
        <f t="shared" ref="AO66" si="108">SUM(AP66:AZ66)</f>
        <v>0</v>
      </c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>
        <f t="shared" ref="BB66" si="109">BA66+BC66</f>
        <v>0</v>
      </c>
      <c r="BC66" s="208">
        <f t="shared" ref="BC66" si="110">SUM(BD66:BN66)</f>
        <v>0</v>
      </c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>
        <f t="shared" ref="BP66" si="111">BO66+BQ66</f>
        <v>0</v>
      </c>
      <c r="BQ66" s="208">
        <f t="shared" ref="BQ66" si="112">SUM(BR66:BU66)</f>
        <v>0</v>
      </c>
      <c r="BR66" s="208"/>
      <c r="BS66" s="208"/>
      <c r="BT66" s="208"/>
      <c r="BU66" s="208"/>
      <c r="BV66" s="208"/>
      <c r="BW66" s="208">
        <f t="shared" ref="BW66" si="113">BV66+BX66</f>
        <v>-19033</v>
      </c>
      <c r="BX66" s="208">
        <f t="shared" si="105"/>
        <v>-19033</v>
      </c>
      <c r="BY66" s="208">
        <v>-19033</v>
      </c>
      <c r="BZ66" s="208"/>
      <c r="CA66" s="208"/>
      <c r="CB66" s="208"/>
      <c r="CC66" s="208"/>
      <c r="CD66" s="208"/>
      <c r="CE66" s="208"/>
      <c r="CF66" s="208"/>
      <c r="CG66" s="208"/>
      <c r="CH66" s="208"/>
      <c r="CI66" s="259"/>
      <c r="CJ66" s="54" t="s">
        <v>799</v>
      </c>
      <c r="CK66" s="57"/>
      <c r="CL66" s="230"/>
      <c r="CM66" s="10"/>
      <c r="CQ66" s="10"/>
      <c r="CR66" s="10"/>
    </row>
    <row r="67" spans="1:97" ht="24" customHeight="1" x14ac:dyDescent="0.2">
      <c r="A67" s="75">
        <v>40003275333</v>
      </c>
      <c r="B67" s="158" t="s">
        <v>295</v>
      </c>
      <c r="C67" s="280" t="s">
        <v>239</v>
      </c>
      <c r="D67" s="220">
        <f>F67+AM67+BA67+BO67+BV67</f>
        <v>112653</v>
      </c>
      <c r="E67" s="208">
        <f>G67+AN67+BB67+BP67+BW67</f>
        <v>112653</v>
      </c>
      <c r="F67" s="208">
        <v>112653</v>
      </c>
      <c r="G67" s="208">
        <f t="shared" si="96"/>
        <v>112653</v>
      </c>
      <c r="H67" s="208">
        <f t="shared" si="97"/>
        <v>0</v>
      </c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>
        <v>0</v>
      </c>
      <c r="AN67" s="208">
        <f t="shared" si="98"/>
        <v>0</v>
      </c>
      <c r="AO67" s="208">
        <f t="shared" si="99"/>
        <v>0</v>
      </c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>
        <v>0</v>
      </c>
      <c r="BB67" s="208">
        <f t="shared" si="100"/>
        <v>0</v>
      </c>
      <c r="BC67" s="208">
        <f t="shared" si="101"/>
        <v>0</v>
      </c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>
        <v>0</v>
      </c>
      <c r="BP67" s="208">
        <f t="shared" si="102"/>
        <v>0</v>
      </c>
      <c r="BQ67" s="208">
        <f t="shared" si="103"/>
        <v>0</v>
      </c>
      <c r="BR67" s="208"/>
      <c r="BS67" s="208"/>
      <c r="BT67" s="208"/>
      <c r="BU67" s="208"/>
      <c r="BV67" s="208"/>
      <c r="BW67" s="208">
        <f t="shared" si="104"/>
        <v>0</v>
      </c>
      <c r="BX67" s="208">
        <f t="shared" si="105"/>
        <v>0</v>
      </c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59"/>
      <c r="CJ67" s="54" t="s">
        <v>311</v>
      </c>
      <c r="CK67" s="57"/>
      <c r="CL67" s="230" t="s">
        <v>692</v>
      </c>
      <c r="CM67" s="10" t="s">
        <v>693</v>
      </c>
      <c r="CN67" s="130"/>
      <c r="CO67" s="257"/>
      <c r="CQ67" s="10" t="e">
        <f>D67-#REF!</f>
        <v>#REF!</v>
      </c>
      <c r="CR67" s="10" t="e">
        <f>D67-#REF!</f>
        <v>#REF!</v>
      </c>
      <c r="CS67" s="1" t="e">
        <f>F67-#REF!</f>
        <v>#REF!</v>
      </c>
    </row>
    <row r="68" spans="1:97" ht="24" x14ac:dyDescent="0.2">
      <c r="A68" s="75"/>
      <c r="B68" s="160"/>
      <c r="C68" s="280" t="s">
        <v>296</v>
      </c>
      <c r="D68" s="220">
        <f>F68+AM68+BA68+BO68+BV68</f>
        <v>209320</v>
      </c>
      <c r="E68" s="208">
        <f>G68+AN68+BB68+BP68+BW68</f>
        <v>209320</v>
      </c>
      <c r="F68" s="208">
        <v>209320</v>
      </c>
      <c r="G68" s="208">
        <f t="shared" si="96"/>
        <v>209320</v>
      </c>
      <c r="H68" s="208">
        <f t="shared" si="97"/>
        <v>0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>
        <v>0</v>
      </c>
      <c r="AN68" s="208">
        <f t="shared" si="98"/>
        <v>0</v>
      </c>
      <c r="AO68" s="208">
        <f t="shared" si="99"/>
        <v>0</v>
      </c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>
        <v>0</v>
      </c>
      <c r="BB68" s="208">
        <f t="shared" si="100"/>
        <v>0</v>
      </c>
      <c r="BC68" s="208">
        <f t="shared" si="101"/>
        <v>0</v>
      </c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>
        <v>0</v>
      </c>
      <c r="BP68" s="208">
        <f t="shared" si="102"/>
        <v>0</v>
      </c>
      <c r="BQ68" s="208">
        <f t="shared" si="103"/>
        <v>0</v>
      </c>
      <c r="BR68" s="208"/>
      <c r="BS68" s="208"/>
      <c r="BT68" s="208"/>
      <c r="BU68" s="208"/>
      <c r="BV68" s="208"/>
      <c r="BW68" s="208">
        <f t="shared" si="104"/>
        <v>0</v>
      </c>
      <c r="BX68" s="208">
        <f t="shared" si="105"/>
        <v>0</v>
      </c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59"/>
      <c r="CJ68" s="54" t="s">
        <v>331</v>
      </c>
      <c r="CK68" s="57"/>
      <c r="CL68" s="230" t="s">
        <v>692</v>
      </c>
      <c r="CM68" s="10" t="s">
        <v>693</v>
      </c>
      <c r="CN68" s="130"/>
      <c r="CO68" s="257"/>
      <c r="CQ68" s="10" t="e">
        <f>D68-#REF!</f>
        <v>#REF!</v>
      </c>
      <c r="CR68" s="10" t="e">
        <f>D68-#REF!</f>
        <v>#REF!</v>
      </c>
      <c r="CS68" s="1" t="e">
        <f>F68-#REF!</f>
        <v>#REF!</v>
      </c>
    </row>
    <row r="69" spans="1:97" ht="12.75" thickBot="1" x14ac:dyDescent="0.25">
      <c r="A69" s="75"/>
      <c r="B69" s="141"/>
      <c r="C69" s="188"/>
      <c r="D69" s="222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72"/>
      <c r="CJ69" s="50"/>
      <c r="CK69" s="58"/>
      <c r="CL69" s="230"/>
      <c r="CM69" s="10"/>
      <c r="CQ69" s="10" t="e">
        <f>D69-#REF!</f>
        <v>#REF!</v>
      </c>
      <c r="CR69" s="10" t="e">
        <f>D69-#REF!</f>
        <v>#REF!</v>
      </c>
      <c r="CS69" s="1" t="e">
        <f>F69-#REF!</f>
        <v>#REF!</v>
      </c>
    </row>
    <row r="70" spans="1:97" ht="27.75" customHeight="1" thickBot="1" x14ac:dyDescent="0.25">
      <c r="A70" s="140" t="s">
        <v>11</v>
      </c>
      <c r="B70" s="90" t="s">
        <v>161</v>
      </c>
      <c r="C70" s="187"/>
      <c r="D70" s="223">
        <f t="shared" ref="D70:CI70" si="114">SUM(D71:D81)</f>
        <v>6637752</v>
      </c>
      <c r="E70" s="262">
        <f t="shared" si="114"/>
        <v>6649606</v>
      </c>
      <c r="F70" s="262">
        <f t="shared" si="114"/>
        <v>6370188</v>
      </c>
      <c r="G70" s="262">
        <f t="shared" si="114"/>
        <v>6421858</v>
      </c>
      <c r="H70" s="262">
        <f t="shared" si="114"/>
        <v>51670</v>
      </c>
      <c r="I70" s="262">
        <f t="shared" si="114"/>
        <v>0</v>
      </c>
      <c r="J70" s="262">
        <f t="shared" si="114"/>
        <v>0</v>
      </c>
      <c r="K70" s="262">
        <f t="shared" si="114"/>
        <v>0</v>
      </c>
      <c r="L70" s="262">
        <f t="shared" si="114"/>
        <v>0</v>
      </c>
      <c r="M70" s="262">
        <f t="shared" si="114"/>
        <v>56946</v>
      </c>
      <c r="N70" s="262">
        <f t="shared" si="114"/>
        <v>0</v>
      </c>
      <c r="O70" s="262">
        <f t="shared" si="114"/>
        <v>374</v>
      </c>
      <c r="P70" s="262">
        <f t="shared" si="114"/>
        <v>0</v>
      </c>
      <c r="Q70" s="262">
        <f t="shared" si="114"/>
        <v>-24145</v>
      </c>
      <c r="R70" s="262">
        <f t="shared" ref="R70:AI70" si="115">SUM(R71:R81)</f>
        <v>32474</v>
      </c>
      <c r="S70" s="262">
        <f t="shared" si="115"/>
        <v>0</v>
      </c>
      <c r="T70" s="262">
        <f t="shared" si="115"/>
        <v>0</v>
      </c>
      <c r="U70" s="262">
        <f t="shared" si="115"/>
        <v>0</v>
      </c>
      <c r="V70" s="262">
        <f t="shared" si="115"/>
        <v>6542</v>
      </c>
      <c r="W70" s="262">
        <f t="shared" si="115"/>
        <v>0</v>
      </c>
      <c r="X70" s="262">
        <f t="shared" si="115"/>
        <v>-1464</v>
      </c>
      <c r="Y70" s="262">
        <f t="shared" si="115"/>
        <v>0</v>
      </c>
      <c r="Z70" s="262">
        <f t="shared" si="115"/>
        <v>0</v>
      </c>
      <c r="AA70" s="262">
        <f t="shared" si="115"/>
        <v>0</v>
      </c>
      <c r="AB70" s="262">
        <f t="shared" ref="AB70:AC70" si="116">SUM(AB71:AB81)</f>
        <v>0</v>
      </c>
      <c r="AC70" s="262">
        <f t="shared" si="116"/>
        <v>0</v>
      </c>
      <c r="AD70" s="262">
        <f t="shared" si="115"/>
        <v>847</v>
      </c>
      <c r="AE70" s="262">
        <f t="shared" si="115"/>
        <v>0</v>
      </c>
      <c r="AF70" s="262">
        <f t="shared" ref="AF70:AG70" si="117">SUM(AF71:AF81)</f>
        <v>0</v>
      </c>
      <c r="AG70" s="262">
        <f t="shared" si="117"/>
        <v>-19904</v>
      </c>
      <c r="AH70" s="262">
        <f t="shared" si="115"/>
        <v>0</v>
      </c>
      <c r="AI70" s="262">
        <f t="shared" si="115"/>
        <v>0</v>
      </c>
      <c r="AJ70" s="262">
        <f t="shared" ref="AJ70:AK70" si="118">SUM(AJ71:AJ81)</f>
        <v>0</v>
      </c>
      <c r="AK70" s="262">
        <f t="shared" si="118"/>
        <v>0</v>
      </c>
      <c r="AL70" s="262">
        <f t="shared" si="114"/>
        <v>0</v>
      </c>
      <c r="AM70" s="262">
        <f t="shared" si="114"/>
        <v>0</v>
      </c>
      <c r="AN70" s="262">
        <f t="shared" si="114"/>
        <v>0</v>
      </c>
      <c r="AO70" s="262">
        <f t="shared" si="114"/>
        <v>0</v>
      </c>
      <c r="AP70" s="262">
        <f t="shared" si="114"/>
        <v>0</v>
      </c>
      <c r="AQ70" s="262">
        <f t="shared" si="114"/>
        <v>0</v>
      </c>
      <c r="AR70" s="262">
        <f t="shared" si="114"/>
        <v>0</v>
      </c>
      <c r="AS70" s="262">
        <f t="shared" si="114"/>
        <v>0</v>
      </c>
      <c r="AT70" s="262">
        <f t="shared" si="114"/>
        <v>0</v>
      </c>
      <c r="AU70" s="262">
        <f t="shared" ref="AU70" si="119">SUM(AU71:AU81)</f>
        <v>0</v>
      </c>
      <c r="AV70" s="262">
        <f t="shared" si="114"/>
        <v>0</v>
      </c>
      <c r="AW70" s="262">
        <f t="shared" si="114"/>
        <v>0</v>
      </c>
      <c r="AX70" s="262">
        <f t="shared" si="114"/>
        <v>0</v>
      </c>
      <c r="AY70" s="262">
        <f t="shared" si="114"/>
        <v>0</v>
      </c>
      <c r="AZ70" s="262">
        <f t="shared" si="114"/>
        <v>0</v>
      </c>
      <c r="BA70" s="262">
        <f t="shared" si="114"/>
        <v>278787</v>
      </c>
      <c r="BB70" s="262">
        <f t="shared" si="114"/>
        <v>243446</v>
      </c>
      <c r="BC70" s="262">
        <f t="shared" si="114"/>
        <v>-35341</v>
      </c>
      <c r="BD70" s="262">
        <f t="shared" si="114"/>
        <v>38806</v>
      </c>
      <c r="BE70" s="262">
        <f t="shared" si="114"/>
        <v>0</v>
      </c>
      <c r="BF70" s="262">
        <f t="shared" si="114"/>
        <v>0</v>
      </c>
      <c r="BG70" s="262">
        <f t="shared" si="114"/>
        <v>0</v>
      </c>
      <c r="BH70" s="262">
        <f t="shared" ref="BH70" si="120">SUM(BH71:BH81)</f>
        <v>0</v>
      </c>
      <c r="BI70" s="262">
        <f t="shared" si="114"/>
        <v>6265</v>
      </c>
      <c r="BJ70" s="262">
        <f t="shared" si="114"/>
        <v>-80412</v>
      </c>
      <c r="BK70" s="262">
        <f t="shared" si="114"/>
        <v>0</v>
      </c>
      <c r="BL70" s="262">
        <f t="shared" si="114"/>
        <v>0</v>
      </c>
      <c r="BM70" s="262">
        <f t="shared" si="114"/>
        <v>0</v>
      </c>
      <c r="BN70" s="262">
        <f t="shared" si="114"/>
        <v>0</v>
      </c>
      <c r="BO70" s="262">
        <f t="shared" si="114"/>
        <v>0</v>
      </c>
      <c r="BP70" s="262">
        <f t="shared" si="114"/>
        <v>0</v>
      </c>
      <c r="BQ70" s="262">
        <f t="shared" si="114"/>
        <v>0</v>
      </c>
      <c r="BR70" s="262">
        <f t="shared" si="114"/>
        <v>0</v>
      </c>
      <c r="BS70" s="262">
        <f t="shared" si="114"/>
        <v>0</v>
      </c>
      <c r="BT70" s="262">
        <f t="shared" si="114"/>
        <v>0</v>
      </c>
      <c r="BU70" s="262">
        <f t="shared" si="114"/>
        <v>0</v>
      </c>
      <c r="BV70" s="262">
        <f t="shared" si="114"/>
        <v>-11223</v>
      </c>
      <c r="BW70" s="262">
        <f t="shared" si="114"/>
        <v>-15698</v>
      </c>
      <c r="BX70" s="262">
        <f t="shared" si="114"/>
        <v>-4475</v>
      </c>
      <c r="BY70" s="262">
        <f t="shared" si="114"/>
        <v>0</v>
      </c>
      <c r="BZ70" s="262">
        <f t="shared" si="114"/>
        <v>0</v>
      </c>
      <c r="CA70" s="262">
        <f t="shared" si="114"/>
        <v>0</v>
      </c>
      <c r="CB70" s="262">
        <f t="shared" si="114"/>
        <v>0</v>
      </c>
      <c r="CC70" s="262">
        <f t="shared" si="114"/>
        <v>0</v>
      </c>
      <c r="CD70" s="262">
        <f t="shared" si="114"/>
        <v>0</v>
      </c>
      <c r="CE70" s="262">
        <f t="shared" si="114"/>
        <v>-7515</v>
      </c>
      <c r="CF70" s="262">
        <f t="shared" ref="CF70" si="121">SUM(CF71:CF81)</f>
        <v>3040</v>
      </c>
      <c r="CG70" s="262">
        <f t="shared" si="114"/>
        <v>0</v>
      </c>
      <c r="CH70" s="262">
        <f t="shared" si="114"/>
        <v>0</v>
      </c>
      <c r="CI70" s="270">
        <f t="shared" si="114"/>
        <v>0</v>
      </c>
      <c r="CJ70" s="7"/>
      <c r="CK70" s="59"/>
      <c r="CQ70" s="10" t="e">
        <f>D70-#REF!</f>
        <v>#REF!</v>
      </c>
      <c r="CR70" s="10" t="e">
        <f>D70-#REF!</f>
        <v>#REF!</v>
      </c>
      <c r="CS70" s="1" t="e">
        <f>F70-#REF!</f>
        <v>#REF!</v>
      </c>
    </row>
    <row r="71" spans="1:97" s="130" customFormat="1" ht="12.75" customHeight="1" thickTop="1" x14ac:dyDescent="0.2">
      <c r="A71" s="75">
        <v>90000056357</v>
      </c>
      <c r="B71" s="164" t="s">
        <v>5</v>
      </c>
      <c r="C71" s="189" t="s">
        <v>177</v>
      </c>
      <c r="D71" s="220">
        <f t="shared" ref="D71:D80" si="122">F71+AM71+BA71+BO71+BV71</f>
        <v>2649079</v>
      </c>
      <c r="E71" s="210">
        <f t="shared" ref="E71:E80" si="123">G71+AN71+BB71+BP71+BW71</f>
        <v>2734181</v>
      </c>
      <c r="F71" s="212">
        <v>2451775</v>
      </c>
      <c r="G71" s="212">
        <f t="shared" ref="G71:G80" si="124">F71+H71</f>
        <v>2612485</v>
      </c>
      <c r="H71" s="212">
        <f t="shared" ref="H71:H80" si="125">SUM(I71:AL71)</f>
        <v>160710</v>
      </c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>
        <f>-2176+121877+41009</f>
        <v>160710</v>
      </c>
      <c r="AH71" s="212"/>
      <c r="AI71" s="212"/>
      <c r="AJ71" s="212"/>
      <c r="AK71" s="212"/>
      <c r="AL71" s="212"/>
      <c r="AM71" s="212">
        <v>0</v>
      </c>
      <c r="AN71" s="212">
        <f t="shared" ref="AN71:AN80" si="126">AM71+AO71</f>
        <v>0</v>
      </c>
      <c r="AO71" s="212">
        <f t="shared" ref="AO71:AO80" si="127">SUM(AP71:AZ71)</f>
        <v>0</v>
      </c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>
        <v>198527</v>
      </c>
      <c r="BB71" s="212">
        <f t="shared" ref="BB71:BB80" si="128">BA71+BC71</f>
        <v>122919</v>
      </c>
      <c r="BC71" s="212">
        <f t="shared" ref="BC71:BC80" si="129">SUM(BD71:BN71)</f>
        <v>-75608</v>
      </c>
      <c r="BD71" s="212">
        <v>-9698</v>
      </c>
      <c r="BE71" s="212"/>
      <c r="BF71" s="212"/>
      <c r="BG71" s="212"/>
      <c r="BH71" s="212"/>
      <c r="BI71" s="212"/>
      <c r="BJ71" s="212">
        <v>-65910</v>
      </c>
      <c r="BK71" s="212"/>
      <c r="BL71" s="212"/>
      <c r="BM71" s="212"/>
      <c r="BN71" s="212"/>
      <c r="BO71" s="212">
        <v>0</v>
      </c>
      <c r="BP71" s="212">
        <f t="shared" ref="BP71:BP80" si="130">BO71+BQ71</f>
        <v>0</v>
      </c>
      <c r="BQ71" s="212">
        <f t="shared" ref="BQ71:BQ80" si="131">SUM(BR71:BU71)</f>
        <v>0</v>
      </c>
      <c r="BR71" s="212"/>
      <c r="BS71" s="212"/>
      <c r="BT71" s="212"/>
      <c r="BU71" s="212"/>
      <c r="BV71" s="212">
        <v>-1223</v>
      </c>
      <c r="BW71" s="325">
        <f t="shared" ref="BW71:BW80" si="132">BV71+BX71</f>
        <v>-1223</v>
      </c>
      <c r="BX71" s="325">
        <f t="shared" ref="BX71:BX80" si="133">SUM(BY71:CI71)</f>
        <v>0</v>
      </c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6"/>
      <c r="CJ71" s="151" t="s">
        <v>315</v>
      </c>
      <c r="CK71" s="136"/>
      <c r="CL71" s="230" t="s">
        <v>686</v>
      </c>
      <c r="CM71" s="10" t="s">
        <v>687</v>
      </c>
      <c r="CQ71" s="10" t="e">
        <f>D71-#REF!</f>
        <v>#REF!</v>
      </c>
      <c r="CR71" s="10" t="e">
        <f>D71-#REF!</f>
        <v>#REF!</v>
      </c>
      <c r="CS71" s="130" t="e">
        <f>F71-#REF!</f>
        <v>#REF!</v>
      </c>
    </row>
    <row r="72" spans="1:97" s="130" customFormat="1" x14ac:dyDescent="0.2">
      <c r="A72" s="75"/>
      <c r="B72" s="161"/>
      <c r="C72" s="233" t="s">
        <v>244</v>
      </c>
      <c r="D72" s="220">
        <f t="shared" si="122"/>
        <v>2550</v>
      </c>
      <c r="E72" s="210">
        <f t="shared" si="123"/>
        <v>2550</v>
      </c>
      <c r="F72" s="210">
        <v>2550</v>
      </c>
      <c r="G72" s="210">
        <f t="shared" si="124"/>
        <v>2550</v>
      </c>
      <c r="H72" s="210">
        <f t="shared" si="125"/>
        <v>0</v>
      </c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>
        <v>0</v>
      </c>
      <c r="AN72" s="210">
        <f t="shared" si="126"/>
        <v>0</v>
      </c>
      <c r="AO72" s="210">
        <f t="shared" si="127"/>
        <v>0</v>
      </c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>
        <v>0</v>
      </c>
      <c r="BB72" s="210">
        <f t="shared" si="128"/>
        <v>0</v>
      </c>
      <c r="BC72" s="210">
        <f t="shared" si="129"/>
        <v>0</v>
      </c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>
        <v>0</v>
      </c>
      <c r="BP72" s="210">
        <f t="shared" si="130"/>
        <v>0</v>
      </c>
      <c r="BQ72" s="210">
        <f t="shared" si="131"/>
        <v>0</v>
      </c>
      <c r="BR72" s="210"/>
      <c r="BS72" s="210"/>
      <c r="BT72" s="210"/>
      <c r="BU72" s="210"/>
      <c r="BV72" s="210"/>
      <c r="BW72" s="210">
        <f t="shared" si="132"/>
        <v>0</v>
      </c>
      <c r="BX72" s="210">
        <f t="shared" si="133"/>
        <v>0</v>
      </c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71"/>
      <c r="CJ72" s="54" t="s">
        <v>316</v>
      </c>
      <c r="CK72" s="131"/>
      <c r="CL72" s="230" t="s">
        <v>686</v>
      </c>
      <c r="CM72" s="10" t="s">
        <v>687</v>
      </c>
      <c r="CQ72" s="10" t="e">
        <f>D72-#REF!</f>
        <v>#REF!</v>
      </c>
      <c r="CR72" s="10" t="e">
        <f>D72-#REF!</f>
        <v>#REF!</v>
      </c>
      <c r="CS72" s="130" t="e">
        <f>F72-#REF!</f>
        <v>#REF!</v>
      </c>
    </row>
    <row r="73" spans="1:97" s="130" customFormat="1" ht="24" x14ac:dyDescent="0.2">
      <c r="A73" s="75"/>
      <c r="B73" s="159"/>
      <c r="C73" s="231" t="s">
        <v>266</v>
      </c>
      <c r="D73" s="220">
        <f t="shared" si="122"/>
        <v>690278</v>
      </c>
      <c r="E73" s="208">
        <f t="shared" si="123"/>
        <v>594088</v>
      </c>
      <c r="F73" s="208">
        <v>690278</v>
      </c>
      <c r="G73" s="208">
        <f t="shared" si="124"/>
        <v>594088</v>
      </c>
      <c r="H73" s="208">
        <f t="shared" si="125"/>
        <v>-96190</v>
      </c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>
        <v>-1464</v>
      </c>
      <c r="Y73" s="208"/>
      <c r="Z73" s="208"/>
      <c r="AA73" s="208"/>
      <c r="AB73" s="208"/>
      <c r="AC73" s="208"/>
      <c r="AD73" s="208"/>
      <c r="AE73" s="208"/>
      <c r="AF73" s="208"/>
      <c r="AG73" s="208">
        <v>-94726</v>
      </c>
      <c r="AH73" s="208"/>
      <c r="AI73" s="208"/>
      <c r="AJ73" s="208"/>
      <c r="AK73" s="208"/>
      <c r="AL73" s="208"/>
      <c r="AM73" s="208">
        <v>0</v>
      </c>
      <c r="AN73" s="208">
        <f t="shared" si="126"/>
        <v>0</v>
      </c>
      <c r="AO73" s="208">
        <f t="shared" si="127"/>
        <v>0</v>
      </c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>
        <v>0</v>
      </c>
      <c r="BB73" s="208">
        <f t="shared" si="128"/>
        <v>0</v>
      </c>
      <c r="BC73" s="208">
        <f t="shared" si="129"/>
        <v>0</v>
      </c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>
        <v>0</v>
      </c>
      <c r="BP73" s="208">
        <f t="shared" si="130"/>
        <v>0</v>
      </c>
      <c r="BQ73" s="208">
        <f t="shared" si="131"/>
        <v>0</v>
      </c>
      <c r="BR73" s="208"/>
      <c r="BS73" s="208"/>
      <c r="BT73" s="208"/>
      <c r="BU73" s="208"/>
      <c r="BV73" s="208"/>
      <c r="BW73" s="208">
        <f t="shared" si="132"/>
        <v>0</v>
      </c>
      <c r="BX73" s="208">
        <f t="shared" si="133"/>
        <v>0</v>
      </c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59"/>
      <c r="CJ73" s="54" t="s">
        <v>318</v>
      </c>
      <c r="CK73" s="57" t="s">
        <v>608</v>
      </c>
      <c r="CL73" s="230" t="s">
        <v>688</v>
      </c>
      <c r="CM73" s="10" t="s">
        <v>688</v>
      </c>
      <c r="CQ73" s="10" t="e">
        <f>D73-#REF!</f>
        <v>#REF!</v>
      </c>
      <c r="CR73" s="10" t="e">
        <f>D73-#REF!</f>
        <v>#REF!</v>
      </c>
      <c r="CS73" s="130" t="e">
        <f>F73-#REF!</f>
        <v>#REF!</v>
      </c>
    </row>
    <row r="74" spans="1:97" s="130" customFormat="1" x14ac:dyDescent="0.2">
      <c r="A74" s="75"/>
      <c r="B74" s="159"/>
      <c r="C74" s="231" t="s">
        <v>217</v>
      </c>
      <c r="D74" s="220">
        <f t="shared" si="122"/>
        <v>267600</v>
      </c>
      <c r="E74" s="208">
        <f t="shared" si="123"/>
        <v>238367</v>
      </c>
      <c r="F74" s="208">
        <v>267600</v>
      </c>
      <c r="G74" s="208">
        <f t="shared" si="124"/>
        <v>238367</v>
      </c>
      <c r="H74" s="208">
        <f t="shared" si="125"/>
        <v>-29233</v>
      </c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>
        <v>-29233</v>
      </c>
      <c r="AH74" s="208"/>
      <c r="AI74" s="208"/>
      <c r="AJ74" s="208"/>
      <c r="AK74" s="208"/>
      <c r="AL74" s="208"/>
      <c r="AM74" s="208">
        <v>0</v>
      </c>
      <c r="AN74" s="208">
        <f t="shared" si="126"/>
        <v>0</v>
      </c>
      <c r="AO74" s="208">
        <f t="shared" si="127"/>
        <v>0</v>
      </c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>
        <v>0</v>
      </c>
      <c r="BB74" s="208">
        <f t="shared" si="128"/>
        <v>0</v>
      </c>
      <c r="BC74" s="208">
        <f t="shared" si="129"/>
        <v>0</v>
      </c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>
        <v>0</v>
      </c>
      <c r="BP74" s="208">
        <f t="shared" si="130"/>
        <v>0</v>
      </c>
      <c r="BQ74" s="208">
        <f t="shared" si="131"/>
        <v>0</v>
      </c>
      <c r="BR74" s="208"/>
      <c r="BS74" s="208"/>
      <c r="BT74" s="208"/>
      <c r="BU74" s="208"/>
      <c r="BV74" s="208"/>
      <c r="BW74" s="208">
        <f t="shared" si="132"/>
        <v>0</v>
      </c>
      <c r="BX74" s="208">
        <f t="shared" si="133"/>
        <v>0</v>
      </c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59"/>
      <c r="CJ74" s="54" t="s">
        <v>317</v>
      </c>
      <c r="CK74" s="57" t="s">
        <v>425</v>
      </c>
      <c r="CL74" s="230" t="s">
        <v>688</v>
      </c>
      <c r="CM74" s="10" t="s">
        <v>688</v>
      </c>
      <c r="CQ74" s="10" t="e">
        <f>D74-#REF!</f>
        <v>#REF!</v>
      </c>
      <c r="CR74" s="10" t="e">
        <f>D74-#REF!</f>
        <v>#REF!</v>
      </c>
      <c r="CS74" s="130" t="e">
        <f>F74-#REF!</f>
        <v>#REF!</v>
      </c>
    </row>
    <row r="75" spans="1:97" s="130" customFormat="1" ht="15" customHeight="1" x14ac:dyDescent="0.2">
      <c r="A75" s="75"/>
      <c r="B75" s="159"/>
      <c r="C75" s="231" t="s">
        <v>212</v>
      </c>
      <c r="D75" s="220">
        <f t="shared" si="122"/>
        <v>607998</v>
      </c>
      <c r="E75" s="208">
        <f t="shared" si="123"/>
        <v>614540</v>
      </c>
      <c r="F75" s="208">
        <v>568750</v>
      </c>
      <c r="G75" s="208">
        <f t="shared" si="124"/>
        <v>539495</v>
      </c>
      <c r="H75" s="208">
        <f t="shared" si="125"/>
        <v>-29255</v>
      </c>
      <c r="I75" s="208"/>
      <c r="J75" s="208"/>
      <c r="K75" s="208"/>
      <c r="L75" s="208"/>
      <c r="M75" s="208">
        <v>-35797</v>
      </c>
      <c r="N75" s="208"/>
      <c r="O75" s="208"/>
      <c r="P75" s="208"/>
      <c r="Q75" s="208"/>
      <c r="R75" s="208"/>
      <c r="S75" s="208"/>
      <c r="T75" s="208"/>
      <c r="U75" s="208"/>
      <c r="V75" s="208">
        <v>6542</v>
      </c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>
        <v>0</v>
      </c>
      <c r="AN75" s="208">
        <f t="shared" si="126"/>
        <v>0</v>
      </c>
      <c r="AO75" s="208">
        <f t="shared" si="127"/>
        <v>0</v>
      </c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>
        <v>39248</v>
      </c>
      <c r="BB75" s="208">
        <f t="shared" si="128"/>
        <v>75045</v>
      </c>
      <c r="BC75" s="208">
        <f t="shared" si="129"/>
        <v>35797</v>
      </c>
      <c r="BD75" s="208">
        <v>35797</v>
      </c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>
        <v>0</v>
      </c>
      <c r="BP75" s="208">
        <f t="shared" si="130"/>
        <v>0</v>
      </c>
      <c r="BQ75" s="208">
        <f t="shared" si="131"/>
        <v>0</v>
      </c>
      <c r="BR75" s="208"/>
      <c r="BS75" s="208"/>
      <c r="BT75" s="208"/>
      <c r="BU75" s="208"/>
      <c r="BV75" s="208"/>
      <c r="BW75" s="208">
        <f t="shared" si="132"/>
        <v>0</v>
      </c>
      <c r="BX75" s="208">
        <f t="shared" si="133"/>
        <v>0</v>
      </c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59"/>
      <c r="CJ75" s="54" t="s">
        <v>319</v>
      </c>
      <c r="CK75" s="57" t="s">
        <v>609</v>
      </c>
      <c r="CL75" s="230" t="s">
        <v>688</v>
      </c>
      <c r="CM75" s="10" t="s">
        <v>688</v>
      </c>
      <c r="CQ75" s="10" t="e">
        <f>D75-#REF!</f>
        <v>#REF!</v>
      </c>
      <c r="CR75" s="10" t="e">
        <f>D75-#REF!</f>
        <v>#REF!</v>
      </c>
      <c r="CS75" s="130" t="e">
        <f>F75-#REF!</f>
        <v>#REF!</v>
      </c>
    </row>
    <row r="76" spans="1:97" s="130" customFormat="1" ht="24" x14ac:dyDescent="0.2">
      <c r="A76" s="75"/>
      <c r="B76" s="161"/>
      <c r="C76" s="233" t="s">
        <v>246</v>
      </c>
      <c r="D76" s="220">
        <f t="shared" si="122"/>
        <v>274261</v>
      </c>
      <c r="E76" s="210">
        <f t="shared" si="123"/>
        <v>379594</v>
      </c>
      <c r="F76" s="210">
        <v>274261</v>
      </c>
      <c r="G76" s="210">
        <f t="shared" si="124"/>
        <v>379594</v>
      </c>
      <c r="H76" s="210">
        <f t="shared" si="125"/>
        <v>105333</v>
      </c>
      <c r="I76" s="210"/>
      <c r="J76" s="210"/>
      <c r="K76" s="210"/>
      <c r="L76" s="210"/>
      <c r="M76" s="210">
        <f>-509+162224</f>
        <v>161715</v>
      </c>
      <c r="N76" s="210"/>
      <c r="O76" s="210">
        <v>374</v>
      </c>
      <c r="P76" s="210"/>
      <c r="Q76" s="210">
        <v>-24145</v>
      </c>
      <c r="R76" s="210">
        <v>32474</v>
      </c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>
        <v>-65085</v>
      </c>
      <c r="AH76" s="210"/>
      <c r="AI76" s="210"/>
      <c r="AJ76" s="210"/>
      <c r="AK76" s="210"/>
      <c r="AL76" s="210"/>
      <c r="AM76" s="210">
        <v>0</v>
      </c>
      <c r="AN76" s="210">
        <f t="shared" si="126"/>
        <v>0</v>
      </c>
      <c r="AO76" s="210">
        <f t="shared" si="127"/>
        <v>0</v>
      </c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>
        <v>0</v>
      </c>
      <c r="BB76" s="210">
        <f t="shared" si="128"/>
        <v>0</v>
      </c>
      <c r="BC76" s="210">
        <f t="shared" si="129"/>
        <v>0</v>
      </c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>
        <v>0</v>
      </c>
      <c r="BP76" s="210">
        <f t="shared" si="130"/>
        <v>0</v>
      </c>
      <c r="BQ76" s="210">
        <f t="shared" si="131"/>
        <v>0</v>
      </c>
      <c r="BR76" s="210"/>
      <c r="BS76" s="210"/>
      <c r="BT76" s="210"/>
      <c r="BU76" s="210"/>
      <c r="BV76" s="210"/>
      <c r="BW76" s="210">
        <f t="shared" si="132"/>
        <v>0</v>
      </c>
      <c r="BX76" s="210">
        <f t="shared" si="133"/>
        <v>0</v>
      </c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71"/>
      <c r="CJ76" s="145" t="s">
        <v>606</v>
      </c>
      <c r="CK76" s="131" t="s">
        <v>612</v>
      </c>
      <c r="CL76" s="230" t="s">
        <v>688</v>
      </c>
      <c r="CM76" s="10" t="s">
        <v>688</v>
      </c>
      <c r="CQ76" s="10" t="e">
        <f>D76-#REF!</f>
        <v>#REF!</v>
      </c>
      <c r="CR76" s="10" t="e">
        <f>D76-#REF!</f>
        <v>#REF!</v>
      </c>
      <c r="CS76" s="130" t="e">
        <f>F76-#REF!</f>
        <v>#REF!</v>
      </c>
    </row>
    <row r="77" spans="1:97" s="130" customFormat="1" ht="24" x14ac:dyDescent="0.2">
      <c r="A77" s="75"/>
      <c r="B77" s="161"/>
      <c r="C77" s="233" t="s">
        <v>586</v>
      </c>
      <c r="D77" s="220">
        <f t="shared" si="122"/>
        <v>87444</v>
      </c>
      <c r="E77" s="210">
        <f t="shared" si="123"/>
        <v>86892</v>
      </c>
      <c r="F77" s="210">
        <v>87444</v>
      </c>
      <c r="G77" s="210">
        <f t="shared" si="124"/>
        <v>86892</v>
      </c>
      <c r="H77" s="210">
        <f t="shared" si="125"/>
        <v>-552</v>
      </c>
      <c r="I77" s="210"/>
      <c r="J77" s="210"/>
      <c r="K77" s="210"/>
      <c r="L77" s="210"/>
      <c r="M77" s="210">
        <v>-552</v>
      </c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>
        <v>0</v>
      </c>
      <c r="AN77" s="210">
        <f t="shared" si="126"/>
        <v>0</v>
      </c>
      <c r="AO77" s="210">
        <f t="shared" si="127"/>
        <v>0</v>
      </c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>
        <v>0</v>
      </c>
      <c r="BB77" s="210">
        <f t="shared" si="128"/>
        <v>0</v>
      </c>
      <c r="BC77" s="210">
        <f t="shared" si="129"/>
        <v>0</v>
      </c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>
        <v>0</v>
      </c>
      <c r="BP77" s="210">
        <f t="shared" si="130"/>
        <v>0</v>
      </c>
      <c r="BQ77" s="210">
        <f t="shared" si="131"/>
        <v>0</v>
      </c>
      <c r="BR77" s="210"/>
      <c r="BS77" s="210"/>
      <c r="BT77" s="210"/>
      <c r="BU77" s="210"/>
      <c r="BV77" s="210"/>
      <c r="BW77" s="210">
        <f t="shared" si="132"/>
        <v>0</v>
      </c>
      <c r="BX77" s="210">
        <f t="shared" si="133"/>
        <v>0</v>
      </c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71"/>
      <c r="CJ77" s="54" t="s">
        <v>607</v>
      </c>
      <c r="CK77" s="131"/>
      <c r="CL77" s="230" t="s">
        <v>689</v>
      </c>
      <c r="CM77" s="230" t="s">
        <v>689</v>
      </c>
      <c r="CQ77" s="10" t="e">
        <f>D77-#REF!</f>
        <v>#REF!</v>
      </c>
      <c r="CR77" s="10" t="e">
        <f>D77-#REF!</f>
        <v>#REF!</v>
      </c>
      <c r="CS77" s="130" t="e">
        <f>F77-#REF!</f>
        <v>#REF!</v>
      </c>
    </row>
    <row r="78" spans="1:97" s="130" customFormat="1" ht="36" x14ac:dyDescent="0.2">
      <c r="A78" s="75"/>
      <c r="B78" s="161"/>
      <c r="C78" s="233" t="s">
        <v>637</v>
      </c>
      <c r="D78" s="220">
        <f t="shared" si="122"/>
        <v>123781</v>
      </c>
      <c r="E78" s="210">
        <f t="shared" si="123"/>
        <v>66797</v>
      </c>
      <c r="F78" s="210">
        <v>123781</v>
      </c>
      <c r="G78" s="210">
        <f t="shared" si="124"/>
        <v>66797</v>
      </c>
      <c r="H78" s="210">
        <f t="shared" si="125"/>
        <v>-56984</v>
      </c>
      <c r="I78" s="210"/>
      <c r="J78" s="210"/>
      <c r="K78" s="210"/>
      <c r="L78" s="210"/>
      <c r="M78" s="210">
        <v>-56984</v>
      </c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>
        <v>0</v>
      </c>
      <c r="AN78" s="210">
        <f t="shared" si="126"/>
        <v>0</v>
      </c>
      <c r="AO78" s="210">
        <f t="shared" si="127"/>
        <v>0</v>
      </c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>
        <v>0</v>
      </c>
      <c r="BB78" s="210">
        <f t="shared" si="128"/>
        <v>0</v>
      </c>
      <c r="BC78" s="210">
        <f t="shared" si="129"/>
        <v>0</v>
      </c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>
        <v>0</v>
      </c>
      <c r="BP78" s="210">
        <f t="shared" si="130"/>
        <v>0</v>
      </c>
      <c r="BQ78" s="210">
        <f t="shared" si="131"/>
        <v>0</v>
      </c>
      <c r="BR78" s="210"/>
      <c r="BS78" s="210"/>
      <c r="BT78" s="210"/>
      <c r="BU78" s="210"/>
      <c r="BV78" s="210"/>
      <c r="BW78" s="210">
        <f t="shared" si="132"/>
        <v>0</v>
      </c>
      <c r="BX78" s="210">
        <f t="shared" si="133"/>
        <v>0</v>
      </c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71"/>
      <c r="CJ78" s="54" t="s">
        <v>638</v>
      </c>
      <c r="CK78" s="131"/>
      <c r="CL78" s="230" t="s">
        <v>689</v>
      </c>
      <c r="CM78" s="230" t="s">
        <v>689</v>
      </c>
      <c r="CQ78" s="10" t="e">
        <f>D78-#REF!</f>
        <v>#REF!</v>
      </c>
      <c r="CR78" s="10" t="e">
        <f>D78-#REF!</f>
        <v>#REF!</v>
      </c>
      <c r="CS78" s="130" t="e">
        <f>F78-#REF!</f>
        <v>#REF!</v>
      </c>
    </row>
    <row r="79" spans="1:97" ht="24" x14ac:dyDescent="0.2">
      <c r="A79" s="75">
        <v>42803002568</v>
      </c>
      <c r="B79" s="158" t="s">
        <v>288</v>
      </c>
      <c r="C79" s="255" t="s">
        <v>267</v>
      </c>
      <c r="D79" s="220">
        <f t="shared" si="122"/>
        <v>1577851</v>
      </c>
      <c r="E79" s="208">
        <f t="shared" si="123"/>
        <v>1572491</v>
      </c>
      <c r="F79" s="208">
        <v>1577851</v>
      </c>
      <c r="G79" s="208">
        <f t="shared" si="124"/>
        <v>1572491</v>
      </c>
      <c r="H79" s="208">
        <f t="shared" si="125"/>
        <v>-5360</v>
      </c>
      <c r="I79" s="208"/>
      <c r="J79" s="208"/>
      <c r="K79" s="208"/>
      <c r="L79" s="208"/>
      <c r="M79" s="208">
        <v>-5360</v>
      </c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>
        <v>0</v>
      </c>
      <c r="AN79" s="208">
        <f t="shared" si="126"/>
        <v>0</v>
      </c>
      <c r="AO79" s="208">
        <f t="shared" si="127"/>
        <v>0</v>
      </c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>
        <v>0</v>
      </c>
      <c r="BB79" s="208">
        <f t="shared" si="128"/>
        <v>0</v>
      </c>
      <c r="BC79" s="208">
        <f t="shared" si="129"/>
        <v>0</v>
      </c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>
        <v>0</v>
      </c>
      <c r="BP79" s="208">
        <f t="shared" si="130"/>
        <v>0</v>
      </c>
      <c r="BQ79" s="208">
        <f t="shared" si="131"/>
        <v>0</v>
      </c>
      <c r="BR79" s="208"/>
      <c r="BS79" s="208"/>
      <c r="BT79" s="208"/>
      <c r="BU79" s="208"/>
      <c r="BV79" s="208"/>
      <c r="BW79" s="208">
        <f t="shared" si="132"/>
        <v>0</v>
      </c>
      <c r="BX79" s="208">
        <f t="shared" si="133"/>
        <v>0</v>
      </c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59"/>
      <c r="CJ79" s="54" t="s">
        <v>332</v>
      </c>
      <c r="CK79" s="57"/>
      <c r="CL79" s="230" t="s">
        <v>692</v>
      </c>
      <c r="CM79" s="10" t="s">
        <v>693</v>
      </c>
      <c r="CQ79" s="10" t="e">
        <f>D79-#REF!</f>
        <v>#REF!</v>
      </c>
      <c r="CR79" s="10" t="e">
        <f>D79-#REF!</f>
        <v>#REF!</v>
      </c>
      <c r="CS79" s="1" t="e">
        <f>F79-#REF!</f>
        <v>#REF!</v>
      </c>
    </row>
    <row r="80" spans="1:97" ht="24" x14ac:dyDescent="0.2">
      <c r="A80" s="75">
        <v>90010691331</v>
      </c>
      <c r="B80" s="166" t="s">
        <v>629</v>
      </c>
      <c r="C80" s="256" t="s">
        <v>182</v>
      </c>
      <c r="D80" s="220">
        <f t="shared" si="122"/>
        <v>356910</v>
      </c>
      <c r="E80" s="208">
        <f t="shared" si="123"/>
        <v>360106</v>
      </c>
      <c r="F80" s="213">
        <v>325898</v>
      </c>
      <c r="G80" s="213">
        <f t="shared" si="124"/>
        <v>329099</v>
      </c>
      <c r="H80" s="213">
        <f t="shared" si="125"/>
        <v>3201</v>
      </c>
      <c r="I80" s="213"/>
      <c r="J80" s="213"/>
      <c r="K80" s="213"/>
      <c r="L80" s="213"/>
      <c r="M80" s="213">
        <v>-6076</v>
      </c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>
        <v>847</v>
      </c>
      <c r="AE80" s="213"/>
      <c r="AF80" s="213"/>
      <c r="AG80" s="213">
        <f>-172+8602</f>
        <v>8430</v>
      </c>
      <c r="AH80" s="213"/>
      <c r="AI80" s="213"/>
      <c r="AJ80" s="213"/>
      <c r="AK80" s="213"/>
      <c r="AL80" s="213"/>
      <c r="AM80" s="213">
        <v>0</v>
      </c>
      <c r="AN80" s="213">
        <f t="shared" si="126"/>
        <v>0</v>
      </c>
      <c r="AO80" s="213">
        <f t="shared" si="127"/>
        <v>0</v>
      </c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>
        <v>41012</v>
      </c>
      <c r="BB80" s="213">
        <f t="shared" si="128"/>
        <v>45482</v>
      </c>
      <c r="BC80" s="213">
        <f t="shared" si="129"/>
        <v>4470</v>
      </c>
      <c r="BD80" s="213">
        <v>12707</v>
      </c>
      <c r="BE80" s="213"/>
      <c r="BF80" s="213"/>
      <c r="BG80" s="213"/>
      <c r="BH80" s="213"/>
      <c r="BI80" s="213">
        <f>-1250+7515</f>
        <v>6265</v>
      </c>
      <c r="BJ80" s="213">
        <v>-14502</v>
      </c>
      <c r="BK80" s="213"/>
      <c r="BL80" s="213"/>
      <c r="BM80" s="213"/>
      <c r="BN80" s="213"/>
      <c r="BO80" s="213">
        <v>0</v>
      </c>
      <c r="BP80" s="213">
        <f t="shared" si="130"/>
        <v>0</v>
      </c>
      <c r="BQ80" s="213">
        <f t="shared" si="131"/>
        <v>0</v>
      </c>
      <c r="BR80" s="213"/>
      <c r="BS80" s="213"/>
      <c r="BT80" s="213"/>
      <c r="BU80" s="213"/>
      <c r="BV80" s="213">
        <v>-10000</v>
      </c>
      <c r="BW80" s="213">
        <f t="shared" si="132"/>
        <v>-14475</v>
      </c>
      <c r="BX80" s="213">
        <f t="shared" si="133"/>
        <v>-4475</v>
      </c>
      <c r="BY80" s="213"/>
      <c r="BZ80" s="213"/>
      <c r="CA80" s="213"/>
      <c r="CB80" s="213"/>
      <c r="CC80" s="213"/>
      <c r="CD80" s="213"/>
      <c r="CE80" s="213">
        <v>-7515</v>
      </c>
      <c r="CF80" s="213">
        <v>3040</v>
      </c>
      <c r="CG80" s="213"/>
      <c r="CH80" s="213"/>
      <c r="CI80" s="273"/>
      <c r="CJ80" s="171" t="s">
        <v>333</v>
      </c>
      <c r="CK80" s="172"/>
      <c r="CL80" s="230" t="s">
        <v>692</v>
      </c>
      <c r="CM80" s="10" t="s">
        <v>693</v>
      </c>
      <c r="CQ80" s="10" t="e">
        <f>D80-#REF!</f>
        <v>#REF!</v>
      </c>
      <c r="CR80" s="10" t="e">
        <f>D80-#REF!</f>
        <v>#REF!</v>
      </c>
      <c r="CS80" s="1" t="e">
        <f>F80-#REF!</f>
        <v>#REF!</v>
      </c>
    </row>
    <row r="81" spans="1:97" ht="12.75" thickBot="1" x14ac:dyDescent="0.25">
      <c r="A81" s="75"/>
      <c r="B81" s="141"/>
      <c r="C81" s="188"/>
      <c r="D81" s="222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72"/>
      <c r="CJ81" s="50"/>
      <c r="CK81" s="58"/>
      <c r="CL81" s="230"/>
      <c r="CM81" s="10"/>
      <c r="CQ81" s="10" t="e">
        <f>D81-#REF!</f>
        <v>#REF!</v>
      </c>
      <c r="CR81" s="10" t="e">
        <f>D81-#REF!</f>
        <v>#REF!</v>
      </c>
      <c r="CS81" s="1" t="e">
        <f>F81-#REF!</f>
        <v>#REF!</v>
      </c>
    </row>
    <row r="82" spans="1:97" ht="12.75" thickBot="1" x14ac:dyDescent="0.25">
      <c r="A82" s="140" t="s">
        <v>12</v>
      </c>
      <c r="B82" s="90" t="s">
        <v>13</v>
      </c>
      <c r="C82" s="187"/>
      <c r="D82" s="223">
        <f t="shared" ref="D82:CI82" si="134">SUM(D83:D90)</f>
        <v>303908</v>
      </c>
      <c r="E82" s="262">
        <f t="shared" si="134"/>
        <v>348835</v>
      </c>
      <c r="F82" s="262">
        <f t="shared" si="134"/>
        <v>303908</v>
      </c>
      <c r="G82" s="262">
        <f t="shared" si="134"/>
        <v>348835</v>
      </c>
      <c r="H82" s="262">
        <f t="shared" si="134"/>
        <v>44927</v>
      </c>
      <c r="I82" s="262">
        <f t="shared" si="134"/>
        <v>0</v>
      </c>
      <c r="J82" s="262">
        <f t="shared" si="134"/>
        <v>0</v>
      </c>
      <c r="K82" s="262">
        <f t="shared" si="134"/>
        <v>0</v>
      </c>
      <c r="L82" s="262">
        <f t="shared" si="134"/>
        <v>0</v>
      </c>
      <c r="M82" s="262">
        <f t="shared" si="134"/>
        <v>15464</v>
      </c>
      <c r="N82" s="262">
        <f t="shared" si="134"/>
        <v>0</v>
      </c>
      <c r="O82" s="262">
        <f t="shared" si="134"/>
        <v>0</v>
      </c>
      <c r="P82" s="262">
        <f t="shared" si="134"/>
        <v>12000</v>
      </c>
      <c r="Q82" s="262">
        <f t="shared" si="134"/>
        <v>0</v>
      </c>
      <c r="R82" s="262">
        <f t="shared" ref="R82:S82" si="135">SUM(R83:R90)</f>
        <v>18188</v>
      </c>
      <c r="S82" s="262">
        <f t="shared" si="135"/>
        <v>0</v>
      </c>
      <c r="T82" s="262">
        <f t="shared" ref="T82:W82" si="136">SUM(T83:T90)</f>
        <v>0</v>
      </c>
      <c r="U82" s="262">
        <f t="shared" si="136"/>
        <v>0</v>
      </c>
      <c r="V82" s="262">
        <f t="shared" si="136"/>
        <v>0</v>
      </c>
      <c r="W82" s="262">
        <f t="shared" si="136"/>
        <v>0</v>
      </c>
      <c r="X82" s="262">
        <f t="shared" ref="X82:AI82" si="137">SUM(X83:X90)</f>
        <v>0</v>
      </c>
      <c r="Y82" s="262">
        <f t="shared" si="137"/>
        <v>0</v>
      </c>
      <c r="Z82" s="262">
        <f t="shared" si="137"/>
        <v>0</v>
      </c>
      <c r="AA82" s="262">
        <f t="shared" si="137"/>
        <v>-10166</v>
      </c>
      <c r="AB82" s="262">
        <f t="shared" ref="AB82:AC82" si="138">SUM(AB83:AB90)</f>
        <v>0</v>
      </c>
      <c r="AC82" s="262">
        <f t="shared" si="138"/>
        <v>0</v>
      </c>
      <c r="AD82" s="262">
        <f t="shared" si="137"/>
        <v>0</v>
      </c>
      <c r="AE82" s="262">
        <f t="shared" si="137"/>
        <v>0</v>
      </c>
      <c r="AF82" s="262">
        <f t="shared" ref="AF82:AG82" si="139">SUM(AF83:AF90)</f>
        <v>0</v>
      </c>
      <c r="AG82" s="262">
        <f t="shared" si="139"/>
        <v>3705</v>
      </c>
      <c r="AH82" s="262">
        <f t="shared" si="137"/>
        <v>5736</v>
      </c>
      <c r="AI82" s="262">
        <f t="shared" si="137"/>
        <v>0</v>
      </c>
      <c r="AJ82" s="262">
        <f t="shared" ref="AJ82:AK82" si="140">SUM(AJ83:AJ90)</f>
        <v>0</v>
      </c>
      <c r="AK82" s="262">
        <f t="shared" si="140"/>
        <v>0</v>
      </c>
      <c r="AL82" s="262">
        <f t="shared" si="134"/>
        <v>0</v>
      </c>
      <c r="AM82" s="262">
        <f t="shared" si="134"/>
        <v>0</v>
      </c>
      <c r="AN82" s="262">
        <f t="shared" si="134"/>
        <v>0</v>
      </c>
      <c r="AO82" s="262">
        <f t="shared" si="134"/>
        <v>0</v>
      </c>
      <c r="AP82" s="262">
        <f t="shared" si="134"/>
        <v>0</v>
      </c>
      <c r="AQ82" s="262">
        <f t="shared" si="134"/>
        <v>0</v>
      </c>
      <c r="AR82" s="262">
        <f t="shared" si="134"/>
        <v>0</v>
      </c>
      <c r="AS82" s="262">
        <f t="shared" si="134"/>
        <v>0</v>
      </c>
      <c r="AT82" s="262">
        <f t="shared" si="134"/>
        <v>0</v>
      </c>
      <c r="AU82" s="262">
        <f t="shared" ref="AU82" si="141">SUM(AU83:AU90)</f>
        <v>0</v>
      </c>
      <c r="AV82" s="262">
        <f t="shared" si="134"/>
        <v>0</v>
      </c>
      <c r="AW82" s="262">
        <f t="shared" si="134"/>
        <v>0</v>
      </c>
      <c r="AX82" s="262">
        <f t="shared" si="134"/>
        <v>0</v>
      </c>
      <c r="AY82" s="262">
        <f t="shared" si="134"/>
        <v>0</v>
      </c>
      <c r="AZ82" s="262">
        <f t="shared" si="134"/>
        <v>0</v>
      </c>
      <c r="BA82" s="262">
        <f t="shared" si="134"/>
        <v>0</v>
      </c>
      <c r="BB82" s="262">
        <f t="shared" si="134"/>
        <v>0</v>
      </c>
      <c r="BC82" s="262">
        <f t="shared" si="134"/>
        <v>0</v>
      </c>
      <c r="BD82" s="262">
        <f t="shared" si="134"/>
        <v>0</v>
      </c>
      <c r="BE82" s="262">
        <f t="shared" si="134"/>
        <v>0</v>
      </c>
      <c r="BF82" s="262">
        <f t="shared" si="134"/>
        <v>0</v>
      </c>
      <c r="BG82" s="262">
        <f t="shared" si="134"/>
        <v>0</v>
      </c>
      <c r="BH82" s="262">
        <f t="shared" ref="BH82" si="142">SUM(BH83:BH90)</f>
        <v>0</v>
      </c>
      <c r="BI82" s="262">
        <f t="shared" si="134"/>
        <v>0</v>
      </c>
      <c r="BJ82" s="262">
        <f t="shared" si="134"/>
        <v>0</v>
      </c>
      <c r="BK82" s="262">
        <f t="shared" si="134"/>
        <v>0</v>
      </c>
      <c r="BL82" s="262">
        <f t="shared" si="134"/>
        <v>0</v>
      </c>
      <c r="BM82" s="262">
        <f t="shared" si="134"/>
        <v>0</v>
      </c>
      <c r="BN82" s="262">
        <f t="shared" si="134"/>
        <v>0</v>
      </c>
      <c r="BO82" s="262">
        <f t="shared" si="134"/>
        <v>0</v>
      </c>
      <c r="BP82" s="262">
        <f t="shared" si="134"/>
        <v>0</v>
      </c>
      <c r="BQ82" s="262">
        <f t="shared" si="134"/>
        <v>0</v>
      </c>
      <c r="BR82" s="262">
        <f t="shared" si="134"/>
        <v>0</v>
      </c>
      <c r="BS82" s="262">
        <f t="shared" si="134"/>
        <v>0</v>
      </c>
      <c r="BT82" s="262">
        <f t="shared" si="134"/>
        <v>0</v>
      </c>
      <c r="BU82" s="262">
        <f t="shared" si="134"/>
        <v>0</v>
      </c>
      <c r="BV82" s="262">
        <f t="shared" si="134"/>
        <v>0</v>
      </c>
      <c r="BW82" s="262">
        <f t="shared" si="134"/>
        <v>0</v>
      </c>
      <c r="BX82" s="262">
        <f t="shared" si="134"/>
        <v>0</v>
      </c>
      <c r="BY82" s="262">
        <f t="shared" si="134"/>
        <v>0</v>
      </c>
      <c r="BZ82" s="262">
        <f t="shared" si="134"/>
        <v>0</v>
      </c>
      <c r="CA82" s="262">
        <f t="shared" si="134"/>
        <v>0</v>
      </c>
      <c r="CB82" s="262">
        <f t="shared" si="134"/>
        <v>0</v>
      </c>
      <c r="CC82" s="262">
        <f t="shared" si="134"/>
        <v>0</v>
      </c>
      <c r="CD82" s="262">
        <f t="shared" si="134"/>
        <v>0</v>
      </c>
      <c r="CE82" s="262">
        <f t="shared" si="134"/>
        <v>0</v>
      </c>
      <c r="CF82" s="262">
        <f t="shared" ref="CF82" si="143">SUM(CF83:CF90)</f>
        <v>0</v>
      </c>
      <c r="CG82" s="262">
        <f t="shared" si="134"/>
        <v>0</v>
      </c>
      <c r="CH82" s="262">
        <f t="shared" si="134"/>
        <v>0</v>
      </c>
      <c r="CI82" s="270">
        <f t="shared" si="134"/>
        <v>0</v>
      </c>
      <c r="CJ82" s="7"/>
      <c r="CK82" s="59"/>
      <c r="CL82" s="230"/>
      <c r="CM82" s="10"/>
      <c r="CQ82" s="10" t="e">
        <f>D82-#REF!</f>
        <v>#REF!</v>
      </c>
      <c r="CR82" s="10" t="e">
        <f>D82-#REF!</f>
        <v>#REF!</v>
      </c>
      <c r="CS82" s="1" t="e">
        <f>F82-#REF!</f>
        <v>#REF!</v>
      </c>
    </row>
    <row r="83" spans="1:97" ht="24.75" customHeight="1" thickTop="1" x14ac:dyDescent="0.2">
      <c r="A83" s="75">
        <v>90000594245</v>
      </c>
      <c r="B83" s="164" t="s">
        <v>496</v>
      </c>
      <c r="C83" s="280" t="s">
        <v>183</v>
      </c>
      <c r="D83" s="220">
        <f t="shared" ref="D83:E89" si="144">F83+AM83+BA83+BO83+BV83</f>
        <v>45712</v>
      </c>
      <c r="E83" s="208">
        <f t="shared" si="144"/>
        <v>45712</v>
      </c>
      <c r="F83" s="208">
        <v>45712</v>
      </c>
      <c r="G83" s="208">
        <f t="shared" ref="G83:G88" si="145">F83+H83</f>
        <v>45712</v>
      </c>
      <c r="H83" s="208">
        <f t="shared" ref="H83:H89" si="146">SUM(I83:AL83)</f>
        <v>0</v>
      </c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>
        <v>0</v>
      </c>
      <c r="AN83" s="208">
        <f t="shared" ref="AN83:AN88" si="147">AM83+AO83</f>
        <v>0</v>
      </c>
      <c r="AO83" s="208">
        <f t="shared" ref="AO83:AO88" si="148">SUM(AP83:AZ83)</f>
        <v>0</v>
      </c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>
        <v>0</v>
      </c>
      <c r="BB83" s="208">
        <f t="shared" ref="BB83:BB88" si="149">BA83+BC83</f>
        <v>0</v>
      </c>
      <c r="BC83" s="208">
        <f t="shared" ref="BC83:BC88" si="150">SUM(BD83:BN83)</f>
        <v>0</v>
      </c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>
        <v>0</v>
      </c>
      <c r="BP83" s="208">
        <f t="shared" ref="BP83:BP88" si="151">BO83+BQ83</f>
        <v>0</v>
      </c>
      <c r="BQ83" s="208">
        <f t="shared" ref="BQ83:BQ88" si="152">SUM(BR83:BU83)</f>
        <v>0</v>
      </c>
      <c r="BR83" s="208"/>
      <c r="BS83" s="208"/>
      <c r="BT83" s="208"/>
      <c r="BU83" s="208"/>
      <c r="BV83" s="208"/>
      <c r="BW83" s="208">
        <f t="shared" ref="BW83:BW88" si="153">BV83+BX83</f>
        <v>0</v>
      </c>
      <c r="BX83" s="208">
        <f t="shared" ref="BX83:BX89" si="154">SUM(BY83:CI83)</f>
        <v>0</v>
      </c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59"/>
      <c r="CJ83" s="54" t="s">
        <v>334</v>
      </c>
      <c r="CK83" s="57" t="s">
        <v>610</v>
      </c>
      <c r="CL83" s="230" t="s">
        <v>694</v>
      </c>
      <c r="CM83" s="10" t="s">
        <v>695</v>
      </c>
      <c r="CN83" s="130"/>
      <c r="CQ83" s="10" t="e">
        <f>D83-#REF!</f>
        <v>#REF!</v>
      </c>
      <c r="CR83" s="10" t="e">
        <f>D83-#REF!</f>
        <v>#REF!</v>
      </c>
      <c r="CS83" s="1" t="e">
        <f>F83-#REF!</f>
        <v>#REF!</v>
      </c>
    </row>
    <row r="84" spans="1:97" x14ac:dyDescent="0.2">
      <c r="A84" s="75"/>
      <c r="B84" s="159"/>
      <c r="C84" s="261" t="s">
        <v>204</v>
      </c>
      <c r="D84" s="220">
        <f t="shared" si="144"/>
        <v>28912</v>
      </c>
      <c r="E84" s="208">
        <f t="shared" si="144"/>
        <v>28912</v>
      </c>
      <c r="F84" s="208">
        <v>28912</v>
      </c>
      <c r="G84" s="208">
        <f t="shared" si="145"/>
        <v>28912</v>
      </c>
      <c r="H84" s="208">
        <f t="shared" si="146"/>
        <v>0</v>
      </c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>
        <v>0</v>
      </c>
      <c r="AN84" s="208">
        <f t="shared" si="147"/>
        <v>0</v>
      </c>
      <c r="AO84" s="208">
        <f t="shared" si="148"/>
        <v>0</v>
      </c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>
        <v>0</v>
      </c>
      <c r="BB84" s="208">
        <f t="shared" si="149"/>
        <v>0</v>
      </c>
      <c r="BC84" s="208">
        <f t="shared" si="150"/>
        <v>0</v>
      </c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>
        <v>0</v>
      </c>
      <c r="BP84" s="208">
        <f t="shared" si="151"/>
        <v>0</v>
      </c>
      <c r="BQ84" s="208">
        <f t="shared" si="152"/>
        <v>0</v>
      </c>
      <c r="BR84" s="208"/>
      <c r="BS84" s="208"/>
      <c r="BT84" s="208"/>
      <c r="BU84" s="208"/>
      <c r="BV84" s="208"/>
      <c r="BW84" s="208">
        <f t="shared" si="153"/>
        <v>0</v>
      </c>
      <c r="BX84" s="208">
        <f t="shared" si="154"/>
        <v>0</v>
      </c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59"/>
      <c r="CJ84" s="54" t="s">
        <v>335</v>
      </c>
      <c r="CK84" s="57" t="s">
        <v>610</v>
      </c>
      <c r="CL84" s="230" t="s">
        <v>694</v>
      </c>
      <c r="CM84" s="10" t="s">
        <v>695</v>
      </c>
      <c r="CQ84" s="10" t="e">
        <f>D84-#REF!</f>
        <v>#REF!</v>
      </c>
      <c r="CR84" s="10" t="e">
        <f>D84-#REF!</f>
        <v>#REF!</v>
      </c>
      <c r="CS84" s="1" t="e">
        <f>F84-#REF!</f>
        <v>#REF!</v>
      </c>
    </row>
    <row r="85" spans="1:97" ht="24" x14ac:dyDescent="0.2">
      <c r="A85" s="75"/>
      <c r="B85" s="159"/>
      <c r="C85" s="261" t="s">
        <v>198</v>
      </c>
      <c r="D85" s="220">
        <f t="shared" si="144"/>
        <v>61065</v>
      </c>
      <c r="E85" s="208">
        <f t="shared" si="144"/>
        <v>56743</v>
      </c>
      <c r="F85" s="208">
        <v>61065</v>
      </c>
      <c r="G85" s="208">
        <f t="shared" si="145"/>
        <v>56743</v>
      </c>
      <c r="H85" s="208">
        <f t="shared" si="146"/>
        <v>-4322</v>
      </c>
      <c r="I85" s="208"/>
      <c r="J85" s="208"/>
      <c r="K85" s="208"/>
      <c r="L85" s="208"/>
      <c r="M85" s="208">
        <v>1160</v>
      </c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>
        <v>-5482</v>
      </c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>
        <v>0</v>
      </c>
      <c r="AN85" s="208">
        <f t="shared" si="147"/>
        <v>0</v>
      </c>
      <c r="AO85" s="208">
        <f t="shared" si="148"/>
        <v>0</v>
      </c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>
        <v>0</v>
      </c>
      <c r="BB85" s="208">
        <f t="shared" si="149"/>
        <v>0</v>
      </c>
      <c r="BC85" s="208">
        <f t="shared" si="150"/>
        <v>0</v>
      </c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>
        <v>0</v>
      </c>
      <c r="BP85" s="208">
        <f t="shared" si="151"/>
        <v>0</v>
      </c>
      <c r="BQ85" s="208">
        <f t="shared" si="152"/>
        <v>0</v>
      </c>
      <c r="BR85" s="208"/>
      <c r="BS85" s="208"/>
      <c r="BT85" s="208"/>
      <c r="BU85" s="208"/>
      <c r="BV85" s="208"/>
      <c r="BW85" s="208">
        <f t="shared" si="153"/>
        <v>0</v>
      </c>
      <c r="BX85" s="208">
        <f t="shared" si="154"/>
        <v>0</v>
      </c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59"/>
      <c r="CJ85" s="54" t="s">
        <v>336</v>
      </c>
      <c r="CK85" s="57" t="s">
        <v>610</v>
      </c>
      <c r="CL85" s="230" t="s">
        <v>694</v>
      </c>
      <c r="CM85" s="10" t="s">
        <v>695</v>
      </c>
      <c r="CQ85" s="10" t="e">
        <f>D85-#REF!</f>
        <v>#REF!</v>
      </c>
      <c r="CR85" s="10" t="e">
        <f>D85-#REF!</f>
        <v>#REF!</v>
      </c>
      <c r="CS85" s="1" t="e">
        <f>F85-#REF!</f>
        <v>#REF!</v>
      </c>
    </row>
    <row r="86" spans="1:97" s="125" customFormat="1" ht="36" x14ac:dyDescent="0.2">
      <c r="A86" s="75"/>
      <c r="B86" s="159"/>
      <c r="C86" s="255" t="s">
        <v>508</v>
      </c>
      <c r="D86" s="220">
        <f t="shared" si="144"/>
        <v>59668</v>
      </c>
      <c r="E86" s="208">
        <f t="shared" si="144"/>
        <v>92160</v>
      </c>
      <c r="F86" s="208">
        <v>59668</v>
      </c>
      <c r="G86" s="208">
        <f t="shared" si="145"/>
        <v>92160</v>
      </c>
      <c r="H86" s="208">
        <f t="shared" si="146"/>
        <v>32492</v>
      </c>
      <c r="I86" s="208"/>
      <c r="J86" s="208"/>
      <c r="K86" s="208"/>
      <c r="L86" s="208"/>
      <c r="M86" s="208">
        <v>14304</v>
      </c>
      <c r="N86" s="208"/>
      <c r="O86" s="208"/>
      <c r="P86" s="208"/>
      <c r="Q86" s="208"/>
      <c r="R86" s="208">
        <v>18188</v>
      </c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>
        <v>0</v>
      </c>
      <c r="AN86" s="208">
        <f t="shared" si="147"/>
        <v>0</v>
      </c>
      <c r="AO86" s="208">
        <f t="shared" si="148"/>
        <v>0</v>
      </c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>
        <v>0</v>
      </c>
      <c r="BB86" s="208">
        <f t="shared" si="149"/>
        <v>0</v>
      </c>
      <c r="BC86" s="208">
        <f t="shared" si="150"/>
        <v>0</v>
      </c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>
        <v>0</v>
      </c>
      <c r="BP86" s="208">
        <f t="shared" si="151"/>
        <v>0</v>
      </c>
      <c r="BQ86" s="208">
        <f t="shared" si="152"/>
        <v>0</v>
      </c>
      <c r="BR86" s="208"/>
      <c r="BS86" s="208"/>
      <c r="BT86" s="208"/>
      <c r="BU86" s="208"/>
      <c r="BV86" s="208"/>
      <c r="BW86" s="208">
        <f t="shared" si="153"/>
        <v>0</v>
      </c>
      <c r="BX86" s="208">
        <f t="shared" si="154"/>
        <v>0</v>
      </c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59"/>
      <c r="CJ86" s="54" t="s">
        <v>519</v>
      </c>
      <c r="CK86" s="57"/>
      <c r="CL86" s="230" t="s">
        <v>689</v>
      </c>
      <c r="CM86" s="230" t="s">
        <v>689</v>
      </c>
      <c r="CQ86" s="10" t="e">
        <f>D86-#REF!</f>
        <v>#REF!</v>
      </c>
      <c r="CR86" s="10" t="e">
        <f>D86-#REF!</f>
        <v>#REF!</v>
      </c>
      <c r="CS86" s="125" t="e">
        <f>F86-#REF!</f>
        <v>#REF!</v>
      </c>
    </row>
    <row r="87" spans="1:97" s="130" customFormat="1" x14ac:dyDescent="0.2">
      <c r="A87" s="75"/>
      <c r="B87" s="159"/>
      <c r="C87" s="373" t="s">
        <v>244</v>
      </c>
      <c r="D87" s="220">
        <f t="shared" si="144"/>
        <v>0</v>
      </c>
      <c r="E87" s="208">
        <f t="shared" si="144"/>
        <v>8052</v>
      </c>
      <c r="F87" s="208"/>
      <c r="G87" s="208">
        <f t="shared" ref="G87" si="155">F87+H87</f>
        <v>8052</v>
      </c>
      <c r="H87" s="208">
        <f t="shared" si="146"/>
        <v>8052</v>
      </c>
      <c r="I87" s="208"/>
      <c r="J87" s="208"/>
      <c r="K87" s="208"/>
      <c r="L87" s="208"/>
      <c r="M87" s="208"/>
      <c r="N87" s="208"/>
      <c r="O87" s="208"/>
      <c r="P87" s="208">
        <v>7000</v>
      </c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>
        <v>-4684</v>
      </c>
      <c r="AB87" s="208"/>
      <c r="AC87" s="208"/>
      <c r="AD87" s="208"/>
      <c r="AE87" s="208"/>
      <c r="AF87" s="208"/>
      <c r="AG87" s="208"/>
      <c r="AH87" s="208">
        <v>5736</v>
      </c>
      <c r="AI87" s="208"/>
      <c r="AJ87" s="208"/>
      <c r="AK87" s="208"/>
      <c r="AL87" s="208"/>
      <c r="AM87" s="208"/>
      <c r="AN87" s="208">
        <f t="shared" ref="AN87" si="156">AM87+AO87</f>
        <v>0</v>
      </c>
      <c r="AO87" s="208">
        <f t="shared" ref="AO87" si="157">SUM(AP87:AZ87)</f>
        <v>0</v>
      </c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>
        <f t="shared" ref="BB87" si="158">BA87+BC87</f>
        <v>0</v>
      </c>
      <c r="BC87" s="208">
        <f t="shared" ref="BC87" si="159">SUM(BD87:BN87)</f>
        <v>0</v>
      </c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>
        <f t="shared" ref="BP87" si="160">BO87+BQ87</f>
        <v>0</v>
      </c>
      <c r="BQ87" s="208">
        <f t="shared" ref="BQ87" si="161">SUM(BR87:BU87)</f>
        <v>0</v>
      </c>
      <c r="BR87" s="208"/>
      <c r="BS87" s="208"/>
      <c r="BT87" s="208"/>
      <c r="BU87" s="208"/>
      <c r="BV87" s="208"/>
      <c r="BW87" s="208">
        <f t="shared" ref="BW87" si="162">BV87+BX87</f>
        <v>0</v>
      </c>
      <c r="BX87" s="208">
        <f t="shared" si="154"/>
        <v>0</v>
      </c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59"/>
      <c r="CJ87" s="54" t="s">
        <v>822</v>
      </c>
      <c r="CK87" s="57" t="s">
        <v>610</v>
      </c>
      <c r="CL87" s="230"/>
      <c r="CM87" s="230"/>
      <c r="CQ87" s="10"/>
      <c r="CR87" s="10"/>
    </row>
    <row r="88" spans="1:97" ht="48" x14ac:dyDescent="0.2">
      <c r="A88" s="75">
        <v>90010991438</v>
      </c>
      <c r="B88" s="158" t="s">
        <v>450</v>
      </c>
      <c r="C88" s="190" t="s">
        <v>470</v>
      </c>
      <c r="D88" s="224">
        <f t="shared" si="144"/>
        <v>108551</v>
      </c>
      <c r="E88" s="211">
        <f t="shared" si="144"/>
        <v>112256</v>
      </c>
      <c r="F88" s="211">
        <v>108551</v>
      </c>
      <c r="G88" s="211">
        <f t="shared" si="145"/>
        <v>112256</v>
      </c>
      <c r="H88" s="211">
        <f t="shared" si="146"/>
        <v>3705</v>
      </c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>
        <v>3705</v>
      </c>
      <c r="AH88" s="211"/>
      <c r="AI88" s="211"/>
      <c r="AJ88" s="211"/>
      <c r="AK88" s="211"/>
      <c r="AL88" s="211"/>
      <c r="AM88" s="211">
        <v>0</v>
      </c>
      <c r="AN88" s="211">
        <f t="shared" si="147"/>
        <v>0</v>
      </c>
      <c r="AO88" s="211">
        <f t="shared" si="148"/>
        <v>0</v>
      </c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>
        <v>0</v>
      </c>
      <c r="BB88" s="211">
        <f t="shared" si="149"/>
        <v>0</v>
      </c>
      <c r="BC88" s="211">
        <f t="shared" si="150"/>
        <v>0</v>
      </c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>
        <v>0</v>
      </c>
      <c r="BP88" s="211">
        <f t="shared" si="151"/>
        <v>0</v>
      </c>
      <c r="BQ88" s="211">
        <f t="shared" si="152"/>
        <v>0</v>
      </c>
      <c r="BR88" s="211"/>
      <c r="BS88" s="211"/>
      <c r="BT88" s="211"/>
      <c r="BU88" s="211"/>
      <c r="BV88" s="211"/>
      <c r="BW88" s="211">
        <f t="shared" si="153"/>
        <v>0</v>
      </c>
      <c r="BX88" s="211">
        <f t="shared" si="154"/>
        <v>0</v>
      </c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78"/>
      <c r="CJ88" s="134" t="s">
        <v>337</v>
      </c>
      <c r="CK88" s="60"/>
      <c r="CL88" s="230" t="s">
        <v>694</v>
      </c>
      <c r="CM88" s="10" t="s">
        <v>695</v>
      </c>
      <c r="CQ88" s="10" t="e">
        <f>D88-#REF!</f>
        <v>#REF!</v>
      </c>
      <c r="CR88" s="10" t="e">
        <f>D88-#REF!</f>
        <v>#REF!</v>
      </c>
      <c r="CS88" s="1" t="e">
        <f>F88-#REF!</f>
        <v>#REF!</v>
      </c>
    </row>
    <row r="89" spans="1:97" s="130" customFormat="1" ht="24" x14ac:dyDescent="0.2">
      <c r="A89" s="75">
        <v>40003219995</v>
      </c>
      <c r="B89" s="281" t="s">
        <v>823</v>
      </c>
      <c r="C89" s="285" t="s">
        <v>825</v>
      </c>
      <c r="D89" s="220">
        <f t="shared" si="144"/>
        <v>0</v>
      </c>
      <c r="E89" s="208">
        <f t="shared" si="144"/>
        <v>5000</v>
      </c>
      <c r="F89" s="208"/>
      <c r="G89" s="208">
        <f t="shared" ref="G89" si="163">F89+H89</f>
        <v>5000</v>
      </c>
      <c r="H89" s="208">
        <f t="shared" si="146"/>
        <v>5000</v>
      </c>
      <c r="I89" s="208"/>
      <c r="J89" s="208"/>
      <c r="K89" s="208"/>
      <c r="L89" s="208"/>
      <c r="M89" s="208"/>
      <c r="N89" s="208"/>
      <c r="O89" s="208"/>
      <c r="P89" s="208">
        <v>5000</v>
      </c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>
        <f t="shared" ref="AN89" si="164">AM89+AO89</f>
        <v>0</v>
      </c>
      <c r="AO89" s="208">
        <f t="shared" ref="AO89" si="165">SUM(AP89:AZ89)</f>
        <v>0</v>
      </c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>
        <f t="shared" ref="BB89" si="166">BA89+BC89</f>
        <v>0</v>
      </c>
      <c r="BC89" s="208">
        <f t="shared" ref="BC89" si="167">SUM(BD89:BN89)</f>
        <v>0</v>
      </c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>
        <f t="shared" ref="BP89" si="168">BO89+BQ89</f>
        <v>0</v>
      </c>
      <c r="BQ89" s="208">
        <f t="shared" ref="BQ89" si="169">SUM(BR89:BU89)</f>
        <v>0</v>
      </c>
      <c r="BR89" s="208"/>
      <c r="BS89" s="208"/>
      <c r="BT89" s="208"/>
      <c r="BU89" s="208"/>
      <c r="BV89" s="208"/>
      <c r="BW89" s="208">
        <f t="shared" ref="BW89" si="170">BV89+BX89</f>
        <v>0</v>
      </c>
      <c r="BX89" s="208">
        <f t="shared" si="154"/>
        <v>0</v>
      </c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59"/>
      <c r="CJ89" s="54" t="s">
        <v>824</v>
      </c>
      <c r="CK89" s="57"/>
      <c r="CL89" s="374"/>
      <c r="CM89" s="375"/>
      <c r="CN89" s="376"/>
      <c r="CO89" s="376"/>
      <c r="CQ89" s="10"/>
      <c r="CR89" s="10"/>
    </row>
    <row r="90" spans="1:97" ht="12.75" thickBot="1" x14ac:dyDescent="0.25">
      <c r="A90" s="75"/>
      <c r="B90" s="141"/>
      <c r="C90" s="188"/>
      <c r="D90" s="222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72"/>
      <c r="CJ90" s="50"/>
      <c r="CK90" s="58"/>
      <c r="CL90" s="230"/>
      <c r="CM90" s="10"/>
      <c r="CQ90" s="10" t="e">
        <f>D90-#REF!</f>
        <v>#REF!</v>
      </c>
      <c r="CR90" s="10" t="e">
        <f>D90-#REF!</f>
        <v>#REF!</v>
      </c>
      <c r="CS90" s="1" t="e">
        <f>F90-#REF!</f>
        <v>#REF!</v>
      </c>
    </row>
    <row r="91" spans="1:97" ht="12.75" thickBot="1" x14ac:dyDescent="0.25">
      <c r="A91" s="140" t="s">
        <v>14</v>
      </c>
      <c r="B91" s="90" t="s">
        <v>15</v>
      </c>
      <c r="C91" s="187"/>
      <c r="D91" s="223">
        <f t="shared" ref="D91:BB91" si="171">SUM(D92:D131)</f>
        <v>14451781</v>
      </c>
      <c r="E91" s="262">
        <f t="shared" si="171"/>
        <v>16233032</v>
      </c>
      <c r="F91" s="262">
        <f t="shared" si="171"/>
        <v>14254127</v>
      </c>
      <c r="G91" s="262">
        <f t="shared" si="171"/>
        <v>16097781</v>
      </c>
      <c r="H91" s="262">
        <f t="shared" si="171"/>
        <v>1843654</v>
      </c>
      <c r="I91" s="262">
        <f t="shared" si="171"/>
        <v>0</v>
      </c>
      <c r="J91" s="262">
        <f t="shared" si="171"/>
        <v>0</v>
      </c>
      <c r="K91" s="262">
        <f t="shared" si="171"/>
        <v>0</v>
      </c>
      <c r="L91" s="262">
        <f t="shared" si="171"/>
        <v>0</v>
      </c>
      <c r="M91" s="262">
        <f t="shared" si="171"/>
        <v>1087330</v>
      </c>
      <c r="N91" s="262">
        <f t="shared" si="171"/>
        <v>0</v>
      </c>
      <c r="O91" s="262">
        <f t="shared" si="171"/>
        <v>0</v>
      </c>
      <c r="P91" s="262">
        <f t="shared" si="171"/>
        <v>3442</v>
      </c>
      <c r="Q91" s="262">
        <f t="shared" si="171"/>
        <v>-3005</v>
      </c>
      <c r="R91" s="262">
        <f t="shared" si="171"/>
        <v>-355477</v>
      </c>
      <c r="S91" s="262">
        <f t="shared" si="171"/>
        <v>0</v>
      </c>
      <c r="T91" s="262">
        <f t="shared" ref="T91" si="172">SUM(T92:T131)</f>
        <v>0</v>
      </c>
      <c r="U91" s="262">
        <f t="shared" ref="U91" si="173">SUM(U92:U131)</f>
        <v>-258896</v>
      </c>
      <c r="V91" s="262">
        <f t="shared" ref="V91" si="174">SUM(V92:V131)</f>
        <v>0</v>
      </c>
      <c r="W91" s="262">
        <f t="shared" si="171"/>
        <v>0</v>
      </c>
      <c r="X91" s="262">
        <f t="shared" ref="X91:AK91" si="175">SUM(X92:X131)</f>
        <v>1878752</v>
      </c>
      <c r="Y91" s="262">
        <f t="shared" si="175"/>
        <v>-15000</v>
      </c>
      <c r="Z91" s="262">
        <f t="shared" si="175"/>
        <v>0</v>
      </c>
      <c r="AA91" s="262">
        <f t="shared" si="175"/>
        <v>-146106</v>
      </c>
      <c r="AB91" s="262">
        <f t="shared" si="175"/>
        <v>0</v>
      </c>
      <c r="AC91" s="262">
        <f t="shared" si="175"/>
        <v>0</v>
      </c>
      <c r="AD91" s="262">
        <f t="shared" si="175"/>
        <v>2081</v>
      </c>
      <c r="AE91" s="262">
        <f t="shared" ref="AE91:AI91" si="176">SUM(AE92:AE131)</f>
        <v>0</v>
      </c>
      <c r="AF91" s="262">
        <f t="shared" ref="AF91:AG91" si="177">SUM(AF92:AF131)</f>
        <v>1272</v>
      </c>
      <c r="AG91" s="262">
        <f t="shared" si="177"/>
        <v>-350739</v>
      </c>
      <c r="AH91" s="262">
        <f t="shared" si="176"/>
        <v>0</v>
      </c>
      <c r="AI91" s="262">
        <f t="shared" si="176"/>
        <v>0</v>
      </c>
      <c r="AJ91" s="262">
        <f t="shared" si="175"/>
        <v>0</v>
      </c>
      <c r="AK91" s="262">
        <f t="shared" si="175"/>
        <v>0</v>
      </c>
      <c r="AL91" s="262">
        <f t="shared" si="171"/>
        <v>0</v>
      </c>
      <c r="AM91" s="262">
        <f t="shared" si="171"/>
        <v>10719</v>
      </c>
      <c r="AN91" s="262">
        <f t="shared" si="171"/>
        <v>10719</v>
      </c>
      <c r="AO91" s="262">
        <f t="shared" si="171"/>
        <v>0</v>
      </c>
      <c r="AP91" s="262">
        <f t="shared" si="171"/>
        <v>0</v>
      </c>
      <c r="AQ91" s="262">
        <f t="shared" si="171"/>
        <v>0</v>
      </c>
      <c r="AR91" s="262">
        <f t="shared" si="171"/>
        <v>0</v>
      </c>
      <c r="AS91" s="262">
        <f t="shared" si="171"/>
        <v>0</v>
      </c>
      <c r="AT91" s="262">
        <f t="shared" si="171"/>
        <v>0</v>
      </c>
      <c r="AU91" s="262">
        <f t="shared" ref="AU91" si="178">SUM(AU92:AU131)</f>
        <v>0</v>
      </c>
      <c r="AV91" s="262">
        <f t="shared" si="171"/>
        <v>0</v>
      </c>
      <c r="AW91" s="262">
        <f t="shared" si="171"/>
        <v>0</v>
      </c>
      <c r="AX91" s="262">
        <f t="shared" si="171"/>
        <v>0</v>
      </c>
      <c r="AY91" s="262">
        <f t="shared" si="171"/>
        <v>0</v>
      </c>
      <c r="AZ91" s="262">
        <f t="shared" si="171"/>
        <v>0</v>
      </c>
      <c r="BA91" s="262">
        <f t="shared" si="171"/>
        <v>186935</v>
      </c>
      <c r="BB91" s="262">
        <f t="shared" si="171"/>
        <v>174710</v>
      </c>
      <c r="BC91" s="262">
        <f t="shared" ref="BC91:CI91" si="179">SUM(BC92:BC131)</f>
        <v>-12225</v>
      </c>
      <c r="BD91" s="262">
        <f t="shared" si="179"/>
        <v>29360</v>
      </c>
      <c r="BE91" s="262">
        <f t="shared" si="179"/>
        <v>0</v>
      </c>
      <c r="BF91" s="262">
        <f t="shared" si="179"/>
        <v>0</v>
      </c>
      <c r="BG91" s="262">
        <f t="shared" si="179"/>
        <v>-18207</v>
      </c>
      <c r="BH91" s="262">
        <f t="shared" ref="BH91" si="180">SUM(BH92:BH131)</f>
        <v>0</v>
      </c>
      <c r="BI91" s="262">
        <f t="shared" si="179"/>
        <v>0</v>
      </c>
      <c r="BJ91" s="262">
        <f t="shared" si="179"/>
        <v>-23378</v>
      </c>
      <c r="BK91" s="262">
        <f t="shared" si="179"/>
        <v>0</v>
      </c>
      <c r="BL91" s="262">
        <f t="shared" si="179"/>
        <v>0</v>
      </c>
      <c r="BM91" s="262">
        <f t="shared" si="179"/>
        <v>0</v>
      </c>
      <c r="BN91" s="262">
        <f t="shared" si="179"/>
        <v>0</v>
      </c>
      <c r="BO91" s="262">
        <f t="shared" si="179"/>
        <v>0</v>
      </c>
      <c r="BP91" s="262">
        <f t="shared" si="179"/>
        <v>0</v>
      </c>
      <c r="BQ91" s="262">
        <f t="shared" si="179"/>
        <v>0</v>
      </c>
      <c r="BR91" s="262">
        <f t="shared" si="179"/>
        <v>0</v>
      </c>
      <c r="BS91" s="262">
        <f t="shared" si="179"/>
        <v>0</v>
      </c>
      <c r="BT91" s="262">
        <f t="shared" si="179"/>
        <v>0</v>
      </c>
      <c r="BU91" s="262">
        <f t="shared" si="179"/>
        <v>0</v>
      </c>
      <c r="BV91" s="262">
        <f t="shared" si="179"/>
        <v>0</v>
      </c>
      <c r="BW91" s="262">
        <f t="shared" si="179"/>
        <v>-50178</v>
      </c>
      <c r="BX91" s="262">
        <f t="shared" si="179"/>
        <v>-50178</v>
      </c>
      <c r="BY91" s="262">
        <f t="shared" si="179"/>
        <v>-36170</v>
      </c>
      <c r="BZ91" s="262">
        <f t="shared" si="179"/>
        <v>0</v>
      </c>
      <c r="CA91" s="262">
        <f t="shared" si="179"/>
        <v>0</v>
      </c>
      <c r="CB91" s="262">
        <f t="shared" si="179"/>
        <v>0</v>
      </c>
      <c r="CC91" s="262">
        <f t="shared" si="179"/>
        <v>-13979</v>
      </c>
      <c r="CD91" s="262">
        <f t="shared" si="179"/>
        <v>-29</v>
      </c>
      <c r="CE91" s="262">
        <f t="shared" si="179"/>
        <v>0</v>
      </c>
      <c r="CF91" s="262">
        <f t="shared" ref="CF91" si="181">SUM(CF92:CF131)</f>
        <v>0</v>
      </c>
      <c r="CG91" s="262">
        <f t="shared" si="179"/>
        <v>0</v>
      </c>
      <c r="CH91" s="262">
        <f t="shared" si="179"/>
        <v>0</v>
      </c>
      <c r="CI91" s="270">
        <f t="shared" si="179"/>
        <v>0</v>
      </c>
      <c r="CJ91" s="7"/>
      <c r="CK91" s="59"/>
      <c r="CL91" s="230"/>
      <c r="CM91" s="10"/>
      <c r="CQ91" s="10" t="e">
        <f>D91-#REF!</f>
        <v>#REF!</v>
      </c>
      <c r="CR91" s="10" t="e">
        <f>D91-#REF!</f>
        <v>#REF!</v>
      </c>
      <c r="CS91" s="1" t="e">
        <f>F91-#REF!</f>
        <v>#REF!</v>
      </c>
    </row>
    <row r="92" spans="1:97" ht="23.25" customHeight="1" thickTop="1" x14ac:dyDescent="0.2">
      <c r="A92" s="92">
        <v>90000056357</v>
      </c>
      <c r="B92" s="164" t="s">
        <v>5</v>
      </c>
      <c r="C92" s="232" t="s">
        <v>177</v>
      </c>
      <c r="D92" s="220">
        <f t="shared" ref="D92:D112" si="182">F92+AM92+BA92+BO92+BV92</f>
        <v>678256</v>
      </c>
      <c r="E92" s="210">
        <f t="shared" ref="E92:E112" si="183">G92+AN92+BB92+BP92+BW92</f>
        <v>715037</v>
      </c>
      <c r="F92" s="212">
        <v>678256</v>
      </c>
      <c r="G92" s="212">
        <f t="shared" ref="G92:G130" si="184">F92+H92</f>
        <v>715037</v>
      </c>
      <c r="H92" s="212">
        <f t="shared" ref="H92:H130" si="185">SUM(I92:AL92)</f>
        <v>36781</v>
      </c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>
        <f>-446-18+28500+8745</f>
        <v>36781</v>
      </c>
      <c r="AH92" s="212"/>
      <c r="AI92" s="212"/>
      <c r="AJ92" s="212"/>
      <c r="AK92" s="212"/>
      <c r="AL92" s="212"/>
      <c r="AM92" s="212">
        <v>0</v>
      </c>
      <c r="AN92" s="212">
        <f t="shared" ref="AN92:AN130" si="186">AM92+AO92</f>
        <v>0</v>
      </c>
      <c r="AO92" s="212">
        <f t="shared" ref="AO92:AO130" si="187">SUM(AP92:AZ92)</f>
        <v>0</v>
      </c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>
        <v>0</v>
      </c>
      <c r="BB92" s="212">
        <f t="shared" ref="BB92:BB130" si="188">BA92+BC92</f>
        <v>0</v>
      </c>
      <c r="BC92" s="212">
        <f t="shared" ref="BC92:BC130" si="189">SUM(BD92:BN92)</f>
        <v>0</v>
      </c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>
        <v>0</v>
      </c>
      <c r="BP92" s="212">
        <f t="shared" ref="BP92:BP130" si="190">BO92+BQ92</f>
        <v>0</v>
      </c>
      <c r="BQ92" s="212">
        <f t="shared" ref="BQ92:BQ130" si="191">SUM(BR92:BU92)</f>
        <v>0</v>
      </c>
      <c r="BR92" s="212"/>
      <c r="BS92" s="212"/>
      <c r="BT92" s="212"/>
      <c r="BU92" s="212"/>
      <c r="BV92" s="212"/>
      <c r="BW92" s="210">
        <f t="shared" ref="BW92:BW130" si="192">BV92+BX92</f>
        <v>0</v>
      </c>
      <c r="BX92" s="210">
        <f t="shared" ref="BX92:BX130" si="193">SUM(BY92:CI92)</f>
        <v>0</v>
      </c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71"/>
      <c r="CJ92" s="54" t="s">
        <v>439</v>
      </c>
      <c r="CK92" s="57"/>
      <c r="CL92" s="230" t="s">
        <v>686</v>
      </c>
      <c r="CM92" s="10" t="s">
        <v>687</v>
      </c>
      <c r="CQ92" s="10" t="e">
        <f>D92-#REF!</f>
        <v>#REF!</v>
      </c>
      <c r="CR92" s="10" t="e">
        <f>D92-#REF!</f>
        <v>#REF!</v>
      </c>
      <c r="CS92" s="1" t="e">
        <f>F92-#REF!</f>
        <v>#REF!</v>
      </c>
    </row>
    <row r="93" spans="1:97" ht="24" x14ac:dyDescent="0.2">
      <c r="A93" s="75"/>
      <c r="B93" s="160"/>
      <c r="C93" s="231" t="s">
        <v>484</v>
      </c>
      <c r="D93" s="220">
        <f t="shared" si="182"/>
        <v>713542</v>
      </c>
      <c r="E93" s="208">
        <f t="shared" si="183"/>
        <v>675064</v>
      </c>
      <c r="F93" s="208">
        <v>713542</v>
      </c>
      <c r="G93" s="208">
        <f t="shared" si="184"/>
        <v>675064</v>
      </c>
      <c r="H93" s="208">
        <f t="shared" si="185"/>
        <v>-38478</v>
      </c>
      <c r="I93" s="208">
        <v>-12006</v>
      </c>
      <c r="J93" s="208"/>
      <c r="K93" s="208"/>
      <c r="L93" s="208"/>
      <c r="M93" s="208">
        <f>509+2000</f>
        <v>2509</v>
      </c>
      <c r="N93" s="208"/>
      <c r="O93" s="208"/>
      <c r="P93" s="208"/>
      <c r="Q93" s="208">
        <v>-3005</v>
      </c>
      <c r="R93" s="208">
        <v>-5546</v>
      </c>
      <c r="S93" s="208"/>
      <c r="T93" s="208"/>
      <c r="U93" s="208"/>
      <c r="V93" s="208"/>
      <c r="W93" s="208"/>
      <c r="X93" s="208">
        <v>1464</v>
      </c>
      <c r="Y93" s="208"/>
      <c r="Z93" s="208"/>
      <c r="AA93" s="208">
        <v>-2228</v>
      </c>
      <c r="AB93" s="208"/>
      <c r="AC93" s="208"/>
      <c r="AD93" s="208"/>
      <c r="AE93" s="208"/>
      <c r="AF93" s="208"/>
      <c r="AG93" s="208">
        <v>-19666</v>
      </c>
      <c r="AH93" s="208"/>
      <c r="AI93" s="208"/>
      <c r="AJ93" s="208"/>
      <c r="AK93" s="208"/>
      <c r="AL93" s="208"/>
      <c r="AM93" s="208">
        <v>0</v>
      </c>
      <c r="AN93" s="208">
        <f t="shared" si="186"/>
        <v>0</v>
      </c>
      <c r="AO93" s="208">
        <f t="shared" si="187"/>
        <v>0</v>
      </c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>
        <v>0</v>
      </c>
      <c r="BB93" s="208">
        <f t="shared" si="188"/>
        <v>0</v>
      </c>
      <c r="BC93" s="208">
        <f t="shared" si="189"/>
        <v>0</v>
      </c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>
        <v>0</v>
      </c>
      <c r="BP93" s="208">
        <f t="shared" si="190"/>
        <v>0</v>
      </c>
      <c r="BQ93" s="208">
        <f t="shared" si="191"/>
        <v>0</v>
      </c>
      <c r="BR93" s="208"/>
      <c r="BS93" s="208"/>
      <c r="BT93" s="208"/>
      <c r="BU93" s="208"/>
      <c r="BV93" s="208"/>
      <c r="BW93" s="208">
        <f t="shared" si="192"/>
        <v>0</v>
      </c>
      <c r="BX93" s="208">
        <f t="shared" si="193"/>
        <v>0</v>
      </c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59"/>
      <c r="CJ93" s="54" t="s">
        <v>320</v>
      </c>
      <c r="CK93" s="57" t="s">
        <v>744</v>
      </c>
      <c r="CL93" s="230" t="s">
        <v>688</v>
      </c>
      <c r="CM93" s="10" t="s">
        <v>688</v>
      </c>
      <c r="CQ93" s="10" t="e">
        <f>D93-#REF!</f>
        <v>#REF!</v>
      </c>
      <c r="CR93" s="10" t="e">
        <f>D93-#REF!</f>
        <v>#REF!</v>
      </c>
      <c r="CS93" s="1" t="e">
        <f>F93-#REF!</f>
        <v>#REF!</v>
      </c>
    </row>
    <row r="94" spans="1:97" ht="15" customHeight="1" x14ac:dyDescent="0.2">
      <c r="A94" s="75"/>
      <c r="B94" s="160"/>
      <c r="C94" s="231" t="s">
        <v>232</v>
      </c>
      <c r="D94" s="220">
        <f t="shared" si="182"/>
        <v>130000</v>
      </c>
      <c r="E94" s="208">
        <f t="shared" si="183"/>
        <v>140492</v>
      </c>
      <c r="F94" s="208">
        <v>130000</v>
      </c>
      <c r="G94" s="208">
        <f t="shared" si="184"/>
        <v>140492</v>
      </c>
      <c r="H94" s="208">
        <f t="shared" si="185"/>
        <v>10492</v>
      </c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>
        <v>10492</v>
      </c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>
        <v>0</v>
      </c>
      <c r="AN94" s="208">
        <f t="shared" si="186"/>
        <v>0</v>
      </c>
      <c r="AO94" s="208">
        <f t="shared" si="187"/>
        <v>0</v>
      </c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>
        <v>0</v>
      </c>
      <c r="BB94" s="208">
        <f t="shared" si="188"/>
        <v>0</v>
      </c>
      <c r="BC94" s="208">
        <f t="shared" si="189"/>
        <v>0</v>
      </c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>
        <v>0</v>
      </c>
      <c r="BP94" s="208">
        <f t="shared" si="190"/>
        <v>0</v>
      </c>
      <c r="BQ94" s="208">
        <f t="shared" si="191"/>
        <v>0</v>
      </c>
      <c r="BR94" s="208"/>
      <c r="BS94" s="208"/>
      <c r="BT94" s="208"/>
      <c r="BU94" s="208"/>
      <c r="BV94" s="208"/>
      <c r="BW94" s="208">
        <f t="shared" si="192"/>
        <v>0</v>
      </c>
      <c r="BX94" s="208">
        <f t="shared" si="193"/>
        <v>0</v>
      </c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59"/>
      <c r="CJ94" s="54" t="s">
        <v>321</v>
      </c>
      <c r="CK94" s="57" t="s">
        <v>425</v>
      </c>
      <c r="CL94" s="230" t="s">
        <v>688</v>
      </c>
      <c r="CM94" s="10" t="s">
        <v>688</v>
      </c>
      <c r="CQ94" s="10" t="e">
        <f>D94-#REF!</f>
        <v>#REF!</v>
      </c>
      <c r="CR94" s="10" t="e">
        <f>D94-#REF!</f>
        <v>#REF!</v>
      </c>
      <c r="CS94" s="1" t="e">
        <f>F94-#REF!</f>
        <v>#REF!</v>
      </c>
    </row>
    <row r="95" spans="1:97" ht="12.75" x14ac:dyDescent="0.2">
      <c r="A95" s="75"/>
      <c r="B95" s="160"/>
      <c r="C95" s="233" t="s">
        <v>449</v>
      </c>
      <c r="D95" s="220">
        <f t="shared" si="182"/>
        <v>946492</v>
      </c>
      <c r="E95" s="208">
        <f t="shared" si="183"/>
        <v>450613</v>
      </c>
      <c r="F95" s="208">
        <v>946492</v>
      </c>
      <c r="G95" s="208">
        <f t="shared" si="184"/>
        <v>450613</v>
      </c>
      <c r="H95" s="208">
        <f t="shared" si="185"/>
        <v>-495879</v>
      </c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>
        <v>-258896</v>
      </c>
      <c r="V95" s="208"/>
      <c r="W95" s="208"/>
      <c r="X95" s="208"/>
      <c r="Y95" s="208">
        <v>-15000</v>
      </c>
      <c r="Z95" s="208"/>
      <c r="AA95" s="208"/>
      <c r="AB95" s="208"/>
      <c r="AC95" s="208"/>
      <c r="AD95" s="208"/>
      <c r="AE95" s="208"/>
      <c r="AF95" s="208"/>
      <c r="AG95" s="208">
        <v>-221983</v>
      </c>
      <c r="AH95" s="208"/>
      <c r="AI95" s="208"/>
      <c r="AJ95" s="208"/>
      <c r="AK95" s="208"/>
      <c r="AL95" s="208"/>
      <c r="AM95" s="208">
        <v>0</v>
      </c>
      <c r="AN95" s="208">
        <f t="shared" si="186"/>
        <v>0</v>
      </c>
      <c r="AO95" s="208">
        <f t="shared" si="187"/>
        <v>0</v>
      </c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>
        <v>0</v>
      </c>
      <c r="BB95" s="208">
        <f t="shared" si="188"/>
        <v>0</v>
      </c>
      <c r="BC95" s="208">
        <f t="shared" si="189"/>
        <v>0</v>
      </c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>
        <v>0</v>
      </c>
      <c r="BP95" s="208">
        <f t="shared" si="190"/>
        <v>0</v>
      </c>
      <c r="BQ95" s="208">
        <f t="shared" si="191"/>
        <v>0</v>
      </c>
      <c r="BR95" s="208"/>
      <c r="BS95" s="208"/>
      <c r="BT95" s="208"/>
      <c r="BU95" s="208"/>
      <c r="BV95" s="208"/>
      <c r="BW95" s="208">
        <f t="shared" si="192"/>
        <v>0</v>
      </c>
      <c r="BX95" s="208">
        <f t="shared" si="193"/>
        <v>0</v>
      </c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59"/>
      <c r="CJ95" s="54" t="s">
        <v>322</v>
      </c>
      <c r="CK95" s="57" t="s">
        <v>529</v>
      </c>
      <c r="CL95" s="230" t="s">
        <v>688</v>
      </c>
      <c r="CM95" s="10" t="s">
        <v>688</v>
      </c>
      <c r="CQ95" s="10" t="e">
        <f>D95-#REF!</f>
        <v>#REF!</v>
      </c>
      <c r="CR95" s="10" t="e">
        <f>D95-#REF!</f>
        <v>#REF!</v>
      </c>
      <c r="CS95" s="1" t="e">
        <f>F95-#REF!</f>
        <v>#REF!</v>
      </c>
    </row>
    <row r="96" spans="1:97" ht="12.75" x14ac:dyDescent="0.2">
      <c r="A96" s="75"/>
      <c r="B96" s="160"/>
      <c r="C96" s="231" t="s">
        <v>252</v>
      </c>
      <c r="D96" s="220">
        <f t="shared" si="182"/>
        <v>179200</v>
      </c>
      <c r="E96" s="208">
        <f t="shared" si="183"/>
        <v>179200</v>
      </c>
      <c r="F96" s="208">
        <v>179200</v>
      </c>
      <c r="G96" s="208">
        <f t="shared" si="184"/>
        <v>179200</v>
      </c>
      <c r="H96" s="208">
        <f t="shared" si="185"/>
        <v>0</v>
      </c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>
        <v>0</v>
      </c>
      <c r="AN96" s="208">
        <f t="shared" si="186"/>
        <v>0</v>
      </c>
      <c r="AO96" s="208">
        <f t="shared" si="187"/>
        <v>0</v>
      </c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>
        <v>0</v>
      </c>
      <c r="BB96" s="208">
        <f t="shared" si="188"/>
        <v>0</v>
      </c>
      <c r="BC96" s="208">
        <f t="shared" si="189"/>
        <v>0</v>
      </c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>
        <v>0</v>
      </c>
      <c r="BP96" s="208">
        <f t="shared" si="190"/>
        <v>0</v>
      </c>
      <c r="BQ96" s="208">
        <f t="shared" si="191"/>
        <v>0</v>
      </c>
      <c r="BR96" s="208"/>
      <c r="BS96" s="208"/>
      <c r="BT96" s="208"/>
      <c r="BU96" s="208"/>
      <c r="BV96" s="208"/>
      <c r="BW96" s="208">
        <f t="shared" si="192"/>
        <v>0</v>
      </c>
      <c r="BX96" s="208">
        <f t="shared" si="193"/>
        <v>0</v>
      </c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59"/>
      <c r="CJ96" s="54" t="s">
        <v>323</v>
      </c>
      <c r="CK96" s="57" t="s">
        <v>611</v>
      </c>
      <c r="CL96" s="230" t="s">
        <v>688</v>
      </c>
      <c r="CM96" s="10" t="s">
        <v>688</v>
      </c>
      <c r="CQ96" s="10" t="e">
        <f>D96-#REF!</f>
        <v>#REF!</v>
      </c>
      <c r="CR96" s="10" t="e">
        <f>D96-#REF!</f>
        <v>#REF!</v>
      </c>
      <c r="CS96" s="1" t="e">
        <f>F96-#REF!</f>
        <v>#REF!</v>
      </c>
    </row>
    <row r="97" spans="1:97" s="116" customFormat="1" ht="12.75" x14ac:dyDescent="0.2">
      <c r="A97" s="75"/>
      <c r="B97" s="160"/>
      <c r="C97" s="231" t="s">
        <v>213</v>
      </c>
      <c r="D97" s="220">
        <f t="shared" si="182"/>
        <v>724783</v>
      </c>
      <c r="E97" s="208">
        <f t="shared" si="183"/>
        <v>711545</v>
      </c>
      <c r="F97" s="208">
        <v>724783</v>
      </c>
      <c r="G97" s="208">
        <f t="shared" si="184"/>
        <v>711545</v>
      </c>
      <c r="H97" s="208">
        <f t="shared" si="185"/>
        <v>-13238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>
        <v>-9998</v>
      </c>
      <c r="T97" s="208"/>
      <c r="U97" s="208"/>
      <c r="V97" s="208"/>
      <c r="W97" s="208"/>
      <c r="X97" s="208">
        <f>100000-50820-50820</f>
        <v>-1640</v>
      </c>
      <c r="Y97" s="208"/>
      <c r="Z97" s="208"/>
      <c r="AA97" s="208">
        <v>-1600</v>
      </c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>
        <v>0</v>
      </c>
      <c r="AN97" s="208">
        <f t="shared" si="186"/>
        <v>0</v>
      </c>
      <c r="AO97" s="208">
        <f t="shared" si="187"/>
        <v>0</v>
      </c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>
        <v>0</v>
      </c>
      <c r="BB97" s="208">
        <f t="shared" si="188"/>
        <v>0</v>
      </c>
      <c r="BC97" s="208">
        <f t="shared" si="189"/>
        <v>0</v>
      </c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>
        <v>0</v>
      </c>
      <c r="BP97" s="208">
        <f t="shared" si="190"/>
        <v>0</v>
      </c>
      <c r="BQ97" s="208">
        <f t="shared" si="191"/>
        <v>0</v>
      </c>
      <c r="BR97" s="208"/>
      <c r="BS97" s="208"/>
      <c r="BT97" s="208"/>
      <c r="BU97" s="208"/>
      <c r="BV97" s="208"/>
      <c r="BW97" s="208">
        <f t="shared" si="192"/>
        <v>0</v>
      </c>
      <c r="BX97" s="208">
        <f t="shared" si="193"/>
        <v>0</v>
      </c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59"/>
      <c r="CJ97" s="54" t="s">
        <v>324</v>
      </c>
      <c r="CK97" s="57" t="s">
        <v>428</v>
      </c>
      <c r="CL97" s="230" t="s">
        <v>688</v>
      </c>
      <c r="CM97" s="10" t="s">
        <v>688</v>
      </c>
      <c r="CQ97" s="10" t="e">
        <f>D97-#REF!</f>
        <v>#REF!</v>
      </c>
      <c r="CR97" s="10" t="e">
        <f>D97-#REF!</f>
        <v>#REF!</v>
      </c>
      <c r="CS97" s="116" t="e">
        <f>F97-#REF!</f>
        <v>#REF!</v>
      </c>
    </row>
    <row r="98" spans="1:97" s="116" customFormat="1" ht="12.75" x14ac:dyDescent="0.2">
      <c r="A98" s="75"/>
      <c r="B98" s="160"/>
      <c r="C98" s="280" t="s">
        <v>703</v>
      </c>
      <c r="D98" s="220">
        <f t="shared" si="182"/>
        <v>218880</v>
      </c>
      <c r="E98" s="208">
        <f t="shared" si="183"/>
        <v>230478</v>
      </c>
      <c r="F98" s="208">
        <v>218880</v>
      </c>
      <c r="G98" s="208">
        <f t="shared" si="184"/>
        <v>230478</v>
      </c>
      <c r="H98" s="208">
        <f t="shared" si="185"/>
        <v>11598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>
        <v>9998</v>
      </c>
      <c r="T98" s="208"/>
      <c r="U98" s="208"/>
      <c r="V98" s="208"/>
      <c r="W98" s="208"/>
      <c r="X98" s="208"/>
      <c r="Y98" s="208"/>
      <c r="Z98" s="208"/>
      <c r="AA98" s="208">
        <v>1600</v>
      </c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>
        <v>0</v>
      </c>
      <c r="AN98" s="208">
        <f t="shared" si="186"/>
        <v>0</v>
      </c>
      <c r="AO98" s="208">
        <f t="shared" si="187"/>
        <v>0</v>
      </c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>
        <v>0</v>
      </c>
      <c r="BB98" s="208">
        <f t="shared" si="188"/>
        <v>0</v>
      </c>
      <c r="BC98" s="208">
        <f t="shared" si="189"/>
        <v>0</v>
      </c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>
        <v>0</v>
      </c>
      <c r="BP98" s="208">
        <f t="shared" si="190"/>
        <v>0</v>
      </c>
      <c r="BQ98" s="208">
        <f t="shared" si="191"/>
        <v>0</v>
      </c>
      <c r="BR98" s="208"/>
      <c r="BS98" s="208"/>
      <c r="BT98" s="208"/>
      <c r="BU98" s="208"/>
      <c r="BV98" s="208"/>
      <c r="BW98" s="208">
        <f t="shared" si="192"/>
        <v>0</v>
      </c>
      <c r="BX98" s="208">
        <f t="shared" si="193"/>
        <v>0</v>
      </c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59"/>
      <c r="CJ98" s="54" t="s">
        <v>459</v>
      </c>
      <c r="CK98" s="57" t="s">
        <v>428</v>
      </c>
      <c r="CL98" s="230" t="s">
        <v>688</v>
      </c>
      <c r="CM98" s="10" t="s">
        <v>688</v>
      </c>
      <c r="CN98" s="130"/>
      <c r="CQ98" s="10" t="e">
        <f>D98-#REF!</f>
        <v>#REF!</v>
      </c>
      <c r="CR98" s="10" t="e">
        <f>D98-#REF!</f>
        <v>#REF!</v>
      </c>
      <c r="CS98" s="116" t="e">
        <f>F98-#REF!</f>
        <v>#REF!</v>
      </c>
    </row>
    <row r="99" spans="1:97" s="116" customFormat="1" ht="24.75" customHeight="1" x14ac:dyDescent="0.2">
      <c r="A99" s="75"/>
      <c r="B99" s="160"/>
      <c r="C99" s="231" t="s">
        <v>251</v>
      </c>
      <c r="D99" s="220">
        <f t="shared" si="182"/>
        <v>249640</v>
      </c>
      <c r="E99" s="208">
        <f t="shared" si="183"/>
        <v>42640</v>
      </c>
      <c r="F99" s="208">
        <v>249640</v>
      </c>
      <c r="G99" s="208">
        <f t="shared" si="184"/>
        <v>42640</v>
      </c>
      <c r="H99" s="208">
        <f t="shared" si="185"/>
        <v>-207000</v>
      </c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>
        <v>-207000</v>
      </c>
      <c r="AH99" s="208"/>
      <c r="AI99" s="208"/>
      <c r="AJ99" s="208"/>
      <c r="AK99" s="208"/>
      <c r="AL99" s="208"/>
      <c r="AM99" s="208">
        <v>0</v>
      </c>
      <c r="AN99" s="208">
        <f t="shared" si="186"/>
        <v>0</v>
      </c>
      <c r="AO99" s="208">
        <f t="shared" si="187"/>
        <v>0</v>
      </c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>
        <v>0</v>
      </c>
      <c r="BB99" s="208">
        <f t="shared" si="188"/>
        <v>0</v>
      </c>
      <c r="BC99" s="208">
        <f t="shared" si="189"/>
        <v>0</v>
      </c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>
        <v>0</v>
      </c>
      <c r="BP99" s="208">
        <f t="shared" si="190"/>
        <v>0</v>
      </c>
      <c r="BQ99" s="208">
        <f t="shared" si="191"/>
        <v>0</v>
      </c>
      <c r="BR99" s="208"/>
      <c r="BS99" s="208"/>
      <c r="BT99" s="208"/>
      <c r="BU99" s="208"/>
      <c r="BV99" s="208"/>
      <c r="BW99" s="208">
        <f t="shared" si="192"/>
        <v>0</v>
      </c>
      <c r="BX99" s="208">
        <f t="shared" si="193"/>
        <v>0</v>
      </c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59"/>
      <c r="CJ99" s="54" t="s">
        <v>731</v>
      </c>
      <c r="CK99" s="57" t="s">
        <v>422</v>
      </c>
      <c r="CL99" s="230" t="s">
        <v>688</v>
      </c>
      <c r="CM99" s="10" t="s">
        <v>688</v>
      </c>
      <c r="CQ99" s="10" t="e">
        <f>D99-#REF!</f>
        <v>#REF!</v>
      </c>
      <c r="CR99" s="10" t="e">
        <f>D99-#REF!</f>
        <v>#REF!</v>
      </c>
      <c r="CS99" s="116" t="e">
        <f>F99-#REF!</f>
        <v>#REF!</v>
      </c>
    </row>
    <row r="100" spans="1:97" s="116" customFormat="1" ht="24" x14ac:dyDescent="0.2">
      <c r="A100" s="75"/>
      <c r="B100" s="160"/>
      <c r="C100" s="231" t="s">
        <v>247</v>
      </c>
      <c r="D100" s="220">
        <f t="shared" si="182"/>
        <v>68243</v>
      </c>
      <c r="E100" s="208">
        <f t="shared" si="183"/>
        <v>158926</v>
      </c>
      <c r="F100" s="208">
        <v>68243</v>
      </c>
      <c r="G100" s="208">
        <f t="shared" si="184"/>
        <v>158926</v>
      </c>
      <c r="H100" s="208">
        <f t="shared" si="185"/>
        <v>90683</v>
      </c>
      <c r="I100" s="208"/>
      <c r="J100" s="208"/>
      <c r="K100" s="208"/>
      <c r="L100" s="208"/>
      <c r="M100" s="208">
        <v>119811</v>
      </c>
      <c r="N100" s="208"/>
      <c r="O100" s="208"/>
      <c r="P100" s="208"/>
      <c r="Q100" s="208"/>
      <c r="R100" s="208">
        <v>-24974</v>
      </c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>
        <v>-4154</v>
      </c>
      <c r="AH100" s="208"/>
      <c r="AI100" s="208"/>
      <c r="AJ100" s="208"/>
      <c r="AK100" s="208"/>
      <c r="AL100" s="208"/>
      <c r="AM100" s="208">
        <v>0</v>
      </c>
      <c r="AN100" s="208">
        <f t="shared" si="186"/>
        <v>0</v>
      </c>
      <c r="AO100" s="208">
        <f t="shared" si="187"/>
        <v>0</v>
      </c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>
        <v>0</v>
      </c>
      <c r="BB100" s="208">
        <f t="shared" si="188"/>
        <v>0</v>
      </c>
      <c r="BC100" s="208">
        <f t="shared" si="189"/>
        <v>0</v>
      </c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>
        <v>0</v>
      </c>
      <c r="BP100" s="208">
        <f t="shared" si="190"/>
        <v>0</v>
      </c>
      <c r="BQ100" s="208">
        <f t="shared" si="191"/>
        <v>0</v>
      </c>
      <c r="BR100" s="208"/>
      <c r="BS100" s="208"/>
      <c r="BT100" s="208"/>
      <c r="BU100" s="208"/>
      <c r="BV100" s="208"/>
      <c r="BW100" s="208">
        <f t="shared" si="192"/>
        <v>0</v>
      </c>
      <c r="BX100" s="208">
        <f t="shared" si="193"/>
        <v>0</v>
      </c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59"/>
      <c r="CJ100" s="54" t="s">
        <v>471</v>
      </c>
      <c r="CK100" s="57" t="s">
        <v>612</v>
      </c>
      <c r="CL100" s="230" t="s">
        <v>688</v>
      </c>
      <c r="CM100" s="10" t="s">
        <v>688</v>
      </c>
      <c r="CQ100" s="10" t="e">
        <f>D100-#REF!</f>
        <v>#REF!</v>
      </c>
      <c r="CR100" s="10" t="e">
        <f>D100-#REF!</f>
        <v>#REF!</v>
      </c>
      <c r="CS100" s="116" t="e">
        <f>F100-#REF!</f>
        <v>#REF!</v>
      </c>
    </row>
    <row r="101" spans="1:97" s="130" customFormat="1" ht="24.75" customHeight="1" x14ac:dyDescent="0.2">
      <c r="A101" s="75"/>
      <c r="B101" s="160"/>
      <c r="C101" s="231" t="s">
        <v>661</v>
      </c>
      <c r="D101" s="220">
        <f t="shared" si="182"/>
        <v>10000</v>
      </c>
      <c r="E101" s="208">
        <f t="shared" si="183"/>
        <v>10600</v>
      </c>
      <c r="F101" s="208">
        <v>10000</v>
      </c>
      <c r="G101" s="208">
        <f t="shared" si="184"/>
        <v>10600</v>
      </c>
      <c r="H101" s="208">
        <f t="shared" si="185"/>
        <v>600</v>
      </c>
      <c r="I101" s="208"/>
      <c r="J101" s="208"/>
      <c r="K101" s="208"/>
      <c r="L101" s="208"/>
      <c r="M101" s="208">
        <v>1500</v>
      </c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>
        <v>-900</v>
      </c>
      <c r="AH101" s="208"/>
      <c r="AI101" s="208"/>
      <c r="AJ101" s="208"/>
      <c r="AK101" s="208"/>
      <c r="AL101" s="208"/>
      <c r="AM101" s="208">
        <v>0</v>
      </c>
      <c r="AN101" s="208">
        <f t="shared" si="186"/>
        <v>0</v>
      </c>
      <c r="AO101" s="208">
        <f t="shared" si="187"/>
        <v>0</v>
      </c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>
        <v>0</v>
      </c>
      <c r="BB101" s="208">
        <f t="shared" si="188"/>
        <v>0</v>
      </c>
      <c r="BC101" s="208">
        <f t="shared" si="189"/>
        <v>0</v>
      </c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>
        <v>0</v>
      </c>
      <c r="BP101" s="208">
        <f t="shared" si="190"/>
        <v>0</v>
      </c>
      <c r="BQ101" s="208">
        <f t="shared" si="191"/>
        <v>0</v>
      </c>
      <c r="BR101" s="208"/>
      <c r="BS101" s="208"/>
      <c r="BT101" s="208"/>
      <c r="BU101" s="208"/>
      <c r="BV101" s="208"/>
      <c r="BW101" s="208">
        <f t="shared" si="192"/>
        <v>0</v>
      </c>
      <c r="BX101" s="208">
        <f t="shared" si="193"/>
        <v>0</v>
      </c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59"/>
      <c r="CJ101" s="54" t="s">
        <v>474</v>
      </c>
      <c r="CK101" s="57" t="s">
        <v>422</v>
      </c>
      <c r="CL101" s="230" t="s">
        <v>688</v>
      </c>
      <c r="CM101" s="10" t="s">
        <v>688</v>
      </c>
      <c r="CQ101" s="10" t="e">
        <f>D101-#REF!</f>
        <v>#REF!</v>
      </c>
      <c r="CR101" s="10" t="e">
        <f>D101-#REF!</f>
        <v>#REF!</v>
      </c>
      <c r="CS101" s="130" t="e">
        <f>F101-#REF!</f>
        <v>#REF!</v>
      </c>
    </row>
    <row r="102" spans="1:97" s="130" customFormat="1" ht="24" x14ac:dyDescent="0.2">
      <c r="A102" s="75"/>
      <c r="B102" s="160"/>
      <c r="C102" s="255" t="s">
        <v>669</v>
      </c>
      <c r="D102" s="220">
        <f t="shared" si="182"/>
        <v>5468525</v>
      </c>
      <c r="E102" s="208">
        <f t="shared" si="183"/>
        <v>6372856</v>
      </c>
      <c r="F102" s="208">
        <v>5468525</v>
      </c>
      <c r="G102" s="208">
        <f t="shared" si="184"/>
        <v>6372856</v>
      </c>
      <c r="H102" s="208">
        <f t="shared" si="185"/>
        <v>904331</v>
      </c>
      <c r="I102" s="208"/>
      <c r="J102" s="208"/>
      <c r="K102" s="208"/>
      <c r="L102" s="208"/>
      <c r="M102" s="208">
        <v>904331</v>
      </c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>
        <v>0</v>
      </c>
      <c r="AN102" s="208">
        <f t="shared" si="186"/>
        <v>0</v>
      </c>
      <c r="AO102" s="208">
        <f t="shared" si="187"/>
        <v>0</v>
      </c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>
        <v>0</v>
      </c>
      <c r="BB102" s="208">
        <f t="shared" si="188"/>
        <v>0</v>
      </c>
      <c r="BC102" s="208">
        <f t="shared" si="189"/>
        <v>0</v>
      </c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>
        <v>0</v>
      </c>
      <c r="BP102" s="208">
        <f t="shared" si="190"/>
        <v>0</v>
      </c>
      <c r="BQ102" s="208">
        <f t="shared" si="191"/>
        <v>0</v>
      </c>
      <c r="BR102" s="208"/>
      <c r="BS102" s="208"/>
      <c r="BT102" s="208"/>
      <c r="BU102" s="208"/>
      <c r="BV102" s="208"/>
      <c r="BW102" s="208">
        <f t="shared" si="192"/>
        <v>0</v>
      </c>
      <c r="BX102" s="208">
        <f t="shared" si="193"/>
        <v>0</v>
      </c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59"/>
      <c r="CJ102" s="54" t="s">
        <v>732</v>
      </c>
      <c r="CK102" s="57"/>
      <c r="CL102" s="230" t="s">
        <v>689</v>
      </c>
      <c r="CM102" s="230" t="s">
        <v>689</v>
      </c>
      <c r="CQ102" s="10" t="e">
        <f>D102-#REF!</f>
        <v>#REF!</v>
      </c>
      <c r="CR102" s="10" t="e">
        <f>D102-#REF!</f>
        <v>#REF!</v>
      </c>
      <c r="CS102" s="130" t="e">
        <f>F102-#REF!</f>
        <v>#REF!</v>
      </c>
    </row>
    <row r="103" spans="1:97" s="130" customFormat="1" ht="24" x14ac:dyDescent="0.2">
      <c r="A103" s="75"/>
      <c r="B103" s="160"/>
      <c r="C103" s="392" t="s">
        <v>839</v>
      </c>
      <c r="D103" s="220">
        <f t="shared" si="182"/>
        <v>0</v>
      </c>
      <c r="E103" s="208">
        <f t="shared" si="183"/>
        <v>1836726</v>
      </c>
      <c r="F103" s="208"/>
      <c r="G103" s="208">
        <f t="shared" si="184"/>
        <v>1836726</v>
      </c>
      <c r="H103" s="208">
        <f t="shared" si="185"/>
        <v>1836726</v>
      </c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>
        <v>1836726</v>
      </c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>
        <f t="shared" ref="AN103" si="194">AM103+AO103</f>
        <v>0</v>
      </c>
      <c r="AO103" s="208">
        <f t="shared" ref="AO103" si="195">SUM(AP103:AZ103)</f>
        <v>0</v>
      </c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>
        <f t="shared" ref="BB103" si="196">BA103+BC103</f>
        <v>0</v>
      </c>
      <c r="BC103" s="208">
        <f t="shared" ref="BC103" si="197">SUM(BD103:BN103)</f>
        <v>0</v>
      </c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>
        <f t="shared" ref="BP103" si="198">BO103+BQ103</f>
        <v>0</v>
      </c>
      <c r="BQ103" s="208">
        <f t="shared" ref="BQ103" si="199">SUM(BR103:BU103)</f>
        <v>0</v>
      </c>
      <c r="BR103" s="208"/>
      <c r="BS103" s="208"/>
      <c r="BT103" s="208"/>
      <c r="BU103" s="208"/>
      <c r="BV103" s="208"/>
      <c r="BW103" s="208">
        <f t="shared" ref="BW103" si="200">BV103+BX103</f>
        <v>0</v>
      </c>
      <c r="BX103" s="208">
        <f t="shared" si="193"/>
        <v>0</v>
      </c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59"/>
      <c r="CJ103" s="54" t="s">
        <v>840</v>
      </c>
      <c r="CK103" s="57"/>
      <c r="CL103" s="230"/>
      <c r="CM103" s="230"/>
      <c r="CQ103" s="10"/>
      <c r="CR103" s="10"/>
    </row>
    <row r="104" spans="1:97" ht="24.75" customHeight="1" x14ac:dyDescent="0.2">
      <c r="A104" s="75">
        <v>90000594245</v>
      </c>
      <c r="B104" s="158" t="s">
        <v>496</v>
      </c>
      <c r="C104" s="255" t="s">
        <v>199</v>
      </c>
      <c r="D104" s="220">
        <f t="shared" si="182"/>
        <v>27102</v>
      </c>
      <c r="E104" s="208">
        <f t="shared" si="183"/>
        <v>24972</v>
      </c>
      <c r="F104" s="208">
        <v>27102</v>
      </c>
      <c r="G104" s="208">
        <f t="shared" si="184"/>
        <v>24972</v>
      </c>
      <c r="H104" s="208">
        <f t="shared" si="185"/>
        <v>-2130</v>
      </c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>
        <v>-2130</v>
      </c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>
        <v>0</v>
      </c>
      <c r="AN104" s="208">
        <f t="shared" si="186"/>
        <v>0</v>
      </c>
      <c r="AO104" s="208">
        <f t="shared" si="187"/>
        <v>0</v>
      </c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>
        <v>0</v>
      </c>
      <c r="BB104" s="208">
        <f t="shared" si="188"/>
        <v>278</v>
      </c>
      <c r="BC104" s="208">
        <f t="shared" si="189"/>
        <v>278</v>
      </c>
      <c r="BD104" s="208">
        <v>278</v>
      </c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08"/>
      <c r="BO104" s="208">
        <v>0</v>
      </c>
      <c r="BP104" s="208">
        <f t="shared" si="190"/>
        <v>0</v>
      </c>
      <c r="BQ104" s="208">
        <f t="shared" si="191"/>
        <v>0</v>
      </c>
      <c r="BR104" s="208"/>
      <c r="BS104" s="208"/>
      <c r="BT104" s="208"/>
      <c r="BU104" s="208"/>
      <c r="BV104" s="208"/>
      <c r="BW104" s="208">
        <f t="shared" si="192"/>
        <v>-278</v>
      </c>
      <c r="BX104" s="208">
        <f t="shared" si="193"/>
        <v>-278</v>
      </c>
      <c r="BY104" s="208">
        <v>-278</v>
      </c>
      <c r="BZ104" s="208"/>
      <c r="CA104" s="208"/>
      <c r="CB104" s="208"/>
      <c r="CC104" s="208"/>
      <c r="CD104" s="208"/>
      <c r="CE104" s="208"/>
      <c r="CF104" s="208"/>
      <c r="CG104" s="208"/>
      <c r="CH104" s="208"/>
      <c r="CI104" s="259"/>
      <c r="CJ104" s="54" t="s">
        <v>338</v>
      </c>
      <c r="CK104" s="57" t="s">
        <v>613</v>
      </c>
      <c r="CL104" s="230" t="s">
        <v>694</v>
      </c>
      <c r="CM104" s="10" t="s">
        <v>695</v>
      </c>
      <c r="CQ104" s="10" t="e">
        <f>D104-#REF!</f>
        <v>#REF!</v>
      </c>
      <c r="CR104" s="10" t="e">
        <f>D104-#REF!</f>
        <v>#REF!</v>
      </c>
      <c r="CS104" s="1" t="e">
        <f>F104-#REF!</f>
        <v>#REF!</v>
      </c>
    </row>
    <row r="105" spans="1:97" s="87" customFormat="1" ht="15" customHeight="1" x14ac:dyDescent="0.2">
      <c r="A105" s="75"/>
      <c r="B105" s="159"/>
      <c r="C105" s="255" t="s">
        <v>257</v>
      </c>
      <c r="D105" s="220">
        <f t="shared" si="182"/>
        <v>4850</v>
      </c>
      <c r="E105" s="208">
        <f t="shared" si="183"/>
        <v>4350</v>
      </c>
      <c r="F105" s="208">
        <v>4850</v>
      </c>
      <c r="G105" s="208">
        <f t="shared" si="184"/>
        <v>4350</v>
      </c>
      <c r="H105" s="208">
        <f t="shared" si="185"/>
        <v>-500</v>
      </c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>
        <v>-500</v>
      </c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>
        <v>0</v>
      </c>
      <c r="AN105" s="208">
        <f t="shared" si="186"/>
        <v>0</v>
      </c>
      <c r="AO105" s="208">
        <f t="shared" si="187"/>
        <v>0</v>
      </c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>
        <v>0</v>
      </c>
      <c r="BB105" s="208">
        <f t="shared" si="188"/>
        <v>0</v>
      </c>
      <c r="BC105" s="208">
        <f t="shared" si="189"/>
        <v>0</v>
      </c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>
        <v>0</v>
      </c>
      <c r="BP105" s="208">
        <f t="shared" si="190"/>
        <v>0</v>
      </c>
      <c r="BQ105" s="208">
        <f t="shared" si="191"/>
        <v>0</v>
      </c>
      <c r="BR105" s="208"/>
      <c r="BS105" s="208"/>
      <c r="BT105" s="208"/>
      <c r="BU105" s="208"/>
      <c r="BV105" s="208"/>
      <c r="BW105" s="208">
        <f t="shared" si="192"/>
        <v>0</v>
      </c>
      <c r="BX105" s="208">
        <f t="shared" si="193"/>
        <v>0</v>
      </c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59"/>
      <c r="CJ105" s="54" t="s">
        <v>339</v>
      </c>
      <c r="CK105" s="57" t="s">
        <v>613</v>
      </c>
      <c r="CL105" s="230" t="s">
        <v>694</v>
      </c>
      <c r="CM105" s="10" t="s">
        <v>695</v>
      </c>
      <c r="CQ105" s="10" t="e">
        <f>D105-#REF!</f>
        <v>#REF!</v>
      </c>
      <c r="CR105" s="10" t="e">
        <f>D105-#REF!</f>
        <v>#REF!</v>
      </c>
      <c r="CS105" s="87" t="e">
        <f>F105-#REF!</f>
        <v>#REF!</v>
      </c>
    </row>
    <row r="106" spans="1:97" s="87" customFormat="1" ht="15" customHeight="1" x14ac:dyDescent="0.2">
      <c r="A106" s="75"/>
      <c r="B106" s="159"/>
      <c r="C106" s="255" t="s">
        <v>258</v>
      </c>
      <c r="D106" s="220">
        <f t="shared" si="182"/>
        <v>11400</v>
      </c>
      <c r="E106" s="208">
        <f t="shared" si="183"/>
        <v>11400</v>
      </c>
      <c r="F106" s="208">
        <v>11400</v>
      </c>
      <c r="G106" s="208">
        <f t="shared" si="184"/>
        <v>11400</v>
      </c>
      <c r="H106" s="208">
        <f t="shared" si="185"/>
        <v>0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>
        <v>0</v>
      </c>
      <c r="AN106" s="208">
        <f t="shared" si="186"/>
        <v>0</v>
      </c>
      <c r="AO106" s="208">
        <f t="shared" si="187"/>
        <v>0</v>
      </c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>
        <v>0</v>
      </c>
      <c r="BB106" s="208">
        <f t="shared" si="188"/>
        <v>0</v>
      </c>
      <c r="BC106" s="208">
        <f t="shared" si="189"/>
        <v>0</v>
      </c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>
        <v>0</v>
      </c>
      <c r="BP106" s="208">
        <f t="shared" si="190"/>
        <v>0</v>
      </c>
      <c r="BQ106" s="208">
        <f t="shared" si="191"/>
        <v>0</v>
      </c>
      <c r="BR106" s="208"/>
      <c r="BS106" s="208"/>
      <c r="BT106" s="208"/>
      <c r="BU106" s="208"/>
      <c r="BV106" s="208"/>
      <c r="BW106" s="208">
        <f t="shared" si="192"/>
        <v>0</v>
      </c>
      <c r="BX106" s="208">
        <f t="shared" si="193"/>
        <v>0</v>
      </c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59"/>
      <c r="CJ106" s="54" t="s">
        <v>340</v>
      </c>
      <c r="CK106" s="57" t="s">
        <v>613</v>
      </c>
      <c r="CL106" s="230" t="s">
        <v>694</v>
      </c>
      <c r="CM106" s="10" t="s">
        <v>695</v>
      </c>
      <c r="CQ106" s="10" t="e">
        <f>D106-#REF!</f>
        <v>#REF!</v>
      </c>
      <c r="CR106" s="10" t="e">
        <f>D106-#REF!</f>
        <v>#REF!</v>
      </c>
      <c r="CS106" s="87" t="e">
        <f>F106-#REF!</f>
        <v>#REF!</v>
      </c>
    </row>
    <row r="107" spans="1:97" s="87" customFormat="1" ht="15" customHeight="1" x14ac:dyDescent="0.2">
      <c r="A107" s="75"/>
      <c r="B107" s="159"/>
      <c r="C107" s="255" t="s">
        <v>259</v>
      </c>
      <c r="D107" s="220">
        <f t="shared" si="182"/>
        <v>4916</v>
      </c>
      <c r="E107" s="208">
        <f t="shared" si="183"/>
        <v>2910</v>
      </c>
      <c r="F107" s="208">
        <v>4916</v>
      </c>
      <c r="G107" s="208">
        <f t="shared" si="184"/>
        <v>2910</v>
      </c>
      <c r="H107" s="208">
        <f t="shared" si="185"/>
        <v>-2006</v>
      </c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>
        <v>-2006</v>
      </c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>
        <v>0</v>
      </c>
      <c r="AN107" s="208">
        <f t="shared" si="186"/>
        <v>0</v>
      </c>
      <c r="AO107" s="208">
        <f t="shared" si="187"/>
        <v>0</v>
      </c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>
        <v>0</v>
      </c>
      <c r="BB107" s="208">
        <f t="shared" si="188"/>
        <v>0</v>
      </c>
      <c r="BC107" s="208">
        <f t="shared" si="189"/>
        <v>0</v>
      </c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>
        <v>0</v>
      </c>
      <c r="BP107" s="208">
        <f t="shared" si="190"/>
        <v>0</v>
      </c>
      <c r="BQ107" s="208">
        <f t="shared" si="191"/>
        <v>0</v>
      </c>
      <c r="BR107" s="208"/>
      <c r="BS107" s="208"/>
      <c r="BT107" s="208"/>
      <c r="BU107" s="208"/>
      <c r="BV107" s="208"/>
      <c r="BW107" s="208">
        <f t="shared" si="192"/>
        <v>0</v>
      </c>
      <c r="BX107" s="208">
        <f t="shared" si="193"/>
        <v>0</v>
      </c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59"/>
      <c r="CJ107" s="54" t="s">
        <v>341</v>
      </c>
      <c r="CK107" s="57" t="s">
        <v>613</v>
      </c>
      <c r="CL107" s="230" t="s">
        <v>694</v>
      </c>
      <c r="CM107" s="10" t="s">
        <v>695</v>
      </c>
      <c r="CQ107" s="10" t="e">
        <f>D107-#REF!</f>
        <v>#REF!</v>
      </c>
      <c r="CR107" s="10" t="e">
        <f>D107-#REF!</f>
        <v>#REF!</v>
      </c>
      <c r="CS107" s="87" t="e">
        <f>F107-#REF!</f>
        <v>#REF!</v>
      </c>
    </row>
    <row r="108" spans="1:97" s="87" customFormat="1" ht="15" customHeight="1" x14ac:dyDescent="0.2">
      <c r="A108" s="75"/>
      <c r="B108" s="159"/>
      <c r="C108" s="255" t="s">
        <v>260</v>
      </c>
      <c r="D108" s="220">
        <f t="shared" si="182"/>
        <v>51623</v>
      </c>
      <c r="E108" s="208">
        <f t="shared" si="183"/>
        <v>53236</v>
      </c>
      <c r="F108" s="208">
        <v>51623</v>
      </c>
      <c r="G108" s="208">
        <f t="shared" si="184"/>
        <v>53236</v>
      </c>
      <c r="H108" s="208">
        <f t="shared" si="185"/>
        <v>1613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>
        <v>-1740</v>
      </c>
      <c r="AB108" s="208"/>
      <c r="AC108" s="208"/>
      <c r="AD108" s="208">
        <v>2081</v>
      </c>
      <c r="AE108" s="208"/>
      <c r="AF108" s="208">
        <v>1272</v>
      </c>
      <c r="AG108" s="208"/>
      <c r="AH108" s="208"/>
      <c r="AI108" s="208"/>
      <c r="AJ108" s="208"/>
      <c r="AK108" s="208"/>
      <c r="AL108" s="208"/>
      <c r="AM108" s="208">
        <v>0</v>
      </c>
      <c r="AN108" s="208">
        <f t="shared" si="186"/>
        <v>0</v>
      </c>
      <c r="AO108" s="208">
        <f t="shared" si="187"/>
        <v>0</v>
      </c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>
        <v>0</v>
      </c>
      <c r="BB108" s="208">
        <f t="shared" si="188"/>
        <v>0</v>
      </c>
      <c r="BC108" s="208">
        <f t="shared" si="189"/>
        <v>0</v>
      </c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>
        <v>0</v>
      </c>
      <c r="BP108" s="208">
        <f t="shared" si="190"/>
        <v>0</v>
      </c>
      <c r="BQ108" s="208">
        <f t="shared" si="191"/>
        <v>0</v>
      </c>
      <c r="BR108" s="208"/>
      <c r="BS108" s="208"/>
      <c r="BT108" s="208"/>
      <c r="BU108" s="208"/>
      <c r="BV108" s="208"/>
      <c r="BW108" s="208">
        <f t="shared" si="192"/>
        <v>0</v>
      </c>
      <c r="BX108" s="208">
        <f t="shared" si="193"/>
        <v>0</v>
      </c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59"/>
      <c r="CJ108" s="54" t="s">
        <v>342</v>
      </c>
      <c r="CK108" s="57" t="s">
        <v>613</v>
      </c>
      <c r="CL108" s="230" t="s">
        <v>694</v>
      </c>
      <c r="CM108" s="10" t="s">
        <v>695</v>
      </c>
      <c r="CQ108" s="10" t="e">
        <f>D108-#REF!</f>
        <v>#REF!</v>
      </c>
      <c r="CR108" s="10" t="e">
        <f>D108-#REF!</f>
        <v>#REF!</v>
      </c>
      <c r="CS108" s="87" t="e">
        <f>F108-#REF!</f>
        <v>#REF!</v>
      </c>
    </row>
    <row r="109" spans="1:97" s="87" customFormat="1" x14ac:dyDescent="0.2">
      <c r="A109" s="75"/>
      <c r="B109" s="159"/>
      <c r="C109" s="255" t="s">
        <v>261</v>
      </c>
      <c r="D109" s="220">
        <f t="shared" si="182"/>
        <v>1200</v>
      </c>
      <c r="E109" s="208">
        <f t="shared" si="183"/>
        <v>1200</v>
      </c>
      <c r="F109" s="208">
        <v>1200</v>
      </c>
      <c r="G109" s="208">
        <f t="shared" si="184"/>
        <v>1200</v>
      </c>
      <c r="H109" s="208">
        <f t="shared" si="185"/>
        <v>0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>
        <v>0</v>
      </c>
      <c r="AN109" s="208">
        <f t="shared" si="186"/>
        <v>0</v>
      </c>
      <c r="AO109" s="208">
        <f t="shared" si="187"/>
        <v>0</v>
      </c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>
        <v>0</v>
      </c>
      <c r="BB109" s="208">
        <f t="shared" si="188"/>
        <v>0</v>
      </c>
      <c r="BC109" s="208">
        <f t="shared" si="189"/>
        <v>0</v>
      </c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>
        <v>0</v>
      </c>
      <c r="BP109" s="208">
        <f t="shared" si="190"/>
        <v>0</v>
      </c>
      <c r="BQ109" s="208">
        <f t="shared" si="191"/>
        <v>0</v>
      </c>
      <c r="BR109" s="208"/>
      <c r="BS109" s="208"/>
      <c r="BT109" s="208"/>
      <c r="BU109" s="208"/>
      <c r="BV109" s="208"/>
      <c r="BW109" s="208">
        <f t="shared" si="192"/>
        <v>0</v>
      </c>
      <c r="BX109" s="208">
        <f t="shared" si="193"/>
        <v>0</v>
      </c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59"/>
      <c r="CJ109" s="54" t="s">
        <v>343</v>
      </c>
      <c r="CK109" s="57" t="s">
        <v>613</v>
      </c>
      <c r="CL109" s="230" t="s">
        <v>694</v>
      </c>
      <c r="CM109" s="10" t="s">
        <v>695</v>
      </c>
      <c r="CQ109" s="10" t="e">
        <f>D109-#REF!</f>
        <v>#REF!</v>
      </c>
      <c r="CR109" s="10" t="e">
        <f>D109-#REF!</f>
        <v>#REF!</v>
      </c>
      <c r="CS109" s="87" t="e">
        <f>F109-#REF!</f>
        <v>#REF!</v>
      </c>
    </row>
    <row r="110" spans="1:97" s="87" customFormat="1" x14ac:dyDescent="0.2">
      <c r="A110" s="75"/>
      <c r="B110" s="159"/>
      <c r="C110" s="255" t="s">
        <v>262</v>
      </c>
      <c r="D110" s="220">
        <f t="shared" si="182"/>
        <v>1170</v>
      </c>
      <c r="E110" s="208">
        <f t="shared" si="183"/>
        <v>1170</v>
      </c>
      <c r="F110" s="208">
        <v>1170</v>
      </c>
      <c r="G110" s="208">
        <f t="shared" si="184"/>
        <v>1170</v>
      </c>
      <c r="H110" s="208">
        <f t="shared" si="185"/>
        <v>0</v>
      </c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>
        <v>0</v>
      </c>
      <c r="AN110" s="208">
        <f t="shared" si="186"/>
        <v>0</v>
      </c>
      <c r="AO110" s="208">
        <f t="shared" si="187"/>
        <v>0</v>
      </c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>
        <v>0</v>
      </c>
      <c r="BB110" s="208">
        <f t="shared" si="188"/>
        <v>0</v>
      </c>
      <c r="BC110" s="208">
        <f t="shared" si="189"/>
        <v>0</v>
      </c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>
        <v>0</v>
      </c>
      <c r="BP110" s="208">
        <f t="shared" si="190"/>
        <v>0</v>
      </c>
      <c r="BQ110" s="208">
        <f t="shared" si="191"/>
        <v>0</v>
      </c>
      <c r="BR110" s="208"/>
      <c r="BS110" s="208"/>
      <c r="BT110" s="208"/>
      <c r="BU110" s="208"/>
      <c r="BV110" s="208"/>
      <c r="BW110" s="208">
        <f t="shared" si="192"/>
        <v>0</v>
      </c>
      <c r="BX110" s="208">
        <f t="shared" si="193"/>
        <v>0</v>
      </c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59"/>
      <c r="CJ110" s="54" t="s">
        <v>344</v>
      </c>
      <c r="CK110" s="57" t="s">
        <v>613</v>
      </c>
      <c r="CL110" s="230" t="s">
        <v>694</v>
      </c>
      <c r="CM110" s="10" t="s">
        <v>695</v>
      </c>
      <c r="CQ110" s="10" t="e">
        <f>D110-#REF!</f>
        <v>#REF!</v>
      </c>
      <c r="CR110" s="10" t="e">
        <f>D110-#REF!</f>
        <v>#REF!</v>
      </c>
      <c r="CS110" s="87" t="e">
        <f>F110-#REF!</f>
        <v>#REF!</v>
      </c>
    </row>
    <row r="111" spans="1:97" ht="24" customHeight="1" x14ac:dyDescent="0.2">
      <c r="A111" s="75">
        <v>90000056450</v>
      </c>
      <c r="B111" s="158" t="s">
        <v>191</v>
      </c>
      <c r="C111" s="255" t="s">
        <v>430</v>
      </c>
      <c r="D111" s="220">
        <f t="shared" si="182"/>
        <v>811269</v>
      </c>
      <c r="E111" s="208">
        <f t="shared" si="183"/>
        <v>843532</v>
      </c>
      <c r="F111" s="208">
        <v>807455</v>
      </c>
      <c r="G111" s="208">
        <f t="shared" si="184"/>
        <v>838538</v>
      </c>
      <c r="H111" s="208">
        <f t="shared" si="185"/>
        <v>31083</v>
      </c>
      <c r="I111" s="208"/>
      <c r="J111" s="208"/>
      <c r="K111" s="208"/>
      <c r="L111" s="208"/>
      <c r="M111" s="208">
        <v>-1608</v>
      </c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>
        <v>1589</v>
      </c>
      <c r="AB111" s="208"/>
      <c r="AC111" s="208"/>
      <c r="AD111" s="208"/>
      <c r="AE111" s="208"/>
      <c r="AF111" s="208"/>
      <c r="AG111" s="208">
        <f>-177+31279</f>
        <v>31102</v>
      </c>
      <c r="AH111" s="208"/>
      <c r="AI111" s="208"/>
      <c r="AJ111" s="208"/>
      <c r="AK111" s="208"/>
      <c r="AL111" s="208"/>
      <c r="AM111" s="208">
        <v>0</v>
      </c>
      <c r="AN111" s="208">
        <f t="shared" si="186"/>
        <v>0</v>
      </c>
      <c r="AO111" s="208">
        <f t="shared" si="187"/>
        <v>0</v>
      </c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>
        <v>3814</v>
      </c>
      <c r="BB111" s="208">
        <f t="shared" si="188"/>
        <v>5023</v>
      </c>
      <c r="BC111" s="208">
        <f t="shared" si="189"/>
        <v>1209</v>
      </c>
      <c r="BD111" s="208">
        <v>1228</v>
      </c>
      <c r="BE111" s="208"/>
      <c r="BF111" s="208"/>
      <c r="BG111" s="208">
        <v>-1455</v>
      </c>
      <c r="BH111" s="208"/>
      <c r="BI111" s="208"/>
      <c r="BJ111" s="208">
        <v>1436</v>
      </c>
      <c r="BK111" s="208"/>
      <c r="BL111" s="208"/>
      <c r="BM111" s="208"/>
      <c r="BN111" s="208"/>
      <c r="BO111" s="208">
        <v>0</v>
      </c>
      <c r="BP111" s="208">
        <f t="shared" si="190"/>
        <v>0</v>
      </c>
      <c r="BQ111" s="208">
        <f t="shared" si="191"/>
        <v>0</v>
      </c>
      <c r="BR111" s="208"/>
      <c r="BS111" s="208"/>
      <c r="BT111" s="208"/>
      <c r="BU111" s="208"/>
      <c r="BV111" s="208"/>
      <c r="BW111" s="208">
        <f t="shared" si="192"/>
        <v>-29</v>
      </c>
      <c r="BX111" s="208">
        <f t="shared" si="193"/>
        <v>-29</v>
      </c>
      <c r="BY111" s="208"/>
      <c r="BZ111" s="208"/>
      <c r="CA111" s="208"/>
      <c r="CB111" s="208"/>
      <c r="CC111" s="208"/>
      <c r="CD111" s="208">
        <v>-29</v>
      </c>
      <c r="CE111" s="208"/>
      <c r="CF111" s="208"/>
      <c r="CG111" s="208"/>
      <c r="CH111" s="208"/>
      <c r="CI111" s="259"/>
      <c r="CJ111" s="54" t="s">
        <v>345</v>
      </c>
      <c r="CK111" s="57"/>
      <c r="CL111" s="230" t="s">
        <v>690</v>
      </c>
      <c r="CM111" s="10" t="s">
        <v>691</v>
      </c>
      <c r="CQ111" s="10" t="e">
        <f>D111-#REF!</f>
        <v>#REF!</v>
      </c>
      <c r="CR111" s="10" t="e">
        <f>D111-#REF!</f>
        <v>#REF!</v>
      </c>
      <c r="CS111" s="1" t="e">
        <f>F111-#REF!</f>
        <v>#REF!</v>
      </c>
    </row>
    <row r="112" spans="1:97" s="130" customFormat="1" x14ac:dyDescent="0.2">
      <c r="A112" s="75"/>
      <c r="B112" s="158"/>
      <c r="C112" s="233" t="s">
        <v>817</v>
      </c>
      <c r="D112" s="220">
        <f t="shared" si="182"/>
        <v>0</v>
      </c>
      <c r="E112" s="208">
        <f t="shared" si="183"/>
        <v>1441</v>
      </c>
      <c r="F112" s="210"/>
      <c r="G112" s="208">
        <f t="shared" ref="G112" si="201">F112+H112</f>
        <v>1441</v>
      </c>
      <c r="H112" s="208">
        <f t="shared" si="185"/>
        <v>1441</v>
      </c>
      <c r="I112" s="210"/>
      <c r="J112" s="210"/>
      <c r="K112" s="210"/>
      <c r="L112" s="210"/>
      <c r="M112" s="210"/>
      <c r="N112" s="210"/>
      <c r="O112" s="210"/>
      <c r="P112" s="210">
        <v>1441</v>
      </c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08">
        <f t="shared" ref="AN112" si="202">AM112+AO112</f>
        <v>0</v>
      </c>
      <c r="AO112" s="208">
        <f t="shared" ref="AO112" si="203">SUM(AP112:AZ112)</f>
        <v>0</v>
      </c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08">
        <f t="shared" ref="BB112" si="204">BA112+BC112</f>
        <v>0</v>
      </c>
      <c r="BC112" s="208">
        <f t="shared" ref="BC112" si="205">SUM(BD112:BN112)</f>
        <v>0</v>
      </c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08">
        <f t="shared" ref="BP112" si="206">BO112+BQ112</f>
        <v>0</v>
      </c>
      <c r="BQ112" s="208">
        <f t="shared" ref="BQ112" si="207">SUM(BR112:BU112)</f>
        <v>0</v>
      </c>
      <c r="BR112" s="210"/>
      <c r="BS112" s="210"/>
      <c r="BT112" s="210"/>
      <c r="BU112" s="210"/>
      <c r="BV112" s="210"/>
      <c r="BW112" s="208">
        <f t="shared" ref="BW112" si="208">BV112+BX112</f>
        <v>0</v>
      </c>
      <c r="BX112" s="208">
        <f t="shared" si="193"/>
        <v>0</v>
      </c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71"/>
      <c r="CJ112" s="145" t="s">
        <v>816</v>
      </c>
      <c r="CK112" s="57"/>
      <c r="CL112" s="230"/>
      <c r="CM112" s="10"/>
      <c r="CQ112" s="10"/>
      <c r="CR112" s="10"/>
    </row>
    <row r="113" spans="1:97" s="130" customFormat="1" x14ac:dyDescent="0.2">
      <c r="A113" s="75"/>
      <c r="B113" s="158"/>
      <c r="C113" s="233" t="s">
        <v>879</v>
      </c>
      <c r="D113" s="221"/>
      <c r="E113" s="208">
        <f t="shared" ref="E113:E130" si="209">G113+AN113+BB113+BP113+BW113</f>
        <v>0</v>
      </c>
      <c r="F113" s="210"/>
      <c r="G113" s="208">
        <f t="shared" ref="G113" si="210">F113+H113</f>
        <v>0</v>
      </c>
      <c r="H113" s="208">
        <f t="shared" si="185"/>
        <v>0</v>
      </c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08">
        <f t="shared" ref="AN113" si="211">AM113+AO113</f>
        <v>0</v>
      </c>
      <c r="AO113" s="208">
        <f t="shared" ref="AO113" si="212">SUM(AP113:AZ113)</f>
        <v>0</v>
      </c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08">
        <f t="shared" ref="BB113" si="213">BA113+BC113</f>
        <v>0</v>
      </c>
      <c r="BC113" s="208">
        <f t="shared" ref="BC113" si="214">SUM(BD113:BN113)</f>
        <v>0</v>
      </c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08">
        <f t="shared" ref="BP113" si="215">BO113+BQ113</f>
        <v>0</v>
      </c>
      <c r="BQ113" s="208">
        <f t="shared" ref="BQ113" si="216">SUM(BR113:BU113)</f>
        <v>0</v>
      </c>
      <c r="BR113" s="210"/>
      <c r="BS113" s="210"/>
      <c r="BT113" s="210"/>
      <c r="BU113" s="210"/>
      <c r="BV113" s="210"/>
      <c r="BW113" s="208">
        <f t="shared" ref="BW113" si="217">BV113+BX113</f>
        <v>0</v>
      </c>
      <c r="BX113" s="208">
        <f t="shared" ref="BX113" si="218">SUM(BY113:CI113)</f>
        <v>0</v>
      </c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71"/>
      <c r="CJ113" s="145" t="s">
        <v>880</v>
      </c>
      <c r="CK113" s="57"/>
      <c r="CL113" s="230"/>
      <c r="CM113" s="10"/>
      <c r="CQ113" s="10"/>
      <c r="CR113" s="10"/>
    </row>
    <row r="114" spans="1:97" ht="24" customHeight="1" x14ac:dyDescent="0.2">
      <c r="A114" s="75">
        <v>90009229680</v>
      </c>
      <c r="B114" s="158" t="s">
        <v>148</v>
      </c>
      <c r="C114" s="258" t="s">
        <v>431</v>
      </c>
      <c r="D114" s="221">
        <f t="shared" ref="D114:D130" si="219">F114+AM114+BA114+BO114+BV114</f>
        <v>984564</v>
      </c>
      <c r="E114" s="210">
        <f t="shared" si="209"/>
        <v>976942</v>
      </c>
      <c r="F114" s="210">
        <v>952349</v>
      </c>
      <c r="G114" s="210">
        <f t="shared" si="184"/>
        <v>956091</v>
      </c>
      <c r="H114" s="210">
        <f t="shared" si="185"/>
        <v>3742</v>
      </c>
      <c r="I114" s="210"/>
      <c r="J114" s="210"/>
      <c r="K114" s="210"/>
      <c r="L114" s="210"/>
      <c r="M114" s="210">
        <v>2138</v>
      </c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>
        <v>-4729</v>
      </c>
      <c r="AB114" s="210"/>
      <c r="AC114" s="210"/>
      <c r="AD114" s="210"/>
      <c r="AE114" s="210"/>
      <c r="AF114" s="210"/>
      <c r="AG114" s="210">
        <f>-33661+39994</f>
        <v>6333</v>
      </c>
      <c r="AH114" s="210"/>
      <c r="AI114" s="210"/>
      <c r="AJ114" s="210"/>
      <c r="AK114" s="210"/>
      <c r="AL114" s="210"/>
      <c r="AM114" s="210">
        <v>10719</v>
      </c>
      <c r="AN114" s="210">
        <f t="shared" si="186"/>
        <v>10719</v>
      </c>
      <c r="AO114" s="210">
        <f t="shared" si="187"/>
        <v>0</v>
      </c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>
        <v>21496</v>
      </c>
      <c r="BB114" s="210">
        <f t="shared" si="188"/>
        <v>10132</v>
      </c>
      <c r="BC114" s="210">
        <f t="shared" si="189"/>
        <v>-11364</v>
      </c>
      <c r="BD114" s="210">
        <v>-302</v>
      </c>
      <c r="BE114" s="210"/>
      <c r="BF114" s="210"/>
      <c r="BG114" s="210">
        <v>-9348</v>
      </c>
      <c r="BH114" s="210"/>
      <c r="BI114" s="210"/>
      <c r="BJ114" s="210">
        <v>-1714</v>
      </c>
      <c r="BK114" s="210"/>
      <c r="BL114" s="210"/>
      <c r="BM114" s="210"/>
      <c r="BN114" s="210"/>
      <c r="BO114" s="210">
        <v>0</v>
      </c>
      <c r="BP114" s="210">
        <f t="shared" si="190"/>
        <v>0</v>
      </c>
      <c r="BQ114" s="210">
        <f t="shared" si="191"/>
        <v>0</v>
      </c>
      <c r="BR114" s="210"/>
      <c r="BS114" s="210"/>
      <c r="BT114" s="210"/>
      <c r="BU114" s="210"/>
      <c r="BV114" s="210"/>
      <c r="BW114" s="210">
        <f t="shared" si="192"/>
        <v>0</v>
      </c>
      <c r="BX114" s="210">
        <f t="shared" si="193"/>
        <v>0</v>
      </c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71"/>
      <c r="CJ114" s="145" t="s">
        <v>346</v>
      </c>
      <c r="CK114" s="57"/>
      <c r="CL114" s="230" t="s">
        <v>690</v>
      </c>
      <c r="CM114" s="10" t="s">
        <v>691</v>
      </c>
      <c r="CQ114" s="10" t="e">
        <f>D114-#REF!</f>
        <v>#REF!</v>
      </c>
      <c r="CR114" s="10" t="e">
        <f>D114-#REF!</f>
        <v>#REF!</v>
      </c>
      <c r="CS114" s="1" t="e">
        <f>F114-#REF!</f>
        <v>#REF!</v>
      </c>
    </row>
    <row r="115" spans="1:97" x14ac:dyDescent="0.2">
      <c r="A115" s="75"/>
      <c r="B115" s="159"/>
      <c r="C115" s="255" t="s">
        <v>184</v>
      </c>
      <c r="D115" s="220">
        <f t="shared" si="219"/>
        <v>501842</v>
      </c>
      <c r="E115" s="208">
        <f t="shared" si="209"/>
        <v>268268</v>
      </c>
      <c r="F115" s="208">
        <v>478091</v>
      </c>
      <c r="G115" s="208">
        <f t="shared" si="184"/>
        <v>247870</v>
      </c>
      <c r="H115" s="208">
        <f t="shared" si="185"/>
        <v>-230221</v>
      </c>
      <c r="I115" s="208"/>
      <c r="J115" s="208"/>
      <c r="K115" s="208"/>
      <c r="L115" s="208"/>
      <c r="M115" s="208">
        <v>12320</v>
      </c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>
        <v>-210665</v>
      </c>
      <c r="AB115" s="208"/>
      <c r="AC115" s="208"/>
      <c r="AD115" s="208"/>
      <c r="AE115" s="208"/>
      <c r="AF115" s="208"/>
      <c r="AG115" s="208">
        <v>-31876</v>
      </c>
      <c r="AH115" s="208"/>
      <c r="AI115" s="208"/>
      <c r="AJ115" s="208"/>
      <c r="AK115" s="208"/>
      <c r="AL115" s="208"/>
      <c r="AM115" s="208">
        <v>0</v>
      </c>
      <c r="AN115" s="208">
        <f t="shared" si="186"/>
        <v>0</v>
      </c>
      <c r="AO115" s="208">
        <f t="shared" si="187"/>
        <v>0</v>
      </c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>
        <v>23751</v>
      </c>
      <c r="BB115" s="208">
        <f t="shared" si="188"/>
        <v>20398</v>
      </c>
      <c r="BC115" s="208">
        <f t="shared" si="189"/>
        <v>-3353</v>
      </c>
      <c r="BD115" s="208">
        <v>8703</v>
      </c>
      <c r="BE115" s="208"/>
      <c r="BF115" s="208"/>
      <c r="BG115" s="208">
        <v>-12056</v>
      </c>
      <c r="BH115" s="208"/>
      <c r="BI115" s="208"/>
      <c r="BJ115" s="208"/>
      <c r="BK115" s="208"/>
      <c r="BL115" s="208"/>
      <c r="BM115" s="208"/>
      <c r="BN115" s="208"/>
      <c r="BO115" s="208">
        <v>0</v>
      </c>
      <c r="BP115" s="208">
        <f t="shared" si="190"/>
        <v>0</v>
      </c>
      <c r="BQ115" s="208">
        <f t="shared" si="191"/>
        <v>0</v>
      </c>
      <c r="BR115" s="208"/>
      <c r="BS115" s="208"/>
      <c r="BT115" s="208"/>
      <c r="BU115" s="208"/>
      <c r="BV115" s="208"/>
      <c r="BW115" s="208">
        <f t="shared" si="192"/>
        <v>0</v>
      </c>
      <c r="BX115" s="208">
        <f t="shared" si="193"/>
        <v>0</v>
      </c>
      <c r="BY115" s="208"/>
      <c r="BZ115" s="208"/>
      <c r="CA115" s="208"/>
      <c r="CB115" s="208"/>
      <c r="CC115" s="208"/>
      <c r="CD115" s="208"/>
      <c r="CE115" s="208"/>
      <c r="CF115" s="208"/>
      <c r="CG115" s="208"/>
      <c r="CH115" s="208"/>
      <c r="CI115" s="259"/>
      <c r="CJ115" s="54" t="s">
        <v>347</v>
      </c>
      <c r="CK115" s="57" t="s">
        <v>424</v>
      </c>
      <c r="CL115" s="230" t="s">
        <v>690</v>
      </c>
      <c r="CM115" s="10" t="s">
        <v>691</v>
      </c>
      <c r="CQ115" s="10" t="e">
        <f>D115-#REF!</f>
        <v>#REF!</v>
      </c>
      <c r="CR115" s="10" t="e">
        <f>D115-#REF!</f>
        <v>#REF!</v>
      </c>
      <c r="CS115" s="1" t="e">
        <f>F115-#REF!</f>
        <v>#REF!</v>
      </c>
    </row>
    <row r="116" spans="1:97" ht="12" customHeight="1" x14ac:dyDescent="0.2">
      <c r="A116" s="75">
        <v>90010478153</v>
      </c>
      <c r="B116" s="158" t="s">
        <v>427</v>
      </c>
      <c r="C116" s="255" t="s">
        <v>177</v>
      </c>
      <c r="D116" s="220">
        <f t="shared" si="219"/>
        <v>647717</v>
      </c>
      <c r="E116" s="208">
        <f t="shared" si="209"/>
        <v>684181</v>
      </c>
      <c r="F116" s="208">
        <v>626879</v>
      </c>
      <c r="G116" s="208">
        <f t="shared" si="184"/>
        <v>661751</v>
      </c>
      <c r="H116" s="208">
        <f t="shared" si="185"/>
        <v>34872</v>
      </c>
      <c r="I116" s="208"/>
      <c r="J116" s="208"/>
      <c r="K116" s="208"/>
      <c r="L116" s="208"/>
      <c r="M116" s="208">
        <v>7137</v>
      </c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>
        <v>5340</v>
      </c>
      <c r="AB116" s="208"/>
      <c r="AC116" s="208"/>
      <c r="AD116" s="208"/>
      <c r="AE116" s="208"/>
      <c r="AF116" s="208"/>
      <c r="AG116" s="208">
        <f>36696-14301</f>
        <v>22395</v>
      </c>
      <c r="AH116" s="208"/>
      <c r="AI116" s="208"/>
      <c r="AJ116" s="208"/>
      <c r="AK116" s="208"/>
      <c r="AL116" s="208"/>
      <c r="AM116" s="208">
        <v>0</v>
      </c>
      <c r="AN116" s="208">
        <f t="shared" si="186"/>
        <v>0</v>
      </c>
      <c r="AO116" s="208">
        <f t="shared" si="187"/>
        <v>0</v>
      </c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>
        <v>20838</v>
      </c>
      <c r="BB116" s="208">
        <f t="shared" si="188"/>
        <v>22430</v>
      </c>
      <c r="BC116" s="208">
        <f t="shared" si="189"/>
        <v>1592</v>
      </c>
      <c r="BD116" s="208">
        <v>1592</v>
      </c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>
        <v>0</v>
      </c>
      <c r="BP116" s="208">
        <f t="shared" si="190"/>
        <v>0</v>
      </c>
      <c r="BQ116" s="208">
        <f t="shared" si="191"/>
        <v>0</v>
      </c>
      <c r="BR116" s="208"/>
      <c r="BS116" s="208"/>
      <c r="BT116" s="208"/>
      <c r="BU116" s="208"/>
      <c r="BV116" s="208"/>
      <c r="BW116" s="208">
        <f t="shared" si="192"/>
        <v>0</v>
      </c>
      <c r="BX116" s="208">
        <f t="shared" si="193"/>
        <v>0</v>
      </c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59"/>
      <c r="CJ116" s="54" t="s">
        <v>348</v>
      </c>
      <c r="CK116" s="57"/>
      <c r="CL116" s="230" t="s">
        <v>690</v>
      </c>
      <c r="CM116" s="10" t="s">
        <v>691</v>
      </c>
      <c r="CQ116" s="10" t="e">
        <f>D116-#REF!</f>
        <v>#REF!</v>
      </c>
      <c r="CR116" s="10" t="e">
        <f>D116-#REF!</f>
        <v>#REF!</v>
      </c>
      <c r="CS116" s="1" t="e">
        <f>F116-#REF!</f>
        <v>#REF!</v>
      </c>
    </row>
    <row r="117" spans="1:97" s="93" customFormat="1" x14ac:dyDescent="0.2">
      <c r="A117" s="75"/>
      <c r="B117" s="159"/>
      <c r="C117" s="255" t="s">
        <v>289</v>
      </c>
      <c r="D117" s="220">
        <f t="shared" si="219"/>
        <v>58738</v>
      </c>
      <c r="E117" s="208">
        <f t="shared" si="209"/>
        <v>78591</v>
      </c>
      <c r="F117" s="208">
        <v>40783</v>
      </c>
      <c r="G117" s="208">
        <f t="shared" si="184"/>
        <v>52789</v>
      </c>
      <c r="H117" s="208">
        <f t="shared" si="185"/>
        <v>12006</v>
      </c>
      <c r="I117" s="208">
        <v>12006</v>
      </c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>
        <v>0</v>
      </c>
      <c r="AN117" s="208">
        <f t="shared" si="186"/>
        <v>0</v>
      </c>
      <c r="AO117" s="208">
        <f t="shared" si="187"/>
        <v>0</v>
      </c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>
        <v>17955</v>
      </c>
      <c r="BB117" s="208">
        <f t="shared" si="188"/>
        <v>25802</v>
      </c>
      <c r="BC117" s="208">
        <f t="shared" si="189"/>
        <v>7847</v>
      </c>
      <c r="BD117" s="208">
        <v>7847</v>
      </c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>
        <v>0</v>
      </c>
      <c r="BP117" s="208">
        <f t="shared" si="190"/>
        <v>0</v>
      </c>
      <c r="BQ117" s="208">
        <f t="shared" si="191"/>
        <v>0</v>
      </c>
      <c r="BR117" s="208"/>
      <c r="BS117" s="208"/>
      <c r="BT117" s="208"/>
      <c r="BU117" s="208"/>
      <c r="BV117" s="208"/>
      <c r="BW117" s="208">
        <f t="shared" si="192"/>
        <v>0</v>
      </c>
      <c r="BX117" s="208">
        <f t="shared" si="193"/>
        <v>0</v>
      </c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59"/>
      <c r="CJ117" s="54" t="s">
        <v>349</v>
      </c>
      <c r="CK117" s="57"/>
      <c r="CL117" s="230" t="s">
        <v>690</v>
      </c>
      <c r="CM117" s="10" t="s">
        <v>691</v>
      </c>
      <c r="CQ117" s="10" t="e">
        <f>D117-#REF!</f>
        <v>#REF!</v>
      </c>
      <c r="CR117" s="10" t="e">
        <f>D117-#REF!</f>
        <v>#REF!</v>
      </c>
      <c r="CS117" s="93" t="e">
        <f>F117-#REF!</f>
        <v>#REF!</v>
      </c>
    </row>
    <row r="118" spans="1:97" s="99" customFormat="1" ht="24" x14ac:dyDescent="0.2">
      <c r="A118" s="75"/>
      <c r="B118" s="159"/>
      <c r="C118" s="255" t="s">
        <v>426</v>
      </c>
      <c r="D118" s="220">
        <f t="shared" si="219"/>
        <v>96070</v>
      </c>
      <c r="E118" s="208">
        <f t="shared" si="209"/>
        <v>97414</v>
      </c>
      <c r="F118" s="208">
        <v>76627</v>
      </c>
      <c r="G118" s="208">
        <f t="shared" si="184"/>
        <v>82727</v>
      </c>
      <c r="H118" s="208">
        <f t="shared" si="185"/>
        <v>6100</v>
      </c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>
        <v>6100</v>
      </c>
      <c r="AH118" s="208"/>
      <c r="AI118" s="208"/>
      <c r="AJ118" s="208"/>
      <c r="AK118" s="208"/>
      <c r="AL118" s="208"/>
      <c r="AM118" s="208">
        <v>0</v>
      </c>
      <c r="AN118" s="208">
        <f t="shared" si="186"/>
        <v>0</v>
      </c>
      <c r="AO118" s="208">
        <f t="shared" si="187"/>
        <v>0</v>
      </c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>
        <v>19443</v>
      </c>
      <c r="BB118" s="208">
        <f t="shared" si="188"/>
        <v>14687</v>
      </c>
      <c r="BC118" s="208">
        <f t="shared" si="189"/>
        <v>-4756</v>
      </c>
      <c r="BD118" s="208">
        <v>2244</v>
      </c>
      <c r="BE118" s="208"/>
      <c r="BF118" s="208"/>
      <c r="BG118" s="208"/>
      <c r="BH118" s="208"/>
      <c r="BI118" s="208"/>
      <c r="BJ118" s="208">
        <v>-7000</v>
      </c>
      <c r="BK118" s="208"/>
      <c r="BL118" s="208"/>
      <c r="BM118" s="208"/>
      <c r="BN118" s="208"/>
      <c r="BO118" s="208">
        <v>0</v>
      </c>
      <c r="BP118" s="208">
        <f t="shared" si="190"/>
        <v>0</v>
      </c>
      <c r="BQ118" s="208">
        <f t="shared" si="191"/>
        <v>0</v>
      </c>
      <c r="BR118" s="208"/>
      <c r="BS118" s="208"/>
      <c r="BT118" s="208"/>
      <c r="BU118" s="208"/>
      <c r="BV118" s="208"/>
      <c r="BW118" s="208">
        <f t="shared" si="192"/>
        <v>0</v>
      </c>
      <c r="BX118" s="208">
        <f t="shared" si="193"/>
        <v>0</v>
      </c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59"/>
      <c r="CJ118" s="54" t="s">
        <v>350</v>
      </c>
      <c r="CK118" s="57"/>
      <c r="CL118" s="230" t="s">
        <v>690</v>
      </c>
      <c r="CM118" s="10" t="s">
        <v>691</v>
      </c>
      <c r="CQ118" s="10" t="e">
        <f>D118-#REF!</f>
        <v>#REF!</v>
      </c>
      <c r="CR118" s="10" t="e">
        <f>D118-#REF!</f>
        <v>#REF!</v>
      </c>
      <c r="CS118" s="99" t="e">
        <f>F118-#REF!</f>
        <v>#REF!</v>
      </c>
    </row>
    <row r="119" spans="1:97" s="93" customFormat="1" x14ac:dyDescent="0.2">
      <c r="A119" s="75"/>
      <c r="B119" s="159"/>
      <c r="C119" s="255" t="s">
        <v>290</v>
      </c>
      <c r="D119" s="220">
        <f t="shared" si="219"/>
        <v>116086</v>
      </c>
      <c r="E119" s="208">
        <f t="shared" si="209"/>
        <v>118947</v>
      </c>
      <c r="F119" s="208">
        <v>78647</v>
      </c>
      <c r="G119" s="208">
        <f t="shared" si="184"/>
        <v>78647</v>
      </c>
      <c r="H119" s="208">
        <f t="shared" si="185"/>
        <v>0</v>
      </c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>
        <v>0</v>
      </c>
      <c r="AN119" s="208">
        <f t="shared" si="186"/>
        <v>0</v>
      </c>
      <c r="AO119" s="208">
        <f t="shared" si="187"/>
        <v>0</v>
      </c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>
        <v>37439</v>
      </c>
      <c r="BB119" s="208">
        <f t="shared" si="188"/>
        <v>40300</v>
      </c>
      <c r="BC119" s="208">
        <f t="shared" si="189"/>
        <v>2861</v>
      </c>
      <c r="BD119" s="208">
        <v>2861</v>
      </c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>
        <v>0</v>
      </c>
      <c r="BP119" s="208">
        <f t="shared" si="190"/>
        <v>0</v>
      </c>
      <c r="BQ119" s="208">
        <f t="shared" si="191"/>
        <v>0</v>
      </c>
      <c r="BR119" s="208"/>
      <c r="BS119" s="208"/>
      <c r="BT119" s="208"/>
      <c r="BU119" s="208"/>
      <c r="BV119" s="208"/>
      <c r="BW119" s="208">
        <f t="shared" si="192"/>
        <v>0</v>
      </c>
      <c r="BX119" s="208">
        <f t="shared" si="193"/>
        <v>0</v>
      </c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59"/>
      <c r="CJ119" s="54" t="s">
        <v>351</v>
      </c>
      <c r="CK119" s="57"/>
      <c r="CL119" s="230" t="s">
        <v>690</v>
      </c>
      <c r="CM119" s="10" t="s">
        <v>691</v>
      </c>
      <c r="CQ119" s="10" t="e">
        <f>D119-#REF!</f>
        <v>#REF!</v>
      </c>
      <c r="CR119" s="10" t="e">
        <f>D119-#REF!</f>
        <v>#REF!</v>
      </c>
      <c r="CS119" s="93" t="e">
        <f>F119-#REF!</f>
        <v>#REF!</v>
      </c>
    </row>
    <row r="120" spans="1:97" s="93" customFormat="1" x14ac:dyDescent="0.2">
      <c r="A120" s="75"/>
      <c r="B120" s="159"/>
      <c r="C120" s="255" t="s">
        <v>291</v>
      </c>
      <c r="D120" s="220">
        <f t="shared" si="219"/>
        <v>27231</v>
      </c>
      <c r="E120" s="208">
        <f t="shared" si="209"/>
        <v>27989</v>
      </c>
      <c r="F120" s="208">
        <v>17733</v>
      </c>
      <c r="G120" s="208">
        <f t="shared" si="184"/>
        <v>17733</v>
      </c>
      <c r="H120" s="208">
        <f t="shared" si="185"/>
        <v>0</v>
      </c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>
        <v>0</v>
      </c>
      <c r="AN120" s="208">
        <f t="shared" si="186"/>
        <v>0</v>
      </c>
      <c r="AO120" s="208">
        <f t="shared" si="187"/>
        <v>0</v>
      </c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>
        <v>9498</v>
      </c>
      <c r="BB120" s="208">
        <f t="shared" si="188"/>
        <v>10256</v>
      </c>
      <c r="BC120" s="208">
        <f t="shared" si="189"/>
        <v>758</v>
      </c>
      <c r="BD120" s="208">
        <v>2258</v>
      </c>
      <c r="BE120" s="208"/>
      <c r="BF120" s="208"/>
      <c r="BG120" s="208"/>
      <c r="BH120" s="208"/>
      <c r="BI120" s="208"/>
      <c r="BJ120" s="208">
        <v>-1500</v>
      </c>
      <c r="BK120" s="208"/>
      <c r="BL120" s="208"/>
      <c r="BM120" s="208"/>
      <c r="BN120" s="208"/>
      <c r="BO120" s="208">
        <v>0</v>
      </c>
      <c r="BP120" s="208">
        <f t="shared" si="190"/>
        <v>0</v>
      </c>
      <c r="BQ120" s="208">
        <f t="shared" si="191"/>
        <v>0</v>
      </c>
      <c r="BR120" s="208"/>
      <c r="BS120" s="208"/>
      <c r="BT120" s="208"/>
      <c r="BU120" s="208"/>
      <c r="BV120" s="208"/>
      <c r="BW120" s="208">
        <f t="shared" si="192"/>
        <v>0</v>
      </c>
      <c r="BX120" s="208">
        <f t="shared" si="193"/>
        <v>0</v>
      </c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08"/>
      <c r="CI120" s="259"/>
      <c r="CJ120" s="54" t="s">
        <v>352</v>
      </c>
      <c r="CK120" s="57"/>
      <c r="CL120" s="230" t="s">
        <v>690</v>
      </c>
      <c r="CM120" s="10" t="s">
        <v>691</v>
      </c>
      <c r="CQ120" s="10" t="e">
        <f>D120-#REF!</f>
        <v>#REF!</v>
      </c>
      <c r="CR120" s="10" t="e">
        <f>D120-#REF!</f>
        <v>#REF!</v>
      </c>
      <c r="CS120" s="93" t="e">
        <f>F120-#REF!</f>
        <v>#REF!</v>
      </c>
    </row>
    <row r="121" spans="1:97" s="114" customFormat="1" x14ac:dyDescent="0.2">
      <c r="A121" s="75"/>
      <c r="B121" s="159"/>
      <c r="C121" s="255" t="s">
        <v>455</v>
      </c>
      <c r="D121" s="220">
        <f t="shared" si="219"/>
        <v>32657</v>
      </c>
      <c r="E121" s="208">
        <f t="shared" si="209"/>
        <v>28689</v>
      </c>
      <c r="F121" s="208">
        <v>20801</v>
      </c>
      <c r="G121" s="208">
        <f t="shared" si="184"/>
        <v>20801</v>
      </c>
      <c r="H121" s="208">
        <f t="shared" si="185"/>
        <v>0</v>
      </c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>
        <v>0</v>
      </c>
      <c r="AN121" s="208">
        <f t="shared" si="186"/>
        <v>0</v>
      </c>
      <c r="AO121" s="208">
        <f t="shared" si="187"/>
        <v>0</v>
      </c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>
        <v>11856</v>
      </c>
      <c r="BB121" s="208">
        <f t="shared" si="188"/>
        <v>7888</v>
      </c>
      <c r="BC121" s="208">
        <f t="shared" si="189"/>
        <v>-3968</v>
      </c>
      <c r="BD121" s="208">
        <v>153</v>
      </c>
      <c r="BE121" s="208"/>
      <c r="BF121" s="208"/>
      <c r="BG121" s="208"/>
      <c r="BH121" s="208"/>
      <c r="BI121" s="208"/>
      <c r="BJ121" s="208">
        <v>-4121</v>
      </c>
      <c r="BK121" s="208"/>
      <c r="BL121" s="208"/>
      <c r="BM121" s="208"/>
      <c r="BN121" s="208"/>
      <c r="BO121" s="208">
        <v>0</v>
      </c>
      <c r="BP121" s="208">
        <f t="shared" si="190"/>
        <v>0</v>
      </c>
      <c r="BQ121" s="208">
        <f t="shared" si="191"/>
        <v>0</v>
      </c>
      <c r="BR121" s="208"/>
      <c r="BS121" s="208"/>
      <c r="BT121" s="208"/>
      <c r="BU121" s="208"/>
      <c r="BV121" s="208"/>
      <c r="BW121" s="208">
        <f t="shared" si="192"/>
        <v>0</v>
      </c>
      <c r="BX121" s="208">
        <f t="shared" si="193"/>
        <v>0</v>
      </c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59"/>
      <c r="CJ121" s="54" t="s">
        <v>476</v>
      </c>
      <c r="CK121" s="57"/>
      <c r="CL121" s="230" t="s">
        <v>690</v>
      </c>
      <c r="CM121" s="10" t="s">
        <v>691</v>
      </c>
      <c r="CQ121" s="10" t="e">
        <f>D121-#REF!</f>
        <v>#REF!</v>
      </c>
      <c r="CR121" s="10" t="e">
        <f>D121-#REF!</f>
        <v>#REF!</v>
      </c>
      <c r="CS121" s="114" t="e">
        <f>F121-#REF!</f>
        <v>#REF!</v>
      </c>
    </row>
    <row r="122" spans="1:97" s="130" customFormat="1" x14ac:dyDescent="0.2">
      <c r="A122" s="75"/>
      <c r="B122" s="159"/>
      <c r="C122" s="404" t="s">
        <v>856</v>
      </c>
      <c r="D122" s="220">
        <f t="shared" si="219"/>
        <v>0</v>
      </c>
      <c r="E122" s="208">
        <f t="shared" si="209"/>
        <v>45125</v>
      </c>
      <c r="F122" s="208"/>
      <c r="G122" s="208">
        <f t="shared" ref="G122" si="220">F122+H122</f>
        <v>45125</v>
      </c>
      <c r="H122" s="208">
        <f t="shared" si="185"/>
        <v>45125</v>
      </c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>
        <v>45125</v>
      </c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>
        <f t="shared" ref="AN122" si="221">AM122+AO122</f>
        <v>0</v>
      </c>
      <c r="AO122" s="208">
        <f t="shared" ref="AO122" si="222">SUM(AP122:AZ122)</f>
        <v>0</v>
      </c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>
        <f t="shared" ref="BB122" si="223">BA122+BC122</f>
        <v>0</v>
      </c>
      <c r="BC122" s="208">
        <f t="shared" ref="BC122" si="224">SUM(BD122:BN122)</f>
        <v>0</v>
      </c>
      <c r="BD122" s="208"/>
      <c r="BE122" s="208"/>
      <c r="BF122" s="208"/>
      <c r="BG122" s="208">
        <v>10479</v>
      </c>
      <c r="BH122" s="208"/>
      <c r="BI122" s="208"/>
      <c r="BJ122" s="208">
        <v>-10479</v>
      </c>
      <c r="BK122" s="208"/>
      <c r="BL122" s="208"/>
      <c r="BM122" s="208"/>
      <c r="BN122" s="208"/>
      <c r="BO122" s="208"/>
      <c r="BP122" s="208">
        <f t="shared" ref="BP122" si="225">BO122+BQ122</f>
        <v>0</v>
      </c>
      <c r="BQ122" s="208">
        <f t="shared" ref="BQ122" si="226">SUM(BR122:BU122)</f>
        <v>0</v>
      </c>
      <c r="BR122" s="208"/>
      <c r="BS122" s="208"/>
      <c r="BT122" s="208"/>
      <c r="BU122" s="208"/>
      <c r="BV122" s="208"/>
      <c r="BW122" s="208">
        <f t="shared" ref="BW122" si="227">BV122+BX122</f>
        <v>0</v>
      </c>
      <c r="BX122" s="208">
        <f t="shared" si="193"/>
        <v>0</v>
      </c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59"/>
      <c r="CJ122" s="54" t="s">
        <v>857</v>
      </c>
      <c r="CK122" s="57"/>
      <c r="CL122" s="230"/>
      <c r="CM122" s="10"/>
      <c r="CQ122" s="10"/>
      <c r="CR122" s="10"/>
    </row>
    <row r="123" spans="1:97" ht="24" customHeight="1" x14ac:dyDescent="0.2">
      <c r="A123" s="75">
        <v>90000056408</v>
      </c>
      <c r="B123" s="158" t="s">
        <v>16</v>
      </c>
      <c r="C123" s="255" t="s">
        <v>432</v>
      </c>
      <c r="D123" s="220">
        <f t="shared" si="219"/>
        <v>605222</v>
      </c>
      <c r="E123" s="208">
        <f t="shared" si="209"/>
        <v>633169</v>
      </c>
      <c r="F123" s="208">
        <v>586514</v>
      </c>
      <c r="G123" s="208">
        <f t="shared" si="184"/>
        <v>615743</v>
      </c>
      <c r="H123" s="208">
        <f t="shared" si="185"/>
        <v>29229</v>
      </c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>
        <f>5442+23787</f>
        <v>29229</v>
      </c>
      <c r="AH123" s="208"/>
      <c r="AI123" s="208"/>
      <c r="AJ123" s="208"/>
      <c r="AK123" s="208"/>
      <c r="AL123" s="208"/>
      <c r="AM123" s="208">
        <v>0</v>
      </c>
      <c r="AN123" s="208">
        <f t="shared" si="186"/>
        <v>0</v>
      </c>
      <c r="AO123" s="208">
        <f t="shared" si="187"/>
        <v>0</v>
      </c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>
        <v>18708</v>
      </c>
      <c r="BB123" s="208">
        <f t="shared" si="188"/>
        <v>17426</v>
      </c>
      <c r="BC123" s="208">
        <f t="shared" si="189"/>
        <v>-1282</v>
      </c>
      <c r="BD123" s="208">
        <v>2408</v>
      </c>
      <c r="BE123" s="208"/>
      <c r="BF123" s="208"/>
      <c r="BG123" s="208">
        <v>-3690</v>
      </c>
      <c r="BH123" s="208"/>
      <c r="BI123" s="208"/>
      <c r="BJ123" s="208"/>
      <c r="BK123" s="208"/>
      <c r="BL123" s="208"/>
      <c r="BM123" s="208"/>
      <c r="BN123" s="208"/>
      <c r="BO123" s="208">
        <v>0</v>
      </c>
      <c r="BP123" s="208">
        <f t="shared" si="190"/>
        <v>0</v>
      </c>
      <c r="BQ123" s="208">
        <f t="shared" si="191"/>
        <v>0</v>
      </c>
      <c r="BR123" s="208"/>
      <c r="BS123" s="208"/>
      <c r="BT123" s="208"/>
      <c r="BU123" s="208"/>
      <c r="BV123" s="208"/>
      <c r="BW123" s="208">
        <f t="shared" si="192"/>
        <v>0</v>
      </c>
      <c r="BX123" s="208">
        <f t="shared" si="193"/>
        <v>0</v>
      </c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59"/>
      <c r="CJ123" s="54" t="s">
        <v>353</v>
      </c>
      <c r="CK123" s="57"/>
      <c r="CL123" s="230" t="s">
        <v>690</v>
      </c>
      <c r="CM123" s="10" t="s">
        <v>691</v>
      </c>
      <c r="CQ123" s="10" t="e">
        <f>D123-#REF!</f>
        <v>#REF!</v>
      </c>
      <c r="CR123" s="10" t="e">
        <f>D123-#REF!</f>
        <v>#REF!</v>
      </c>
      <c r="CS123" s="1" t="e">
        <f>F123-#REF!</f>
        <v>#REF!</v>
      </c>
    </row>
    <row r="124" spans="1:97" ht="12.75" x14ac:dyDescent="0.2">
      <c r="A124" s="75"/>
      <c r="B124" s="160"/>
      <c r="C124" s="255" t="s">
        <v>268</v>
      </c>
      <c r="D124" s="220">
        <f t="shared" si="219"/>
        <v>29698</v>
      </c>
      <c r="E124" s="208">
        <f t="shared" si="209"/>
        <v>18874</v>
      </c>
      <c r="F124" s="208">
        <v>27561</v>
      </c>
      <c r="G124" s="208">
        <f t="shared" si="184"/>
        <v>18784</v>
      </c>
      <c r="H124" s="208">
        <f t="shared" si="185"/>
        <v>-8777</v>
      </c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>
        <f>-8035-395</f>
        <v>-8430</v>
      </c>
      <c r="Y124" s="208"/>
      <c r="Z124" s="208"/>
      <c r="AA124" s="208">
        <v>-347</v>
      </c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>
        <v>0</v>
      </c>
      <c r="AN124" s="208">
        <f t="shared" si="186"/>
        <v>0</v>
      </c>
      <c r="AO124" s="208">
        <f t="shared" si="187"/>
        <v>0</v>
      </c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>
        <v>2137</v>
      </c>
      <c r="BB124" s="208">
        <f t="shared" si="188"/>
        <v>90</v>
      </c>
      <c r="BC124" s="208">
        <f t="shared" si="189"/>
        <v>-2047</v>
      </c>
      <c r="BD124" s="208">
        <v>90</v>
      </c>
      <c r="BE124" s="208"/>
      <c r="BF124" s="208"/>
      <c r="BG124" s="208">
        <v>-2137</v>
      </c>
      <c r="BH124" s="208"/>
      <c r="BI124" s="208"/>
      <c r="BJ124" s="208"/>
      <c r="BK124" s="208"/>
      <c r="BL124" s="208"/>
      <c r="BM124" s="208"/>
      <c r="BN124" s="208"/>
      <c r="BO124" s="208">
        <v>0</v>
      </c>
      <c r="BP124" s="208">
        <f t="shared" si="190"/>
        <v>0</v>
      </c>
      <c r="BQ124" s="208">
        <f t="shared" si="191"/>
        <v>0</v>
      </c>
      <c r="BR124" s="208"/>
      <c r="BS124" s="208"/>
      <c r="BT124" s="208"/>
      <c r="BU124" s="208"/>
      <c r="BV124" s="208"/>
      <c r="BW124" s="208">
        <f t="shared" si="192"/>
        <v>0</v>
      </c>
      <c r="BX124" s="208">
        <f t="shared" si="193"/>
        <v>0</v>
      </c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08"/>
      <c r="CI124" s="259"/>
      <c r="CJ124" s="54" t="s">
        <v>520</v>
      </c>
      <c r="CK124" s="57" t="s">
        <v>597</v>
      </c>
      <c r="CL124" s="230" t="s">
        <v>690</v>
      </c>
      <c r="CM124" s="10" t="s">
        <v>691</v>
      </c>
      <c r="CQ124" s="10" t="e">
        <f>D124-#REF!</f>
        <v>#REF!</v>
      </c>
      <c r="CR124" s="10" t="e">
        <f>D124-#REF!</f>
        <v>#REF!</v>
      </c>
      <c r="CS124" s="1" t="e">
        <f>F124-#REF!</f>
        <v>#REF!</v>
      </c>
    </row>
    <row r="125" spans="1:97" s="130" customFormat="1" ht="36" x14ac:dyDescent="0.2">
      <c r="A125" s="75"/>
      <c r="B125" s="160"/>
      <c r="C125" s="255" t="s">
        <v>680</v>
      </c>
      <c r="D125" s="220">
        <f t="shared" si="219"/>
        <v>99738</v>
      </c>
      <c r="E125" s="208">
        <f t="shared" si="209"/>
        <v>110093</v>
      </c>
      <c r="F125" s="208">
        <v>99738</v>
      </c>
      <c r="G125" s="208">
        <f t="shared" si="184"/>
        <v>159964</v>
      </c>
      <c r="H125" s="208">
        <f t="shared" si="185"/>
        <v>60226</v>
      </c>
      <c r="I125" s="208"/>
      <c r="J125" s="208"/>
      <c r="K125" s="208"/>
      <c r="L125" s="208"/>
      <c r="M125" s="208">
        <v>39192</v>
      </c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>
        <v>21034</v>
      </c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>
        <v>0</v>
      </c>
      <c r="AN125" s="208">
        <f t="shared" si="186"/>
        <v>0</v>
      </c>
      <c r="AO125" s="208">
        <f t="shared" si="187"/>
        <v>0</v>
      </c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>
        <v>0</v>
      </c>
      <c r="BB125" s="208">
        <f t="shared" si="188"/>
        <v>0</v>
      </c>
      <c r="BC125" s="208">
        <f t="shared" si="189"/>
        <v>0</v>
      </c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>
        <v>0</v>
      </c>
      <c r="BP125" s="208">
        <f t="shared" si="190"/>
        <v>0</v>
      </c>
      <c r="BQ125" s="208">
        <f t="shared" si="191"/>
        <v>0</v>
      </c>
      <c r="BR125" s="208"/>
      <c r="BS125" s="208"/>
      <c r="BT125" s="208"/>
      <c r="BU125" s="208"/>
      <c r="BV125" s="208"/>
      <c r="BW125" s="208">
        <f t="shared" si="192"/>
        <v>-49871</v>
      </c>
      <c r="BX125" s="208">
        <f t="shared" si="193"/>
        <v>-49871</v>
      </c>
      <c r="BY125" s="208">
        <v>-35892</v>
      </c>
      <c r="BZ125" s="208"/>
      <c r="CA125" s="208"/>
      <c r="CB125" s="208"/>
      <c r="CC125" s="208">
        <v>-13979</v>
      </c>
      <c r="CD125" s="208"/>
      <c r="CE125" s="208"/>
      <c r="CF125" s="208"/>
      <c r="CG125" s="208"/>
      <c r="CH125" s="208"/>
      <c r="CI125" s="259"/>
      <c r="CJ125" s="54" t="s">
        <v>733</v>
      </c>
      <c r="CK125" s="57"/>
      <c r="CL125" s="230" t="s">
        <v>689</v>
      </c>
      <c r="CM125" s="230" t="s">
        <v>689</v>
      </c>
      <c r="CQ125" s="10" t="e">
        <f>D125-#REF!</f>
        <v>#REF!</v>
      </c>
      <c r="CR125" s="10" t="e">
        <f>D125-#REF!</f>
        <v>#REF!</v>
      </c>
      <c r="CS125" s="130" t="e">
        <f>F125-#REF!</f>
        <v>#REF!</v>
      </c>
    </row>
    <row r="126" spans="1:97" s="130" customFormat="1" ht="24.6" customHeight="1" x14ac:dyDescent="0.2">
      <c r="A126" s="75"/>
      <c r="B126" s="160"/>
      <c r="C126" s="373" t="s">
        <v>818</v>
      </c>
      <c r="D126" s="220">
        <f t="shared" si="219"/>
        <v>0</v>
      </c>
      <c r="E126" s="208">
        <f t="shared" si="209"/>
        <v>2001</v>
      </c>
      <c r="F126" s="208"/>
      <c r="G126" s="208">
        <f t="shared" ref="G126" si="228">F126+H126</f>
        <v>2001</v>
      </c>
      <c r="H126" s="208">
        <f t="shared" si="185"/>
        <v>2001</v>
      </c>
      <c r="I126" s="208"/>
      <c r="J126" s="208"/>
      <c r="K126" s="208"/>
      <c r="L126" s="208"/>
      <c r="M126" s="208"/>
      <c r="N126" s="208"/>
      <c r="O126" s="208"/>
      <c r="P126" s="208">
        <v>2001</v>
      </c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>
        <f t="shared" ref="AN126" si="229">AM126+AO126</f>
        <v>0</v>
      </c>
      <c r="AO126" s="208">
        <f t="shared" ref="AO126" si="230">SUM(AP126:AZ126)</f>
        <v>0</v>
      </c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>
        <f t="shared" ref="BB126" si="231">BA126+BC126</f>
        <v>0</v>
      </c>
      <c r="BC126" s="208">
        <f t="shared" ref="BC126" si="232">SUM(BD126:BN126)</f>
        <v>0</v>
      </c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>
        <f t="shared" ref="BP126" si="233">BO126+BQ126</f>
        <v>0</v>
      </c>
      <c r="BQ126" s="208">
        <f t="shared" ref="BQ126" si="234">SUM(BR126:BU126)</f>
        <v>0</v>
      </c>
      <c r="BR126" s="208"/>
      <c r="BS126" s="208"/>
      <c r="BT126" s="208"/>
      <c r="BU126" s="208"/>
      <c r="BV126" s="208"/>
      <c r="BW126" s="208">
        <f t="shared" ref="BW126" si="235">BV126+BX126</f>
        <v>0</v>
      </c>
      <c r="BX126" s="208">
        <f t="shared" si="193"/>
        <v>0</v>
      </c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59"/>
      <c r="CJ126" s="54" t="s">
        <v>819</v>
      </c>
      <c r="CK126" s="57"/>
      <c r="CL126" s="230"/>
      <c r="CM126" s="230"/>
      <c r="CQ126" s="10"/>
      <c r="CR126" s="10"/>
    </row>
    <row r="127" spans="1:97" s="130" customFormat="1" ht="12.75" x14ac:dyDescent="0.2">
      <c r="A127" s="75"/>
      <c r="B127" s="160"/>
      <c r="C127" s="397" t="s">
        <v>842</v>
      </c>
      <c r="D127" s="220">
        <f t="shared" si="219"/>
        <v>0</v>
      </c>
      <c r="E127" s="208">
        <f t="shared" si="209"/>
        <v>3395</v>
      </c>
      <c r="F127" s="208"/>
      <c r="G127" s="208">
        <f t="shared" ref="G127" si="236">F127+H127</f>
        <v>3395</v>
      </c>
      <c r="H127" s="208">
        <f t="shared" si="185"/>
        <v>3395</v>
      </c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>
        <v>3395</v>
      </c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>
        <f t="shared" ref="AN127" si="237">AM127+AO127</f>
        <v>0</v>
      </c>
      <c r="AO127" s="208">
        <f t="shared" ref="AO127" si="238">SUM(AP127:AZ127)</f>
        <v>0</v>
      </c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>
        <f t="shared" ref="BB127" si="239">BA127+BC127</f>
        <v>0</v>
      </c>
      <c r="BC127" s="208">
        <f t="shared" ref="BC127" si="240">SUM(BD127:BN127)</f>
        <v>0</v>
      </c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>
        <f t="shared" ref="BP127" si="241">BO127+BQ127</f>
        <v>0</v>
      </c>
      <c r="BQ127" s="208">
        <f t="shared" ref="BQ127" si="242">SUM(BR127:BU127)</f>
        <v>0</v>
      </c>
      <c r="BR127" s="208"/>
      <c r="BS127" s="208"/>
      <c r="BT127" s="208"/>
      <c r="BU127" s="208"/>
      <c r="BV127" s="208"/>
      <c r="BW127" s="208">
        <f t="shared" ref="BW127" si="243">BV127+BX127</f>
        <v>0</v>
      </c>
      <c r="BX127" s="208">
        <f t="shared" si="193"/>
        <v>0</v>
      </c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59"/>
      <c r="CJ127" s="54" t="s">
        <v>843</v>
      </c>
      <c r="CK127" s="57"/>
      <c r="CL127" s="230"/>
      <c r="CM127" s="230"/>
      <c r="CQ127" s="10"/>
      <c r="CR127" s="10"/>
    </row>
    <row r="128" spans="1:97" s="130" customFormat="1" ht="24" x14ac:dyDescent="0.2">
      <c r="A128" s="75"/>
      <c r="B128" s="160"/>
      <c r="C128" s="423" t="s">
        <v>881</v>
      </c>
      <c r="D128" s="220">
        <f t="shared" si="219"/>
        <v>0</v>
      </c>
      <c r="E128" s="208">
        <f t="shared" si="209"/>
        <v>2900</v>
      </c>
      <c r="F128" s="208"/>
      <c r="G128" s="208">
        <f t="shared" ref="G128" si="244">F128+H128</f>
        <v>2900</v>
      </c>
      <c r="H128" s="208">
        <f t="shared" si="185"/>
        <v>2900</v>
      </c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>
        <v>2900</v>
      </c>
      <c r="AH128" s="208"/>
      <c r="AI128" s="208"/>
      <c r="AJ128" s="208"/>
      <c r="AK128" s="208"/>
      <c r="AL128" s="208"/>
      <c r="AM128" s="208"/>
      <c r="AN128" s="208">
        <f t="shared" ref="AN128" si="245">AM128+AO128</f>
        <v>0</v>
      </c>
      <c r="AO128" s="208">
        <f t="shared" ref="AO128" si="246">SUM(AP128:AZ128)</f>
        <v>0</v>
      </c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>
        <f t="shared" ref="BB128" si="247">BA128+BC128</f>
        <v>0</v>
      </c>
      <c r="BC128" s="208">
        <f t="shared" ref="BC128" si="248">SUM(BD128:BN128)</f>
        <v>0</v>
      </c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>
        <f t="shared" ref="BP128" si="249">BO128+BQ128</f>
        <v>0</v>
      </c>
      <c r="BQ128" s="208">
        <f t="shared" ref="BQ128" si="250">SUM(BR128:BU128)</f>
        <v>0</v>
      </c>
      <c r="BR128" s="208"/>
      <c r="BS128" s="208"/>
      <c r="BT128" s="208"/>
      <c r="BU128" s="208"/>
      <c r="BV128" s="208"/>
      <c r="BW128" s="208">
        <f t="shared" ref="BW128" si="251">BV128+BX128</f>
        <v>0</v>
      </c>
      <c r="BX128" s="208">
        <f t="shared" ref="BX128" si="252">SUM(BY128:CI128)</f>
        <v>0</v>
      </c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59"/>
      <c r="CJ128" s="54" t="s">
        <v>882</v>
      </c>
      <c r="CK128" s="57"/>
      <c r="CL128" s="230"/>
      <c r="CM128" s="230"/>
      <c r="CQ128" s="10"/>
      <c r="CR128" s="10"/>
    </row>
    <row r="129" spans="1:97" s="8" customFormat="1" ht="36" x14ac:dyDescent="0.2">
      <c r="A129" s="75">
        <v>40003378932</v>
      </c>
      <c r="B129" s="158" t="s">
        <v>292</v>
      </c>
      <c r="C129" s="255" t="s">
        <v>438</v>
      </c>
      <c r="D129" s="220">
        <f t="shared" si="219"/>
        <v>890127</v>
      </c>
      <c r="E129" s="208">
        <f t="shared" si="209"/>
        <v>668066</v>
      </c>
      <c r="F129" s="208">
        <v>890127</v>
      </c>
      <c r="G129" s="208">
        <f t="shared" si="184"/>
        <v>668066</v>
      </c>
      <c r="H129" s="208">
        <f t="shared" si="185"/>
        <v>-222061</v>
      </c>
      <c r="I129" s="208"/>
      <c r="J129" s="208"/>
      <c r="K129" s="208"/>
      <c r="L129" s="208"/>
      <c r="M129" s="208"/>
      <c r="N129" s="208"/>
      <c r="O129" s="208"/>
      <c r="P129" s="208"/>
      <c r="Q129" s="208"/>
      <c r="R129" s="208">
        <v>-263957</v>
      </c>
      <c r="S129" s="208"/>
      <c r="T129" s="208"/>
      <c r="U129" s="208"/>
      <c r="V129" s="208"/>
      <c r="W129" s="208"/>
      <c r="X129" s="208">
        <v>15711</v>
      </c>
      <c r="Y129" s="208"/>
      <c r="Z129" s="208"/>
      <c r="AA129" s="208">
        <v>26185</v>
      </c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>
        <v>0</v>
      </c>
      <c r="AN129" s="208">
        <f t="shared" si="186"/>
        <v>0</v>
      </c>
      <c r="AO129" s="208">
        <f t="shared" si="187"/>
        <v>0</v>
      </c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>
        <v>0</v>
      </c>
      <c r="BB129" s="208">
        <f t="shared" si="188"/>
        <v>0</v>
      </c>
      <c r="BC129" s="208">
        <f t="shared" si="189"/>
        <v>0</v>
      </c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>
        <v>0</v>
      </c>
      <c r="BP129" s="208">
        <f t="shared" si="190"/>
        <v>0</v>
      </c>
      <c r="BQ129" s="208">
        <f t="shared" si="191"/>
        <v>0</v>
      </c>
      <c r="BR129" s="208"/>
      <c r="BS129" s="208"/>
      <c r="BT129" s="208"/>
      <c r="BU129" s="208"/>
      <c r="BV129" s="208"/>
      <c r="BW129" s="208">
        <f t="shared" si="192"/>
        <v>0</v>
      </c>
      <c r="BX129" s="208">
        <f t="shared" si="193"/>
        <v>0</v>
      </c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59"/>
      <c r="CJ129" s="54" t="s">
        <v>354</v>
      </c>
      <c r="CK129" s="57"/>
      <c r="CL129" s="230" t="s">
        <v>692</v>
      </c>
      <c r="CM129" s="10" t="s">
        <v>693</v>
      </c>
      <c r="CQ129" s="10" t="e">
        <f>D129-#REF!</f>
        <v>#REF!</v>
      </c>
      <c r="CR129" s="10" t="e">
        <f>D129-#REF!</f>
        <v>#REF!</v>
      </c>
      <c r="CS129" s="8" t="e">
        <f>F129-#REF!</f>
        <v>#REF!</v>
      </c>
    </row>
    <row r="130" spans="1:97" s="8" customFormat="1" x14ac:dyDescent="0.2">
      <c r="A130" s="76"/>
      <c r="B130" s="158"/>
      <c r="C130" s="285" t="s">
        <v>746</v>
      </c>
      <c r="D130" s="220">
        <f t="shared" si="219"/>
        <v>61000</v>
      </c>
      <c r="E130" s="208">
        <f t="shared" si="209"/>
        <v>0</v>
      </c>
      <c r="F130" s="208">
        <v>61000</v>
      </c>
      <c r="G130" s="208">
        <f t="shared" si="184"/>
        <v>0</v>
      </c>
      <c r="H130" s="208">
        <f t="shared" si="185"/>
        <v>-61000</v>
      </c>
      <c r="I130" s="208"/>
      <c r="J130" s="208"/>
      <c r="K130" s="208"/>
      <c r="L130" s="208"/>
      <c r="M130" s="208"/>
      <c r="N130" s="208"/>
      <c r="O130" s="208"/>
      <c r="P130" s="208"/>
      <c r="Q130" s="208"/>
      <c r="R130" s="208">
        <v>-61000</v>
      </c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>
        <v>0</v>
      </c>
      <c r="AN130" s="208">
        <f t="shared" si="186"/>
        <v>0</v>
      </c>
      <c r="AO130" s="208">
        <f t="shared" si="187"/>
        <v>0</v>
      </c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>
        <v>0</v>
      </c>
      <c r="BB130" s="208">
        <f t="shared" si="188"/>
        <v>0</v>
      </c>
      <c r="BC130" s="208">
        <f t="shared" si="189"/>
        <v>0</v>
      </c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>
        <v>0</v>
      </c>
      <c r="BP130" s="208">
        <f t="shared" si="190"/>
        <v>0</v>
      </c>
      <c r="BQ130" s="208">
        <f t="shared" si="191"/>
        <v>0</v>
      </c>
      <c r="BR130" s="208"/>
      <c r="BS130" s="208"/>
      <c r="BT130" s="208"/>
      <c r="BU130" s="208"/>
      <c r="BV130" s="208"/>
      <c r="BW130" s="208">
        <f t="shared" si="192"/>
        <v>0</v>
      </c>
      <c r="BX130" s="208">
        <f t="shared" si="193"/>
        <v>0</v>
      </c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59"/>
      <c r="CJ130" s="54" t="s">
        <v>742</v>
      </c>
      <c r="CK130" s="57"/>
      <c r="CL130" s="230"/>
      <c r="CM130" s="10"/>
      <c r="CQ130" s="10" t="e">
        <f>D130-#REF!</f>
        <v>#REF!</v>
      </c>
      <c r="CR130" s="10" t="e">
        <f>D130-#REF!</f>
        <v>#REF!</v>
      </c>
      <c r="CS130" s="8" t="e">
        <f>F130-#REF!</f>
        <v>#REF!</v>
      </c>
    </row>
    <row r="131" spans="1:97" ht="12.75" thickBot="1" x14ac:dyDescent="0.25">
      <c r="A131" s="197"/>
      <c r="B131" s="386"/>
      <c r="C131" s="387"/>
      <c r="D131" s="225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74"/>
      <c r="CJ131" s="199"/>
      <c r="CK131" s="200"/>
      <c r="CL131" s="230"/>
      <c r="CM131" s="10"/>
      <c r="CQ131" s="10" t="e">
        <f>D131-#REF!</f>
        <v>#REF!</v>
      </c>
      <c r="CR131" s="10" t="e">
        <f>D131-#REF!</f>
        <v>#REF!</v>
      </c>
      <c r="CS131" s="1" t="e">
        <f>F131-#REF!</f>
        <v>#REF!</v>
      </c>
    </row>
    <row r="132" spans="1:97" ht="12.75" thickBot="1" x14ac:dyDescent="0.25">
      <c r="A132" s="140" t="s">
        <v>17</v>
      </c>
      <c r="B132" s="90" t="s">
        <v>18</v>
      </c>
      <c r="C132" s="365"/>
      <c r="D132" s="223">
        <f t="shared" ref="D132:BD132" si="253">SUM(D133:D234)</f>
        <v>40014226</v>
      </c>
      <c r="E132" s="262">
        <f t="shared" si="253"/>
        <v>38829566</v>
      </c>
      <c r="F132" s="262">
        <f t="shared" si="253"/>
        <v>30135722</v>
      </c>
      <c r="G132" s="262">
        <f t="shared" si="253"/>
        <v>29174329</v>
      </c>
      <c r="H132" s="262">
        <f t="shared" si="253"/>
        <v>-961393</v>
      </c>
      <c r="I132" s="262">
        <f t="shared" si="253"/>
        <v>0</v>
      </c>
      <c r="J132" s="262">
        <f t="shared" si="253"/>
        <v>0</v>
      </c>
      <c r="K132" s="262">
        <f t="shared" si="253"/>
        <v>599</v>
      </c>
      <c r="L132" s="262">
        <f t="shared" si="253"/>
        <v>0</v>
      </c>
      <c r="M132" s="262">
        <f t="shared" si="253"/>
        <v>467448</v>
      </c>
      <c r="N132" s="262">
        <f t="shared" si="253"/>
        <v>0</v>
      </c>
      <c r="O132" s="262">
        <f t="shared" si="253"/>
        <v>0</v>
      </c>
      <c r="P132" s="262">
        <f t="shared" si="253"/>
        <v>2391</v>
      </c>
      <c r="Q132" s="262">
        <f t="shared" si="253"/>
        <v>111037</v>
      </c>
      <c r="R132" s="262">
        <f t="shared" ref="R132:AK132" si="254">SUM(R133:R234)</f>
        <v>155168</v>
      </c>
      <c r="S132" s="262">
        <f t="shared" si="254"/>
        <v>0</v>
      </c>
      <c r="T132" s="262">
        <f t="shared" si="254"/>
        <v>0</v>
      </c>
      <c r="U132" s="262">
        <f t="shared" si="254"/>
        <v>37616</v>
      </c>
      <c r="V132" s="262">
        <f t="shared" si="254"/>
        <v>0</v>
      </c>
      <c r="W132" s="262">
        <f t="shared" si="254"/>
        <v>0</v>
      </c>
      <c r="X132" s="262">
        <f t="shared" si="254"/>
        <v>-25606</v>
      </c>
      <c r="Y132" s="262">
        <f t="shared" si="254"/>
        <v>0</v>
      </c>
      <c r="Z132" s="262">
        <f t="shared" si="254"/>
        <v>0</v>
      </c>
      <c r="AA132" s="262">
        <f t="shared" si="254"/>
        <v>-286958</v>
      </c>
      <c r="AB132" s="262">
        <f t="shared" si="254"/>
        <v>0</v>
      </c>
      <c r="AC132" s="262">
        <f t="shared" si="254"/>
        <v>2578</v>
      </c>
      <c r="AD132" s="262">
        <f t="shared" si="254"/>
        <v>-141058</v>
      </c>
      <c r="AE132" s="262">
        <f t="shared" ref="AE132:AI132" si="255">SUM(AE133:AE234)</f>
        <v>7837</v>
      </c>
      <c r="AF132" s="262">
        <f t="shared" ref="AF132:AG132" si="256">SUM(AF133:AF234)</f>
        <v>0</v>
      </c>
      <c r="AG132" s="262">
        <f t="shared" si="256"/>
        <v>-1292445</v>
      </c>
      <c r="AH132" s="262">
        <f t="shared" si="255"/>
        <v>0</v>
      </c>
      <c r="AI132" s="262">
        <f t="shared" si="255"/>
        <v>0</v>
      </c>
      <c r="AJ132" s="262">
        <f t="shared" si="254"/>
        <v>0</v>
      </c>
      <c r="AK132" s="262">
        <f t="shared" si="254"/>
        <v>0</v>
      </c>
      <c r="AL132" s="262">
        <f t="shared" si="253"/>
        <v>0</v>
      </c>
      <c r="AM132" s="262">
        <f t="shared" si="253"/>
        <v>9316555</v>
      </c>
      <c r="AN132" s="262">
        <f t="shared" si="253"/>
        <v>9394051</v>
      </c>
      <c r="AO132" s="262">
        <f t="shared" si="253"/>
        <v>77496</v>
      </c>
      <c r="AP132" s="262">
        <f t="shared" si="253"/>
        <v>33148</v>
      </c>
      <c r="AQ132" s="262">
        <f t="shared" si="253"/>
        <v>0</v>
      </c>
      <c r="AR132" s="262">
        <f t="shared" si="253"/>
        <v>-24835</v>
      </c>
      <c r="AS132" s="262">
        <f t="shared" si="253"/>
        <v>12182</v>
      </c>
      <c r="AT132" s="262">
        <f t="shared" si="253"/>
        <v>-68146</v>
      </c>
      <c r="AU132" s="262">
        <f t="shared" ref="AU132" si="257">SUM(AU133:AU234)</f>
        <v>-7123</v>
      </c>
      <c r="AV132" s="262">
        <f t="shared" si="253"/>
        <v>132270</v>
      </c>
      <c r="AW132" s="262">
        <f t="shared" si="253"/>
        <v>0</v>
      </c>
      <c r="AX132" s="262">
        <f t="shared" si="253"/>
        <v>0</v>
      </c>
      <c r="AY132" s="262">
        <f t="shared" si="253"/>
        <v>0</v>
      </c>
      <c r="AZ132" s="262">
        <f t="shared" si="253"/>
        <v>0</v>
      </c>
      <c r="BA132" s="262">
        <f t="shared" si="253"/>
        <v>580429</v>
      </c>
      <c r="BB132" s="262">
        <f t="shared" si="253"/>
        <v>489638</v>
      </c>
      <c r="BC132" s="262">
        <f t="shared" si="253"/>
        <v>-90791</v>
      </c>
      <c r="BD132" s="262">
        <f t="shared" si="253"/>
        <v>59275</v>
      </c>
      <c r="BE132" s="262">
        <f t="shared" ref="BE132:CI132" si="258">SUM(BE133:BE234)</f>
        <v>0</v>
      </c>
      <c r="BF132" s="262">
        <f t="shared" si="258"/>
        <v>6664</v>
      </c>
      <c r="BG132" s="262">
        <f t="shared" si="258"/>
        <v>-68084</v>
      </c>
      <c r="BH132" s="262">
        <f t="shared" ref="BH132" si="259">SUM(BH133:BH234)</f>
        <v>0</v>
      </c>
      <c r="BI132" s="262">
        <f t="shared" si="258"/>
        <v>0</v>
      </c>
      <c r="BJ132" s="262">
        <f t="shared" si="258"/>
        <v>-88646</v>
      </c>
      <c r="BK132" s="262">
        <f t="shared" si="258"/>
        <v>0</v>
      </c>
      <c r="BL132" s="262">
        <f t="shared" si="258"/>
        <v>0</v>
      </c>
      <c r="BM132" s="262">
        <f t="shared" si="258"/>
        <v>0</v>
      </c>
      <c r="BN132" s="262">
        <f t="shared" si="258"/>
        <v>0</v>
      </c>
      <c r="BO132" s="262">
        <f t="shared" si="258"/>
        <v>1091</v>
      </c>
      <c r="BP132" s="262">
        <f t="shared" si="258"/>
        <v>1791</v>
      </c>
      <c r="BQ132" s="262">
        <f t="shared" si="258"/>
        <v>700</v>
      </c>
      <c r="BR132" s="262">
        <f t="shared" si="258"/>
        <v>700</v>
      </c>
      <c r="BS132" s="262">
        <f t="shared" si="258"/>
        <v>0</v>
      </c>
      <c r="BT132" s="262">
        <f t="shared" si="258"/>
        <v>0</v>
      </c>
      <c r="BU132" s="262">
        <f t="shared" si="258"/>
        <v>0</v>
      </c>
      <c r="BV132" s="262">
        <f t="shared" si="258"/>
        <v>-19571</v>
      </c>
      <c r="BW132" s="262">
        <f t="shared" si="258"/>
        <v>-230243</v>
      </c>
      <c r="BX132" s="262">
        <f t="shared" si="258"/>
        <v>-210672</v>
      </c>
      <c r="BY132" s="262">
        <f t="shared" si="258"/>
        <v>-211648</v>
      </c>
      <c r="BZ132" s="262">
        <f t="shared" si="258"/>
        <v>-351</v>
      </c>
      <c r="CA132" s="262">
        <f t="shared" si="258"/>
        <v>-65376</v>
      </c>
      <c r="CB132" s="262">
        <f t="shared" si="258"/>
        <v>0</v>
      </c>
      <c r="CC132" s="262">
        <f t="shared" si="258"/>
        <v>0</v>
      </c>
      <c r="CD132" s="262">
        <f t="shared" si="258"/>
        <v>0</v>
      </c>
      <c r="CE132" s="262">
        <f t="shared" si="258"/>
        <v>68029</v>
      </c>
      <c r="CF132" s="262">
        <f t="shared" ref="CF132" si="260">SUM(CF133:CF234)</f>
        <v>0</v>
      </c>
      <c r="CG132" s="262">
        <f t="shared" si="258"/>
        <v>-1326</v>
      </c>
      <c r="CH132" s="262">
        <f t="shared" si="258"/>
        <v>0</v>
      </c>
      <c r="CI132" s="270">
        <f t="shared" si="258"/>
        <v>0</v>
      </c>
      <c r="CJ132" s="7"/>
      <c r="CK132" s="59"/>
      <c r="CL132" s="230"/>
      <c r="CM132" s="10"/>
      <c r="CQ132" s="10" t="e">
        <f>D132-#REF!</f>
        <v>#REF!</v>
      </c>
      <c r="CR132" s="10" t="e">
        <f>D132-#REF!</f>
        <v>#REF!</v>
      </c>
      <c r="CS132" s="1" t="e">
        <f>F132-#REF!</f>
        <v>#REF!</v>
      </c>
    </row>
    <row r="133" spans="1:97" ht="12.75" customHeight="1" thickTop="1" x14ac:dyDescent="0.2">
      <c r="A133" s="75">
        <v>90000056357</v>
      </c>
      <c r="B133" s="164" t="s">
        <v>5</v>
      </c>
      <c r="C133" s="189" t="s">
        <v>177</v>
      </c>
      <c r="D133" s="220">
        <f t="shared" ref="D133:D150" si="261">F133+AM133+BA133+BO133+BV133</f>
        <v>380059</v>
      </c>
      <c r="E133" s="210">
        <f t="shared" ref="E133:E150" si="262">G133+AN133+BB133+BP133+BW133</f>
        <v>400684</v>
      </c>
      <c r="F133" s="212">
        <v>380059</v>
      </c>
      <c r="G133" s="212">
        <f t="shared" ref="G133:G204" si="263">F133+H133</f>
        <v>400684</v>
      </c>
      <c r="H133" s="212">
        <f t="shared" ref="H133:H164" si="264">SUM(I133:AL133)</f>
        <v>20625</v>
      </c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>
        <f>-410+21035</f>
        <v>20625</v>
      </c>
      <c r="AH133" s="212"/>
      <c r="AI133" s="212"/>
      <c r="AJ133" s="212"/>
      <c r="AK133" s="212"/>
      <c r="AL133" s="212"/>
      <c r="AM133" s="212">
        <v>0</v>
      </c>
      <c r="AN133" s="212">
        <f t="shared" ref="AN133:AN204" si="265">AM133+AO133</f>
        <v>0</v>
      </c>
      <c r="AO133" s="212">
        <f t="shared" ref="AO133:AO204" si="266">SUM(AP133:AZ133)</f>
        <v>0</v>
      </c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>
        <v>0</v>
      </c>
      <c r="BB133" s="212">
        <f t="shared" ref="BB133:BB204" si="267">BA133+BC133</f>
        <v>0</v>
      </c>
      <c r="BC133" s="212">
        <f t="shared" ref="BC133:BC204" si="268">SUM(BD133:BN133)</f>
        <v>0</v>
      </c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>
        <v>0</v>
      </c>
      <c r="BP133" s="212">
        <f t="shared" ref="BP133:BP204" si="269">BO133+BQ133</f>
        <v>0</v>
      </c>
      <c r="BQ133" s="212">
        <f t="shared" ref="BQ133:BQ204" si="270">SUM(BR133:BU133)</f>
        <v>0</v>
      </c>
      <c r="BR133" s="212"/>
      <c r="BS133" s="212"/>
      <c r="BT133" s="212"/>
      <c r="BU133" s="212"/>
      <c r="BV133" s="212"/>
      <c r="BW133" s="212">
        <f t="shared" ref="BW133:BW204" si="271">BV133+BX133</f>
        <v>0</v>
      </c>
      <c r="BX133" s="212">
        <f t="shared" ref="BX133:BX164" si="272">SUM(BY133:CI133)</f>
        <v>0</v>
      </c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324"/>
      <c r="CJ133" s="135" t="s">
        <v>325</v>
      </c>
      <c r="CK133" s="136"/>
      <c r="CL133" s="230" t="s">
        <v>686</v>
      </c>
      <c r="CM133" s="10" t="s">
        <v>687</v>
      </c>
      <c r="CQ133" s="10" t="e">
        <f>D133-#REF!</f>
        <v>#REF!</v>
      </c>
      <c r="CR133" s="10" t="e">
        <f>D133-#REF!</f>
        <v>#REF!</v>
      </c>
      <c r="CS133" s="1" t="e">
        <f>F133-#REF!</f>
        <v>#REF!</v>
      </c>
    </row>
    <row r="134" spans="1:97" s="116" customFormat="1" ht="15.75" customHeight="1" x14ac:dyDescent="0.2">
      <c r="A134" s="75"/>
      <c r="B134" s="161"/>
      <c r="C134" s="231" t="s">
        <v>211</v>
      </c>
      <c r="D134" s="220">
        <f t="shared" si="261"/>
        <v>16953</v>
      </c>
      <c r="E134" s="208">
        <f t="shared" si="262"/>
        <v>18413</v>
      </c>
      <c r="F134" s="208">
        <v>16953</v>
      </c>
      <c r="G134" s="208">
        <f t="shared" si="263"/>
        <v>18413</v>
      </c>
      <c r="H134" s="208">
        <f t="shared" si="264"/>
        <v>1460</v>
      </c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>
        <v>1460</v>
      </c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>
        <v>0</v>
      </c>
      <c r="AN134" s="208">
        <f t="shared" si="265"/>
        <v>0</v>
      </c>
      <c r="AO134" s="208">
        <f t="shared" si="266"/>
        <v>0</v>
      </c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>
        <v>0</v>
      </c>
      <c r="BB134" s="208">
        <f t="shared" si="267"/>
        <v>0</v>
      </c>
      <c r="BC134" s="208">
        <f t="shared" si="268"/>
        <v>0</v>
      </c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>
        <v>0</v>
      </c>
      <c r="BP134" s="208">
        <f t="shared" si="269"/>
        <v>0</v>
      </c>
      <c r="BQ134" s="208">
        <f t="shared" si="270"/>
        <v>0</v>
      </c>
      <c r="BR134" s="208"/>
      <c r="BS134" s="208"/>
      <c r="BT134" s="208"/>
      <c r="BU134" s="208"/>
      <c r="BV134" s="208"/>
      <c r="BW134" s="210">
        <f t="shared" si="271"/>
        <v>0</v>
      </c>
      <c r="BX134" s="210">
        <f t="shared" si="272"/>
        <v>0</v>
      </c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71"/>
      <c r="CJ134" s="145" t="s">
        <v>326</v>
      </c>
      <c r="CK134" s="57" t="s">
        <v>618</v>
      </c>
      <c r="CL134" s="230" t="s">
        <v>688</v>
      </c>
      <c r="CM134" s="10" t="s">
        <v>688</v>
      </c>
      <c r="CQ134" s="10" t="e">
        <f>D134-#REF!</f>
        <v>#REF!</v>
      </c>
      <c r="CR134" s="10" t="e">
        <f>D134-#REF!</f>
        <v>#REF!</v>
      </c>
      <c r="CS134" s="116" t="e">
        <f>F134-#REF!</f>
        <v>#REF!</v>
      </c>
    </row>
    <row r="135" spans="1:97" ht="24" x14ac:dyDescent="0.2">
      <c r="A135" s="75"/>
      <c r="B135" s="161"/>
      <c r="C135" s="231" t="s">
        <v>231</v>
      </c>
      <c r="D135" s="220">
        <f t="shared" si="261"/>
        <v>125000</v>
      </c>
      <c r="E135" s="208">
        <f t="shared" si="262"/>
        <v>125000</v>
      </c>
      <c r="F135" s="208">
        <v>125000</v>
      </c>
      <c r="G135" s="208">
        <f t="shared" si="263"/>
        <v>125000</v>
      </c>
      <c r="H135" s="208">
        <f t="shared" si="264"/>
        <v>0</v>
      </c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>
        <v>0</v>
      </c>
      <c r="AN135" s="208">
        <f t="shared" si="265"/>
        <v>0</v>
      </c>
      <c r="AO135" s="208">
        <f t="shared" si="266"/>
        <v>0</v>
      </c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>
        <v>0</v>
      </c>
      <c r="BB135" s="208">
        <f t="shared" si="267"/>
        <v>0</v>
      </c>
      <c r="BC135" s="208">
        <f t="shared" si="268"/>
        <v>0</v>
      </c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>
        <v>0</v>
      </c>
      <c r="BP135" s="208">
        <f t="shared" si="269"/>
        <v>0</v>
      </c>
      <c r="BQ135" s="208">
        <f t="shared" si="270"/>
        <v>0</v>
      </c>
      <c r="BR135" s="208"/>
      <c r="BS135" s="208"/>
      <c r="BT135" s="208"/>
      <c r="BU135" s="208"/>
      <c r="BV135" s="208"/>
      <c r="BW135" s="210">
        <f t="shared" si="271"/>
        <v>0</v>
      </c>
      <c r="BX135" s="210">
        <f t="shared" si="272"/>
        <v>0</v>
      </c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71"/>
      <c r="CJ135" s="145" t="s">
        <v>327</v>
      </c>
      <c r="CK135" s="131" t="s">
        <v>530</v>
      </c>
      <c r="CL135" s="230" t="s">
        <v>688</v>
      </c>
      <c r="CM135" s="10" t="s">
        <v>688</v>
      </c>
      <c r="CQ135" s="10" t="e">
        <f>D135-#REF!</f>
        <v>#REF!</v>
      </c>
      <c r="CR135" s="10" t="e">
        <f>D135-#REF!</f>
        <v>#REF!</v>
      </c>
      <c r="CS135" s="1" t="e">
        <f>F135-#REF!</f>
        <v>#REF!</v>
      </c>
    </row>
    <row r="136" spans="1:97" s="115" customFormat="1" ht="14.25" customHeight="1" x14ac:dyDescent="0.2">
      <c r="A136" s="75"/>
      <c r="B136" s="161"/>
      <c r="C136" s="231" t="s">
        <v>456</v>
      </c>
      <c r="D136" s="220">
        <f t="shared" si="261"/>
        <v>229594</v>
      </c>
      <c r="E136" s="208">
        <f t="shared" si="262"/>
        <v>333802</v>
      </c>
      <c r="F136" s="208">
        <v>229594</v>
      </c>
      <c r="G136" s="208">
        <f t="shared" si="263"/>
        <v>333802</v>
      </c>
      <c r="H136" s="208">
        <f t="shared" si="264"/>
        <v>104208</v>
      </c>
      <c r="I136" s="208"/>
      <c r="J136" s="208"/>
      <c r="K136" s="208"/>
      <c r="L136" s="208"/>
      <c r="M136" s="208">
        <v>104208</v>
      </c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>
        <v>0</v>
      </c>
      <c r="AN136" s="208">
        <f t="shared" si="265"/>
        <v>0</v>
      </c>
      <c r="AO136" s="208">
        <f t="shared" si="266"/>
        <v>0</v>
      </c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>
        <v>0</v>
      </c>
      <c r="BB136" s="208">
        <f t="shared" si="267"/>
        <v>0</v>
      </c>
      <c r="BC136" s="208">
        <f t="shared" si="268"/>
        <v>0</v>
      </c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>
        <v>0</v>
      </c>
      <c r="BP136" s="208">
        <f t="shared" si="269"/>
        <v>0</v>
      </c>
      <c r="BQ136" s="208">
        <f t="shared" si="270"/>
        <v>0</v>
      </c>
      <c r="BR136" s="208"/>
      <c r="BS136" s="208"/>
      <c r="BT136" s="208"/>
      <c r="BU136" s="208"/>
      <c r="BV136" s="208"/>
      <c r="BW136" s="210">
        <f t="shared" si="271"/>
        <v>0</v>
      </c>
      <c r="BX136" s="210">
        <f t="shared" si="272"/>
        <v>0</v>
      </c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71"/>
      <c r="CJ136" s="145" t="s">
        <v>328</v>
      </c>
      <c r="CK136" s="57" t="s">
        <v>618</v>
      </c>
      <c r="CL136" s="230" t="s">
        <v>688</v>
      </c>
      <c r="CM136" s="10" t="s">
        <v>688</v>
      </c>
      <c r="CQ136" s="10" t="e">
        <f>D136-#REF!</f>
        <v>#REF!</v>
      </c>
      <c r="CR136" s="10" t="e">
        <f>D136-#REF!</f>
        <v>#REF!</v>
      </c>
      <c r="CS136" s="115" t="e">
        <f>F136-#REF!</f>
        <v>#REF!</v>
      </c>
    </row>
    <row r="137" spans="1:97" s="115" customFormat="1" x14ac:dyDescent="0.2">
      <c r="A137" s="75"/>
      <c r="B137" s="161"/>
      <c r="C137" s="233" t="s">
        <v>457</v>
      </c>
      <c r="D137" s="220">
        <f t="shared" si="261"/>
        <v>167341</v>
      </c>
      <c r="E137" s="210">
        <f t="shared" si="262"/>
        <v>40181</v>
      </c>
      <c r="F137" s="210">
        <v>116941</v>
      </c>
      <c r="G137" s="210">
        <f t="shared" si="263"/>
        <v>40181</v>
      </c>
      <c r="H137" s="210">
        <f t="shared" si="264"/>
        <v>-76760</v>
      </c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>
        <v>-6952</v>
      </c>
      <c r="U137" s="210">
        <v>-11959</v>
      </c>
      <c r="V137" s="210"/>
      <c r="W137" s="210"/>
      <c r="X137" s="210"/>
      <c r="Y137" s="210"/>
      <c r="Z137" s="210"/>
      <c r="AA137" s="210">
        <v>-57849</v>
      </c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>
        <v>50400</v>
      </c>
      <c r="AN137" s="210">
        <f t="shared" si="265"/>
        <v>0</v>
      </c>
      <c r="AO137" s="210">
        <f t="shared" si="266"/>
        <v>-50400</v>
      </c>
      <c r="AP137" s="210"/>
      <c r="AQ137" s="210"/>
      <c r="AR137" s="210"/>
      <c r="AS137" s="210"/>
      <c r="AT137" s="210">
        <v>-50400</v>
      </c>
      <c r="AU137" s="210"/>
      <c r="AV137" s="210"/>
      <c r="AW137" s="210"/>
      <c r="AX137" s="210"/>
      <c r="AY137" s="210"/>
      <c r="AZ137" s="210"/>
      <c r="BA137" s="210">
        <v>0</v>
      </c>
      <c r="BB137" s="210">
        <f t="shared" si="267"/>
        <v>0</v>
      </c>
      <c r="BC137" s="210">
        <f t="shared" si="268"/>
        <v>0</v>
      </c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>
        <v>0</v>
      </c>
      <c r="BP137" s="210">
        <f t="shared" si="269"/>
        <v>0</v>
      </c>
      <c r="BQ137" s="210">
        <f t="shared" si="270"/>
        <v>0</v>
      </c>
      <c r="BR137" s="210"/>
      <c r="BS137" s="210"/>
      <c r="BT137" s="210"/>
      <c r="BU137" s="210"/>
      <c r="BV137" s="210"/>
      <c r="BW137" s="210">
        <f t="shared" si="271"/>
        <v>0</v>
      </c>
      <c r="BX137" s="210">
        <f t="shared" si="272"/>
        <v>0</v>
      </c>
      <c r="BY137" s="210"/>
      <c r="BZ137" s="210"/>
      <c r="CA137" s="210"/>
      <c r="CB137" s="210"/>
      <c r="CC137" s="210"/>
      <c r="CD137" s="210"/>
      <c r="CE137" s="210"/>
      <c r="CF137" s="210"/>
      <c r="CG137" s="210"/>
      <c r="CH137" s="210"/>
      <c r="CI137" s="271"/>
      <c r="CJ137" s="145" t="s">
        <v>329</v>
      </c>
      <c r="CK137" s="57" t="s">
        <v>618</v>
      </c>
      <c r="CL137" s="230" t="s">
        <v>688</v>
      </c>
      <c r="CM137" s="10" t="s">
        <v>688</v>
      </c>
      <c r="CQ137" s="10" t="e">
        <f>D137-#REF!</f>
        <v>#REF!</v>
      </c>
      <c r="CR137" s="10" t="e">
        <f>D137-#REF!</f>
        <v>#REF!</v>
      </c>
      <c r="CS137" s="115" t="e">
        <f>F137-#REF!</f>
        <v>#REF!</v>
      </c>
    </row>
    <row r="138" spans="1:97" s="115" customFormat="1" x14ac:dyDescent="0.2">
      <c r="A138" s="75"/>
      <c r="B138" s="161"/>
      <c r="C138" s="231" t="s">
        <v>213</v>
      </c>
      <c r="D138" s="220">
        <f t="shared" si="261"/>
        <v>17266</v>
      </c>
      <c r="E138" s="210">
        <f t="shared" si="262"/>
        <v>17266</v>
      </c>
      <c r="F138" s="210">
        <v>17266</v>
      </c>
      <c r="G138" s="210">
        <f t="shared" si="263"/>
        <v>17266</v>
      </c>
      <c r="H138" s="210">
        <f t="shared" si="264"/>
        <v>0</v>
      </c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>
        <v>0</v>
      </c>
      <c r="AN138" s="210">
        <f t="shared" si="265"/>
        <v>0</v>
      </c>
      <c r="AO138" s="210">
        <f t="shared" si="266"/>
        <v>0</v>
      </c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>
        <v>0</v>
      </c>
      <c r="BB138" s="210">
        <f t="shared" si="267"/>
        <v>0</v>
      </c>
      <c r="BC138" s="210">
        <f t="shared" si="268"/>
        <v>0</v>
      </c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>
        <v>0</v>
      </c>
      <c r="BP138" s="210">
        <f t="shared" si="269"/>
        <v>0</v>
      </c>
      <c r="BQ138" s="210">
        <f t="shared" si="270"/>
        <v>0</v>
      </c>
      <c r="BR138" s="210"/>
      <c r="BS138" s="210"/>
      <c r="BT138" s="210"/>
      <c r="BU138" s="210"/>
      <c r="BV138" s="210"/>
      <c r="BW138" s="210">
        <f t="shared" si="271"/>
        <v>0</v>
      </c>
      <c r="BX138" s="210">
        <f t="shared" si="272"/>
        <v>0</v>
      </c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71"/>
      <c r="CJ138" s="145" t="s">
        <v>460</v>
      </c>
      <c r="CK138" s="57" t="s">
        <v>618</v>
      </c>
      <c r="CL138" s="230" t="s">
        <v>688</v>
      </c>
      <c r="CM138" s="10" t="s">
        <v>688</v>
      </c>
      <c r="CQ138" s="10" t="e">
        <f>D138-#REF!</f>
        <v>#REF!</v>
      </c>
      <c r="CR138" s="10" t="e">
        <f>D138-#REF!</f>
        <v>#REF!</v>
      </c>
      <c r="CS138" s="115" t="e">
        <f>F138-#REF!</f>
        <v>#REF!</v>
      </c>
    </row>
    <row r="139" spans="1:97" s="115" customFormat="1" ht="24" x14ac:dyDescent="0.2">
      <c r="A139" s="75"/>
      <c r="B139" s="161"/>
      <c r="C139" s="231" t="s">
        <v>480</v>
      </c>
      <c r="D139" s="220">
        <f t="shared" si="261"/>
        <v>134751</v>
      </c>
      <c r="E139" s="210">
        <f t="shared" si="262"/>
        <v>153662</v>
      </c>
      <c r="F139" s="210">
        <v>134751</v>
      </c>
      <c r="G139" s="210">
        <f t="shared" si="263"/>
        <v>153662</v>
      </c>
      <c r="H139" s="210">
        <f t="shared" si="264"/>
        <v>18911</v>
      </c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>
        <v>6952</v>
      </c>
      <c r="U139" s="210">
        <v>11959</v>
      </c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>
        <v>0</v>
      </c>
      <c r="AN139" s="210">
        <f t="shared" si="265"/>
        <v>0</v>
      </c>
      <c r="AO139" s="210">
        <f t="shared" si="266"/>
        <v>0</v>
      </c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>
        <v>0</v>
      </c>
      <c r="BB139" s="210">
        <f t="shared" si="267"/>
        <v>0</v>
      </c>
      <c r="BC139" s="210">
        <f t="shared" si="268"/>
        <v>0</v>
      </c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>
        <v>0</v>
      </c>
      <c r="BP139" s="210">
        <f t="shared" si="269"/>
        <v>0</v>
      </c>
      <c r="BQ139" s="210">
        <f t="shared" si="270"/>
        <v>0</v>
      </c>
      <c r="BR139" s="210"/>
      <c r="BS139" s="210"/>
      <c r="BT139" s="210"/>
      <c r="BU139" s="210"/>
      <c r="BV139" s="210"/>
      <c r="BW139" s="210">
        <f t="shared" si="271"/>
        <v>0</v>
      </c>
      <c r="BX139" s="210">
        <f t="shared" si="272"/>
        <v>0</v>
      </c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71"/>
      <c r="CJ139" s="145" t="s">
        <v>461</v>
      </c>
      <c r="CK139" s="57" t="s">
        <v>618</v>
      </c>
      <c r="CL139" s="230" t="s">
        <v>688</v>
      </c>
      <c r="CM139" s="10" t="s">
        <v>688</v>
      </c>
      <c r="CQ139" s="10" t="e">
        <f>D139-#REF!</f>
        <v>#REF!</v>
      </c>
      <c r="CR139" s="10" t="e">
        <f>D139-#REF!</f>
        <v>#REF!</v>
      </c>
      <c r="CS139" s="115" t="e">
        <f>F139-#REF!</f>
        <v>#REF!</v>
      </c>
    </row>
    <row r="140" spans="1:97" s="116" customFormat="1" ht="26.25" customHeight="1" x14ac:dyDescent="0.2">
      <c r="A140" s="75"/>
      <c r="B140" s="161"/>
      <c r="C140" s="284" t="s">
        <v>248</v>
      </c>
      <c r="D140" s="220">
        <f t="shared" si="261"/>
        <v>220258</v>
      </c>
      <c r="E140" s="208">
        <f t="shared" si="262"/>
        <v>269856</v>
      </c>
      <c r="F140" s="208">
        <v>220258</v>
      </c>
      <c r="G140" s="208">
        <f t="shared" si="263"/>
        <v>269856</v>
      </c>
      <c r="H140" s="208">
        <f t="shared" si="264"/>
        <v>49598</v>
      </c>
      <c r="I140" s="208"/>
      <c r="J140" s="208"/>
      <c r="K140" s="208">
        <v>599</v>
      </c>
      <c r="L140" s="208"/>
      <c r="M140" s="208">
        <v>35059</v>
      </c>
      <c r="N140" s="208"/>
      <c r="O140" s="208"/>
      <c r="P140" s="208"/>
      <c r="Q140" s="208">
        <f>-4295</f>
        <v>-4295</v>
      </c>
      <c r="R140" s="208">
        <v>40000</v>
      </c>
      <c r="S140" s="208"/>
      <c r="T140" s="208"/>
      <c r="U140" s="208"/>
      <c r="V140" s="208"/>
      <c r="W140" s="208"/>
      <c r="X140" s="208">
        <v>15801</v>
      </c>
      <c r="Y140" s="208"/>
      <c r="Z140" s="208"/>
      <c r="AA140" s="208">
        <v>-859</v>
      </c>
      <c r="AB140" s="208"/>
      <c r="AC140" s="208"/>
      <c r="AD140" s="208"/>
      <c r="AE140" s="208"/>
      <c r="AF140" s="208"/>
      <c r="AG140" s="208">
        <v>-36707</v>
      </c>
      <c r="AH140" s="208"/>
      <c r="AI140" s="208"/>
      <c r="AJ140" s="208"/>
      <c r="AK140" s="208"/>
      <c r="AL140" s="208"/>
      <c r="AM140" s="208">
        <v>0</v>
      </c>
      <c r="AN140" s="208">
        <f t="shared" si="265"/>
        <v>0</v>
      </c>
      <c r="AO140" s="208">
        <f t="shared" si="266"/>
        <v>0</v>
      </c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>
        <v>0</v>
      </c>
      <c r="BB140" s="208">
        <f t="shared" si="267"/>
        <v>0</v>
      </c>
      <c r="BC140" s="208">
        <f t="shared" si="268"/>
        <v>0</v>
      </c>
      <c r="BD140" s="208"/>
      <c r="BE140" s="208"/>
      <c r="BF140" s="208"/>
      <c r="BG140" s="208"/>
      <c r="BH140" s="208"/>
      <c r="BI140" s="208"/>
      <c r="BJ140" s="208"/>
      <c r="BK140" s="208"/>
      <c r="BL140" s="208"/>
      <c r="BM140" s="208"/>
      <c r="BN140" s="208"/>
      <c r="BO140" s="208">
        <v>0</v>
      </c>
      <c r="BP140" s="208">
        <f t="shared" si="269"/>
        <v>0</v>
      </c>
      <c r="BQ140" s="208">
        <f t="shared" si="270"/>
        <v>0</v>
      </c>
      <c r="BR140" s="208"/>
      <c r="BS140" s="208"/>
      <c r="BT140" s="208"/>
      <c r="BU140" s="208"/>
      <c r="BV140" s="208"/>
      <c r="BW140" s="210">
        <f t="shared" si="271"/>
        <v>0</v>
      </c>
      <c r="BX140" s="210">
        <f t="shared" si="272"/>
        <v>0</v>
      </c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71"/>
      <c r="CJ140" s="145" t="s">
        <v>734</v>
      </c>
      <c r="CK140" s="131" t="s">
        <v>612</v>
      </c>
      <c r="CL140" s="230" t="s">
        <v>688</v>
      </c>
      <c r="CM140" s="10" t="s">
        <v>688</v>
      </c>
      <c r="CN140" s="234" t="s">
        <v>718</v>
      </c>
      <c r="CO140" s="130" t="s">
        <v>715</v>
      </c>
      <c r="CQ140" s="10" t="e">
        <f>D140-#REF!</f>
        <v>#REF!</v>
      </c>
      <c r="CR140" s="10" t="e">
        <f>D140-#REF!</f>
        <v>#REF!</v>
      </c>
      <c r="CS140" s="116" t="e">
        <f>F140-#REF!</f>
        <v>#REF!</v>
      </c>
    </row>
    <row r="141" spans="1:97" s="116" customFormat="1" ht="24" x14ac:dyDescent="0.2">
      <c r="A141" s="75"/>
      <c r="B141" s="161"/>
      <c r="C141" s="231" t="s">
        <v>249</v>
      </c>
      <c r="D141" s="220">
        <f t="shared" si="261"/>
        <v>5091683</v>
      </c>
      <c r="E141" s="208">
        <f t="shared" si="262"/>
        <v>3509604</v>
      </c>
      <c r="F141" s="208">
        <v>5091683</v>
      </c>
      <c r="G141" s="208">
        <f t="shared" si="263"/>
        <v>3509604</v>
      </c>
      <c r="H141" s="208">
        <f t="shared" si="264"/>
        <v>-1582079</v>
      </c>
      <c r="I141" s="208"/>
      <c r="J141" s="208"/>
      <c r="K141" s="208"/>
      <c r="L141" s="208"/>
      <c r="M141" s="208">
        <v>-3194</v>
      </c>
      <c r="N141" s="208"/>
      <c r="O141" s="208"/>
      <c r="P141" s="208"/>
      <c r="Q141" s="208"/>
      <c r="R141" s="208">
        <v>72046</v>
      </c>
      <c r="S141" s="208"/>
      <c r="T141" s="208"/>
      <c r="U141" s="208"/>
      <c r="V141" s="208"/>
      <c r="W141" s="208"/>
      <c r="X141" s="208">
        <v>-15801</v>
      </c>
      <c r="Y141" s="208"/>
      <c r="Z141" s="208"/>
      <c r="AA141" s="208">
        <v>-410</v>
      </c>
      <c r="AB141" s="208"/>
      <c r="AC141" s="208"/>
      <c r="AD141" s="208">
        <v>-111055</v>
      </c>
      <c r="AE141" s="208"/>
      <c r="AF141" s="208"/>
      <c r="AG141" s="208">
        <f>-1395858-127807</f>
        <v>-1523665</v>
      </c>
      <c r="AH141" s="208"/>
      <c r="AI141" s="208"/>
      <c r="AJ141" s="208"/>
      <c r="AK141" s="208"/>
      <c r="AL141" s="208"/>
      <c r="AM141" s="208">
        <v>0</v>
      </c>
      <c r="AN141" s="208">
        <f t="shared" si="265"/>
        <v>0</v>
      </c>
      <c r="AO141" s="208">
        <f t="shared" si="266"/>
        <v>0</v>
      </c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>
        <v>0</v>
      </c>
      <c r="BB141" s="208">
        <f t="shared" si="267"/>
        <v>0</v>
      </c>
      <c r="BC141" s="208">
        <f t="shared" si="268"/>
        <v>0</v>
      </c>
      <c r="BD141" s="208"/>
      <c r="BE141" s="208"/>
      <c r="BF141" s="208"/>
      <c r="BG141" s="208"/>
      <c r="BH141" s="208"/>
      <c r="BI141" s="208"/>
      <c r="BJ141" s="208"/>
      <c r="BK141" s="208"/>
      <c r="BL141" s="208"/>
      <c r="BM141" s="208"/>
      <c r="BN141" s="208"/>
      <c r="BO141" s="208">
        <v>0</v>
      </c>
      <c r="BP141" s="208">
        <f t="shared" si="269"/>
        <v>0</v>
      </c>
      <c r="BQ141" s="208">
        <f t="shared" si="270"/>
        <v>0</v>
      </c>
      <c r="BR141" s="208"/>
      <c r="BS141" s="208"/>
      <c r="BT141" s="208"/>
      <c r="BU141" s="208"/>
      <c r="BV141" s="208"/>
      <c r="BW141" s="210">
        <f t="shared" si="271"/>
        <v>0</v>
      </c>
      <c r="BX141" s="210">
        <f t="shared" si="272"/>
        <v>0</v>
      </c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71"/>
      <c r="CJ141" s="145" t="s">
        <v>735</v>
      </c>
      <c r="CK141" s="131" t="s">
        <v>612</v>
      </c>
      <c r="CL141" s="230" t="s">
        <v>688</v>
      </c>
      <c r="CM141" s="10" t="s">
        <v>688</v>
      </c>
      <c r="CQ141" s="10" t="e">
        <f>D141-#REF!</f>
        <v>#REF!</v>
      </c>
      <c r="CR141" s="10" t="e">
        <f>D141-#REF!</f>
        <v>#REF!</v>
      </c>
      <c r="CS141" s="116" t="e">
        <f>F141-#REF!</f>
        <v>#REF!</v>
      </c>
    </row>
    <row r="142" spans="1:97" ht="24" x14ac:dyDescent="0.2">
      <c r="A142" s="75"/>
      <c r="B142" s="159"/>
      <c r="C142" s="231" t="s">
        <v>250</v>
      </c>
      <c r="D142" s="220">
        <f t="shared" si="261"/>
        <v>31600</v>
      </c>
      <c r="E142" s="210">
        <f t="shared" si="262"/>
        <v>19091</v>
      </c>
      <c r="F142" s="210">
        <v>31600</v>
      </c>
      <c r="G142" s="210">
        <f t="shared" si="263"/>
        <v>19091</v>
      </c>
      <c r="H142" s="210">
        <f t="shared" si="264"/>
        <v>-12509</v>
      </c>
      <c r="I142" s="210"/>
      <c r="J142" s="210"/>
      <c r="K142" s="210"/>
      <c r="L142" s="210"/>
      <c r="M142" s="210">
        <v>1500</v>
      </c>
      <c r="N142" s="210"/>
      <c r="O142" s="210"/>
      <c r="P142" s="210"/>
      <c r="Q142" s="210"/>
      <c r="R142" s="210">
        <v>1000</v>
      </c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>
        <v>-15009</v>
      </c>
      <c r="AH142" s="210"/>
      <c r="AI142" s="210"/>
      <c r="AJ142" s="210"/>
      <c r="AK142" s="210"/>
      <c r="AL142" s="210"/>
      <c r="AM142" s="210">
        <v>0</v>
      </c>
      <c r="AN142" s="210">
        <f t="shared" si="265"/>
        <v>0</v>
      </c>
      <c r="AO142" s="210">
        <f t="shared" si="266"/>
        <v>0</v>
      </c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>
        <v>0</v>
      </c>
      <c r="BB142" s="210">
        <f t="shared" si="267"/>
        <v>0</v>
      </c>
      <c r="BC142" s="210">
        <f t="shared" si="268"/>
        <v>0</v>
      </c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>
        <v>0</v>
      </c>
      <c r="BP142" s="210">
        <f t="shared" si="269"/>
        <v>0</v>
      </c>
      <c r="BQ142" s="210">
        <f t="shared" si="270"/>
        <v>0</v>
      </c>
      <c r="BR142" s="210"/>
      <c r="BS142" s="210"/>
      <c r="BT142" s="210"/>
      <c r="BU142" s="210"/>
      <c r="BV142" s="210"/>
      <c r="BW142" s="210">
        <f t="shared" si="271"/>
        <v>0</v>
      </c>
      <c r="BX142" s="210">
        <f t="shared" si="272"/>
        <v>0</v>
      </c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71"/>
      <c r="CJ142" s="54" t="s">
        <v>526</v>
      </c>
      <c r="CK142" s="131" t="s">
        <v>422</v>
      </c>
      <c r="CL142" s="230" t="s">
        <v>688</v>
      </c>
      <c r="CM142" s="10" t="s">
        <v>688</v>
      </c>
      <c r="CQ142" s="10" t="e">
        <f>D142-#REF!</f>
        <v>#REF!</v>
      </c>
      <c r="CR142" s="10" t="e">
        <f>D142-#REF!</f>
        <v>#REF!</v>
      </c>
      <c r="CS142" s="1" t="e">
        <f>F142-#REF!</f>
        <v>#REF!</v>
      </c>
    </row>
    <row r="143" spans="1:97" s="126" customFormat="1" ht="24" x14ac:dyDescent="0.2">
      <c r="A143" s="75"/>
      <c r="B143" s="159"/>
      <c r="C143" s="255" t="s">
        <v>512</v>
      </c>
      <c r="D143" s="220">
        <f t="shared" si="261"/>
        <v>14048</v>
      </c>
      <c r="E143" s="210">
        <f t="shared" si="262"/>
        <v>14048</v>
      </c>
      <c r="F143" s="210">
        <v>33619</v>
      </c>
      <c r="G143" s="210">
        <f t="shared" si="263"/>
        <v>36484</v>
      </c>
      <c r="H143" s="210">
        <f t="shared" si="264"/>
        <v>2865</v>
      </c>
      <c r="I143" s="210"/>
      <c r="J143" s="210"/>
      <c r="K143" s="210"/>
      <c r="L143" s="210"/>
      <c r="M143" s="210">
        <v>2865</v>
      </c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>
        <v>0</v>
      </c>
      <c r="AN143" s="210">
        <f t="shared" si="265"/>
        <v>0</v>
      </c>
      <c r="AO143" s="210">
        <f t="shared" si="266"/>
        <v>0</v>
      </c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>
        <v>0</v>
      </c>
      <c r="BB143" s="210">
        <f t="shared" si="267"/>
        <v>0</v>
      </c>
      <c r="BC143" s="210">
        <f t="shared" si="268"/>
        <v>0</v>
      </c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>
        <v>0</v>
      </c>
      <c r="BP143" s="210">
        <f t="shared" si="269"/>
        <v>0</v>
      </c>
      <c r="BQ143" s="210">
        <f t="shared" si="270"/>
        <v>0</v>
      </c>
      <c r="BR143" s="210"/>
      <c r="BS143" s="210"/>
      <c r="BT143" s="210"/>
      <c r="BU143" s="210"/>
      <c r="BV143" s="210">
        <v>-19571</v>
      </c>
      <c r="BW143" s="210">
        <f t="shared" si="271"/>
        <v>-22436</v>
      </c>
      <c r="BX143" s="210">
        <f t="shared" si="272"/>
        <v>-2865</v>
      </c>
      <c r="BY143" s="210">
        <v>-2865</v>
      </c>
      <c r="BZ143" s="210"/>
      <c r="CA143" s="210"/>
      <c r="CB143" s="210"/>
      <c r="CC143" s="210"/>
      <c r="CD143" s="210"/>
      <c r="CE143" s="210"/>
      <c r="CF143" s="210"/>
      <c r="CG143" s="210"/>
      <c r="CH143" s="210"/>
      <c r="CI143" s="271"/>
      <c r="CJ143" s="54" t="s">
        <v>614</v>
      </c>
      <c r="CK143" s="131"/>
      <c r="CL143" s="230" t="s">
        <v>689</v>
      </c>
      <c r="CM143" s="230" t="s">
        <v>689</v>
      </c>
      <c r="CQ143" s="10" t="e">
        <f>D143-#REF!</f>
        <v>#REF!</v>
      </c>
      <c r="CR143" s="10" t="e">
        <f>D143-#REF!</f>
        <v>#REF!</v>
      </c>
      <c r="CS143" s="126" t="e">
        <f>F143-#REF!</f>
        <v>#REF!</v>
      </c>
    </row>
    <row r="144" spans="1:97" s="126" customFormat="1" ht="24" x14ac:dyDescent="0.2">
      <c r="A144" s="75"/>
      <c r="B144" s="159"/>
      <c r="C144" s="255" t="s">
        <v>513</v>
      </c>
      <c r="D144" s="220">
        <f t="shared" si="261"/>
        <v>220438</v>
      </c>
      <c r="E144" s="210">
        <f t="shared" si="262"/>
        <v>276959</v>
      </c>
      <c r="F144" s="210">
        <v>220438</v>
      </c>
      <c r="G144" s="210">
        <f t="shared" si="263"/>
        <v>276959</v>
      </c>
      <c r="H144" s="210">
        <f t="shared" si="264"/>
        <v>56521</v>
      </c>
      <c r="I144" s="210"/>
      <c r="J144" s="210"/>
      <c r="K144" s="210"/>
      <c r="L144" s="210"/>
      <c r="M144" s="210">
        <v>56521</v>
      </c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>
        <v>0</v>
      </c>
      <c r="AN144" s="210">
        <f t="shared" si="265"/>
        <v>0</v>
      </c>
      <c r="AO144" s="210">
        <f t="shared" si="266"/>
        <v>0</v>
      </c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>
        <v>0</v>
      </c>
      <c r="BB144" s="210">
        <f t="shared" si="267"/>
        <v>0</v>
      </c>
      <c r="BC144" s="210">
        <f t="shared" si="268"/>
        <v>0</v>
      </c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>
        <v>0</v>
      </c>
      <c r="BP144" s="210">
        <f t="shared" si="269"/>
        <v>0</v>
      </c>
      <c r="BQ144" s="210">
        <f t="shared" si="270"/>
        <v>0</v>
      </c>
      <c r="BR144" s="210"/>
      <c r="BS144" s="210"/>
      <c r="BT144" s="210"/>
      <c r="BU144" s="210"/>
      <c r="BV144" s="210"/>
      <c r="BW144" s="210">
        <f t="shared" si="271"/>
        <v>0</v>
      </c>
      <c r="BX144" s="210">
        <f t="shared" si="272"/>
        <v>0</v>
      </c>
      <c r="BY144" s="210"/>
      <c r="BZ144" s="210"/>
      <c r="CA144" s="210"/>
      <c r="CB144" s="210"/>
      <c r="CC144" s="210"/>
      <c r="CD144" s="210"/>
      <c r="CE144" s="210"/>
      <c r="CF144" s="210"/>
      <c r="CG144" s="210"/>
      <c r="CH144" s="210"/>
      <c r="CI144" s="271"/>
      <c r="CJ144" s="54" t="s">
        <v>527</v>
      </c>
      <c r="CK144" s="131"/>
      <c r="CL144" s="230" t="s">
        <v>689</v>
      </c>
      <c r="CM144" s="230" t="s">
        <v>689</v>
      </c>
      <c r="CQ144" s="10" t="e">
        <f>D144-#REF!</f>
        <v>#REF!</v>
      </c>
      <c r="CR144" s="10" t="e">
        <f>D144-#REF!</f>
        <v>#REF!</v>
      </c>
      <c r="CS144" s="126" t="e">
        <f>F144-#REF!</f>
        <v>#REF!</v>
      </c>
    </row>
    <row r="145" spans="1:97" s="130" customFormat="1" ht="30" customHeight="1" x14ac:dyDescent="0.2">
      <c r="A145" s="75"/>
      <c r="B145" s="159"/>
      <c r="C145" s="255" t="s">
        <v>582</v>
      </c>
      <c r="D145" s="220">
        <f t="shared" si="261"/>
        <v>398405</v>
      </c>
      <c r="E145" s="210">
        <f t="shared" si="262"/>
        <v>437923</v>
      </c>
      <c r="F145" s="210">
        <v>398405</v>
      </c>
      <c r="G145" s="210">
        <f t="shared" si="263"/>
        <v>512697</v>
      </c>
      <c r="H145" s="210">
        <f t="shared" si="264"/>
        <v>114292</v>
      </c>
      <c r="I145" s="210"/>
      <c r="J145" s="210"/>
      <c r="K145" s="210"/>
      <c r="L145" s="210"/>
      <c r="M145" s="210">
        <v>185395</v>
      </c>
      <c r="N145" s="210"/>
      <c r="O145" s="210"/>
      <c r="P145" s="210"/>
      <c r="Q145" s="210">
        <f>-48429-22674</f>
        <v>-71103</v>
      </c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>
        <v>0</v>
      </c>
      <c r="AN145" s="210">
        <f t="shared" si="265"/>
        <v>0</v>
      </c>
      <c r="AO145" s="210">
        <f t="shared" si="266"/>
        <v>0</v>
      </c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>
        <v>0</v>
      </c>
      <c r="BB145" s="210">
        <f t="shared" si="267"/>
        <v>0</v>
      </c>
      <c r="BC145" s="210">
        <f t="shared" si="268"/>
        <v>0</v>
      </c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>
        <v>0</v>
      </c>
      <c r="BP145" s="210">
        <f t="shared" si="269"/>
        <v>0</v>
      </c>
      <c r="BQ145" s="210">
        <f t="shared" si="270"/>
        <v>0</v>
      </c>
      <c r="BR145" s="210"/>
      <c r="BS145" s="210"/>
      <c r="BT145" s="210"/>
      <c r="BU145" s="210"/>
      <c r="BV145" s="210"/>
      <c r="BW145" s="210">
        <f t="shared" si="271"/>
        <v>-74774</v>
      </c>
      <c r="BX145" s="210">
        <f t="shared" si="272"/>
        <v>-74774</v>
      </c>
      <c r="BY145" s="210">
        <f>-77426-1</f>
        <v>-77427</v>
      </c>
      <c r="BZ145" s="210"/>
      <c r="CA145" s="210">
        <f>2653</f>
        <v>2653</v>
      </c>
      <c r="CB145" s="210"/>
      <c r="CC145" s="210"/>
      <c r="CD145" s="210"/>
      <c r="CE145" s="210"/>
      <c r="CF145" s="210"/>
      <c r="CG145" s="210"/>
      <c r="CH145" s="210"/>
      <c r="CI145" s="271"/>
      <c r="CJ145" s="54" t="s">
        <v>528</v>
      </c>
      <c r="CK145" s="131"/>
      <c r="CL145" s="230" t="s">
        <v>689</v>
      </c>
      <c r="CM145" s="230" t="s">
        <v>689</v>
      </c>
      <c r="CQ145" s="10" t="e">
        <f>D145-#REF!</f>
        <v>#REF!</v>
      </c>
      <c r="CR145" s="10" t="e">
        <f>D145-#REF!</f>
        <v>#REF!</v>
      </c>
      <c r="CS145" s="130" t="e">
        <f>F145-#REF!</f>
        <v>#REF!</v>
      </c>
    </row>
    <row r="146" spans="1:97" s="130" customFormat="1" ht="25.5" customHeight="1" x14ac:dyDescent="0.2">
      <c r="A146" s="75"/>
      <c r="B146" s="159"/>
      <c r="C146" s="255" t="s">
        <v>583</v>
      </c>
      <c r="D146" s="220">
        <f t="shared" si="261"/>
        <v>51681</v>
      </c>
      <c r="E146" s="210">
        <f t="shared" si="262"/>
        <v>71842</v>
      </c>
      <c r="F146" s="210">
        <v>51681</v>
      </c>
      <c r="G146" s="210">
        <f t="shared" si="263"/>
        <v>71842</v>
      </c>
      <c r="H146" s="210">
        <f t="shared" si="264"/>
        <v>20161</v>
      </c>
      <c r="I146" s="210"/>
      <c r="J146" s="210"/>
      <c r="K146" s="210"/>
      <c r="L146" s="210"/>
      <c r="M146" s="210">
        <v>20161</v>
      </c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>
        <v>0</v>
      </c>
      <c r="AN146" s="210">
        <f t="shared" si="265"/>
        <v>0</v>
      </c>
      <c r="AO146" s="210">
        <f t="shared" si="266"/>
        <v>0</v>
      </c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>
        <v>0</v>
      </c>
      <c r="BB146" s="210">
        <f t="shared" si="267"/>
        <v>0</v>
      </c>
      <c r="BC146" s="210">
        <f t="shared" si="268"/>
        <v>0</v>
      </c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>
        <v>0</v>
      </c>
      <c r="BP146" s="210">
        <f t="shared" si="269"/>
        <v>0</v>
      </c>
      <c r="BQ146" s="210">
        <f t="shared" si="270"/>
        <v>0</v>
      </c>
      <c r="BR146" s="210"/>
      <c r="BS146" s="210"/>
      <c r="BT146" s="210"/>
      <c r="BU146" s="210"/>
      <c r="BV146" s="210"/>
      <c r="BW146" s="210">
        <f t="shared" si="271"/>
        <v>0</v>
      </c>
      <c r="BX146" s="210">
        <f t="shared" si="272"/>
        <v>0</v>
      </c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71"/>
      <c r="CJ146" s="54" t="s">
        <v>736</v>
      </c>
      <c r="CK146" s="131"/>
      <c r="CL146" s="230" t="s">
        <v>689</v>
      </c>
      <c r="CM146" s="230" t="s">
        <v>689</v>
      </c>
      <c r="CQ146" s="10" t="e">
        <f>D146-#REF!</f>
        <v>#REF!</v>
      </c>
      <c r="CR146" s="10" t="e">
        <f>D146-#REF!</f>
        <v>#REF!</v>
      </c>
      <c r="CS146" s="130" t="e">
        <f>F146-#REF!</f>
        <v>#REF!</v>
      </c>
    </row>
    <row r="147" spans="1:97" s="130" customFormat="1" ht="39" customHeight="1" x14ac:dyDescent="0.2">
      <c r="A147" s="75"/>
      <c r="B147" s="159"/>
      <c r="C147" s="255" t="s">
        <v>652</v>
      </c>
      <c r="D147" s="220">
        <f t="shared" si="261"/>
        <v>2044080</v>
      </c>
      <c r="E147" s="210">
        <f t="shared" si="262"/>
        <v>2044080</v>
      </c>
      <c r="F147" s="210">
        <v>2044080</v>
      </c>
      <c r="G147" s="210">
        <f t="shared" si="263"/>
        <v>2044080</v>
      </c>
      <c r="H147" s="210">
        <f t="shared" si="264"/>
        <v>0</v>
      </c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>
        <v>0</v>
      </c>
      <c r="AN147" s="210">
        <f t="shared" si="265"/>
        <v>0</v>
      </c>
      <c r="AO147" s="210">
        <f t="shared" si="266"/>
        <v>0</v>
      </c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>
        <v>0</v>
      </c>
      <c r="BB147" s="210">
        <f t="shared" si="267"/>
        <v>0</v>
      </c>
      <c r="BC147" s="210">
        <f t="shared" si="268"/>
        <v>0</v>
      </c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>
        <v>0</v>
      </c>
      <c r="BP147" s="210">
        <f t="shared" si="269"/>
        <v>0</v>
      </c>
      <c r="BQ147" s="210">
        <f t="shared" si="270"/>
        <v>0</v>
      </c>
      <c r="BR147" s="210"/>
      <c r="BS147" s="210"/>
      <c r="BT147" s="210"/>
      <c r="BU147" s="210"/>
      <c r="BV147" s="210"/>
      <c r="BW147" s="210">
        <f t="shared" si="271"/>
        <v>0</v>
      </c>
      <c r="BX147" s="210">
        <f t="shared" si="272"/>
        <v>0</v>
      </c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71"/>
      <c r="CJ147" s="54" t="s">
        <v>737</v>
      </c>
      <c r="CK147" s="131"/>
      <c r="CL147" s="230" t="s">
        <v>689</v>
      </c>
      <c r="CM147" s="230" t="s">
        <v>689</v>
      </c>
      <c r="CQ147" s="10" t="e">
        <f>D147-#REF!</f>
        <v>#REF!</v>
      </c>
      <c r="CR147" s="10" t="e">
        <f>D147-#REF!</f>
        <v>#REF!</v>
      </c>
      <c r="CS147" s="130" t="e">
        <f>F147-#REF!</f>
        <v>#REF!</v>
      </c>
    </row>
    <row r="148" spans="1:97" s="130" customFormat="1" ht="24.75" customHeight="1" x14ac:dyDescent="0.2">
      <c r="A148" s="75"/>
      <c r="B148" s="159"/>
      <c r="C148" s="255" t="s">
        <v>654</v>
      </c>
      <c r="D148" s="220">
        <f t="shared" si="261"/>
        <v>4929426</v>
      </c>
      <c r="E148" s="210">
        <f t="shared" si="262"/>
        <v>4854951</v>
      </c>
      <c r="F148" s="210">
        <v>4929426</v>
      </c>
      <c r="G148" s="210">
        <f t="shared" si="263"/>
        <v>4854951</v>
      </c>
      <c r="H148" s="210">
        <f t="shared" si="264"/>
        <v>-74475</v>
      </c>
      <c r="I148" s="210"/>
      <c r="J148" s="210"/>
      <c r="K148" s="210"/>
      <c r="L148" s="210"/>
      <c r="M148" s="210">
        <v>-74475</v>
      </c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>
        <v>0</v>
      </c>
      <c r="AN148" s="210">
        <f t="shared" si="265"/>
        <v>0</v>
      </c>
      <c r="AO148" s="210">
        <f t="shared" si="266"/>
        <v>0</v>
      </c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>
        <v>0</v>
      </c>
      <c r="BB148" s="210">
        <f t="shared" si="267"/>
        <v>0</v>
      </c>
      <c r="BC148" s="210">
        <f t="shared" si="268"/>
        <v>0</v>
      </c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>
        <v>0</v>
      </c>
      <c r="BP148" s="210">
        <f t="shared" si="269"/>
        <v>0</v>
      </c>
      <c r="BQ148" s="210">
        <f t="shared" si="270"/>
        <v>0</v>
      </c>
      <c r="BR148" s="210"/>
      <c r="BS148" s="210"/>
      <c r="BT148" s="210"/>
      <c r="BU148" s="210"/>
      <c r="BV148" s="210"/>
      <c r="BW148" s="210">
        <f t="shared" si="271"/>
        <v>0</v>
      </c>
      <c r="BX148" s="210">
        <f t="shared" si="272"/>
        <v>0</v>
      </c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71"/>
      <c r="CJ148" s="54" t="s">
        <v>738</v>
      </c>
      <c r="CK148" s="131"/>
      <c r="CL148" s="230" t="s">
        <v>689</v>
      </c>
      <c r="CM148" s="230" t="s">
        <v>689</v>
      </c>
      <c r="CQ148" s="10" t="e">
        <f>D148-#REF!</f>
        <v>#REF!</v>
      </c>
      <c r="CR148" s="10" t="e">
        <f>D148-#REF!</f>
        <v>#REF!</v>
      </c>
      <c r="CS148" s="130" t="e">
        <f>F148-#REF!</f>
        <v>#REF!</v>
      </c>
    </row>
    <row r="149" spans="1:97" s="130" customFormat="1" ht="36" x14ac:dyDescent="0.2">
      <c r="A149" s="75"/>
      <c r="B149" s="159"/>
      <c r="C149" s="255" t="s">
        <v>672</v>
      </c>
      <c r="D149" s="220">
        <f t="shared" si="261"/>
        <v>1287155</v>
      </c>
      <c r="E149" s="210">
        <f t="shared" si="262"/>
        <v>1467692</v>
      </c>
      <c r="F149" s="210">
        <v>1287155</v>
      </c>
      <c r="G149" s="210">
        <f t="shared" si="263"/>
        <v>1467692</v>
      </c>
      <c r="H149" s="210">
        <f t="shared" si="264"/>
        <v>180537</v>
      </c>
      <c r="I149" s="210"/>
      <c r="J149" s="210"/>
      <c r="K149" s="210"/>
      <c r="L149" s="210"/>
      <c r="M149" s="210"/>
      <c r="N149" s="210"/>
      <c r="O149" s="210"/>
      <c r="P149" s="210"/>
      <c r="Q149" s="210">
        <v>167924</v>
      </c>
      <c r="R149" s="210"/>
      <c r="S149" s="210"/>
      <c r="T149" s="210"/>
      <c r="U149" s="210">
        <v>37616</v>
      </c>
      <c r="V149" s="210"/>
      <c r="W149" s="210"/>
      <c r="X149" s="210"/>
      <c r="Y149" s="210"/>
      <c r="Z149" s="210"/>
      <c r="AA149" s="210"/>
      <c r="AB149" s="210"/>
      <c r="AC149" s="210"/>
      <c r="AD149" s="210">
        <v>-25003</v>
      </c>
      <c r="AE149" s="210"/>
      <c r="AF149" s="210"/>
      <c r="AG149" s="210"/>
      <c r="AH149" s="210"/>
      <c r="AI149" s="210"/>
      <c r="AJ149" s="210"/>
      <c r="AK149" s="210"/>
      <c r="AL149" s="210"/>
      <c r="AM149" s="210">
        <v>0</v>
      </c>
      <c r="AN149" s="210">
        <f t="shared" si="265"/>
        <v>0</v>
      </c>
      <c r="AO149" s="210">
        <f t="shared" si="266"/>
        <v>0</v>
      </c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>
        <v>0</v>
      </c>
      <c r="BB149" s="210">
        <f t="shared" si="267"/>
        <v>0</v>
      </c>
      <c r="BC149" s="210">
        <f t="shared" si="268"/>
        <v>0</v>
      </c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>
        <v>0</v>
      </c>
      <c r="BP149" s="210">
        <f t="shared" si="269"/>
        <v>0</v>
      </c>
      <c r="BQ149" s="210">
        <f t="shared" si="270"/>
        <v>0</v>
      </c>
      <c r="BR149" s="210"/>
      <c r="BS149" s="210"/>
      <c r="BT149" s="210"/>
      <c r="BU149" s="210"/>
      <c r="BV149" s="210"/>
      <c r="BW149" s="210">
        <f t="shared" si="271"/>
        <v>0</v>
      </c>
      <c r="BX149" s="210">
        <f t="shared" si="272"/>
        <v>0</v>
      </c>
      <c r="BY149" s="210"/>
      <c r="BZ149" s="210"/>
      <c r="CA149" s="210">
        <v>-68029</v>
      </c>
      <c r="CB149" s="210"/>
      <c r="CC149" s="210"/>
      <c r="CD149" s="210"/>
      <c r="CE149" s="210">
        <v>68029</v>
      </c>
      <c r="CF149" s="210"/>
      <c r="CG149" s="210"/>
      <c r="CH149" s="210"/>
      <c r="CI149" s="271"/>
      <c r="CJ149" s="54" t="s">
        <v>615</v>
      </c>
      <c r="CK149" s="131"/>
      <c r="CL149" s="230" t="s">
        <v>689</v>
      </c>
      <c r="CM149" s="230" t="s">
        <v>689</v>
      </c>
      <c r="CQ149" s="10" t="e">
        <f>D149-#REF!</f>
        <v>#REF!</v>
      </c>
      <c r="CR149" s="10" t="e">
        <f>D149-#REF!</f>
        <v>#REF!</v>
      </c>
      <c r="CS149" s="130" t="e">
        <f>F149-#REF!</f>
        <v>#REF!</v>
      </c>
    </row>
    <row r="150" spans="1:97" s="130" customFormat="1" x14ac:dyDescent="0.2">
      <c r="A150" s="75"/>
      <c r="B150" s="159"/>
      <c r="C150" s="255" t="s">
        <v>670</v>
      </c>
      <c r="D150" s="220">
        <f t="shared" si="261"/>
        <v>1604</v>
      </c>
      <c r="E150" s="210">
        <f t="shared" si="262"/>
        <v>1604</v>
      </c>
      <c r="F150" s="210">
        <v>1604</v>
      </c>
      <c r="G150" s="210">
        <f t="shared" si="263"/>
        <v>1955</v>
      </c>
      <c r="H150" s="210">
        <f t="shared" si="264"/>
        <v>351</v>
      </c>
      <c r="I150" s="210"/>
      <c r="J150" s="210"/>
      <c r="K150" s="210"/>
      <c r="L150" s="210"/>
      <c r="M150" s="210"/>
      <c r="N150" s="210"/>
      <c r="O150" s="210"/>
      <c r="P150" s="210">
        <v>351</v>
      </c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>
        <v>0</v>
      </c>
      <c r="AN150" s="210">
        <f t="shared" si="265"/>
        <v>0</v>
      </c>
      <c r="AO150" s="210">
        <f t="shared" si="266"/>
        <v>0</v>
      </c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>
        <v>0</v>
      </c>
      <c r="BB150" s="210">
        <f t="shared" si="267"/>
        <v>0</v>
      </c>
      <c r="BC150" s="210">
        <f t="shared" si="268"/>
        <v>0</v>
      </c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>
        <v>0</v>
      </c>
      <c r="BP150" s="210">
        <f t="shared" si="269"/>
        <v>0</v>
      </c>
      <c r="BQ150" s="210">
        <f t="shared" si="270"/>
        <v>0</v>
      </c>
      <c r="BR150" s="210"/>
      <c r="BS150" s="210"/>
      <c r="BT150" s="210"/>
      <c r="BU150" s="210"/>
      <c r="BV150" s="210"/>
      <c r="BW150" s="210">
        <f t="shared" si="271"/>
        <v>-351</v>
      </c>
      <c r="BX150" s="210">
        <f t="shared" si="272"/>
        <v>-351</v>
      </c>
      <c r="BY150" s="210"/>
      <c r="BZ150" s="210">
        <v>-351</v>
      </c>
      <c r="CA150" s="210"/>
      <c r="CB150" s="210"/>
      <c r="CC150" s="210"/>
      <c r="CD150" s="210"/>
      <c r="CE150" s="210"/>
      <c r="CF150" s="210"/>
      <c r="CG150" s="210"/>
      <c r="CH150" s="210"/>
      <c r="CI150" s="271"/>
      <c r="CJ150" s="54" t="s">
        <v>616</v>
      </c>
      <c r="CK150" s="131"/>
      <c r="CL150" s="230" t="s">
        <v>689</v>
      </c>
      <c r="CM150" s="230" t="s">
        <v>689</v>
      </c>
      <c r="CQ150" s="10" t="e">
        <f>D150-#REF!</f>
        <v>#REF!</v>
      </c>
      <c r="CR150" s="10" t="e">
        <f>D150-#REF!</f>
        <v>#REF!</v>
      </c>
      <c r="CS150" s="130" t="e">
        <f>F150-#REF!</f>
        <v>#REF!</v>
      </c>
    </row>
    <row r="151" spans="1:97" s="130" customFormat="1" ht="36" x14ac:dyDescent="0.2">
      <c r="A151" s="75"/>
      <c r="B151" s="159"/>
      <c r="C151" s="360" t="s">
        <v>790</v>
      </c>
      <c r="D151" s="220"/>
      <c r="E151" s="210">
        <f t="shared" ref="E151:E182" si="273">G151+AN151+BB151+BP151+BW151</f>
        <v>0</v>
      </c>
      <c r="F151" s="210"/>
      <c r="G151" s="210">
        <f t="shared" ref="G151" si="274">F151+H151</f>
        <v>3592</v>
      </c>
      <c r="H151" s="210">
        <f t="shared" si="264"/>
        <v>3592</v>
      </c>
      <c r="I151" s="210"/>
      <c r="J151" s="210"/>
      <c r="K151" s="210"/>
      <c r="L151" s="210"/>
      <c r="M151" s="210">
        <v>3592</v>
      </c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>
        <f t="shared" ref="AN151" si="275">AM151+AO151</f>
        <v>0</v>
      </c>
      <c r="AO151" s="210">
        <f t="shared" ref="AO151" si="276">SUM(AP151:AZ151)</f>
        <v>0</v>
      </c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>
        <f t="shared" ref="BB151" si="277">BA151+BC151</f>
        <v>0</v>
      </c>
      <c r="BC151" s="210">
        <f t="shared" ref="BC151" si="278">SUM(BD151:BN151)</f>
        <v>0</v>
      </c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>
        <f t="shared" ref="BP151" si="279">BO151+BQ151</f>
        <v>0</v>
      </c>
      <c r="BQ151" s="210">
        <f t="shared" ref="BQ151" si="280">SUM(BR151:BU151)</f>
        <v>0</v>
      </c>
      <c r="BR151" s="210"/>
      <c r="BS151" s="210"/>
      <c r="BT151" s="210"/>
      <c r="BU151" s="210"/>
      <c r="BV151" s="210"/>
      <c r="BW151" s="210">
        <f t="shared" ref="BW151" si="281">BV151+BX151</f>
        <v>-3592</v>
      </c>
      <c r="BX151" s="210">
        <f t="shared" si="272"/>
        <v>-3592</v>
      </c>
      <c r="BY151" s="210">
        <v>-3592</v>
      </c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71"/>
      <c r="CJ151" s="54" t="s">
        <v>791</v>
      </c>
      <c r="CK151" s="131"/>
      <c r="CL151" s="230"/>
      <c r="CM151" s="230"/>
      <c r="CQ151" s="10"/>
      <c r="CR151" s="10"/>
    </row>
    <row r="152" spans="1:97" s="130" customFormat="1" ht="36" x14ac:dyDescent="0.2">
      <c r="A152" s="75"/>
      <c r="B152" s="159"/>
      <c r="C152" s="366" t="s">
        <v>800</v>
      </c>
      <c r="D152" s="220"/>
      <c r="E152" s="210">
        <f t="shared" si="273"/>
        <v>0</v>
      </c>
      <c r="F152" s="210"/>
      <c r="G152" s="210">
        <f t="shared" ref="G152:G153" si="282">F152+H152</f>
        <v>94554</v>
      </c>
      <c r="H152" s="210">
        <f t="shared" si="264"/>
        <v>94554</v>
      </c>
      <c r="I152" s="210"/>
      <c r="J152" s="210"/>
      <c r="K152" s="210"/>
      <c r="L152" s="210"/>
      <c r="M152" s="210">
        <v>94554</v>
      </c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>
        <f t="shared" ref="AN152:AN153" si="283">AM152+AO152</f>
        <v>0</v>
      </c>
      <c r="AO152" s="210">
        <f t="shared" ref="AO152:AO153" si="284">SUM(AP152:AZ152)</f>
        <v>0</v>
      </c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>
        <f t="shared" ref="BB152:BB153" si="285">BA152+BC152</f>
        <v>0</v>
      </c>
      <c r="BC152" s="210">
        <f t="shared" ref="BC152:BC153" si="286">SUM(BD152:BN152)</f>
        <v>0</v>
      </c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>
        <f t="shared" ref="BP152:BP153" si="287">BO152+BQ152</f>
        <v>0</v>
      </c>
      <c r="BQ152" s="210">
        <f t="shared" ref="BQ152:BQ153" si="288">SUM(BR152:BU152)</f>
        <v>0</v>
      </c>
      <c r="BR152" s="210"/>
      <c r="BS152" s="210"/>
      <c r="BT152" s="210"/>
      <c r="BU152" s="210"/>
      <c r="BV152" s="210"/>
      <c r="BW152" s="210">
        <f t="shared" ref="BW152:BW153" si="289">BV152+BX152</f>
        <v>-94554</v>
      </c>
      <c r="BX152" s="210">
        <f t="shared" si="272"/>
        <v>-94554</v>
      </c>
      <c r="BY152" s="210">
        <v>-94554</v>
      </c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71"/>
      <c r="CJ152" s="54" t="s">
        <v>802</v>
      </c>
      <c r="CK152" s="131"/>
      <c r="CL152" s="230"/>
      <c r="CM152" s="230"/>
      <c r="CQ152" s="10"/>
      <c r="CR152" s="10"/>
    </row>
    <row r="153" spans="1:97" s="130" customFormat="1" ht="36" x14ac:dyDescent="0.2">
      <c r="A153" s="75"/>
      <c r="B153" s="159"/>
      <c r="C153" s="366" t="s">
        <v>801</v>
      </c>
      <c r="D153" s="220"/>
      <c r="E153" s="210">
        <f t="shared" si="273"/>
        <v>0</v>
      </c>
      <c r="F153" s="210"/>
      <c r="G153" s="210">
        <f t="shared" si="282"/>
        <v>9232</v>
      </c>
      <c r="H153" s="210">
        <f t="shared" si="264"/>
        <v>9232</v>
      </c>
      <c r="I153" s="210"/>
      <c r="J153" s="210"/>
      <c r="K153" s="210"/>
      <c r="L153" s="210"/>
      <c r="M153" s="210">
        <v>9232</v>
      </c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>
        <f t="shared" si="283"/>
        <v>0</v>
      </c>
      <c r="AO153" s="210">
        <f t="shared" si="284"/>
        <v>0</v>
      </c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>
        <f t="shared" si="285"/>
        <v>0</v>
      </c>
      <c r="BC153" s="210">
        <f t="shared" si="286"/>
        <v>0</v>
      </c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>
        <f t="shared" si="287"/>
        <v>0</v>
      </c>
      <c r="BQ153" s="210">
        <f t="shared" si="288"/>
        <v>0</v>
      </c>
      <c r="BR153" s="210"/>
      <c r="BS153" s="210"/>
      <c r="BT153" s="210"/>
      <c r="BU153" s="210"/>
      <c r="BV153" s="210"/>
      <c r="BW153" s="210">
        <f t="shared" si="289"/>
        <v>-9232</v>
      </c>
      <c r="BX153" s="210">
        <f t="shared" si="272"/>
        <v>-9232</v>
      </c>
      <c r="BY153" s="210">
        <v>-9232</v>
      </c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71"/>
      <c r="CJ153" s="54" t="s">
        <v>803</v>
      </c>
      <c r="CK153" s="131"/>
      <c r="CL153" s="230"/>
      <c r="CM153" s="230"/>
      <c r="CQ153" s="10"/>
      <c r="CR153" s="10"/>
    </row>
    <row r="154" spans="1:97" s="130" customFormat="1" x14ac:dyDescent="0.2">
      <c r="A154" s="75"/>
      <c r="B154" s="159"/>
      <c r="C154" s="384" t="s">
        <v>233</v>
      </c>
      <c r="D154" s="220"/>
      <c r="E154" s="210">
        <f t="shared" si="273"/>
        <v>37149</v>
      </c>
      <c r="F154" s="210"/>
      <c r="G154" s="210">
        <f t="shared" ref="G154" si="290">F154+H154</f>
        <v>0</v>
      </c>
      <c r="H154" s="210">
        <f t="shared" si="264"/>
        <v>0</v>
      </c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>
        <f t="shared" ref="AN154" si="291">AM154+AO154</f>
        <v>37149</v>
      </c>
      <c r="AO154" s="210">
        <f t="shared" ref="AO154" si="292">SUM(AP154:AZ154)</f>
        <v>37149</v>
      </c>
      <c r="AP154" s="210"/>
      <c r="AQ154" s="210">
        <v>38602</v>
      </c>
      <c r="AR154" s="210"/>
      <c r="AS154" s="210"/>
      <c r="AT154" s="210">
        <v>-1453</v>
      </c>
      <c r="AU154" s="210"/>
      <c r="AV154" s="210"/>
      <c r="AW154" s="210"/>
      <c r="AX154" s="210"/>
      <c r="AY154" s="210"/>
      <c r="AZ154" s="210"/>
      <c r="BA154" s="210"/>
      <c r="BB154" s="210">
        <f t="shared" ref="BB154" si="293">BA154+BC154</f>
        <v>0</v>
      </c>
      <c r="BC154" s="210">
        <f t="shared" ref="BC154" si="294">SUM(BD154:BN154)</f>
        <v>0</v>
      </c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>
        <f t="shared" ref="BP154" si="295">BO154+BQ154</f>
        <v>0</v>
      </c>
      <c r="BQ154" s="210">
        <f t="shared" ref="BQ154" si="296">SUM(BR154:BU154)</f>
        <v>0</v>
      </c>
      <c r="BR154" s="210"/>
      <c r="BS154" s="210"/>
      <c r="BT154" s="210"/>
      <c r="BU154" s="210"/>
      <c r="BV154" s="210"/>
      <c r="BW154" s="210">
        <f t="shared" ref="BW154" si="297">BV154+BX154</f>
        <v>0</v>
      </c>
      <c r="BX154" s="210">
        <f t="shared" si="272"/>
        <v>0</v>
      </c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71"/>
      <c r="CJ154" s="54" t="s">
        <v>827</v>
      </c>
      <c r="CK154" s="57" t="s">
        <v>618</v>
      </c>
      <c r="CL154" s="230"/>
      <c r="CM154" s="230"/>
      <c r="CQ154" s="10"/>
      <c r="CR154" s="10"/>
    </row>
    <row r="155" spans="1:97" ht="24" customHeight="1" x14ac:dyDescent="0.2">
      <c r="A155" s="75">
        <v>90000051665</v>
      </c>
      <c r="B155" s="158" t="s">
        <v>238</v>
      </c>
      <c r="C155" s="255" t="s">
        <v>221</v>
      </c>
      <c r="D155" s="220">
        <f t="shared" ref="D155:D183" si="298">F155+AM155+BA155+BO155+BV155</f>
        <v>950038</v>
      </c>
      <c r="E155" s="208">
        <f t="shared" si="273"/>
        <v>1053273</v>
      </c>
      <c r="F155" s="208">
        <v>678171</v>
      </c>
      <c r="G155" s="208">
        <f t="shared" si="263"/>
        <v>745366</v>
      </c>
      <c r="H155" s="208">
        <f t="shared" si="264"/>
        <v>67195</v>
      </c>
      <c r="I155" s="208"/>
      <c r="J155" s="208"/>
      <c r="K155" s="208"/>
      <c r="L155" s="208"/>
      <c r="M155" s="208"/>
      <c r="N155" s="208"/>
      <c r="O155" s="208"/>
      <c r="P155" s="208"/>
      <c r="Q155" s="208"/>
      <c r="R155" s="208">
        <v>1902</v>
      </c>
      <c r="S155" s="208"/>
      <c r="T155" s="208"/>
      <c r="U155" s="208"/>
      <c r="V155" s="208"/>
      <c r="W155" s="208"/>
      <c r="X155" s="208">
        <v>1735</v>
      </c>
      <c r="Y155" s="208"/>
      <c r="Z155" s="208"/>
      <c r="AA155" s="208">
        <v>32187</v>
      </c>
      <c r="AB155" s="208"/>
      <c r="AC155" s="208"/>
      <c r="AD155" s="208"/>
      <c r="AE155" s="208"/>
      <c r="AF155" s="208"/>
      <c r="AG155" s="208">
        <v>31371</v>
      </c>
      <c r="AH155" s="208"/>
      <c r="AI155" s="208"/>
      <c r="AJ155" s="208"/>
      <c r="AK155" s="208"/>
      <c r="AL155" s="208"/>
      <c r="AM155" s="208">
        <v>242973</v>
      </c>
      <c r="AN155" s="208">
        <f t="shared" si="265"/>
        <v>299964</v>
      </c>
      <c r="AO155" s="208">
        <f t="shared" si="266"/>
        <v>56991</v>
      </c>
      <c r="AP155" s="208"/>
      <c r="AQ155" s="208"/>
      <c r="AR155" s="208">
        <v>-809</v>
      </c>
      <c r="AS155" s="208">
        <v>12182</v>
      </c>
      <c r="AT155" s="208"/>
      <c r="AU155" s="208"/>
      <c r="AV155" s="208">
        <f>39560+6058</f>
        <v>45618</v>
      </c>
      <c r="AW155" s="208"/>
      <c r="AX155" s="208"/>
      <c r="AY155" s="208"/>
      <c r="AZ155" s="208"/>
      <c r="BA155" s="208">
        <v>28894</v>
      </c>
      <c r="BB155" s="208">
        <f t="shared" si="267"/>
        <v>7943</v>
      </c>
      <c r="BC155" s="208">
        <f t="shared" si="268"/>
        <v>-20951</v>
      </c>
      <c r="BD155" s="208">
        <v>2646</v>
      </c>
      <c r="BE155" s="208"/>
      <c r="BF155" s="208"/>
      <c r="BG155" s="208">
        <v>-7837</v>
      </c>
      <c r="BH155" s="208"/>
      <c r="BI155" s="208"/>
      <c r="BJ155" s="208">
        <v>-15760</v>
      </c>
      <c r="BK155" s="208"/>
      <c r="BL155" s="208"/>
      <c r="BM155" s="208"/>
      <c r="BN155" s="208"/>
      <c r="BO155" s="208">
        <v>0</v>
      </c>
      <c r="BP155" s="208">
        <f t="shared" si="269"/>
        <v>0</v>
      </c>
      <c r="BQ155" s="208">
        <f t="shared" si="270"/>
        <v>0</v>
      </c>
      <c r="BR155" s="208"/>
      <c r="BS155" s="208"/>
      <c r="BT155" s="208"/>
      <c r="BU155" s="208"/>
      <c r="BV155" s="208"/>
      <c r="BW155" s="208">
        <f t="shared" si="271"/>
        <v>0</v>
      </c>
      <c r="BX155" s="208">
        <f t="shared" si="272"/>
        <v>0</v>
      </c>
      <c r="BY155" s="208"/>
      <c r="BZ155" s="208"/>
      <c r="CA155" s="208"/>
      <c r="CB155" s="208"/>
      <c r="CC155" s="208"/>
      <c r="CD155" s="208"/>
      <c r="CE155" s="208"/>
      <c r="CF155" s="208"/>
      <c r="CG155" s="208"/>
      <c r="CH155" s="208"/>
      <c r="CI155" s="259"/>
      <c r="CJ155" s="54" t="s">
        <v>355</v>
      </c>
      <c r="CK155" s="57"/>
      <c r="CL155" s="230" t="s">
        <v>696</v>
      </c>
      <c r="CM155" s="10" t="s">
        <v>697</v>
      </c>
      <c r="CQ155" s="10" t="e">
        <f>D155-#REF!-AM155</f>
        <v>#REF!</v>
      </c>
      <c r="CR155" s="10" t="e">
        <f>D155-#REF!</f>
        <v>#REF!</v>
      </c>
      <c r="CS155" s="1" t="e">
        <f>F155-#REF!</f>
        <v>#REF!</v>
      </c>
    </row>
    <row r="156" spans="1:97" x14ac:dyDescent="0.2">
      <c r="A156" s="75"/>
      <c r="B156" s="159"/>
      <c r="C156" s="255" t="s">
        <v>233</v>
      </c>
      <c r="D156" s="220">
        <f t="shared" si="298"/>
        <v>53751</v>
      </c>
      <c r="E156" s="208">
        <f t="shared" si="273"/>
        <v>43025</v>
      </c>
      <c r="F156" s="208">
        <v>44234</v>
      </c>
      <c r="G156" s="208">
        <f t="shared" si="263"/>
        <v>33578</v>
      </c>
      <c r="H156" s="208">
        <f t="shared" si="264"/>
        <v>-10656</v>
      </c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>
        <v>-10656</v>
      </c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>
        <v>9517</v>
      </c>
      <c r="AN156" s="208">
        <f t="shared" si="265"/>
        <v>9447</v>
      </c>
      <c r="AO156" s="208">
        <f t="shared" si="266"/>
        <v>-70</v>
      </c>
      <c r="AP156" s="208"/>
      <c r="AQ156" s="208"/>
      <c r="AR156" s="208"/>
      <c r="AS156" s="208"/>
      <c r="AT156" s="208">
        <v>-2582</v>
      </c>
      <c r="AU156" s="208"/>
      <c r="AV156" s="208">
        <v>2512</v>
      </c>
      <c r="AW156" s="208"/>
      <c r="AX156" s="208"/>
      <c r="AY156" s="208"/>
      <c r="AZ156" s="208"/>
      <c r="BA156" s="208">
        <v>0</v>
      </c>
      <c r="BB156" s="208">
        <f t="shared" si="267"/>
        <v>0</v>
      </c>
      <c r="BC156" s="208">
        <f t="shared" si="268"/>
        <v>0</v>
      </c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>
        <v>0</v>
      </c>
      <c r="BP156" s="208">
        <f t="shared" si="269"/>
        <v>0</v>
      </c>
      <c r="BQ156" s="208">
        <f t="shared" si="270"/>
        <v>0</v>
      </c>
      <c r="BR156" s="208"/>
      <c r="BS156" s="208"/>
      <c r="BT156" s="208"/>
      <c r="BU156" s="208"/>
      <c r="BV156" s="208"/>
      <c r="BW156" s="208">
        <f t="shared" si="271"/>
        <v>0</v>
      </c>
      <c r="BX156" s="208">
        <f t="shared" si="272"/>
        <v>0</v>
      </c>
      <c r="BY156" s="208"/>
      <c r="BZ156" s="208"/>
      <c r="CA156" s="208"/>
      <c r="CB156" s="208"/>
      <c r="CC156" s="208"/>
      <c r="CD156" s="208"/>
      <c r="CE156" s="208"/>
      <c r="CF156" s="208"/>
      <c r="CG156" s="208"/>
      <c r="CH156" s="208"/>
      <c r="CI156" s="259"/>
      <c r="CJ156" s="54" t="s">
        <v>356</v>
      </c>
      <c r="CK156" s="57"/>
      <c r="CL156" s="230" t="s">
        <v>698</v>
      </c>
      <c r="CM156" s="10" t="s">
        <v>699</v>
      </c>
      <c r="CQ156" s="10" t="e">
        <f>D156-#REF!-AM156</f>
        <v>#REF!</v>
      </c>
      <c r="CR156" s="10" t="e">
        <f>D156-#REF!</f>
        <v>#REF!</v>
      </c>
      <c r="CS156" s="1" t="e">
        <f>F156-#REF!</f>
        <v>#REF!</v>
      </c>
    </row>
    <row r="157" spans="1:97" s="130" customFormat="1" ht="24" x14ac:dyDescent="0.2">
      <c r="A157" s="75"/>
      <c r="B157" s="159"/>
      <c r="C157" s="280" t="s">
        <v>663</v>
      </c>
      <c r="D157" s="220">
        <f t="shared" si="298"/>
        <v>0</v>
      </c>
      <c r="E157" s="208">
        <f t="shared" si="273"/>
        <v>0</v>
      </c>
      <c r="F157" s="208">
        <v>0</v>
      </c>
      <c r="G157" s="208">
        <f t="shared" si="263"/>
        <v>467</v>
      </c>
      <c r="H157" s="208">
        <f t="shared" si="264"/>
        <v>467</v>
      </c>
      <c r="I157" s="208"/>
      <c r="J157" s="208"/>
      <c r="K157" s="208"/>
      <c r="L157" s="208"/>
      <c r="M157" s="208">
        <v>467</v>
      </c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>
        <v>0</v>
      </c>
      <c r="AN157" s="208">
        <f t="shared" si="265"/>
        <v>0</v>
      </c>
      <c r="AO157" s="208">
        <f t="shared" si="266"/>
        <v>0</v>
      </c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>
        <v>0</v>
      </c>
      <c r="BB157" s="208">
        <f t="shared" si="267"/>
        <v>0</v>
      </c>
      <c r="BC157" s="208">
        <f t="shared" si="268"/>
        <v>0</v>
      </c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>
        <v>0</v>
      </c>
      <c r="BP157" s="208">
        <f t="shared" si="269"/>
        <v>0</v>
      </c>
      <c r="BQ157" s="208">
        <f t="shared" si="270"/>
        <v>0</v>
      </c>
      <c r="BR157" s="208"/>
      <c r="BS157" s="208"/>
      <c r="BT157" s="208"/>
      <c r="BU157" s="208"/>
      <c r="BV157" s="268"/>
      <c r="BW157" s="208">
        <f t="shared" si="271"/>
        <v>-467</v>
      </c>
      <c r="BX157" s="208">
        <f t="shared" si="272"/>
        <v>-467</v>
      </c>
      <c r="BY157" s="208">
        <v>-467</v>
      </c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327"/>
      <c r="CJ157" s="54" t="s">
        <v>664</v>
      </c>
      <c r="CK157" s="57"/>
      <c r="CL157" s="230" t="s">
        <v>689</v>
      </c>
      <c r="CM157" s="10" t="s">
        <v>689</v>
      </c>
      <c r="CQ157" s="10" t="e">
        <f>D157-#REF!-AM157</f>
        <v>#REF!</v>
      </c>
      <c r="CR157" s="10" t="e">
        <f>D157-#REF!</f>
        <v>#REF!</v>
      </c>
      <c r="CS157" s="130" t="e">
        <f>F157-#REF!</f>
        <v>#REF!</v>
      </c>
    </row>
    <row r="158" spans="1:97" ht="22.5" customHeight="1" x14ac:dyDescent="0.2">
      <c r="A158" s="75">
        <v>90000051561</v>
      </c>
      <c r="B158" s="158" t="s">
        <v>269</v>
      </c>
      <c r="C158" s="255" t="s">
        <v>221</v>
      </c>
      <c r="D158" s="220">
        <f t="shared" si="298"/>
        <v>778597</v>
      </c>
      <c r="E158" s="208">
        <f t="shared" si="273"/>
        <v>788620</v>
      </c>
      <c r="F158" s="208">
        <v>324207</v>
      </c>
      <c r="G158" s="208">
        <f t="shared" si="263"/>
        <v>335538</v>
      </c>
      <c r="H158" s="208">
        <f t="shared" si="264"/>
        <v>11331</v>
      </c>
      <c r="I158" s="208"/>
      <c r="J158" s="208"/>
      <c r="K158" s="208"/>
      <c r="L158" s="208"/>
      <c r="M158" s="208">
        <v>-4265</v>
      </c>
      <c r="N158" s="208"/>
      <c r="O158" s="208"/>
      <c r="P158" s="208"/>
      <c r="Q158" s="208"/>
      <c r="R158" s="208">
        <v>-6900</v>
      </c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>
        <v>22496</v>
      </c>
      <c r="AH158" s="208"/>
      <c r="AI158" s="208"/>
      <c r="AJ158" s="208"/>
      <c r="AK158" s="208"/>
      <c r="AL158" s="208"/>
      <c r="AM158" s="208">
        <v>421705</v>
      </c>
      <c r="AN158" s="208">
        <f t="shared" si="265"/>
        <v>430126</v>
      </c>
      <c r="AO158" s="208">
        <f t="shared" si="266"/>
        <v>8421</v>
      </c>
      <c r="AP158" s="208"/>
      <c r="AQ158" s="208"/>
      <c r="AR158" s="208">
        <v>-2394</v>
      </c>
      <c r="AS158" s="208"/>
      <c r="AT158" s="208"/>
      <c r="AU158" s="208"/>
      <c r="AV158" s="208">
        <f>12164-1349</f>
        <v>10815</v>
      </c>
      <c r="AW158" s="208"/>
      <c r="AX158" s="208"/>
      <c r="AY158" s="208"/>
      <c r="AZ158" s="208"/>
      <c r="BA158" s="208">
        <v>32685</v>
      </c>
      <c r="BB158" s="208">
        <f t="shared" si="267"/>
        <v>22956</v>
      </c>
      <c r="BC158" s="208">
        <f t="shared" si="268"/>
        <v>-9729</v>
      </c>
      <c r="BD158" s="208">
        <v>4265</v>
      </c>
      <c r="BE158" s="208"/>
      <c r="BF158" s="208">
        <v>-408</v>
      </c>
      <c r="BG158" s="208"/>
      <c r="BH158" s="208"/>
      <c r="BI158" s="208"/>
      <c r="BJ158" s="208">
        <v>-13586</v>
      </c>
      <c r="BK158" s="208"/>
      <c r="BL158" s="208"/>
      <c r="BM158" s="208"/>
      <c r="BN158" s="208"/>
      <c r="BO158" s="208">
        <v>0</v>
      </c>
      <c r="BP158" s="208">
        <f t="shared" si="269"/>
        <v>0</v>
      </c>
      <c r="BQ158" s="208">
        <f t="shared" si="270"/>
        <v>0</v>
      </c>
      <c r="BR158" s="208"/>
      <c r="BS158" s="208"/>
      <c r="BT158" s="208"/>
      <c r="BU158" s="208"/>
      <c r="BV158" s="208"/>
      <c r="BW158" s="208">
        <f t="shared" si="271"/>
        <v>0</v>
      </c>
      <c r="BX158" s="208">
        <f t="shared" si="272"/>
        <v>0</v>
      </c>
      <c r="BY158" s="208"/>
      <c r="BZ158" s="208"/>
      <c r="CA158" s="208"/>
      <c r="CB158" s="208"/>
      <c r="CC158" s="208"/>
      <c r="CD158" s="208"/>
      <c r="CE158" s="208"/>
      <c r="CF158" s="208"/>
      <c r="CG158" s="208"/>
      <c r="CH158" s="208"/>
      <c r="CI158" s="259"/>
      <c r="CJ158" s="54" t="s">
        <v>357</v>
      </c>
      <c r="CK158" s="57"/>
      <c r="CL158" s="230" t="s">
        <v>696</v>
      </c>
      <c r="CM158" s="10" t="s">
        <v>697</v>
      </c>
      <c r="CQ158" s="10" t="e">
        <f>D158-#REF!-AM158</f>
        <v>#REF!</v>
      </c>
      <c r="CR158" s="10" t="e">
        <f>D158-#REF!</f>
        <v>#REF!</v>
      </c>
      <c r="CS158" s="1" t="e">
        <f>F158-#REF!</f>
        <v>#REF!</v>
      </c>
    </row>
    <row r="159" spans="1:97" x14ac:dyDescent="0.2">
      <c r="A159" s="75"/>
      <c r="B159" s="159"/>
      <c r="C159" s="255" t="s">
        <v>233</v>
      </c>
      <c r="D159" s="220">
        <f t="shared" si="298"/>
        <v>100692</v>
      </c>
      <c r="E159" s="208">
        <f t="shared" si="273"/>
        <v>73323</v>
      </c>
      <c r="F159" s="208">
        <v>88157</v>
      </c>
      <c r="G159" s="208">
        <f t="shared" si="263"/>
        <v>63774</v>
      </c>
      <c r="H159" s="208">
        <f t="shared" si="264"/>
        <v>-24383</v>
      </c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>
        <v>-24383</v>
      </c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>
        <v>12535</v>
      </c>
      <c r="AN159" s="208">
        <f t="shared" si="265"/>
        <v>9549</v>
      </c>
      <c r="AO159" s="208">
        <f t="shared" si="266"/>
        <v>-2986</v>
      </c>
      <c r="AP159" s="208"/>
      <c r="AQ159" s="208"/>
      <c r="AR159" s="208"/>
      <c r="AS159" s="208"/>
      <c r="AT159" s="208">
        <v>-2986</v>
      </c>
      <c r="AU159" s="208"/>
      <c r="AV159" s="208"/>
      <c r="AW159" s="208"/>
      <c r="AX159" s="208"/>
      <c r="AY159" s="208"/>
      <c r="AZ159" s="208"/>
      <c r="BA159" s="208">
        <v>0</v>
      </c>
      <c r="BB159" s="208">
        <f t="shared" si="267"/>
        <v>0</v>
      </c>
      <c r="BC159" s="208">
        <f t="shared" si="268"/>
        <v>0</v>
      </c>
      <c r="BD159" s="208"/>
      <c r="BE159" s="208"/>
      <c r="BF159" s="208"/>
      <c r="BG159" s="208"/>
      <c r="BH159" s="208"/>
      <c r="BI159" s="208"/>
      <c r="BJ159" s="208"/>
      <c r="BK159" s="208"/>
      <c r="BL159" s="208"/>
      <c r="BM159" s="208"/>
      <c r="BN159" s="208"/>
      <c r="BO159" s="208">
        <v>0</v>
      </c>
      <c r="BP159" s="208">
        <f t="shared" si="269"/>
        <v>0</v>
      </c>
      <c r="BQ159" s="208">
        <f t="shared" si="270"/>
        <v>0</v>
      </c>
      <c r="BR159" s="208"/>
      <c r="BS159" s="208"/>
      <c r="BT159" s="208"/>
      <c r="BU159" s="208"/>
      <c r="BV159" s="208"/>
      <c r="BW159" s="208">
        <f t="shared" si="271"/>
        <v>0</v>
      </c>
      <c r="BX159" s="208">
        <f t="shared" si="272"/>
        <v>0</v>
      </c>
      <c r="BY159" s="208"/>
      <c r="BZ159" s="208"/>
      <c r="CA159" s="208"/>
      <c r="CB159" s="208"/>
      <c r="CC159" s="208"/>
      <c r="CD159" s="208"/>
      <c r="CE159" s="208"/>
      <c r="CF159" s="208"/>
      <c r="CG159" s="208"/>
      <c r="CH159" s="208"/>
      <c r="CI159" s="259"/>
      <c r="CJ159" s="54" t="s">
        <v>358</v>
      </c>
      <c r="CK159" s="57"/>
      <c r="CL159" s="230" t="s">
        <v>698</v>
      </c>
      <c r="CM159" s="10" t="s">
        <v>699</v>
      </c>
      <c r="CQ159" s="10" t="e">
        <f>D159-#REF!-AM159</f>
        <v>#REF!</v>
      </c>
      <c r="CR159" s="10" t="e">
        <f>D159-#REF!</f>
        <v>#REF!</v>
      </c>
      <c r="CS159" s="1" t="e">
        <f>F159-#REF!</f>
        <v>#REF!</v>
      </c>
    </row>
    <row r="160" spans="1:97" ht="24" customHeight="1" x14ac:dyDescent="0.2">
      <c r="A160" s="75">
        <v>90009226256</v>
      </c>
      <c r="B160" s="158" t="s">
        <v>149</v>
      </c>
      <c r="C160" s="255" t="s">
        <v>433</v>
      </c>
      <c r="D160" s="220">
        <f t="shared" si="298"/>
        <v>355172</v>
      </c>
      <c r="E160" s="208">
        <f t="shared" si="273"/>
        <v>372154</v>
      </c>
      <c r="F160" s="208">
        <v>270268</v>
      </c>
      <c r="G160" s="208">
        <f t="shared" si="263"/>
        <v>288024</v>
      </c>
      <c r="H160" s="208">
        <f t="shared" si="264"/>
        <v>17756</v>
      </c>
      <c r="I160" s="208"/>
      <c r="J160" s="208"/>
      <c r="K160" s="208"/>
      <c r="L160" s="208"/>
      <c r="M160" s="208">
        <v>2436</v>
      </c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>
        <v>-2790</v>
      </c>
      <c r="AB160" s="208"/>
      <c r="AC160" s="208"/>
      <c r="AD160" s="208"/>
      <c r="AE160" s="208"/>
      <c r="AF160" s="208"/>
      <c r="AG160" s="208">
        <v>18110</v>
      </c>
      <c r="AH160" s="208"/>
      <c r="AI160" s="208"/>
      <c r="AJ160" s="208"/>
      <c r="AK160" s="208"/>
      <c r="AL160" s="208"/>
      <c r="AM160" s="208">
        <v>72084</v>
      </c>
      <c r="AN160" s="208">
        <f t="shared" si="265"/>
        <v>74280</v>
      </c>
      <c r="AO160" s="208">
        <f t="shared" si="266"/>
        <v>2196</v>
      </c>
      <c r="AP160" s="208"/>
      <c r="AQ160" s="208"/>
      <c r="AR160" s="208"/>
      <c r="AS160" s="208"/>
      <c r="AT160" s="208"/>
      <c r="AU160" s="208"/>
      <c r="AV160" s="208">
        <v>2196</v>
      </c>
      <c r="AW160" s="208"/>
      <c r="AX160" s="208"/>
      <c r="AY160" s="208"/>
      <c r="AZ160" s="208"/>
      <c r="BA160" s="208">
        <v>12820</v>
      </c>
      <c r="BB160" s="208">
        <f t="shared" si="267"/>
        <v>9850</v>
      </c>
      <c r="BC160" s="208">
        <f t="shared" si="268"/>
        <v>-2970</v>
      </c>
      <c r="BD160" s="208">
        <v>1028</v>
      </c>
      <c r="BE160" s="208"/>
      <c r="BF160" s="208"/>
      <c r="BG160" s="208">
        <v>-4148</v>
      </c>
      <c r="BH160" s="208"/>
      <c r="BI160" s="208"/>
      <c r="BJ160" s="208">
        <v>150</v>
      </c>
      <c r="BK160" s="208"/>
      <c r="BL160" s="208"/>
      <c r="BM160" s="208"/>
      <c r="BN160" s="208"/>
      <c r="BO160" s="208">
        <v>0</v>
      </c>
      <c r="BP160" s="208">
        <f t="shared" si="269"/>
        <v>0</v>
      </c>
      <c r="BQ160" s="208">
        <f t="shared" si="270"/>
        <v>0</v>
      </c>
      <c r="BR160" s="208"/>
      <c r="BS160" s="208"/>
      <c r="BT160" s="208"/>
      <c r="BU160" s="208"/>
      <c r="BV160" s="208"/>
      <c r="BW160" s="208">
        <f t="shared" si="271"/>
        <v>0</v>
      </c>
      <c r="BX160" s="208">
        <f t="shared" si="272"/>
        <v>0</v>
      </c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59"/>
      <c r="CJ160" s="54" t="s">
        <v>359</v>
      </c>
      <c r="CK160" s="57"/>
      <c r="CL160" s="230" t="s">
        <v>690</v>
      </c>
      <c r="CM160" s="10" t="s">
        <v>691</v>
      </c>
      <c r="CQ160" s="10" t="e">
        <f>D160-#REF!-AM160</f>
        <v>#REF!</v>
      </c>
      <c r="CR160" s="10" t="e">
        <f>D160-#REF!</f>
        <v>#REF!</v>
      </c>
      <c r="CS160" s="1" t="e">
        <f>F160-#REF!</f>
        <v>#REF!</v>
      </c>
    </row>
    <row r="161" spans="1:97" s="93" customFormat="1" ht="12.75" x14ac:dyDescent="0.2">
      <c r="A161" s="77"/>
      <c r="B161" s="162"/>
      <c r="C161" s="255" t="s">
        <v>509</v>
      </c>
      <c r="D161" s="220">
        <f t="shared" si="298"/>
        <v>26212</v>
      </c>
      <c r="E161" s="208">
        <f t="shared" si="273"/>
        <v>49737</v>
      </c>
      <c r="F161" s="208">
        <v>26212</v>
      </c>
      <c r="G161" s="208">
        <f t="shared" si="263"/>
        <v>49737</v>
      </c>
      <c r="H161" s="208">
        <f t="shared" si="264"/>
        <v>23525</v>
      </c>
      <c r="I161" s="208"/>
      <c r="J161" s="208"/>
      <c r="K161" s="208"/>
      <c r="L161" s="208"/>
      <c r="M161" s="208">
        <v>5009</v>
      </c>
      <c r="N161" s="208"/>
      <c r="O161" s="208"/>
      <c r="P161" s="208"/>
      <c r="Q161" s="208">
        <v>18376</v>
      </c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>
        <v>140</v>
      </c>
      <c r="AH161" s="208"/>
      <c r="AI161" s="208"/>
      <c r="AJ161" s="208"/>
      <c r="AK161" s="208"/>
      <c r="AL161" s="208"/>
      <c r="AM161" s="208">
        <v>0</v>
      </c>
      <c r="AN161" s="208">
        <f t="shared" si="265"/>
        <v>0</v>
      </c>
      <c r="AO161" s="208">
        <f t="shared" si="266"/>
        <v>0</v>
      </c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>
        <v>0</v>
      </c>
      <c r="BB161" s="208">
        <f t="shared" si="267"/>
        <v>0</v>
      </c>
      <c r="BC161" s="208">
        <f t="shared" si="268"/>
        <v>0</v>
      </c>
      <c r="BD161" s="208"/>
      <c r="BE161" s="208"/>
      <c r="BF161" s="208"/>
      <c r="BG161" s="208"/>
      <c r="BH161" s="208"/>
      <c r="BI161" s="208"/>
      <c r="BJ161" s="208"/>
      <c r="BK161" s="208"/>
      <c r="BL161" s="208"/>
      <c r="BM161" s="208"/>
      <c r="BN161" s="208"/>
      <c r="BO161" s="208">
        <v>0</v>
      </c>
      <c r="BP161" s="208">
        <f t="shared" si="269"/>
        <v>0</v>
      </c>
      <c r="BQ161" s="208">
        <f t="shared" si="270"/>
        <v>0</v>
      </c>
      <c r="BR161" s="208"/>
      <c r="BS161" s="208"/>
      <c r="BT161" s="208"/>
      <c r="BU161" s="208"/>
      <c r="BV161" s="208"/>
      <c r="BW161" s="208">
        <f t="shared" si="271"/>
        <v>0</v>
      </c>
      <c r="BX161" s="208">
        <f t="shared" si="272"/>
        <v>0</v>
      </c>
      <c r="BY161" s="208"/>
      <c r="BZ161" s="208"/>
      <c r="CA161" s="208"/>
      <c r="CB161" s="208"/>
      <c r="CC161" s="208"/>
      <c r="CD161" s="208"/>
      <c r="CE161" s="208"/>
      <c r="CF161" s="208"/>
      <c r="CG161" s="208"/>
      <c r="CH161" s="208"/>
      <c r="CI161" s="259"/>
      <c r="CJ161" s="54" t="s">
        <v>617</v>
      </c>
      <c r="CK161" s="57"/>
      <c r="CL161" s="230" t="s">
        <v>689</v>
      </c>
      <c r="CM161" s="10" t="s">
        <v>689</v>
      </c>
      <c r="CQ161" s="10" t="e">
        <f>D161-#REF!-AM161</f>
        <v>#REF!</v>
      </c>
      <c r="CR161" s="10" t="e">
        <f>D161-#REF!</f>
        <v>#REF!</v>
      </c>
      <c r="CS161" s="93" t="e">
        <f>F161-#REF!</f>
        <v>#REF!</v>
      </c>
    </row>
    <row r="162" spans="1:97" s="130" customFormat="1" ht="24" x14ac:dyDescent="0.2">
      <c r="A162" s="77"/>
      <c r="B162" s="162"/>
      <c r="C162" s="286" t="s">
        <v>751</v>
      </c>
      <c r="D162" s="220">
        <f t="shared" si="298"/>
        <v>17330</v>
      </c>
      <c r="E162" s="208">
        <f t="shared" si="273"/>
        <v>17330</v>
      </c>
      <c r="F162" s="208">
        <v>17330</v>
      </c>
      <c r="G162" s="208">
        <f t="shared" si="263"/>
        <v>20796</v>
      </c>
      <c r="H162" s="208">
        <f t="shared" si="264"/>
        <v>3466</v>
      </c>
      <c r="I162" s="208"/>
      <c r="J162" s="208"/>
      <c r="K162" s="208"/>
      <c r="L162" s="208"/>
      <c r="M162" s="208">
        <v>3466</v>
      </c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>
        <v>0</v>
      </c>
      <c r="AN162" s="208">
        <f t="shared" si="265"/>
        <v>0</v>
      </c>
      <c r="AO162" s="208">
        <f t="shared" si="266"/>
        <v>0</v>
      </c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>
        <v>0</v>
      </c>
      <c r="BB162" s="208">
        <f t="shared" si="267"/>
        <v>0</v>
      </c>
      <c r="BC162" s="208">
        <f t="shared" si="268"/>
        <v>0</v>
      </c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>
        <v>0</v>
      </c>
      <c r="BP162" s="208">
        <f t="shared" si="269"/>
        <v>0</v>
      </c>
      <c r="BQ162" s="208">
        <f t="shared" si="270"/>
        <v>0</v>
      </c>
      <c r="BR162" s="208"/>
      <c r="BS162" s="208"/>
      <c r="BT162" s="208"/>
      <c r="BU162" s="208"/>
      <c r="BV162" s="208"/>
      <c r="BW162" s="208">
        <f>BV162+BX162</f>
        <v>-3466</v>
      </c>
      <c r="BX162" s="208">
        <f t="shared" si="272"/>
        <v>-3466</v>
      </c>
      <c r="BY162" s="208">
        <v>-3466</v>
      </c>
      <c r="BZ162" s="208"/>
      <c r="CA162" s="208"/>
      <c r="CB162" s="208"/>
      <c r="CC162" s="208"/>
      <c r="CD162" s="208"/>
      <c r="CE162" s="208"/>
      <c r="CF162" s="208"/>
      <c r="CG162" s="208"/>
      <c r="CH162" s="208"/>
      <c r="CI162" s="259"/>
      <c r="CJ162" s="54" t="s">
        <v>750</v>
      </c>
      <c r="CK162" s="57"/>
      <c r="CL162" s="230"/>
      <c r="CM162" s="10"/>
      <c r="CQ162" s="10"/>
      <c r="CR162" s="10"/>
      <c r="CS162" s="130" t="e">
        <f>F162-#REF!</f>
        <v>#REF!</v>
      </c>
    </row>
    <row r="163" spans="1:97" s="130" customFormat="1" ht="24" x14ac:dyDescent="0.2">
      <c r="A163" s="77"/>
      <c r="B163" s="162"/>
      <c r="C163" s="401" t="s">
        <v>848</v>
      </c>
      <c r="D163" s="220">
        <f t="shared" si="298"/>
        <v>0</v>
      </c>
      <c r="E163" s="208">
        <f t="shared" si="273"/>
        <v>0</v>
      </c>
      <c r="F163" s="208"/>
      <c r="G163" s="208">
        <f t="shared" ref="G163" si="299">F163+H163</f>
        <v>0</v>
      </c>
      <c r="H163" s="208">
        <f t="shared" si="264"/>
        <v>0</v>
      </c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>
        <f t="shared" ref="AN163" si="300">AM163+AO163</f>
        <v>0</v>
      </c>
      <c r="AO163" s="208">
        <f t="shared" ref="AO163" si="301">SUM(AP163:AZ163)</f>
        <v>0</v>
      </c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>
        <f t="shared" ref="BB163" si="302">BA163+BC163</f>
        <v>0</v>
      </c>
      <c r="BC163" s="208">
        <f t="shared" ref="BC163" si="303">SUM(BD163:BN163)</f>
        <v>0</v>
      </c>
      <c r="BD163" s="208"/>
      <c r="BE163" s="208"/>
      <c r="BF163" s="208"/>
      <c r="BG163" s="208"/>
      <c r="BH163" s="208"/>
      <c r="BI163" s="208"/>
      <c r="BJ163" s="208"/>
      <c r="BK163" s="208"/>
      <c r="BL163" s="208"/>
      <c r="BM163" s="208"/>
      <c r="BN163" s="208"/>
      <c r="BO163" s="208"/>
      <c r="BP163" s="208">
        <f t="shared" ref="BP163" si="304">BO163+BQ163</f>
        <v>0</v>
      </c>
      <c r="BQ163" s="208">
        <f t="shared" ref="BQ163" si="305">SUM(BR163:BU163)</f>
        <v>0</v>
      </c>
      <c r="BR163" s="208"/>
      <c r="BS163" s="208"/>
      <c r="BT163" s="208"/>
      <c r="BU163" s="208"/>
      <c r="BV163" s="208"/>
      <c r="BW163" s="208">
        <f>BV163+BX163</f>
        <v>0</v>
      </c>
      <c r="BX163" s="208">
        <f t="shared" si="272"/>
        <v>0</v>
      </c>
      <c r="BY163" s="208"/>
      <c r="BZ163" s="208"/>
      <c r="CA163" s="208"/>
      <c r="CB163" s="208"/>
      <c r="CC163" s="208"/>
      <c r="CD163" s="208"/>
      <c r="CE163" s="208"/>
      <c r="CF163" s="208"/>
      <c r="CG163" s="208"/>
      <c r="CH163" s="208"/>
      <c r="CI163" s="259"/>
      <c r="CJ163" s="54" t="s">
        <v>849</v>
      </c>
      <c r="CK163" s="57"/>
      <c r="CL163" s="230"/>
      <c r="CM163" s="10"/>
      <c r="CQ163" s="10"/>
      <c r="CR163" s="10"/>
    </row>
    <row r="164" spans="1:97" ht="24" customHeight="1" x14ac:dyDescent="0.2">
      <c r="A164" s="75">
        <v>90000051487</v>
      </c>
      <c r="B164" s="158" t="s">
        <v>134</v>
      </c>
      <c r="C164" s="255" t="s">
        <v>221</v>
      </c>
      <c r="D164" s="220">
        <f t="shared" si="298"/>
        <v>1797552</v>
      </c>
      <c r="E164" s="208">
        <f t="shared" si="273"/>
        <v>1808535</v>
      </c>
      <c r="F164" s="208">
        <v>690204</v>
      </c>
      <c r="G164" s="208">
        <f t="shared" si="263"/>
        <v>702135</v>
      </c>
      <c r="H164" s="208">
        <f t="shared" si="264"/>
        <v>11931</v>
      </c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>
        <v>-26779</v>
      </c>
      <c r="AB164" s="208"/>
      <c r="AC164" s="208"/>
      <c r="AD164" s="208"/>
      <c r="AE164" s="208"/>
      <c r="AF164" s="208"/>
      <c r="AG164" s="208">
        <v>38710</v>
      </c>
      <c r="AH164" s="208"/>
      <c r="AI164" s="208"/>
      <c r="AJ164" s="208"/>
      <c r="AK164" s="208"/>
      <c r="AL164" s="208"/>
      <c r="AM164" s="208">
        <v>1088225</v>
      </c>
      <c r="AN164" s="208">
        <f t="shared" si="265"/>
        <v>1098663</v>
      </c>
      <c r="AO164" s="208">
        <f t="shared" si="266"/>
        <v>10438</v>
      </c>
      <c r="AP164" s="208"/>
      <c r="AQ164" s="208"/>
      <c r="AR164" s="208">
        <v>-4271</v>
      </c>
      <c r="AS164" s="208"/>
      <c r="AT164" s="208"/>
      <c r="AU164" s="208"/>
      <c r="AV164" s="208">
        <f>5680+9029</f>
        <v>14709</v>
      </c>
      <c r="AW164" s="208"/>
      <c r="AX164" s="208"/>
      <c r="AY164" s="208"/>
      <c r="AZ164" s="208"/>
      <c r="BA164" s="208">
        <v>19123</v>
      </c>
      <c r="BB164" s="208">
        <f t="shared" si="267"/>
        <v>7737</v>
      </c>
      <c r="BC164" s="208">
        <f t="shared" si="268"/>
        <v>-11386</v>
      </c>
      <c r="BD164" s="208"/>
      <c r="BE164" s="208"/>
      <c r="BF164" s="208"/>
      <c r="BG164" s="208">
        <v>-3436</v>
      </c>
      <c r="BH164" s="208"/>
      <c r="BI164" s="208"/>
      <c r="BJ164" s="208">
        <v>-7950</v>
      </c>
      <c r="BK164" s="208"/>
      <c r="BL164" s="208"/>
      <c r="BM164" s="208"/>
      <c r="BN164" s="208"/>
      <c r="BO164" s="208">
        <v>0</v>
      </c>
      <c r="BP164" s="208">
        <f t="shared" si="269"/>
        <v>0</v>
      </c>
      <c r="BQ164" s="208">
        <f t="shared" si="270"/>
        <v>0</v>
      </c>
      <c r="BR164" s="208"/>
      <c r="BS164" s="208"/>
      <c r="BT164" s="208"/>
      <c r="BU164" s="208"/>
      <c r="BV164" s="208"/>
      <c r="BW164" s="208">
        <f t="shared" si="271"/>
        <v>0</v>
      </c>
      <c r="BX164" s="208">
        <f t="shared" si="272"/>
        <v>0</v>
      </c>
      <c r="BY164" s="208"/>
      <c r="BZ164" s="208"/>
      <c r="CA164" s="208"/>
      <c r="CB164" s="208"/>
      <c r="CC164" s="208"/>
      <c r="CD164" s="208"/>
      <c r="CE164" s="208"/>
      <c r="CF164" s="208"/>
      <c r="CG164" s="208"/>
      <c r="CH164" s="208"/>
      <c r="CI164" s="259"/>
      <c r="CJ164" s="54" t="s">
        <v>360</v>
      </c>
      <c r="CK164" s="57"/>
      <c r="CL164" s="230" t="s">
        <v>696</v>
      </c>
      <c r="CM164" s="10" t="s">
        <v>697</v>
      </c>
      <c r="CQ164" s="10" t="e">
        <f>D164-#REF!-AM164</f>
        <v>#REF!</v>
      </c>
      <c r="CR164" s="10" t="e">
        <f>D164-#REF!</f>
        <v>#REF!</v>
      </c>
      <c r="CS164" s="1" t="e">
        <f>F164-#REF!</f>
        <v>#REF!</v>
      </c>
    </row>
    <row r="165" spans="1:97" s="70" customFormat="1" x14ac:dyDescent="0.2">
      <c r="A165" s="75"/>
      <c r="B165" s="159"/>
      <c r="C165" s="255" t="s">
        <v>233</v>
      </c>
      <c r="D165" s="220">
        <f t="shared" si="298"/>
        <v>208738</v>
      </c>
      <c r="E165" s="208">
        <f t="shared" si="273"/>
        <v>160678</v>
      </c>
      <c r="F165" s="208">
        <v>173719</v>
      </c>
      <c r="G165" s="208">
        <f t="shared" si="263"/>
        <v>132596</v>
      </c>
      <c r="H165" s="208">
        <f t="shared" ref="H165:H196" si="306">SUM(I165:AL165)</f>
        <v>-41123</v>
      </c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>
        <v>-41123</v>
      </c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>
        <v>35019</v>
      </c>
      <c r="AN165" s="208">
        <f t="shared" si="265"/>
        <v>28082</v>
      </c>
      <c r="AO165" s="208">
        <f t="shared" si="266"/>
        <v>-6937</v>
      </c>
      <c r="AP165" s="208"/>
      <c r="AQ165" s="208">
        <v>-16502</v>
      </c>
      <c r="AR165" s="208"/>
      <c r="AS165" s="208"/>
      <c r="AT165" s="208"/>
      <c r="AU165" s="208"/>
      <c r="AV165" s="208">
        <v>9565</v>
      </c>
      <c r="AW165" s="208"/>
      <c r="AX165" s="208"/>
      <c r="AY165" s="208"/>
      <c r="AZ165" s="208"/>
      <c r="BA165" s="208">
        <v>0</v>
      </c>
      <c r="BB165" s="208">
        <f t="shared" si="267"/>
        <v>0</v>
      </c>
      <c r="BC165" s="208">
        <f t="shared" si="268"/>
        <v>0</v>
      </c>
      <c r="BD165" s="208"/>
      <c r="BE165" s="208"/>
      <c r="BF165" s="208"/>
      <c r="BG165" s="208"/>
      <c r="BH165" s="208"/>
      <c r="BI165" s="208"/>
      <c r="BJ165" s="208"/>
      <c r="BK165" s="208"/>
      <c r="BL165" s="208"/>
      <c r="BM165" s="208"/>
      <c r="BN165" s="208"/>
      <c r="BO165" s="208">
        <v>0</v>
      </c>
      <c r="BP165" s="208">
        <f t="shared" si="269"/>
        <v>0</v>
      </c>
      <c r="BQ165" s="208">
        <f t="shared" si="270"/>
        <v>0</v>
      </c>
      <c r="BR165" s="208"/>
      <c r="BS165" s="208"/>
      <c r="BT165" s="208"/>
      <c r="BU165" s="208"/>
      <c r="BV165" s="208"/>
      <c r="BW165" s="208">
        <f t="shared" si="271"/>
        <v>0</v>
      </c>
      <c r="BX165" s="208">
        <f t="shared" ref="BX165:BX196" si="307">SUM(BY165:CI165)</f>
        <v>0</v>
      </c>
      <c r="BY165" s="208"/>
      <c r="BZ165" s="208"/>
      <c r="CA165" s="208"/>
      <c r="CB165" s="208"/>
      <c r="CC165" s="208"/>
      <c r="CD165" s="208"/>
      <c r="CE165" s="208"/>
      <c r="CF165" s="208"/>
      <c r="CG165" s="208"/>
      <c r="CH165" s="208"/>
      <c r="CI165" s="259"/>
      <c r="CJ165" s="54" t="s">
        <v>361</v>
      </c>
      <c r="CK165" s="57"/>
      <c r="CL165" s="230" t="s">
        <v>698</v>
      </c>
      <c r="CM165" s="10" t="s">
        <v>699</v>
      </c>
      <c r="CQ165" s="10" t="e">
        <f>D165-#REF!-AM165</f>
        <v>#REF!</v>
      </c>
      <c r="CR165" s="10" t="e">
        <f>D165-#REF!</f>
        <v>#REF!</v>
      </c>
      <c r="CS165" s="70" t="e">
        <f>F165-#REF!</f>
        <v>#REF!</v>
      </c>
    </row>
    <row r="166" spans="1:97" s="126" customFormat="1" ht="24" x14ac:dyDescent="0.2">
      <c r="A166" s="75"/>
      <c r="B166" s="159"/>
      <c r="C166" s="255" t="s">
        <v>512</v>
      </c>
      <c r="D166" s="220">
        <f t="shared" si="298"/>
        <v>9541</v>
      </c>
      <c r="E166" s="208">
        <f t="shared" si="273"/>
        <v>11375</v>
      </c>
      <c r="F166" s="208">
        <v>9541</v>
      </c>
      <c r="G166" s="208">
        <f t="shared" si="263"/>
        <v>11375</v>
      </c>
      <c r="H166" s="208">
        <f t="shared" si="306"/>
        <v>1834</v>
      </c>
      <c r="I166" s="208"/>
      <c r="J166" s="208"/>
      <c r="K166" s="208"/>
      <c r="L166" s="208"/>
      <c r="M166" s="208">
        <v>1745</v>
      </c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>
        <v>89</v>
      </c>
      <c r="AH166" s="208"/>
      <c r="AI166" s="208"/>
      <c r="AJ166" s="208"/>
      <c r="AK166" s="208"/>
      <c r="AL166" s="208"/>
      <c r="AM166" s="208">
        <v>0</v>
      </c>
      <c r="AN166" s="208">
        <f t="shared" si="265"/>
        <v>0</v>
      </c>
      <c r="AO166" s="208">
        <f t="shared" si="266"/>
        <v>0</v>
      </c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>
        <v>0</v>
      </c>
      <c r="BB166" s="208">
        <f t="shared" si="267"/>
        <v>0</v>
      </c>
      <c r="BC166" s="208">
        <f t="shared" si="268"/>
        <v>0</v>
      </c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>
        <v>0</v>
      </c>
      <c r="BP166" s="208">
        <f t="shared" si="269"/>
        <v>0</v>
      </c>
      <c r="BQ166" s="208">
        <f t="shared" si="270"/>
        <v>0</v>
      </c>
      <c r="BR166" s="208"/>
      <c r="BS166" s="208"/>
      <c r="BT166" s="208"/>
      <c r="BU166" s="208"/>
      <c r="BV166" s="208"/>
      <c r="BW166" s="208">
        <f t="shared" si="271"/>
        <v>0</v>
      </c>
      <c r="BX166" s="208">
        <f t="shared" si="307"/>
        <v>0</v>
      </c>
      <c r="BY166" s="208"/>
      <c r="BZ166" s="208"/>
      <c r="CA166" s="208"/>
      <c r="CB166" s="208"/>
      <c r="CC166" s="208"/>
      <c r="CD166" s="208"/>
      <c r="CE166" s="208"/>
      <c r="CF166" s="208"/>
      <c r="CG166" s="208"/>
      <c r="CH166" s="208"/>
      <c r="CI166" s="259"/>
      <c r="CJ166" s="54" t="s">
        <v>619</v>
      </c>
      <c r="CK166" s="57"/>
      <c r="CL166" s="230" t="s">
        <v>689</v>
      </c>
      <c r="CM166" s="230" t="s">
        <v>689</v>
      </c>
      <c r="CQ166" s="10" t="e">
        <f>D166-#REF!-AM166</f>
        <v>#REF!</v>
      </c>
      <c r="CR166" s="10" t="e">
        <f>D166-#REF!</f>
        <v>#REF!</v>
      </c>
      <c r="CS166" s="126" t="e">
        <f>F166-#REF!</f>
        <v>#REF!</v>
      </c>
    </row>
    <row r="167" spans="1:97" s="130" customFormat="1" ht="24" x14ac:dyDescent="0.2">
      <c r="A167" s="75"/>
      <c r="B167" s="159"/>
      <c r="C167" s="255" t="s">
        <v>584</v>
      </c>
      <c r="D167" s="220">
        <f t="shared" si="298"/>
        <v>3542</v>
      </c>
      <c r="E167" s="208">
        <f t="shared" si="273"/>
        <v>3542</v>
      </c>
      <c r="F167" s="208">
        <v>3542</v>
      </c>
      <c r="G167" s="208">
        <f t="shared" si="263"/>
        <v>3542</v>
      </c>
      <c r="H167" s="208">
        <f t="shared" si="306"/>
        <v>0</v>
      </c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>
        <v>0</v>
      </c>
      <c r="AN167" s="208">
        <f t="shared" si="265"/>
        <v>0</v>
      </c>
      <c r="AO167" s="208">
        <f t="shared" si="266"/>
        <v>0</v>
      </c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>
        <v>0</v>
      </c>
      <c r="BB167" s="208">
        <f t="shared" si="267"/>
        <v>0</v>
      </c>
      <c r="BC167" s="208">
        <f t="shared" si="268"/>
        <v>0</v>
      </c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>
        <v>0</v>
      </c>
      <c r="BP167" s="208">
        <f t="shared" si="269"/>
        <v>0</v>
      </c>
      <c r="BQ167" s="208">
        <f t="shared" si="270"/>
        <v>0</v>
      </c>
      <c r="BR167" s="208"/>
      <c r="BS167" s="208"/>
      <c r="BT167" s="208"/>
      <c r="BU167" s="208"/>
      <c r="BV167" s="208"/>
      <c r="BW167" s="208">
        <f t="shared" si="271"/>
        <v>0</v>
      </c>
      <c r="BX167" s="208">
        <f t="shared" si="307"/>
        <v>0</v>
      </c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59"/>
      <c r="CJ167" s="54" t="s">
        <v>620</v>
      </c>
      <c r="CK167" s="57"/>
      <c r="CL167" s="230" t="s">
        <v>689</v>
      </c>
      <c r="CM167" s="230" t="s">
        <v>689</v>
      </c>
      <c r="CQ167" s="10" t="e">
        <f>D167-#REF!-AM167</f>
        <v>#REF!</v>
      </c>
      <c r="CR167" s="10" t="e">
        <f>D167-#REF!</f>
        <v>#REF!</v>
      </c>
      <c r="CS167" s="130" t="e">
        <f>F167-#REF!</f>
        <v>#REF!</v>
      </c>
    </row>
    <row r="168" spans="1:97" s="130" customFormat="1" ht="24" x14ac:dyDescent="0.2">
      <c r="A168" s="75"/>
      <c r="B168" s="159"/>
      <c r="C168" s="403" t="s">
        <v>852</v>
      </c>
      <c r="D168" s="220">
        <f t="shared" si="298"/>
        <v>0</v>
      </c>
      <c r="E168" s="208">
        <f t="shared" si="273"/>
        <v>3818</v>
      </c>
      <c r="F168" s="208"/>
      <c r="G168" s="208">
        <f t="shared" ref="G168" si="308">F168+H168</f>
        <v>0</v>
      </c>
      <c r="H168" s="208">
        <f t="shared" si="306"/>
        <v>0</v>
      </c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>
        <f t="shared" ref="AN168" si="309">AM168+AO168</f>
        <v>3818</v>
      </c>
      <c r="AO168" s="208">
        <f t="shared" ref="AO168" si="310">SUM(AP168:AZ168)</f>
        <v>3818</v>
      </c>
      <c r="AP168" s="208"/>
      <c r="AQ168" s="208"/>
      <c r="AR168" s="208"/>
      <c r="AS168" s="208"/>
      <c r="AT168" s="208">
        <v>3818</v>
      </c>
      <c r="AU168" s="208"/>
      <c r="AV168" s="208"/>
      <c r="AW168" s="208"/>
      <c r="AX168" s="208"/>
      <c r="AY168" s="208"/>
      <c r="AZ168" s="208"/>
      <c r="BA168" s="208"/>
      <c r="BB168" s="208">
        <f t="shared" ref="BB168" si="311">BA168+BC168</f>
        <v>0</v>
      </c>
      <c r="BC168" s="208">
        <f t="shared" ref="BC168" si="312">SUM(BD168:BN168)</f>
        <v>0</v>
      </c>
      <c r="BD168" s="208"/>
      <c r="BE168" s="208"/>
      <c r="BF168" s="208"/>
      <c r="BG168" s="208"/>
      <c r="BH168" s="208"/>
      <c r="BI168" s="208"/>
      <c r="BJ168" s="208"/>
      <c r="BK168" s="208"/>
      <c r="BL168" s="208"/>
      <c r="BM168" s="208"/>
      <c r="BN168" s="208"/>
      <c r="BO168" s="208"/>
      <c r="BP168" s="208">
        <f t="shared" ref="BP168" si="313">BO168+BQ168</f>
        <v>0</v>
      </c>
      <c r="BQ168" s="208">
        <f t="shared" ref="BQ168" si="314">SUM(BR168:BU168)</f>
        <v>0</v>
      </c>
      <c r="BR168" s="208"/>
      <c r="BS168" s="208"/>
      <c r="BT168" s="208"/>
      <c r="BU168" s="208"/>
      <c r="BV168" s="208"/>
      <c r="BW168" s="208">
        <f t="shared" ref="BW168" si="315">BV168+BX168</f>
        <v>0</v>
      </c>
      <c r="BX168" s="208">
        <f t="shared" si="307"/>
        <v>0</v>
      </c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59"/>
      <c r="CJ168" s="54" t="s">
        <v>853</v>
      </c>
      <c r="CK168" s="57"/>
      <c r="CL168" s="230"/>
      <c r="CM168" s="230"/>
      <c r="CQ168" s="10"/>
      <c r="CR168" s="10"/>
    </row>
    <row r="169" spans="1:97" ht="26.25" customHeight="1" x14ac:dyDescent="0.2">
      <c r="A169" s="75">
        <v>90000051519</v>
      </c>
      <c r="B169" s="158" t="s">
        <v>633</v>
      </c>
      <c r="C169" s="255" t="s">
        <v>221</v>
      </c>
      <c r="D169" s="220">
        <f t="shared" si="298"/>
        <v>1477910</v>
      </c>
      <c r="E169" s="208">
        <f t="shared" si="273"/>
        <v>1510305</v>
      </c>
      <c r="F169" s="208">
        <v>655814</v>
      </c>
      <c r="G169" s="208">
        <f t="shared" si="263"/>
        <v>669275</v>
      </c>
      <c r="H169" s="208">
        <f t="shared" si="306"/>
        <v>13461</v>
      </c>
      <c r="I169" s="208"/>
      <c r="J169" s="208"/>
      <c r="K169" s="208"/>
      <c r="L169" s="208"/>
      <c r="M169" s="208">
        <v>-1293</v>
      </c>
      <c r="N169" s="208"/>
      <c r="O169" s="208"/>
      <c r="P169" s="208"/>
      <c r="Q169" s="208"/>
      <c r="R169" s="208">
        <v>-20602</v>
      </c>
      <c r="S169" s="208"/>
      <c r="T169" s="208"/>
      <c r="U169" s="208"/>
      <c r="V169" s="208"/>
      <c r="W169" s="208"/>
      <c r="X169" s="208"/>
      <c r="Y169" s="208"/>
      <c r="Z169" s="208"/>
      <c r="AA169" s="208">
        <v>-420</v>
      </c>
      <c r="AB169" s="208"/>
      <c r="AC169" s="208"/>
      <c r="AD169" s="208"/>
      <c r="AE169" s="208"/>
      <c r="AF169" s="208"/>
      <c r="AG169" s="208">
        <f>-2195+37971</f>
        <v>35776</v>
      </c>
      <c r="AH169" s="208"/>
      <c r="AI169" s="208"/>
      <c r="AJ169" s="208"/>
      <c r="AK169" s="208"/>
      <c r="AL169" s="208"/>
      <c r="AM169" s="208">
        <v>798333</v>
      </c>
      <c r="AN169" s="208">
        <f t="shared" si="265"/>
        <v>803972</v>
      </c>
      <c r="AO169" s="208">
        <f t="shared" si="266"/>
        <v>5639</v>
      </c>
      <c r="AP169" s="208"/>
      <c r="AQ169" s="208"/>
      <c r="AR169" s="208">
        <v>-4186</v>
      </c>
      <c r="AS169" s="208"/>
      <c r="AT169" s="208"/>
      <c r="AU169" s="208"/>
      <c r="AV169" s="208">
        <f>18088-8263</f>
        <v>9825</v>
      </c>
      <c r="AW169" s="208"/>
      <c r="AX169" s="208"/>
      <c r="AY169" s="208"/>
      <c r="AZ169" s="208"/>
      <c r="BA169" s="208">
        <v>23763</v>
      </c>
      <c r="BB169" s="208">
        <f t="shared" si="267"/>
        <v>37058</v>
      </c>
      <c r="BC169" s="208">
        <f t="shared" si="268"/>
        <v>13295</v>
      </c>
      <c r="BD169" s="208">
        <v>1293</v>
      </c>
      <c r="BE169" s="208"/>
      <c r="BF169" s="208">
        <v>12002</v>
      </c>
      <c r="BG169" s="208"/>
      <c r="BH169" s="208"/>
      <c r="BI169" s="208"/>
      <c r="BJ169" s="208"/>
      <c r="BK169" s="208"/>
      <c r="BL169" s="208"/>
      <c r="BM169" s="208"/>
      <c r="BN169" s="208"/>
      <c r="BO169" s="208">
        <v>0</v>
      </c>
      <c r="BP169" s="208">
        <f t="shared" si="269"/>
        <v>0</v>
      </c>
      <c r="BQ169" s="208">
        <f t="shared" si="270"/>
        <v>0</v>
      </c>
      <c r="BR169" s="208"/>
      <c r="BS169" s="208"/>
      <c r="BT169" s="208"/>
      <c r="BU169" s="208"/>
      <c r="BV169" s="208"/>
      <c r="BW169" s="208">
        <f t="shared" si="271"/>
        <v>0</v>
      </c>
      <c r="BX169" s="208">
        <f t="shared" si="307"/>
        <v>0</v>
      </c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59"/>
      <c r="CJ169" s="54" t="s">
        <v>362</v>
      </c>
      <c r="CK169" s="57"/>
      <c r="CL169" s="230" t="s">
        <v>696</v>
      </c>
      <c r="CM169" s="10" t="s">
        <v>697</v>
      </c>
      <c r="CQ169" s="10" t="e">
        <f>D169-#REF!-AM169</f>
        <v>#REF!</v>
      </c>
      <c r="CR169" s="10" t="e">
        <f>D169-#REF!</f>
        <v>#REF!</v>
      </c>
      <c r="CS169" s="1" t="e">
        <f>F169-#REF!</f>
        <v>#REF!</v>
      </c>
    </row>
    <row r="170" spans="1:97" x14ac:dyDescent="0.2">
      <c r="A170" s="75"/>
      <c r="B170" s="159"/>
      <c r="C170" s="255" t="s">
        <v>233</v>
      </c>
      <c r="D170" s="220">
        <f t="shared" si="298"/>
        <v>194278</v>
      </c>
      <c r="E170" s="208">
        <f t="shared" si="273"/>
        <v>141412</v>
      </c>
      <c r="F170" s="208">
        <v>165424</v>
      </c>
      <c r="G170" s="208">
        <f t="shared" si="263"/>
        <v>120240</v>
      </c>
      <c r="H170" s="208">
        <f t="shared" si="306"/>
        <v>-45184</v>
      </c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>
        <v>-45184</v>
      </c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>
        <v>28854</v>
      </c>
      <c r="AN170" s="208">
        <f t="shared" si="265"/>
        <v>21172</v>
      </c>
      <c r="AO170" s="208">
        <f t="shared" si="266"/>
        <v>-7682</v>
      </c>
      <c r="AP170" s="208"/>
      <c r="AQ170" s="208">
        <v>-11100</v>
      </c>
      <c r="AR170" s="208"/>
      <c r="AS170" s="208"/>
      <c r="AT170" s="208"/>
      <c r="AU170" s="208"/>
      <c r="AV170" s="208">
        <v>3418</v>
      </c>
      <c r="AW170" s="208"/>
      <c r="AX170" s="208"/>
      <c r="AY170" s="208"/>
      <c r="AZ170" s="208"/>
      <c r="BA170" s="208">
        <v>0</v>
      </c>
      <c r="BB170" s="208">
        <f t="shared" si="267"/>
        <v>0</v>
      </c>
      <c r="BC170" s="208">
        <f t="shared" si="268"/>
        <v>0</v>
      </c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>
        <v>0</v>
      </c>
      <c r="BP170" s="208">
        <f t="shared" si="269"/>
        <v>0</v>
      </c>
      <c r="BQ170" s="208">
        <f t="shared" si="270"/>
        <v>0</v>
      </c>
      <c r="BR170" s="208"/>
      <c r="BS170" s="208"/>
      <c r="BT170" s="208"/>
      <c r="BU170" s="208"/>
      <c r="BV170" s="208"/>
      <c r="BW170" s="208">
        <f t="shared" si="271"/>
        <v>0</v>
      </c>
      <c r="BX170" s="208">
        <f t="shared" si="307"/>
        <v>0</v>
      </c>
      <c r="BY170" s="208"/>
      <c r="BZ170" s="208"/>
      <c r="CA170" s="208"/>
      <c r="CB170" s="208"/>
      <c r="CC170" s="208"/>
      <c r="CD170" s="208"/>
      <c r="CE170" s="208"/>
      <c r="CF170" s="208"/>
      <c r="CG170" s="208"/>
      <c r="CH170" s="208"/>
      <c r="CI170" s="259"/>
      <c r="CJ170" s="54" t="s">
        <v>363</v>
      </c>
      <c r="CK170" s="57"/>
      <c r="CL170" s="230" t="s">
        <v>698</v>
      </c>
      <c r="CM170" s="10" t="s">
        <v>699</v>
      </c>
      <c r="CQ170" s="10" t="e">
        <f>D170-#REF!-AM170</f>
        <v>#REF!</v>
      </c>
      <c r="CR170" s="10" t="e">
        <f>D170-#REF!</f>
        <v>#REF!</v>
      </c>
      <c r="CS170" s="1" t="e">
        <f>F170-#REF!</f>
        <v>#REF!</v>
      </c>
    </row>
    <row r="171" spans="1:97" ht="24" customHeight="1" x14ac:dyDescent="0.2">
      <c r="A171" s="75">
        <v>90009251338</v>
      </c>
      <c r="B171" s="158" t="s">
        <v>452</v>
      </c>
      <c r="C171" s="255" t="s">
        <v>221</v>
      </c>
      <c r="D171" s="220">
        <f t="shared" si="298"/>
        <v>465232</v>
      </c>
      <c r="E171" s="208">
        <f t="shared" si="273"/>
        <v>456102</v>
      </c>
      <c r="F171" s="208">
        <v>285856</v>
      </c>
      <c r="G171" s="208">
        <f t="shared" si="263"/>
        <v>295800</v>
      </c>
      <c r="H171" s="208">
        <f t="shared" si="306"/>
        <v>9944</v>
      </c>
      <c r="I171" s="208"/>
      <c r="J171" s="208"/>
      <c r="K171" s="208"/>
      <c r="L171" s="208"/>
      <c r="M171" s="208">
        <v>-447</v>
      </c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>
        <v>-8600</v>
      </c>
      <c r="AB171" s="208"/>
      <c r="AC171" s="208"/>
      <c r="AD171" s="208"/>
      <c r="AE171" s="208"/>
      <c r="AF171" s="208"/>
      <c r="AG171" s="208">
        <f>4228+14763</f>
        <v>18991</v>
      </c>
      <c r="AH171" s="208"/>
      <c r="AI171" s="208"/>
      <c r="AJ171" s="208"/>
      <c r="AK171" s="208"/>
      <c r="AL171" s="208"/>
      <c r="AM171" s="208">
        <v>145636</v>
      </c>
      <c r="AN171" s="208">
        <f t="shared" si="265"/>
        <v>149948</v>
      </c>
      <c r="AO171" s="208">
        <f t="shared" si="266"/>
        <v>4312</v>
      </c>
      <c r="AP171" s="208"/>
      <c r="AQ171" s="208"/>
      <c r="AR171" s="208">
        <v>-68</v>
      </c>
      <c r="AS171" s="208"/>
      <c r="AT171" s="208"/>
      <c r="AU171" s="208"/>
      <c r="AV171" s="208">
        <f>-2896+7276</f>
        <v>4380</v>
      </c>
      <c r="AW171" s="208"/>
      <c r="AX171" s="208"/>
      <c r="AY171" s="208"/>
      <c r="AZ171" s="208"/>
      <c r="BA171" s="208">
        <v>33740</v>
      </c>
      <c r="BB171" s="208">
        <f t="shared" si="267"/>
        <v>10354</v>
      </c>
      <c r="BC171" s="208">
        <f t="shared" si="268"/>
        <v>-23386</v>
      </c>
      <c r="BD171" s="208">
        <v>447</v>
      </c>
      <c r="BE171" s="208"/>
      <c r="BF171" s="208"/>
      <c r="BG171" s="208">
        <v>-260</v>
      </c>
      <c r="BH171" s="208"/>
      <c r="BI171" s="208"/>
      <c r="BJ171" s="208">
        <v>-23573</v>
      </c>
      <c r="BK171" s="208"/>
      <c r="BL171" s="208"/>
      <c r="BM171" s="208"/>
      <c r="BN171" s="208"/>
      <c r="BO171" s="208">
        <v>0</v>
      </c>
      <c r="BP171" s="208">
        <f t="shared" si="269"/>
        <v>0</v>
      </c>
      <c r="BQ171" s="208">
        <f t="shared" si="270"/>
        <v>0</v>
      </c>
      <c r="BR171" s="208"/>
      <c r="BS171" s="208"/>
      <c r="BT171" s="208"/>
      <c r="BU171" s="208"/>
      <c r="BV171" s="208"/>
      <c r="BW171" s="208">
        <f t="shared" si="271"/>
        <v>0</v>
      </c>
      <c r="BX171" s="208">
        <f t="shared" si="307"/>
        <v>0</v>
      </c>
      <c r="BY171" s="208"/>
      <c r="BZ171" s="208"/>
      <c r="CA171" s="208"/>
      <c r="CB171" s="208"/>
      <c r="CC171" s="208"/>
      <c r="CD171" s="208"/>
      <c r="CE171" s="208"/>
      <c r="CF171" s="208"/>
      <c r="CG171" s="208"/>
      <c r="CH171" s="208"/>
      <c r="CI171" s="259"/>
      <c r="CJ171" s="54" t="s">
        <v>364</v>
      </c>
      <c r="CK171" s="57"/>
      <c r="CL171" s="230" t="s">
        <v>696</v>
      </c>
      <c r="CM171" s="10" t="s">
        <v>697</v>
      </c>
      <c r="CQ171" s="10" t="e">
        <f>D171-#REF!-AM171</f>
        <v>#REF!</v>
      </c>
      <c r="CR171" s="10" t="e">
        <f>D171-#REF!</f>
        <v>#REF!</v>
      </c>
      <c r="CS171" s="1" t="e">
        <f>F171-#REF!</f>
        <v>#REF!</v>
      </c>
    </row>
    <row r="172" spans="1:97" x14ac:dyDescent="0.2">
      <c r="A172" s="75"/>
      <c r="B172" s="159"/>
      <c r="C172" s="255" t="s">
        <v>233</v>
      </c>
      <c r="D172" s="220">
        <f t="shared" si="298"/>
        <v>35842</v>
      </c>
      <c r="E172" s="208">
        <f t="shared" si="273"/>
        <v>26198</v>
      </c>
      <c r="F172" s="208">
        <v>29585</v>
      </c>
      <c r="G172" s="208">
        <f t="shared" si="263"/>
        <v>21603</v>
      </c>
      <c r="H172" s="208">
        <f t="shared" si="306"/>
        <v>-7982</v>
      </c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>
        <v>-7982</v>
      </c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>
        <v>6257</v>
      </c>
      <c r="AN172" s="208">
        <f t="shared" si="265"/>
        <v>4595</v>
      </c>
      <c r="AO172" s="208">
        <f t="shared" si="266"/>
        <v>-1662</v>
      </c>
      <c r="AP172" s="208"/>
      <c r="AQ172" s="208"/>
      <c r="AR172" s="208"/>
      <c r="AS172" s="208"/>
      <c r="AT172" s="208">
        <v>-1662</v>
      </c>
      <c r="AU172" s="208"/>
      <c r="AV172" s="208"/>
      <c r="AW172" s="208"/>
      <c r="AX172" s="208"/>
      <c r="AY172" s="208"/>
      <c r="AZ172" s="208"/>
      <c r="BA172" s="208">
        <v>0</v>
      </c>
      <c r="BB172" s="208">
        <f t="shared" si="267"/>
        <v>0</v>
      </c>
      <c r="BC172" s="208">
        <f t="shared" si="268"/>
        <v>0</v>
      </c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>
        <v>0</v>
      </c>
      <c r="BP172" s="208">
        <f t="shared" si="269"/>
        <v>0</v>
      </c>
      <c r="BQ172" s="208">
        <f t="shared" si="270"/>
        <v>0</v>
      </c>
      <c r="BR172" s="208"/>
      <c r="BS172" s="208"/>
      <c r="BT172" s="208"/>
      <c r="BU172" s="208"/>
      <c r="BV172" s="208"/>
      <c r="BW172" s="208">
        <f t="shared" si="271"/>
        <v>0</v>
      </c>
      <c r="BX172" s="208">
        <f t="shared" si="307"/>
        <v>0</v>
      </c>
      <c r="BY172" s="208"/>
      <c r="BZ172" s="208"/>
      <c r="CA172" s="208"/>
      <c r="CB172" s="208"/>
      <c r="CC172" s="208"/>
      <c r="CD172" s="208"/>
      <c r="CE172" s="208"/>
      <c r="CF172" s="208"/>
      <c r="CG172" s="208"/>
      <c r="CH172" s="208"/>
      <c r="CI172" s="259"/>
      <c r="CJ172" s="54" t="s">
        <v>365</v>
      </c>
      <c r="CK172" s="57"/>
      <c r="CL172" s="230" t="s">
        <v>698</v>
      </c>
      <c r="CM172" s="10" t="s">
        <v>699</v>
      </c>
      <c r="CQ172" s="10" t="e">
        <f>D172-#REF!-AM172</f>
        <v>#REF!</v>
      </c>
      <c r="CR172" s="10" t="e">
        <f>D172-#REF!</f>
        <v>#REF!</v>
      </c>
      <c r="CS172" s="1" t="e">
        <f>F172-#REF!</f>
        <v>#REF!</v>
      </c>
    </row>
    <row r="173" spans="1:97" ht="24" x14ac:dyDescent="0.2">
      <c r="A173" s="75">
        <v>90000051576</v>
      </c>
      <c r="B173" s="158" t="s">
        <v>451</v>
      </c>
      <c r="C173" s="255" t="s">
        <v>221</v>
      </c>
      <c r="D173" s="220">
        <f t="shared" si="298"/>
        <v>624665</v>
      </c>
      <c r="E173" s="208">
        <f t="shared" si="273"/>
        <v>633715</v>
      </c>
      <c r="F173" s="208">
        <v>414780</v>
      </c>
      <c r="G173" s="208">
        <f t="shared" si="263"/>
        <v>432648</v>
      </c>
      <c r="H173" s="208">
        <f t="shared" si="306"/>
        <v>17868</v>
      </c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>
        <v>17868</v>
      </c>
      <c r="AH173" s="208"/>
      <c r="AI173" s="208"/>
      <c r="AJ173" s="208"/>
      <c r="AK173" s="208"/>
      <c r="AL173" s="208"/>
      <c r="AM173" s="208">
        <v>193032</v>
      </c>
      <c r="AN173" s="208">
        <f t="shared" si="265"/>
        <v>184990</v>
      </c>
      <c r="AO173" s="208">
        <f t="shared" si="266"/>
        <v>-8042</v>
      </c>
      <c r="AP173" s="208"/>
      <c r="AQ173" s="208"/>
      <c r="AR173" s="208">
        <v>-1022</v>
      </c>
      <c r="AS173" s="208"/>
      <c r="AT173" s="208"/>
      <c r="AU173" s="208"/>
      <c r="AV173" s="208">
        <f>172-1064+226-7972+410+1208</f>
        <v>-7020</v>
      </c>
      <c r="AW173" s="208"/>
      <c r="AX173" s="208"/>
      <c r="AY173" s="208"/>
      <c r="AZ173" s="208"/>
      <c r="BA173" s="208">
        <v>16853</v>
      </c>
      <c r="BB173" s="208">
        <f t="shared" si="267"/>
        <v>16077</v>
      </c>
      <c r="BC173" s="208">
        <f t="shared" si="268"/>
        <v>-776</v>
      </c>
      <c r="BD173" s="208">
        <v>5170</v>
      </c>
      <c r="BE173" s="208"/>
      <c r="BF173" s="208"/>
      <c r="BG173" s="208">
        <v>-6687</v>
      </c>
      <c r="BH173" s="208"/>
      <c r="BI173" s="208"/>
      <c r="BJ173" s="208">
        <v>741</v>
      </c>
      <c r="BK173" s="208"/>
      <c r="BL173" s="208"/>
      <c r="BM173" s="208"/>
      <c r="BN173" s="208"/>
      <c r="BO173" s="208">
        <v>0</v>
      </c>
      <c r="BP173" s="208">
        <f t="shared" si="269"/>
        <v>0</v>
      </c>
      <c r="BQ173" s="208">
        <f t="shared" si="270"/>
        <v>0</v>
      </c>
      <c r="BR173" s="208"/>
      <c r="BS173" s="208"/>
      <c r="BT173" s="208"/>
      <c r="BU173" s="208"/>
      <c r="BV173" s="208"/>
      <c r="BW173" s="208">
        <f t="shared" si="271"/>
        <v>0</v>
      </c>
      <c r="BX173" s="208">
        <f t="shared" si="307"/>
        <v>0</v>
      </c>
      <c r="BY173" s="208"/>
      <c r="BZ173" s="208"/>
      <c r="CA173" s="208"/>
      <c r="CB173" s="208"/>
      <c r="CC173" s="208"/>
      <c r="CD173" s="208"/>
      <c r="CE173" s="208"/>
      <c r="CF173" s="208"/>
      <c r="CG173" s="208"/>
      <c r="CH173" s="208"/>
      <c r="CI173" s="259"/>
      <c r="CJ173" s="54" t="s">
        <v>366</v>
      </c>
      <c r="CK173" s="57"/>
      <c r="CL173" s="230" t="s">
        <v>696</v>
      </c>
      <c r="CM173" s="10" t="s">
        <v>697</v>
      </c>
      <c r="CQ173" s="10" t="e">
        <f>D173-#REF!-AM173</f>
        <v>#REF!</v>
      </c>
      <c r="CR173" s="10" t="e">
        <f>D173-#REF!</f>
        <v>#REF!</v>
      </c>
      <c r="CS173" s="1" t="e">
        <f>F173-#REF!</f>
        <v>#REF!</v>
      </c>
    </row>
    <row r="174" spans="1:97" x14ac:dyDescent="0.2">
      <c r="A174" s="75"/>
      <c r="B174" s="159"/>
      <c r="C174" s="255" t="s">
        <v>233</v>
      </c>
      <c r="D174" s="220">
        <f t="shared" si="298"/>
        <v>56801</v>
      </c>
      <c r="E174" s="208">
        <f t="shared" si="273"/>
        <v>37059</v>
      </c>
      <c r="F174" s="208">
        <v>48001</v>
      </c>
      <c r="G174" s="208">
        <f t="shared" si="263"/>
        <v>30487</v>
      </c>
      <c r="H174" s="208">
        <f t="shared" si="306"/>
        <v>-17514</v>
      </c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>
        <v>-22079</v>
      </c>
      <c r="AB174" s="208"/>
      <c r="AC174" s="208"/>
      <c r="AD174" s="208"/>
      <c r="AE174" s="208"/>
      <c r="AF174" s="208"/>
      <c r="AG174" s="208">
        <v>4565</v>
      </c>
      <c r="AH174" s="208"/>
      <c r="AI174" s="208"/>
      <c r="AJ174" s="208"/>
      <c r="AK174" s="208"/>
      <c r="AL174" s="208"/>
      <c r="AM174" s="208">
        <v>8800</v>
      </c>
      <c r="AN174" s="208">
        <f t="shared" si="265"/>
        <v>6572</v>
      </c>
      <c r="AO174" s="208">
        <f t="shared" si="266"/>
        <v>-2228</v>
      </c>
      <c r="AP174" s="208">
        <v>2</v>
      </c>
      <c r="AQ174" s="208"/>
      <c r="AR174" s="208"/>
      <c r="AS174" s="208"/>
      <c r="AT174" s="208">
        <v>-2898</v>
      </c>
      <c r="AU174" s="208"/>
      <c r="AV174" s="208">
        <v>668</v>
      </c>
      <c r="AW174" s="208"/>
      <c r="AX174" s="208"/>
      <c r="AY174" s="208"/>
      <c r="AZ174" s="208"/>
      <c r="BA174" s="208">
        <v>0</v>
      </c>
      <c r="BB174" s="208">
        <f t="shared" si="267"/>
        <v>0</v>
      </c>
      <c r="BC174" s="208">
        <f t="shared" si="268"/>
        <v>0</v>
      </c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>
        <v>0</v>
      </c>
      <c r="BP174" s="208">
        <f t="shared" si="269"/>
        <v>0</v>
      </c>
      <c r="BQ174" s="208">
        <f t="shared" si="270"/>
        <v>0</v>
      </c>
      <c r="BR174" s="208"/>
      <c r="BS174" s="208"/>
      <c r="BT174" s="208"/>
      <c r="BU174" s="208"/>
      <c r="BV174" s="208"/>
      <c r="BW174" s="208">
        <f t="shared" si="271"/>
        <v>0</v>
      </c>
      <c r="BX174" s="208">
        <f t="shared" si="307"/>
        <v>0</v>
      </c>
      <c r="BY174" s="208"/>
      <c r="BZ174" s="208"/>
      <c r="CA174" s="208"/>
      <c r="CB174" s="208"/>
      <c r="CC174" s="208"/>
      <c r="CD174" s="208"/>
      <c r="CE174" s="208"/>
      <c r="CF174" s="208"/>
      <c r="CG174" s="208"/>
      <c r="CH174" s="208"/>
      <c r="CI174" s="259"/>
      <c r="CJ174" s="54" t="s">
        <v>367</v>
      </c>
      <c r="CK174" s="57"/>
      <c r="CL174" s="230" t="s">
        <v>698</v>
      </c>
      <c r="CM174" s="10" t="s">
        <v>699</v>
      </c>
      <c r="CQ174" s="10" t="e">
        <f>D174-#REF!-AM174</f>
        <v>#REF!</v>
      </c>
      <c r="CR174" s="10" t="e">
        <f>D174-#REF!</f>
        <v>#REF!</v>
      </c>
      <c r="CS174" s="1" t="e">
        <f>F174-#REF!</f>
        <v>#REF!</v>
      </c>
    </row>
    <row r="175" spans="1:97" ht="24" customHeight="1" x14ac:dyDescent="0.2">
      <c r="A175" s="75">
        <v>90000051627</v>
      </c>
      <c r="B175" s="158" t="s">
        <v>193</v>
      </c>
      <c r="C175" s="255" t="s">
        <v>221</v>
      </c>
      <c r="D175" s="220">
        <f t="shared" si="298"/>
        <v>1021888</v>
      </c>
      <c r="E175" s="208">
        <f t="shared" si="273"/>
        <v>1061063</v>
      </c>
      <c r="F175" s="208">
        <v>459668</v>
      </c>
      <c r="G175" s="208">
        <f t="shared" si="263"/>
        <v>480146</v>
      </c>
      <c r="H175" s="208">
        <f t="shared" si="306"/>
        <v>20478</v>
      </c>
      <c r="I175" s="208"/>
      <c r="J175" s="208"/>
      <c r="K175" s="208"/>
      <c r="L175" s="208"/>
      <c r="M175" s="208">
        <v>-1699</v>
      </c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>
        <v>-3051</v>
      </c>
      <c r="AB175" s="208"/>
      <c r="AC175" s="208"/>
      <c r="AD175" s="208"/>
      <c r="AE175" s="208"/>
      <c r="AF175" s="208"/>
      <c r="AG175" s="208">
        <f>-1000+26228</f>
        <v>25228</v>
      </c>
      <c r="AH175" s="208"/>
      <c r="AI175" s="208"/>
      <c r="AJ175" s="208"/>
      <c r="AK175" s="208"/>
      <c r="AL175" s="208"/>
      <c r="AM175" s="208">
        <v>546370</v>
      </c>
      <c r="AN175" s="208">
        <f t="shared" si="265"/>
        <v>568902</v>
      </c>
      <c r="AO175" s="208">
        <f t="shared" si="266"/>
        <v>22532</v>
      </c>
      <c r="AP175" s="208"/>
      <c r="AQ175" s="208"/>
      <c r="AR175" s="208">
        <v>-887</v>
      </c>
      <c r="AS175" s="208"/>
      <c r="AT175" s="208"/>
      <c r="AU175" s="208"/>
      <c r="AV175" s="208">
        <f>14616+8803</f>
        <v>23419</v>
      </c>
      <c r="AW175" s="208"/>
      <c r="AX175" s="208"/>
      <c r="AY175" s="208"/>
      <c r="AZ175" s="208"/>
      <c r="BA175" s="208">
        <v>15850</v>
      </c>
      <c r="BB175" s="208">
        <f t="shared" si="267"/>
        <v>12015</v>
      </c>
      <c r="BC175" s="208">
        <f t="shared" si="268"/>
        <v>-3835</v>
      </c>
      <c r="BD175" s="208">
        <v>1845</v>
      </c>
      <c r="BE175" s="208"/>
      <c r="BF175" s="208"/>
      <c r="BG175" s="208">
        <v>-4325</v>
      </c>
      <c r="BH175" s="208"/>
      <c r="BI175" s="208"/>
      <c r="BJ175" s="208">
        <v>-1355</v>
      </c>
      <c r="BK175" s="208"/>
      <c r="BL175" s="208"/>
      <c r="BM175" s="208"/>
      <c r="BN175" s="208"/>
      <c r="BO175" s="208">
        <v>0</v>
      </c>
      <c r="BP175" s="208">
        <f t="shared" si="269"/>
        <v>0</v>
      </c>
      <c r="BQ175" s="208">
        <f t="shared" si="270"/>
        <v>0</v>
      </c>
      <c r="BR175" s="208"/>
      <c r="BS175" s="208"/>
      <c r="BT175" s="208"/>
      <c r="BU175" s="208"/>
      <c r="BV175" s="208"/>
      <c r="BW175" s="208">
        <f t="shared" si="271"/>
        <v>0</v>
      </c>
      <c r="BX175" s="208">
        <f t="shared" si="307"/>
        <v>0</v>
      </c>
      <c r="BY175" s="208"/>
      <c r="BZ175" s="208"/>
      <c r="CA175" s="208"/>
      <c r="CB175" s="208"/>
      <c r="CC175" s="208"/>
      <c r="CD175" s="208"/>
      <c r="CE175" s="208"/>
      <c r="CF175" s="208"/>
      <c r="CG175" s="208"/>
      <c r="CH175" s="208"/>
      <c r="CI175" s="259"/>
      <c r="CJ175" s="54" t="s">
        <v>368</v>
      </c>
      <c r="CK175" s="57"/>
      <c r="CL175" s="230" t="s">
        <v>696</v>
      </c>
      <c r="CM175" s="10" t="s">
        <v>697</v>
      </c>
      <c r="CQ175" s="10" t="e">
        <f>D175-#REF!-AM175</f>
        <v>#REF!</v>
      </c>
      <c r="CR175" s="10" t="e">
        <f>D175-#REF!</f>
        <v>#REF!</v>
      </c>
      <c r="CS175" s="1" t="e">
        <f>F175-#REF!</f>
        <v>#REF!</v>
      </c>
    </row>
    <row r="176" spans="1:97" x14ac:dyDescent="0.2">
      <c r="A176" s="75"/>
      <c r="B176" s="159"/>
      <c r="C176" s="255" t="s">
        <v>233</v>
      </c>
      <c r="D176" s="220">
        <f t="shared" si="298"/>
        <v>137431</v>
      </c>
      <c r="E176" s="208">
        <f t="shared" si="273"/>
        <v>99893</v>
      </c>
      <c r="F176" s="208">
        <v>120290</v>
      </c>
      <c r="G176" s="208">
        <f t="shared" si="263"/>
        <v>87390</v>
      </c>
      <c r="H176" s="208">
        <f t="shared" si="306"/>
        <v>-32900</v>
      </c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>
        <v>-32900</v>
      </c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>
        <v>17141</v>
      </c>
      <c r="AN176" s="208">
        <f t="shared" si="265"/>
        <v>12503</v>
      </c>
      <c r="AO176" s="208">
        <f t="shared" si="266"/>
        <v>-4638</v>
      </c>
      <c r="AP176" s="208"/>
      <c r="AQ176" s="208"/>
      <c r="AR176" s="208"/>
      <c r="AS176" s="208"/>
      <c r="AT176" s="208">
        <v>-4638</v>
      </c>
      <c r="AU176" s="208"/>
      <c r="AV176" s="208"/>
      <c r="AW176" s="208"/>
      <c r="AX176" s="208"/>
      <c r="AY176" s="208"/>
      <c r="AZ176" s="208"/>
      <c r="BA176" s="208">
        <v>0</v>
      </c>
      <c r="BB176" s="208">
        <f t="shared" si="267"/>
        <v>0</v>
      </c>
      <c r="BC176" s="208">
        <f t="shared" si="268"/>
        <v>0</v>
      </c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>
        <v>0</v>
      </c>
      <c r="BP176" s="208">
        <f t="shared" si="269"/>
        <v>0</v>
      </c>
      <c r="BQ176" s="208">
        <f t="shared" si="270"/>
        <v>0</v>
      </c>
      <c r="BR176" s="208"/>
      <c r="BS176" s="208"/>
      <c r="BT176" s="208"/>
      <c r="BU176" s="208"/>
      <c r="BV176" s="208"/>
      <c r="BW176" s="208">
        <f t="shared" si="271"/>
        <v>0</v>
      </c>
      <c r="BX176" s="208">
        <f t="shared" si="307"/>
        <v>0</v>
      </c>
      <c r="BY176" s="208"/>
      <c r="BZ176" s="208"/>
      <c r="CA176" s="208"/>
      <c r="CB176" s="208"/>
      <c r="CC176" s="208"/>
      <c r="CD176" s="208"/>
      <c r="CE176" s="208"/>
      <c r="CF176" s="208"/>
      <c r="CG176" s="208"/>
      <c r="CH176" s="208"/>
      <c r="CI176" s="259"/>
      <c r="CJ176" s="54" t="s">
        <v>369</v>
      </c>
      <c r="CK176" s="57"/>
      <c r="CL176" s="230" t="s">
        <v>698</v>
      </c>
      <c r="CM176" s="10" t="s">
        <v>699</v>
      </c>
      <c r="CQ176" s="10" t="e">
        <f>D176-#REF!-AM176</f>
        <v>#REF!</v>
      </c>
      <c r="CR176" s="10" t="e">
        <f>D176-#REF!</f>
        <v>#REF!</v>
      </c>
      <c r="CS176" s="1" t="e">
        <f>F176-#REF!</f>
        <v>#REF!</v>
      </c>
    </row>
    <row r="177" spans="1:97" ht="24" customHeight="1" x14ac:dyDescent="0.2">
      <c r="A177" s="75">
        <v>90000053670</v>
      </c>
      <c r="B177" s="158" t="s">
        <v>270</v>
      </c>
      <c r="C177" s="255" t="s">
        <v>234</v>
      </c>
      <c r="D177" s="220">
        <f t="shared" si="298"/>
        <v>570409</v>
      </c>
      <c r="E177" s="208">
        <f t="shared" si="273"/>
        <v>592098</v>
      </c>
      <c r="F177" s="208">
        <v>309334</v>
      </c>
      <c r="G177" s="208">
        <f t="shared" si="263"/>
        <v>326003</v>
      </c>
      <c r="H177" s="208">
        <f t="shared" si="306"/>
        <v>16669</v>
      </c>
      <c r="I177" s="208"/>
      <c r="J177" s="208"/>
      <c r="K177" s="208"/>
      <c r="L177" s="208"/>
      <c r="M177" s="208">
        <v>-365</v>
      </c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>
        <v>-3266</v>
      </c>
      <c r="AB177" s="208"/>
      <c r="AC177" s="208"/>
      <c r="AD177" s="208"/>
      <c r="AE177" s="208"/>
      <c r="AF177" s="208"/>
      <c r="AG177" s="208">
        <f>-3723+24023</f>
        <v>20300</v>
      </c>
      <c r="AH177" s="208"/>
      <c r="AI177" s="208"/>
      <c r="AJ177" s="208"/>
      <c r="AK177" s="208"/>
      <c r="AL177" s="208"/>
      <c r="AM177" s="208">
        <v>189834</v>
      </c>
      <c r="AN177" s="208">
        <f t="shared" si="265"/>
        <v>197644</v>
      </c>
      <c r="AO177" s="208">
        <f t="shared" si="266"/>
        <v>7810</v>
      </c>
      <c r="AP177" s="208">
        <v>3261</v>
      </c>
      <c r="AQ177" s="208"/>
      <c r="AR177" s="208"/>
      <c r="AS177" s="208"/>
      <c r="AT177" s="208"/>
      <c r="AU177" s="208"/>
      <c r="AV177" s="208">
        <v>4549</v>
      </c>
      <c r="AW177" s="208"/>
      <c r="AX177" s="208"/>
      <c r="AY177" s="208"/>
      <c r="AZ177" s="208"/>
      <c r="BA177" s="208">
        <v>71241</v>
      </c>
      <c r="BB177" s="208">
        <f t="shared" si="267"/>
        <v>68451</v>
      </c>
      <c r="BC177" s="208">
        <f t="shared" si="268"/>
        <v>-2790</v>
      </c>
      <c r="BD177" s="208">
        <v>6874</v>
      </c>
      <c r="BE177" s="208"/>
      <c r="BF177" s="208"/>
      <c r="BG177" s="208">
        <v>-9664</v>
      </c>
      <c r="BH177" s="208"/>
      <c r="BI177" s="208"/>
      <c r="BJ177" s="208"/>
      <c r="BK177" s="208"/>
      <c r="BL177" s="208"/>
      <c r="BM177" s="208"/>
      <c r="BN177" s="208"/>
      <c r="BO177" s="208">
        <v>0</v>
      </c>
      <c r="BP177" s="208">
        <f t="shared" si="269"/>
        <v>0</v>
      </c>
      <c r="BQ177" s="208">
        <f t="shared" si="270"/>
        <v>0</v>
      </c>
      <c r="BR177" s="208"/>
      <c r="BS177" s="208"/>
      <c r="BT177" s="208"/>
      <c r="BU177" s="208"/>
      <c r="BV177" s="208"/>
      <c r="BW177" s="208">
        <f t="shared" si="271"/>
        <v>0</v>
      </c>
      <c r="BX177" s="208">
        <f t="shared" si="307"/>
        <v>0</v>
      </c>
      <c r="BY177" s="208"/>
      <c r="BZ177" s="208"/>
      <c r="CA177" s="208"/>
      <c r="CB177" s="208"/>
      <c r="CC177" s="208"/>
      <c r="CD177" s="208"/>
      <c r="CE177" s="208"/>
      <c r="CF177" s="208"/>
      <c r="CG177" s="208"/>
      <c r="CH177" s="208"/>
      <c r="CI177" s="259"/>
      <c r="CJ177" s="54" t="s">
        <v>370</v>
      </c>
      <c r="CK177" s="57"/>
      <c r="CL177" s="230" t="s">
        <v>690</v>
      </c>
      <c r="CM177" s="10" t="s">
        <v>691</v>
      </c>
      <c r="CQ177" s="10" t="e">
        <f>D177-#REF!-AM177</f>
        <v>#REF!</v>
      </c>
      <c r="CR177" s="10" t="e">
        <f>D177-#REF!</f>
        <v>#REF!</v>
      </c>
      <c r="CS177" s="1" t="e">
        <f>F177-#REF!</f>
        <v>#REF!</v>
      </c>
    </row>
    <row r="178" spans="1:97" s="93" customFormat="1" x14ac:dyDescent="0.2">
      <c r="A178" s="75"/>
      <c r="B178" s="159"/>
      <c r="C178" s="255" t="s">
        <v>233</v>
      </c>
      <c r="D178" s="220">
        <f t="shared" si="298"/>
        <v>13112</v>
      </c>
      <c r="E178" s="208">
        <f t="shared" si="273"/>
        <v>10083</v>
      </c>
      <c r="F178" s="208">
        <v>13112</v>
      </c>
      <c r="G178" s="208">
        <f t="shared" si="263"/>
        <v>10083</v>
      </c>
      <c r="H178" s="208">
        <f t="shared" si="306"/>
        <v>-3029</v>
      </c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>
        <v>-3029</v>
      </c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>
        <v>0</v>
      </c>
      <c r="AN178" s="208">
        <f t="shared" si="265"/>
        <v>0</v>
      </c>
      <c r="AO178" s="208">
        <f t="shared" si="266"/>
        <v>0</v>
      </c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>
        <v>0</v>
      </c>
      <c r="BB178" s="208">
        <f t="shared" si="267"/>
        <v>0</v>
      </c>
      <c r="BC178" s="208">
        <f t="shared" si="268"/>
        <v>0</v>
      </c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>
        <v>0</v>
      </c>
      <c r="BP178" s="208">
        <f t="shared" si="269"/>
        <v>0</v>
      </c>
      <c r="BQ178" s="208">
        <f t="shared" si="270"/>
        <v>0</v>
      </c>
      <c r="BR178" s="208"/>
      <c r="BS178" s="208"/>
      <c r="BT178" s="208"/>
      <c r="BU178" s="208"/>
      <c r="BV178" s="208"/>
      <c r="BW178" s="208">
        <f t="shared" si="271"/>
        <v>0</v>
      </c>
      <c r="BX178" s="208">
        <f t="shared" si="307"/>
        <v>0</v>
      </c>
      <c r="BY178" s="208"/>
      <c r="BZ178" s="208"/>
      <c r="CA178" s="208"/>
      <c r="CB178" s="208"/>
      <c r="CC178" s="208"/>
      <c r="CD178" s="208"/>
      <c r="CE178" s="208"/>
      <c r="CF178" s="208"/>
      <c r="CG178" s="208"/>
      <c r="CH178" s="208"/>
      <c r="CI178" s="259"/>
      <c r="CJ178" s="54" t="s">
        <v>372</v>
      </c>
      <c r="CK178" s="57"/>
      <c r="CL178" s="230" t="s">
        <v>698</v>
      </c>
      <c r="CM178" s="10" t="s">
        <v>699</v>
      </c>
      <c r="CQ178" s="10" t="e">
        <f>D178-#REF!-AM178</f>
        <v>#REF!</v>
      </c>
      <c r="CR178" s="10" t="e">
        <f>D178-#REF!</f>
        <v>#REF!</v>
      </c>
      <c r="CS178" s="93" t="e">
        <f>F178-#REF!</f>
        <v>#REF!</v>
      </c>
    </row>
    <row r="179" spans="1:97" s="130" customFormat="1" ht="39" customHeight="1" x14ac:dyDescent="0.2">
      <c r="A179" s="75"/>
      <c r="B179" s="159"/>
      <c r="C179" s="373" t="s">
        <v>821</v>
      </c>
      <c r="D179" s="220">
        <f t="shared" si="298"/>
        <v>0</v>
      </c>
      <c r="E179" s="208">
        <f t="shared" si="273"/>
        <v>2040</v>
      </c>
      <c r="F179" s="208"/>
      <c r="G179" s="208">
        <f t="shared" ref="G179" si="316">F179+H179</f>
        <v>2040</v>
      </c>
      <c r="H179" s="208">
        <f t="shared" si="306"/>
        <v>2040</v>
      </c>
      <c r="I179" s="208"/>
      <c r="J179" s="208"/>
      <c r="K179" s="208"/>
      <c r="L179" s="208"/>
      <c r="M179" s="208"/>
      <c r="N179" s="208"/>
      <c r="O179" s="208"/>
      <c r="P179" s="208">
        <v>2040</v>
      </c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>
        <f t="shared" ref="AN179" si="317">AM179+AO179</f>
        <v>0</v>
      </c>
      <c r="AO179" s="208">
        <f t="shared" ref="AO179" si="318">SUM(AP179:AZ179)</f>
        <v>0</v>
      </c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>
        <f t="shared" ref="BB179" si="319">BA179+BC179</f>
        <v>0</v>
      </c>
      <c r="BC179" s="208">
        <f t="shared" ref="BC179" si="320">SUM(BD179:BN179)</f>
        <v>0</v>
      </c>
      <c r="BD179" s="208"/>
      <c r="BE179" s="208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208">
        <f t="shared" ref="BP179" si="321">BO179+BQ179</f>
        <v>0</v>
      </c>
      <c r="BQ179" s="208">
        <f t="shared" ref="BQ179" si="322">SUM(BR179:BU179)</f>
        <v>0</v>
      </c>
      <c r="BR179" s="208"/>
      <c r="BS179" s="208"/>
      <c r="BT179" s="208"/>
      <c r="BU179" s="208"/>
      <c r="BV179" s="208"/>
      <c r="BW179" s="208">
        <f t="shared" ref="BW179" si="323">BV179+BX179</f>
        <v>0</v>
      </c>
      <c r="BX179" s="208">
        <f t="shared" si="307"/>
        <v>0</v>
      </c>
      <c r="BY179" s="208"/>
      <c r="BZ179" s="208"/>
      <c r="CA179" s="208"/>
      <c r="CB179" s="208"/>
      <c r="CC179" s="208"/>
      <c r="CD179" s="208"/>
      <c r="CE179" s="208"/>
      <c r="CF179" s="208"/>
      <c r="CG179" s="208"/>
      <c r="CH179" s="208"/>
      <c r="CI179" s="259"/>
      <c r="CJ179" s="54" t="s">
        <v>820</v>
      </c>
      <c r="CK179" s="57"/>
      <c r="CL179" s="230"/>
      <c r="CM179" s="10"/>
      <c r="CQ179" s="10"/>
      <c r="CR179" s="10"/>
    </row>
    <row r="180" spans="1:97" ht="24" x14ac:dyDescent="0.2">
      <c r="A180" s="75">
        <v>90000051595</v>
      </c>
      <c r="B180" s="158" t="s">
        <v>150</v>
      </c>
      <c r="C180" s="255" t="s">
        <v>221</v>
      </c>
      <c r="D180" s="220">
        <f t="shared" si="298"/>
        <v>1174751</v>
      </c>
      <c r="E180" s="208">
        <f t="shared" si="273"/>
        <v>1201326</v>
      </c>
      <c r="F180" s="208">
        <v>516733</v>
      </c>
      <c r="G180" s="208">
        <f t="shared" si="263"/>
        <v>552494</v>
      </c>
      <c r="H180" s="208">
        <f t="shared" si="306"/>
        <v>35761</v>
      </c>
      <c r="I180" s="208"/>
      <c r="J180" s="208"/>
      <c r="K180" s="208"/>
      <c r="L180" s="208"/>
      <c r="M180" s="208">
        <v>-5118</v>
      </c>
      <c r="N180" s="208"/>
      <c r="O180" s="208"/>
      <c r="P180" s="208"/>
      <c r="Q180" s="208"/>
      <c r="R180" s="208">
        <v>-833</v>
      </c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>
        <f>8687+33025</f>
        <v>41712</v>
      </c>
      <c r="AH180" s="208"/>
      <c r="AI180" s="208"/>
      <c r="AJ180" s="208"/>
      <c r="AK180" s="208"/>
      <c r="AL180" s="208"/>
      <c r="AM180" s="208">
        <v>636688</v>
      </c>
      <c r="AN180" s="208">
        <f t="shared" si="265"/>
        <v>629841</v>
      </c>
      <c r="AO180" s="208">
        <f t="shared" si="266"/>
        <v>-6847</v>
      </c>
      <c r="AP180" s="208"/>
      <c r="AQ180" s="208"/>
      <c r="AR180" s="208">
        <v>-2423</v>
      </c>
      <c r="AS180" s="208"/>
      <c r="AT180" s="208"/>
      <c r="AU180" s="208"/>
      <c r="AV180" s="208">
        <f>-2680-1744</f>
        <v>-4424</v>
      </c>
      <c r="AW180" s="208"/>
      <c r="AX180" s="208"/>
      <c r="AY180" s="208"/>
      <c r="AZ180" s="208"/>
      <c r="BA180" s="208">
        <v>21330</v>
      </c>
      <c r="BB180" s="208">
        <f t="shared" si="267"/>
        <v>18991</v>
      </c>
      <c r="BC180" s="208">
        <f t="shared" si="268"/>
        <v>-2339</v>
      </c>
      <c r="BD180" s="208">
        <v>6328</v>
      </c>
      <c r="BE180" s="208"/>
      <c r="BF180" s="208">
        <v>-3020</v>
      </c>
      <c r="BG180" s="208">
        <v>-2109</v>
      </c>
      <c r="BH180" s="208"/>
      <c r="BI180" s="208"/>
      <c r="BJ180" s="208">
        <v>-3538</v>
      </c>
      <c r="BK180" s="208"/>
      <c r="BL180" s="208"/>
      <c r="BM180" s="208"/>
      <c r="BN180" s="208"/>
      <c r="BO180" s="208">
        <v>0</v>
      </c>
      <c r="BP180" s="208">
        <f t="shared" si="269"/>
        <v>0</v>
      </c>
      <c r="BQ180" s="208">
        <f t="shared" si="270"/>
        <v>0</v>
      </c>
      <c r="BR180" s="208"/>
      <c r="BS180" s="208"/>
      <c r="BT180" s="208"/>
      <c r="BU180" s="208"/>
      <c r="BV180" s="208"/>
      <c r="BW180" s="208">
        <f t="shared" si="271"/>
        <v>0</v>
      </c>
      <c r="BX180" s="208">
        <f t="shared" si="307"/>
        <v>0</v>
      </c>
      <c r="BY180" s="208"/>
      <c r="BZ180" s="208"/>
      <c r="CA180" s="208"/>
      <c r="CB180" s="208"/>
      <c r="CC180" s="208"/>
      <c r="CD180" s="208"/>
      <c r="CE180" s="208"/>
      <c r="CF180" s="208"/>
      <c r="CG180" s="208"/>
      <c r="CH180" s="208"/>
      <c r="CI180" s="259"/>
      <c r="CJ180" s="54" t="s">
        <v>373</v>
      </c>
      <c r="CK180" s="57"/>
      <c r="CL180" s="230" t="s">
        <v>696</v>
      </c>
      <c r="CM180" s="10" t="s">
        <v>697</v>
      </c>
      <c r="CQ180" s="10" t="e">
        <f>D180-#REF!-AM180</f>
        <v>#REF!</v>
      </c>
      <c r="CR180" s="10" t="e">
        <f>D180-#REF!</f>
        <v>#REF!</v>
      </c>
      <c r="CS180" s="1" t="e">
        <f>F180-#REF!</f>
        <v>#REF!</v>
      </c>
    </row>
    <row r="181" spans="1:97" x14ac:dyDescent="0.2">
      <c r="A181" s="75"/>
      <c r="B181" s="159"/>
      <c r="C181" s="255" t="s">
        <v>233</v>
      </c>
      <c r="D181" s="220">
        <f t="shared" si="298"/>
        <v>162026</v>
      </c>
      <c r="E181" s="208">
        <f t="shared" si="273"/>
        <v>114411</v>
      </c>
      <c r="F181" s="208">
        <v>141563</v>
      </c>
      <c r="G181" s="208">
        <f t="shared" si="263"/>
        <v>98896</v>
      </c>
      <c r="H181" s="208">
        <f t="shared" si="306"/>
        <v>-42667</v>
      </c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>
        <v>-42667</v>
      </c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>
        <v>20463</v>
      </c>
      <c r="AN181" s="208">
        <f t="shared" si="265"/>
        <v>15515</v>
      </c>
      <c r="AO181" s="208">
        <f t="shared" si="266"/>
        <v>-4948</v>
      </c>
      <c r="AP181" s="208"/>
      <c r="AQ181" s="208"/>
      <c r="AR181" s="208"/>
      <c r="AS181" s="208"/>
      <c r="AT181" s="208">
        <v>-6928</v>
      </c>
      <c r="AU181" s="208"/>
      <c r="AV181" s="208">
        <v>1980</v>
      </c>
      <c r="AW181" s="208"/>
      <c r="AX181" s="208"/>
      <c r="AY181" s="208"/>
      <c r="AZ181" s="208"/>
      <c r="BA181" s="208">
        <v>0</v>
      </c>
      <c r="BB181" s="208">
        <f t="shared" si="267"/>
        <v>0</v>
      </c>
      <c r="BC181" s="208">
        <f t="shared" si="268"/>
        <v>0</v>
      </c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>
        <v>0</v>
      </c>
      <c r="BP181" s="208">
        <f t="shared" si="269"/>
        <v>0</v>
      </c>
      <c r="BQ181" s="208">
        <f t="shared" si="270"/>
        <v>0</v>
      </c>
      <c r="BR181" s="208"/>
      <c r="BS181" s="208"/>
      <c r="BT181" s="208"/>
      <c r="BU181" s="208"/>
      <c r="BV181" s="208"/>
      <c r="BW181" s="208">
        <f t="shared" si="271"/>
        <v>0</v>
      </c>
      <c r="BX181" s="208">
        <f t="shared" si="307"/>
        <v>0</v>
      </c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59"/>
      <c r="CJ181" s="54" t="s">
        <v>371</v>
      </c>
      <c r="CK181" s="57"/>
      <c r="CL181" s="230" t="s">
        <v>698</v>
      </c>
      <c r="CM181" s="10" t="s">
        <v>699</v>
      </c>
      <c r="CQ181" s="10" t="e">
        <f>D181-#REF!-AM181</f>
        <v>#REF!</v>
      </c>
      <c r="CR181" s="10" t="e">
        <f>D181-#REF!</f>
        <v>#REF!</v>
      </c>
      <c r="CS181" s="1" t="e">
        <f>F181-#REF!</f>
        <v>#REF!</v>
      </c>
    </row>
    <row r="182" spans="1:97" s="130" customFormat="1" x14ac:dyDescent="0.2">
      <c r="A182" s="75"/>
      <c r="B182" s="159"/>
      <c r="C182" s="255" t="s">
        <v>585</v>
      </c>
      <c r="D182" s="220">
        <f t="shared" si="298"/>
        <v>1813</v>
      </c>
      <c r="E182" s="208">
        <f t="shared" si="273"/>
        <v>5122</v>
      </c>
      <c r="F182" s="208">
        <v>1813</v>
      </c>
      <c r="G182" s="208">
        <f t="shared" si="263"/>
        <v>9150</v>
      </c>
      <c r="H182" s="208">
        <f t="shared" si="306"/>
        <v>7337</v>
      </c>
      <c r="I182" s="208"/>
      <c r="J182" s="208"/>
      <c r="K182" s="208"/>
      <c r="L182" s="208"/>
      <c r="M182" s="208">
        <v>7337</v>
      </c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>
        <v>0</v>
      </c>
      <c r="AN182" s="208">
        <f t="shared" si="265"/>
        <v>0</v>
      </c>
      <c r="AO182" s="208">
        <f t="shared" si="266"/>
        <v>0</v>
      </c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>
        <v>0</v>
      </c>
      <c r="BB182" s="208">
        <f t="shared" si="267"/>
        <v>0</v>
      </c>
      <c r="BC182" s="208">
        <f t="shared" si="268"/>
        <v>0</v>
      </c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>
        <v>0</v>
      </c>
      <c r="BP182" s="208">
        <f t="shared" si="269"/>
        <v>0</v>
      </c>
      <c r="BQ182" s="208">
        <f t="shared" si="270"/>
        <v>0</v>
      </c>
      <c r="BR182" s="208"/>
      <c r="BS182" s="208"/>
      <c r="BT182" s="208"/>
      <c r="BU182" s="208"/>
      <c r="BV182" s="208"/>
      <c r="BW182" s="208">
        <f t="shared" si="271"/>
        <v>-4028</v>
      </c>
      <c r="BX182" s="208">
        <f t="shared" si="307"/>
        <v>-4028</v>
      </c>
      <c r="BY182" s="208">
        <v>-4028</v>
      </c>
      <c r="BZ182" s="208"/>
      <c r="CA182" s="208"/>
      <c r="CB182" s="208"/>
      <c r="CC182" s="208"/>
      <c r="CD182" s="208"/>
      <c r="CE182" s="208"/>
      <c r="CF182" s="208"/>
      <c r="CG182" s="208"/>
      <c r="CH182" s="208"/>
      <c r="CI182" s="259"/>
      <c r="CJ182" s="54" t="s">
        <v>521</v>
      </c>
      <c r="CK182" s="57"/>
      <c r="CL182" s="230" t="s">
        <v>689</v>
      </c>
      <c r="CM182" s="230" t="s">
        <v>689</v>
      </c>
      <c r="CQ182" s="10" t="e">
        <f>D182-#REF!-AM182</f>
        <v>#REF!</v>
      </c>
      <c r="CR182" s="10" t="e">
        <f>D182-#REF!</f>
        <v>#REF!</v>
      </c>
      <c r="CS182" s="130" t="e">
        <f>F182-#REF!</f>
        <v>#REF!</v>
      </c>
    </row>
    <row r="183" spans="1:97" s="126" customFormat="1" ht="24" x14ac:dyDescent="0.2">
      <c r="A183" s="75"/>
      <c r="B183" s="160"/>
      <c r="C183" s="255" t="s">
        <v>512</v>
      </c>
      <c r="D183" s="220">
        <f t="shared" si="298"/>
        <v>6361</v>
      </c>
      <c r="E183" s="208">
        <f t="shared" ref="E183:E214" si="324">G183+AN183+BB183+BP183+BW183</f>
        <v>7331</v>
      </c>
      <c r="F183" s="208">
        <v>6361</v>
      </c>
      <c r="G183" s="208">
        <f t="shared" si="263"/>
        <v>7331</v>
      </c>
      <c r="H183" s="208">
        <f t="shared" si="306"/>
        <v>970</v>
      </c>
      <c r="I183" s="208"/>
      <c r="J183" s="208"/>
      <c r="K183" s="208"/>
      <c r="L183" s="208"/>
      <c r="M183" s="208">
        <v>1059</v>
      </c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>
        <v>-89</v>
      </c>
      <c r="AH183" s="208"/>
      <c r="AI183" s="208"/>
      <c r="AJ183" s="208"/>
      <c r="AK183" s="208"/>
      <c r="AL183" s="208"/>
      <c r="AM183" s="208">
        <v>0</v>
      </c>
      <c r="AN183" s="208">
        <f t="shared" si="265"/>
        <v>0</v>
      </c>
      <c r="AO183" s="208">
        <f t="shared" si="266"/>
        <v>0</v>
      </c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>
        <v>0</v>
      </c>
      <c r="BB183" s="208">
        <f t="shared" si="267"/>
        <v>0</v>
      </c>
      <c r="BC183" s="208">
        <f t="shared" si="268"/>
        <v>0</v>
      </c>
      <c r="BD183" s="208"/>
      <c r="BE183" s="208"/>
      <c r="BF183" s="208"/>
      <c r="BG183" s="208"/>
      <c r="BH183" s="208"/>
      <c r="BI183" s="208"/>
      <c r="BJ183" s="208"/>
      <c r="BK183" s="208"/>
      <c r="BL183" s="208"/>
      <c r="BM183" s="208"/>
      <c r="BN183" s="208"/>
      <c r="BO183" s="208">
        <v>0</v>
      </c>
      <c r="BP183" s="208">
        <f t="shared" si="269"/>
        <v>0</v>
      </c>
      <c r="BQ183" s="208">
        <f t="shared" si="270"/>
        <v>0</v>
      </c>
      <c r="BR183" s="208"/>
      <c r="BS183" s="208"/>
      <c r="BT183" s="208"/>
      <c r="BU183" s="208"/>
      <c r="BV183" s="208"/>
      <c r="BW183" s="208">
        <f t="shared" si="271"/>
        <v>0</v>
      </c>
      <c r="BX183" s="208">
        <f t="shared" si="307"/>
        <v>0</v>
      </c>
      <c r="BY183" s="208"/>
      <c r="BZ183" s="208"/>
      <c r="CA183" s="208"/>
      <c r="CB183" s="208"/>
      <c r="CC183" s="208"/>
      <c r="CD183" s="208"/>
      <c r="CE183" s="208"/>
      <c r="CF183" s="208"/>
      <c r="CG183" s="208"/>
      <c r="CH183" s="208"/>
      <c r="CI183" s="259"/>
      <c r="CJ183" s="54" t="s">
        <v>621</v>
      </c>
      <c r="CK183" s="57"/>
      <c r="CL183" s="230" t="s">
        <v>689</v>
      </c>
      <c r="CM183" s="230" t="s">
        <v>689</v>
      </c>
      <c r="CQ183" s="10" t="e">
        <f>D183-#REF!-AM183</f>
        <v>#REF!</v>
      </c>
      <c r="CR183" s="10" t="e">
        <f>D183-#REF!</f>
        <v>#REF!</v>
      </c>
      <c r="CS183" s="126" t="e">
        <f>F183-#REF!</f>
        <v>#REF!</v>
      </c>
    </row>
    <row r="184" spans="1:97" s="130" customFormat="1" ht="24" x14ac:dyDescent="0.2">
      <c r="A184" s="75"/>
      <c r="B184" s="160"/>
      <c r="C184" s="367" t="s">
        <v>804</v>
      </c>
      <c r="D184" s="220"/>
      <c r="E184" s="208">
        <f t="shared" si="324"/>
        <v>193</v>
      </c>
      <c r="F184" s="208"/>
      <c r="G184" s="208">
        <f t="shared" ref="G184" si="325">F184+H184</f>
        <v>2475</v>
      </c>
      <c r="H184" s="208">
        <f t="shared" si="306"/>
        <v>2475</v>
      </c>
      <c r="I184" s="208"/>
      <c r="J184" s="208"/>
      <c r="K184" s="208"/>
      <c r="L184" s="208"/>
      <c r="M184" s="208">
        <v>2475</v>
      </c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>
        <f t="shared" ref="AN184" si="326">AM184+AO184</f>
        <v>0</v>
      </c>
      <c r="AO184" s="208">
        <f t="shared" ref="AO184" si="327">SUM(AP184:AZ184)</f>
        <v>0</v>
      </c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>
        <f t="shared" ref="BB184" si="328">BA184+BC184</f>
        <v>0</v>
      </c>
      <c r="BC184" s="208">
        <f t="shared" ref="BC184" si="329">SUM(BD184:BN184)</f>
        <v>0</v>
      </c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>
        <f t="shared" ref="BP184" si="330">BO184+BQ184</f>
        <v>0</v>
      </c>
      <c r="BQ184" s="208">
        <f t="shared" ref="BQ184" si="331">SUM(BR184:BU184)</f>
        <v>0</v>
      </c>
      <c r="BR184" s="208"/>
      <c r="BS184" s="208"/>
      <c r="BT184" s="208"/>
      <c r="BU184" s="208"/>
      <c r="BV184" s="208"/>
      <c r="BW184" s="208">
        <f t="shared" ref="BW184" si="332">BV184+BX184</f>
        <v>-2282</v>
      </c>
      <c r="BX184" s="208">
        <f t="shared" si="307"/>
        <v>-2282</v>
      </c>
      <c r="BY184" s="208">
        <v>-2282</v>
      </c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59"/>
      <c r="CJ184" s="54" t="s">
        <v>805</v>
      </c>
      <c r="CK184" s="57"/>
      <c r="CL184" s="230"/>
      <c r="CM184" s="230"/>
      <c r="CQ184" s="10"/>
      <c r="CR184" s="10"/>
    </row>
    <row r="185" spans="1:97" ht="24" customHeight="1" x14ac:dyDescent="0.2">
      <c r="A185" s="75">
        <v>90000056465</v>
      </c>
      <c r="B185" s="158" t="s">
        <v>271</v>
      </c>
      <c r="C185" s="255" t="s">
        <v>235</v>
      </c>
      <c r="D185" s="220">
        <f t="shared" ref="D185:D213" si="333">F185+AM185+BA185+BO185+BV185</f>
        <v>1118958</v>
      </c>
      <c r="E185" s="208">
        <f t="shared" si="324"/>
        <v>1196519</v>
      </c>
      <c r="F185" s="208">
        <v>487846</v>
      </c>
      <c r="G185" s="208">
        <f t="shared" si="263"/>
        <v>513423</v>
      </c>
      <c r="H185" s="208">
        <f t="shared" si="306"/>
        <v>25577</v>
      </c>
      <c r="I185" s="208"/>
      <c r="J185" s="208"/>
      <c r="K185" s="208"/>
      <c r="L185" s="208"/>
      <c r="M185" s="208">
        <v>-4020</v>
      </c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>
        <v>6932</v>
      </c>
      <c r="AB185" s="208"/>
      <c r="AC185" s="208"/>
      <c r="AD185" s="208"/>
      <c r="AE185" s="208"/>
      <c r="AF185" s="208"/>
      <c r="AG185" s="208">
        <f>-10895+33560</f>
        <v>22665</v>
      </c>
      <c r="AH185" s="208"/>
      <c r="AI185" s="208"/>
      <c r="AJ185" s="208"/>
      <c r="AK185" s="208"/>
      <c r="AL185" s="208"/>
      <c r="AM185" s="208">
        <v>508540</v>
      </c>
      <c r="AN185" s="208">
        <f t="shared" si="265"/>
        <v>562222</v>
      </c>
      <c r="AO185" s="208">
        <f t="shared" si="266"/>
        <v>53682</v>
      </c>
      <c r="AP185" s="208">
        <v>43112</v>
      </c>
      <c r="AQ185" s="208"/>
      <c r="AR185" s="208"/>
      <c r="AS185" s="208"/>
      <c r="AT185" s="208"/>
      <c r="AU185" s="208"/>
      <c r="AV185" s="208">
        <v>10570</v>
      </c>
      <c r="AW185" s="208"/>
      <c r="AX185" s="208"/>
      <c r="AY185" s="208"/>
      <c r="AZ185" s="208"/>
      <c r="BA185" s="208">
        <v>122572</v>
      </c>
      <c r="BB185" s="208">
        <f t="shared" si="267"/>
        <v>120874</v>
      </c>
      <c r="BC185" s="208">
        <f t="shared" si="268"/>
        <v>-1698</v>
      </c>
      <c r="BD185" s="208">
        <v>9646</v>
      </c>
      <c r="BE185" s="208"/>
      <c r="BF185" s="208"/>
      <c r="BG185" s="208">
        <v>-12400</v>
      </c>
      <c r="BH185" s="208"/>
      <c r="BI185" s="208"/>
      <c r="BJ185" s="208">
        <v>1056</v>
      </c>
      <c r="BK185" s="208"/>
      <c r="BL185" s="208"/>
      <c r="BM185" s="208"/>
      <c r="BN185" s="208"/>
      <c r="BO185" s="208">
        <v>0</v>
      </c>
      <c r="BP185" s="208">
        <f t="shared" si="269"/>
        <v>0</v>
      </c>
      <c r="BQ185" s="208">
        <f t="shared" si="270"/>
        <v>0</v>
      </c>
      <c r="BR185" s="208"/>
      <c r="BS185" s="208"/>
      <c r="BT185" s="208"/>
      <c r="BU185" s="208"/>
      <c r="BV185" s="208"/>
      <c r="BW185" s="208">
        <f t="shared" si="271"/>
        <v>0</v>
      </c>
      <c r="BX185" s="208">
        <f t="shared" si="307"/>
        <v>0</v>
      </c>
      <c r="BY185" s="208"/>
      <c r="BZ185" s="208"/>
      <c r="CA185" s="208"/>
      <c r="CB185" s="208"/>
      <c r="CC185" s="208"/>
      <c r="CD185" s="208"/>
      <c r="CE185" s="208"/>
      <c r="CF185" s="208"/>
      <c r="CG185" s="208"/>
      <c r="CH185" s="208"/>
      <c r="CI185" s="259"/>
      <c r="CJ185" s="54" t="s">
        <v>374</v>
      </c>
      <c r="CK185" s="57"/>
      <c r="CL185" s="230" t="s">
        <v>690</v>
      </c>
      <c r="CM185" s="10" t="s">
        <v>691</v>
      </c>
      <c r="CQ185" s="10" t="e">
        <f>D185-#REF!-AM185</f>
        <v>#REF!</v>
      </c>
      <c r="CR185" s="10" t="e">
        <f>D185-#REF!</f>
        <v>#REF!</v>
      </c>
      <c r="CS185" s="1" t="e">
        <f>F185-#REF!</f>
        <v>#REF!</v>
      </c>
    </row>
    <row r="186" spans="1:97" ht="24" customHeight="1" x14ac:dyDescent="0.2">
      <c r="A186" s="75">
        <v>90009249140</v>
      </c>
      <c r="B186" s="158" t="s">
        <v>486</v>
      </c>
      <c r="C186" s="255" t="s">
        <v>222</v>
      </c>
      <c r="D186" s="220">
        <f t="shared" si="333"/>
        <v>356569</v>
      </c>
      <c r="E186" s="208">
        <f t="shared" si="324"/>
        <v>369884</v>
      </c>
      <c r="F186" s="208">
        <v>329408</v>
      </c>
      <c r="G186" s="208">
        <f t="shared" si="263"/>
        <v>341236</v>
      </c>
      <c r="H186" s="208">
        <f t="shared" si="306"/>
        <v>11828</v>
      </c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>
        <f>-2059+13887</f>
        <v>11828</v>
      </c>
      <c r="AH186" s="208"/>
      <c r="AI186" s="208"/>
      <c r="AJ186" s="208"/>
      <c r="AK186" s="208"/>
      <c r="AL186" s="208"/>
      <c r="AM186" s="208">
        <v>26062</v>
      </c>
      <c r="AN186" s="208">
        <f t="shared" si="265"/>
        <v>27954</v>
      </c>
      <c r="AO186" s="208">
        <f t="shared" si="266"/>
        <v>1892</v>
      </c>
      <c r="AP186" s="208"/>
      <c r="AQ186" s="208"/>
      <c r="AR186" s="208"/>
      <c r="AS186" s="208"/>
      <c r="AT186" s="208"/>
      <c r="AU186" s="208"/>
      <c r="AV186" s="208">
        <v>1892</v>
      </c>
      <c r="AW186" s="208"/>
      <c r="AX186" s="208"/>
      <c r="AY186" s="208"/>
      <c r="AZ186" s="208"/>
      <c r="BA186" s="208">
        <v>1099</v>
      </c>
      <c r="BB186" s="208">
        <f t="shared" si="267"/>
        <v>694</v>
      </c>
      <c r="BC186" s="208">
        <f t="shared" si="268"/>
        <v>-405</v>
      </c>
      <c r="BD186" s="208">
        <v>2</v>
      </c>
      <c r="BE186" s="208"/>
      <c r="BF186" s="208"/>
      <c r="BG186" s="208"/>
      <c r="BH186" s="208"/>
      <c r="BI186" s="208"/>
      <c r="BJ186" s="208">
        <v>-407</v>
      </c>
      <c r="BK186" s="208"/>
      <c r="BL186" s="208"/>
      <c r="BM186" s="208"/>
      <c r="BN186" s="208"/>
      <c r="BO186" s="208">
        <v>0</v>
      </c>
      <c r="BP186" s="208">
        <f t="shared" si="269"/>
        <v>0</v>
      </c>
      <c r="BQ186" s="208">
        <f t="shared" si="270"/>
        <v>0</v>
      </c>
      <c r="BR186" s="208"/>
      <c r="BS186" s="208"/>
      <c r="BT186" s="208"/>
      <c r="BU186" s="208"/>
      <c r="BV186" s="208"/>
      <c r="BW186" s="208">
        <f t="shared" si="271"/>
        <v>0</v>
      </c>
      <c r="BX186" s="208">
        <f t="shared" si="307"/>
        <v>0</v>
      </c>
      <c r="BY186" s="208"/>
      <c r="BZ186" s="208"/>
      <c r="CA186" s="208"/>
      <c r="CB186" s="208"/>
      <c r="CC186" s="208"/>
      <c r="CD186" s="208"/>
      <c r="CE186" s="208"/>
      <c r="CF186" s="208"/>
      <c r="CG186" s="208"/>
      <c r="CH186" s="208"/>
      <c r="CI186" s="259"/>
      <c r="CJ186" s="54" t="s">
        <v>375</v>
      </c>
      <c r="CK186" s="57"/>
      <c r="CL186" s="230" t="s">
        <v>700</v>
      </c>
      <c r="CM186" s="10" t="s">
        <v>701</v>
      </c>
      <c r="CQ186" s="10" t="e">
        <f>D186-#REF!-AM186</f>
        <v>#REF!</v>
      </c>
      <c r="CR186" s="10" t="e">
        <f>D186-#REF!</f>
        <v>#REF!</v>
      </c>
      <c r="CS186" s="1" t="e">
        <f>F186-#REF!</f>
        <v>#REF!</v>
      </c>
    </row>
    <row r="187" spans="1:97" x14ac:dyDescent="0.2">
      <c r="A187" s="75"/>
      <c r="B187" s="159"/>
      <c r="C187" s="255" t="s">
        <v>233</v>
      </c>
      <c r="D187" s="220">
        <f t="shared" si="333"/>
        <v>31930</v>
      </c>
      <c r="E187" s="208">
        <f t="shared" si="324"/>
        <v>23930</v>
      </c>
      <c r="F187" s="208">
        <v>31930</v>
      </c>
      <c r="G187" s="208">
        <f t="shared" si="263"/>
        <v>23930</v>
      </c>
      <c r="H187" s="208">
        <f t="shared" si="306"/>
        <v>-8000</v>
      </c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>
        <v>-8000</v>
      </c>
      <c r="AH187" s="208"/>
      <c r="AI187" s="208"/>
      <c r="AJ187" s="208"/>
      <c r="AK187" s="208"/>
      <c r="AL187" s="208"/>
      <c r="AM187" s="208">
        <v>0</v>
      </c>
      <c r="AN187" s="208">
        <f t="shared" si="265"/>
        <v>0</v>
      </c>
      <c r="AO187" s="208">
        <f t="shared" si="266"/>
        <v>0</v>
      </c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>
        <v>0</v>
      </c>
      <c r="BB187" s="208">
        <f t="shared" si="267"/>
        <v>0</v>
      </c>
      <c r="BC187" s="208">
        <f t="shared" si="268"/>
        <v>0</v>
      </c>
      <c r="BD187" s="208"/>
      <c r="BE187" s="208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>
        <v>0</v>
      </c>
      <c r="BP187" s="208">
        <f t="shared" si="269"/>
        <v>0</v>
      </c>
      <c r="BQ187" s="208">
        <f t="shared" si="270"/>
        <v>0</v>
      </c>
      <c r="BR187" s="208"/>
      <c r="BS187" s="208"/>
      <c r="BT187" s="208"/>
      <c r="BU187" s="208"/>
      <c r="BV187" s="208"/>
      <c r="BW187" s="208">
        <f t="shared" si="271"/>
        <v>0</v>
      </c>
      <c r="BX187" s="208">
        <f t="shared" si="307"/>
        <v>0</v>
      </c>
      <c r="BY187" s="208"/>
      <c r="BZ187" s="208"/>
      <c r="CA187" s="208"/>
      <c r="CB187" s="208"/>
      <c r="CC187" s="208"/>
      <c r="CD187" s="208"/>
      <c r="CE187" s="208"/>
      <c r="CF187" s="208"/>
      <c r="CG187" s="208"/>
      <c r="CH187" s="208"/>
      <c r="CI187" s="259"/>
      <c r="CJ187" s="54" t="s">
        <v>376</v>
      </c>
      <c r="CK187" s="57"/>
      <c r="CL187" s="230" t="s">
        <v>698</v>
      </c>
      <c r="CM187" s="10" t="s">
        <v>699</v>
      </c>
      <c r="CQ187" s="10" t="e">
        <f>D187-#REF!-AM187</f>
        <v>#REF!</v>
      </c>
      <c r="CR187" s="10" t="e">
        <f>D187-#REF!</f>
        <v>#REF!</v>
      </c>
      <c r="CS187" s="1" t="e">
        <f>F187-#REF!</f>
        <v>#REF!</v>
      </c>
    </row>
    <row r="188" spans="1:97" ht="24" customHeight="1" x14ac:dyDescent="0.2">
      <c r="A188" s="75">
        <v>90009249210</v>
      </c>
      <c r="B188" s="158" t="s">
        <v>487</v>
      </c>
      <c r="C188" s="255" t="s">
        <v>222</v>
      </c>
      <c r="D188" s="220">
        <f t="shared" si="333"/>
        <v>399866</v>
      </c>
      <c r="E188" s="208">
        <f t="shared" si="324"/>
        <v>410239</v>
      </c>
      <c r="F188" s="208">
        <v>386018</v>
      </c>
      <c r="G188" s="208">
        <f t="shared" si="263"/>
        <v>395532</v>
      </c>
      <c r="H188" s="208">
        <f t="shared" si="306"/>
        <v>9514</v>
      </c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>
        <f>-3349+12863</f>
        <v>9514</v>
      </c>
      <c r="AH188" s="208"/>
      <c r="AI188" s="208"/>
      <c r="AJ188" s="208"/>
      <c r="AK188" s="208"/>
      <c r="AL188" s="208"/>
      <c r="AM188" s="208">
        <v>13848</v>
      </c>
      <c r="AN188" s="208">
        <f t="shared" si="265"/>
        <v>14672</v>
      </c>
      <c r="AO188" s="208">
        <f t="shared" si="266"/>
        <v>824</v>
      </c>
      <c r="AP188" s="208"/>
      <c r="AQ188" s="208"/>
      <c r="AR188" s="208"/>
      <c r="AS188" s="208"/>
      <c r="AT188" s="208"/>
      <c r="AU188" s="208"/>
      <c r="AV188" s="208">
        <v>824</v>
      </c>
      <c r="AW188" s="208"/>
      <c r="AX188" s="208"/>
      <c r="AY188" s="208"/>
      <c r="AZ188" s="208"/>
      <c r="BA188" s="208">
        <v>0</v>
      </c>
      <c r="BB188" s="208">
        <f t="shared" si="267"/>
        <v>35</v>
      </c>
      <c r="BC188" s="208">
        <f t="shared" si="268"/>
        <v>35</v>
      </c>
      <c r="BD188" s="208"/>
      <c r="BE188" s="208"/>
      <c r="BF188" s="208">
        <v>35</v>
      </c>
      <c r="BG188" s="208"/>
      <c r="BH188" s="208"/>
      <c r="BI188" s="208"/>
      <c r="BJ188" s="208"/>
      <c r="BK188" s="208"/>
      <c r="BL188" s="208"/>
      <c r="BM188" s="208"/>
      <c r="BN188" s="208"/>
      <c r="BO188" s="208">
        <v>0</v>
      </c>
      <c r="BP188" s="208">
        <f t="shared" si="269"/>
        <v>0</v>
      </c>
      <c r="BQ188" s="208">
        <f t="shared" si="270"/>
        <v>0</v>
      </c>
      <c r="BR188" s="208"/>
      <c r="BS188" s="208"/>
      <c r="BT188" s="208"/>
      <c r="BU188" s="208"/>
      <c r="BV188" s="208"/>
      <c r="BW188" s="208">
        <f t="shared" si="271"/>
        <v>0</v>
      </c>
      <c r="BX188" s="208">
        <f t="shared" si="307"/>
        <v>0</v>
      </c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59"/>
      <c r="CJ188" s="54" t="s">
        <v>377</v>
      </c>
      <c r="CK188" s="57"/>
      <c r="CL188" s="230" t="s">
        <v>700</v>
      </c>
      <c r="CM188" s="10" t="s">
        <v>701</v>
      </c>
      <c r="CQ188" s="10" t="e">
        <f>D188-#REF!-AM188</f>
        <v>#REF!</v>
      </c>
      <c r="CR188" s="10" t="e">
        <f>D188-#REF!</f>
        <v>#REF!</v>
      </c>
      <c r="CS188" s="1" t="e">
        <f>F188-#REF!</f>
        <v>#REF!</v>
      </c>
    </row>
    <row r="189" spans="1:97" x14ac:dyDescent="0.2">
      <c r="A189" s="75"/>
      <c r="B189" s="159"/>
      <c r="C189" s="255" t="s">
        <v>233</v>
      </c>
      <c r="D189" s="220">
        <f t="shared" si="333"/>
        <v>31930</v>
      </c>
      <c r="E189" s="208">
        <f t="shared" si="324"/>
        <v>28930</v>
      </c>
      <c r="F189" s="208">
        <v>31930</v>
      </c>
      <c r="G189" s="208">
        <f t="shared" si="263"/>
        <v>28930</v>
      </c>
      <c r="H189" s="208">
        <f t="shared" si="306"/>
        <v>-3000</v>
      </c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>
        <v>-3000</v>
      </c>
      <c r="AH189" s="208"/>
      <c r="AI189" s="208"/>
      <c r="AJ189" s="208"/>
      <c r="AK189" s="208"/>
      <c r="AL189" s="208"/>
      <c r="AM189" s="208">
        <v>0</v>
      </c>
      <c r="AN189" s="208">
        <f t="shared" si="265"/>
        <v>0</v>
      </c>
      <c r="AO189" s="208">
        <f t="shared" si="266"/>
        <v>0</v>
      </c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>
        <v>0</v>
      </c>
      <c r="BB189" s="208">
        <f t="shared" si="267"/>
        <v>0</v>
      </c>
      <c r="BC189" s="208">
        <f t="shared" si="268"/>
        <v>0</v>
      </c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>
        <v>0</v>
      </c>
      <c r="BP189" s="208">
        <f t="shared" si="269"/>
        <v>0</v>
      </c>
      <c r="BQ189" s="208">
        <f t="shared" si="270"/>
        <v>0</v>
      </c>
      <c r="BR189" s="208"/>
      <c r="BS189" s="208"/>
      <c r="BT189" s="208"/>
      <c r="BU189" s="208"/>
      <c r="BV189" s="208"/>
      <c r="BW189" s="208">
        <f t="shared" si="271"/>
        <v>0</v>
      </c>
      <c r="BX189" s="208">
        <f t="shared" si="307"/>
        <v>0</v>
      </c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59"/>
      <c r="CJ189" s="54" t="s">
        <v>378</v>
      </c>
      <c r="CK189" s="57"/>
      <c r="CL189" s="230" t="s">
        <v>698</v>
      </c>
      <c r="CM189" s="10" t="s">
        <v>699</v>
      </c>
      <c r="CQ189" s="10" t="e">
        <f>D189-#REF!-AM189</f>
        <v>#REF!</v>
      </c>
      <c r="CR189" s="10" t="e">
        <f>D189-#REF!</f>
        <v>#REF!</v>
      </c>
      <c r="CS189" s="1" t="e">
        <f>F189-#REF!</f>
        <v>#REF!</v>
      </c>
    </row>
    <row r="190" spans="1:97" ht="24" customHeight="1" x14ac:dyDescent="0.2">
      <c r="A190" s="75">
        <v>90009249155</v>
      </c>
      <c r="B190" s="158" t="s">
        <v>488</v>
      </c>
      <c r="C190" s="255" t="s">
        <v>222</v>
      </c>
      <c r="D190" s="220">
        <f t="shared" si="333"/>
        <v>370843</v>
      </c>
      <c r="E190" s="208">
        <f t="shared" si="324"/>
        <v>387327</v>
      </c>
      <c r="F190" s="208">
        <v>348839</v>
      </c>
      <c r="G190" s="208">
        <f t="shared" si="263"/>
        <v>362086</v>
      </c>
      <c r="H190" s="208">
        <f t="shared" si="306"/>
        <v>13247</v>
      </c>
      <c r="I190" s="208"/>
      <c r="J190" s="208"/>
      <c r="K190" s="208"/>
      <c r="L190" s="208"/>
      <c r="M190" s="208">
        <v>3140</v>
      </c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>
        <v>-740</v>
      </c>
      <c r="AE190" s="208"/>
      <c r="AF190" s="208"/>
      <c r="AG190" s="208">
        <f>-3731+14578</f>
        <v>10847</v>
      </c>
      <c r="AH190" s="208"/>
      <c r="AI190" s="208"/>
      <c r="AJ190" s="208"/>
      <c r="AK190" s="208"/>
      <c r="AL190" s="208"/>
      <c r="AM190" s="208">
        <v>21999</v>
      </c>
      <c r="AN190" s="208">
        <f t="shared" si="265"/>
        <v>25236</v>
      </c>
      <c r="AO190" s="208">
        <f t="shared" si="266"/>
        <v>3237</v>
      </c>
      <c r="AP190" s="208">
        <v>21</v>
      </c>
      <c r="AQ190" s="208"/>
      <c r="AR190" s="208"/>
      <c r="AS190" s="208"/>
      <c r="AT190" s="208"/>
      <c r="AU190" s="208"/>
      <c r="AV190" s="208">
        <v>3216</v>
      </c>
      <c r="AW190" s="208"/>
      <c r="AX190" s="208"/>
      <c r="AY190" s="208"/>
      <c r="AZ190" s="208"/>
      <c r="BA190" s="208">
        <v>5</v>
      </c>
      <c r="BB190" s="208">
        <f t="shared" si="267"/>
        <v>5</v>
      </c>
      <c r="BC190" s="208">
        <f t="shared" si="268"/>
        <v>0</v>
      </c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>
        <v>0</v>
      </c>
      <c r="BP190" s="208">
        <f t="shared" si="269"/>
        <v>0</v>
      </c>
      <c r="BQ190" s="208">
        <f t="shared" si="270"/>
        <v>0</v>
      </c>
      <c r="BR190" s="208"/>
      <c r="BS190" s="208"/>
      <c r="BT190" s="208"/>
      <c r="BU190" s="208"/>
      <c r="BV190" s="208"/>
      <c r="BW190" s="208">
        <f t="shared" si="271"/>
        <v>0</v>
      </c>
      <c r="BX190" s="208">
        <f t="shared" si="307"/>
        <v>0</v>
      </c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59"/>
      <c r="CJ190" s="54" t="s">
        <v>379</v>
      </c>
      <c r="CK190" s="57"/>
      <c r="CL190" s="230" t="s">
        <v>700</v>
      </c>
      <c r="CM190" s="10" t="s">
        <v>701</v>
      </c>
      <c r="CQ190" s="10" t="e">
        <f>D190-#REF!-AM190</f>
        <v>#REF!</v>
      </c>
      <c r="CR190" s="10" t="e">
        <f>D190-#REF!</f>
        <v>#REF!</v>
      </c>
      <c r="CS190" s="1" t="e">
        <f>F190-#REF!</f>
        <v>#REF!</v>
      </c>
    </row>
    <row r="191" spans="1:97" x14ac:dyDescent="0.2">
      <c r="A191" s="75"/>
      <c r="B191" s="159"/>
      <c r="C191" s="255" t="s">
        <v>233</v>
      </c>
      <c r="D191" s="220">
        <f t="shared" si="333"/>
        <v>28638</v>
      </c>
      <c r="E191" s="208">
        <f t="shared" si="324"/>
        <v>22978</v>
      </c>
      <c r="F191" s="208">
        <v>28638</v>
      </c>
      <c r="G191" s="208">
        <f t="shared" si="263"/>
        <v>22978</v>
      </c>
      <c r="H191" s="208">
        <f t="shared" si="306"/>
        <v>-5660</v>
      </c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>
        <v>-4260</v>
      </c>
      <c r="AE191" s="208"/>
      <c r="AF191" s="208"/>
      <c r="AG191" s="208">
        <v>-1400</v>
      </c>
      <c r="AH191" s="208"/>
      <c r="AI191" s="208"/>
      <c r="AJ191" s="208"/>
      <c r="AK191" s="208"/>
      <c r="AL191" s="208"/>
      <c r="AM191" s="208">
        <v>0</v>
      </c>
      <c r="AN191" s="208">
        <f t="shared" si="265"/>
        <v>0</v>
      </c>
      <c r="AO191" s="208">
        <f t="shared" si="266"/>
        <v>0</v>
      </c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>
        <v>0</v>
      </c>
      <c r="BB191" s="208">
        <f t="shared" si="267"/>
        <v>0</v>
      </c>
      <c r="BC191" s="208">
        <f t="shared" si="268"/>
        <v>0</v>
      </c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>
        <v>0</v>
      </c>
      <c r="BP191" s="208">
        <f t="shared" si="269"/>
        <v>0</v>
      </c>
      <c r="BQ191" s="208">
        <f t="shared" si="270"/>
        <v>0</v>
      </c>
      <c r="BR191" s="208"/>
      <c r="BS191" s="208"/>
      <c r="BT191" s="208"/>
      <c r="BU191" s="208"/>
      <c r="BV191" s="208"/>
      <c r="BW191" s="208">
        <f t="shared" si="271"/>
        <v>0</v>
      </c>
      <c r="BX191" s="208">
        <f t="shared" si="307"/>
        <v>0</v>
      </c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59"/>
      <c r="CJ191" s="54" t="s">
        <v>380</v>
      </c>
      <c r="CK191" s="57"/>
      <c r="CL191" s="230" t="s">
        <v>698</v>
      </c>
      <c r="CM191" s="10" t="s">
        <v>699</v>
      </c>
      <c r="CQ191" s="10" t="e">
        <f>D191-#REF!-AM191</f>
        <v>#REF!</v>
      </c>
      <c r="CR191" s="10" t="e">
        <f>D191-#REF!</f>
        <v>#REF!</v>
      </c>
      <c r="CS191" s="1" t="e">
        <f>F191-#REF!</f>
        <v>#REF!</v>
      </c>
    </row>
    <row r="192" spans="1:97" ht="24" customHeight="1" x14ac:dyDescent="0.2">
      <c r="A192" s="75">
        <v>90009249259</v>
      </c>
      <c r="B192" s="158" t="s">
        <v>489</v>
      </c>
      <c r="C192" s="255" t="s">
        <v>222</v>
      </c>
      <c r="D192" s="220">
        <f t="shared" si="333"/>
        <v>660803</v>
      </c>
      <c r="E192" s="208">
        <f t="shared" si="324"/>
        <v>682216</v>
      </c>
      <c r="F192" s="208">
        <v>585436</v>
      </c>
      <c r="G192" s="208">
        <f t="shared" si="263"/>
        <v>606559</v>
      </c>
      <c r="H192" s="208">
        <f t="shared" si="306"/>
        <v>21123</v>
      </c>
      <c r="I192" s="208"/>
      <c r="J192" s="208"/>
      <c r="K192" s="208"/>
      <c r="L192" s="208"/>
      <c r="M192" s="208">
        <v>-1591</v>
      </c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>
        <f>-4103+26817</f>
        <v>22714</v>
      </c>
      <c r="AH192" s="208"/>
      <c r="AI192" s="208"/>
      <c r="AJ192" s="208"/>
      <c r="AK192" s="208"/>
      <c r="AL192" s="208"/>
      <c r="AM192" s="208">
        <v>69261</v>
      </c>
      <c r="AN192" s="208">
        <f t="shared" si="265"/>
        <v>69137</v>
      </c>
      <c r="AO192" s="208">
        <f t="shared" si="266"/>
        <v>-124</v>
      </c>
      <c r="AP192" s="208"/>
      <c r="AQ192" s="208"/>
      <c r="AR192" s="208"/>
      <c r="AS192" s="208"/>
      <c r="AT192" s="208"/>
      <c r="AU192" s="208"/>
      <c r="AV192" s="208">
        <v>-124</v>
      </c>
      <c r="AW192" s="208"/>
      <c r="AX192" s="208"/>
      <c r="AY192" s="208"/>
      <c r="AZ192" s="208"/>
      <c r="BA192" s="208">
        <v>6106</v>
      </c>
      <c r="BB192" s="208">
        <f t="shared" si="267"/>
        <v>6520</v>
      </c>
      <c r="BC192" s="208">
        <f t="shared" si="268"/>
        <v>414</v>
      </c>
      <c r="BD192" s="208">
        <v>1962</v>
      </c>
      <c r="BE192" s="208"/>
      <c r="BF192" s="208"/>
      <c r="BG192" s="208"/>
      <c r="BH192" s="208"/>
      <c r="BI192" s="208"/>
      <c r="BJ192" s="208">
        <v>-1548</v>
      </c>
      <c r="BK192" s="208"/>
      <c r="BL192" s="208"/>
      <c r="BM192" s="208"/>
      <c r="BN192" s="208"/>
      <c r="BO192" s="208">
        <v>0</v>
      </c>
      <c r="BP192" s="208">
        <f t="shared" si="269"/>
        <v>0</v>
      </c>
      <c r="BQ192" s="208">
        <f t="shared" si="270"/>
        <v>0</v>
      </c>
      <c r="BR192" s="208"/>
      <c r="BS192" s="208"/>
      <c r="BT192" s="208"/>
      <c r="BU192" s="208"/>
      <c r="BV192" s="208"/>
      <c r="BW192" s="208">
        <f t="shared" si="271"/>
        <v>0</v>
      </c>
      <c r="BX192" s="208">
        <f t="shared" si="307"/>
        <v>0</v>
      </c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59"/>
      <c r="CJ192" s="54" t="s">
        <v>381</v>
      </c>
      <c r="CK192" s="57"/>
      <c r="CL192" s="230" t="s">
        <v>700</v>
      </c>
      <c r="CM192" s="10" t="s">
        <v>701</v>
      </c>
      <c r="CQ192" s="10" t="e">
        <f>D192-#REF!-AM192</f>
        <v>#REF!</v>
      </c>
      <c r="CR192" s="10" t="e">
        <f>D192-#REF!</f>
        <v>#REF!</v>
      </c>
      <c r="CS192" s="1" t="e">
        <f>F192-#REF!</f>
        <v>#REF!</v>
      </c>
    </row>
    <row r="193" spans="1:97" x14ac:dyDescent="0.2">
      <c r="A193" s="75"/>
      <c r="B193" s="159"/>
      <c r="C193" s="255" t="s">
        <v>233</v>
      </c>
      <c r="D193" s="220">
        <f t="shared" si="333"/>
        <v>79837</v>
      </c>
      <c r="E193" s="208">
        <f t="shared" si="324"/>
        <v>56073</v>
      </c>
      <c r="F193" s="208">
        <v>72748</v>
      </c>
      <c r="G193" s="208">
        <f t="shared" si="263"/>
        <v>48748</v>
      </c>
      <c r="H193" s="208">
        <f t="shared" si="306"/>
        <v>-24000</v>
      </c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>
        <v>-24000</v>
      </c>
      <c r="AH193" s="208"/>
      <c r="AI193" s="208"/>
      <c r="AJ193" s="208"/>
      <c r="AK193" s="208"/>
      <c r="AL193" s="208"/>
      <c r="AM193" s="208">
        <v>0</v>
      </c>
      <c r="AN193" s="208">
        <f t="shared" si="265"/>
        <v>0</v>
      </c>
      <c r="AO193" s="208">
        <f t="shared" si="266"/>
        <v>0</v>
      </c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>
        <v>7089</v>
      </c>
      <c r="BB193" s="208">
        <f t="shared" si="267"/>
        <v>7325</v>
      </c>
      <c r="BC193" s="208">
        <f t="shared" si="268"/>
        <v>236</v>
      </c>
      <c r="BD193" s="208">
        <v>236</v>
      </c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>
        <v>0</v>
      </c>
      <c r="BP193" s="208">
        <f t="shared" si="269"/>
        <v>0</v>
      </c>
      <c r="BQ193" s="208">
        <f t="shared" si="270"/>
        <v>0</v>
      </c>
      <c r="BR193" s="208"/>
      <c r="BS193" s="208"/>
      <c r="BT193" s="208"/>
      <c r="BU193" s="208"/>
      <c r="BV193" s="208"/>
      <c r="BW193" s="208">
        <f t="shared" si="271"/>
        <v>0</v>
      </c>
      <c r="BX193" s="208">
        <f t="shared" si="307"/>
        <v>0</v>
      </c>
      <c r="BY193" s="208"/>
      <c r="BZ193" s="208"/>
      <c r="CA193" s="208"/>
      <c r="CB193" s="208"/>
      <c r="CC193" s="208"/>
      <c r="CD193" s="208"/>
      <c r="CE193" s="208"/>
      <c r="CF193" s="208"/>
      <c r="CG193" s="208"/>
      <c r="CH193" s="208"/>
      <c r="CI193" s="259"/>
      <c r="CJ193" s="54" t="s">
        <v>382</v>
      </c>
      <c r="CK193" s="57"/>
      <c r="CL193" s="230" t="s">
        <v>698</v>
      </c>
      <c r="CM193" s="10" t="s">
        <v>699</v>
      </c>
      <c r="CQ193" s="10" t="e">
        <f>D193-#REF!-AM193</f>
        <v>#REF!</v>
      </c>
      <c r="CR193" s="10" t="e">
        <f>D193-#REF!</f>
        <v>#REF!</v>
      </c>
      <c r="CS193" s="1" t="e">
        <f>F193-#REF!</f>
        <v>#REF!</v>
      </c>
    </row>
    <row r="194" spans="1:97" ht="24" customHeight="1" x14ac:dyDescent="0.2">
      <c r="A194" s="75">
        <v>90009249314</v>
      </c>
      <c r="B194" s="158" t="s">
        <v>490</v>
      </c>
      <c r="C194" s="255" t="s">
        <v>222</v>
      </c>
      <c r="D194" s="220">
        <f t="shared" si="333"/>
        <v>682569</v>
      </c>
      <c r="E194" s="208">
        <f t="shared" si="324"/>
        <v>708506</v>
      </c>
      <c r="F194" s="208">
        <v>574356</v>
      </c>
      <c r="G194" s="208">
        <f t="shared" si="263"/>
        <v>597702</v>
      </c>
      <c r="H194" s="208">
        <f t="shared" si="306"/>
        <v>23346</v>
      </c>
      <c r="I194" s="208"/>
      <c r="J194" s="208"/>
      <c r="K194" s="208"/>
      <c r="L194" s="208"/>
      <c r="M194" s="208">
        <v>-83</v>
      </c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>
        <v>-3741</v>
      </c>
      <c r="AB194" s="208"/>
      <c r="AC194" s="208"/>
      <c r="AD194" s="208"/>
      <c r="AE194" s="208"/>
      <c r="AF194" s="208"/>
      <c r="AG194" s="208">
        <v>27170</v>
      </c>
      <c r="AH194" s="208"/>
      <c r="AI194" s="208"/>
      <c r="AJ194" s="208"/>
      <c r="AK194" s="208"/>
      <c r="AL194" s="208"/>
      <c r="AM194" s="208">
        <v>102043</v>
      </c>
      <c r="AN194" s="208">
        <f t="shared" si="265"/>
        <v>105064</v>
      </c>
      <c r="AO194" s="208">
        <f t="shared" si="266"/>
        <v>3021</v>
      </c>
      <c r="AP194" s="208"/>
      <c r="AQ194" s="208"/>
      <c r="AR194" s="208"/>
      <c r="AS194" s="208"/>
      <c r="AT194" s="208"/>
      <c r="AU194" s="208"/>
      <c r="AV194" s="208">
        <v>3021</v>
      </c>
      <c r="AW194" s="208"/>
      <c r="AX194" s="208"/>
      <c r="AY194" s="208"/>
      <c r="AZ194" s="208"/>
      <c r="BA194" s="208">
        <v>6170</v>
      </c>
      <c r="BB194" s="208">
        <f t="shared" si="267"/>
        <v>5740</v>
      </c>
      <c r="BC194" s="208">
        <f t="shared" si="268"/>
        <v>-430</v>
      </c>
      <c r="BD194" s="208">
        <v>629</v>
      </c>
      <c r="BE194" s="208"/>
      <c r="BF194" s="208"/>
      <c r="BG194" s="208">
        <v>-982</v>
      </c>
      <c r="BH194" s="208"/>
      <c r="BI194" s="208"/>
      <c r="BJ194" s="208">
        <v>-77</v>
      </c>
      <c r="BK194" s="208"/>
      <c r="BL194" s="208"/>
      <c r="BM194" s="208"/>
      <c r="BN194" s="208"/>
      <c r="BO194" s="208">
        <v>0</v>
      </c>
      <c r="BP194" s="208">
        <f t="shared" si="269"/>
        <v>0</v>
      </c>
      <c r="BQ194" s="208">
        <f t="shared" si="270"/>
        <v>0</v>
      </c>
      <c r="BR194" s="208"/>
      <c r="BS194" s="208"/>
      <c r="BT194" s="208"/>
      <c r="BU194" s="208"/>
      <c r="BV194" s="208"/>
      <c r="BW194" s="208">
        <f t="shared" si="271"/>
        <v>0</v>
      </c>
      <c r="BX194" s="208">
        <f t="shared" si="307"/>
        <v>0</v>
      </c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59"/>
      <c r="CJ194" s="54" t="s">
        <v>383</v>
      </c>
      <c r="CK194" s="57"/>
      <c r="CL194" s="230" t="s">
        <v>700</v>
      </c>
      <c r="CM194" s="10" t="s">
        <v>701</v>
      </c>
      <c r="CQ194" s="10" t="e">
        <f>D194-#REF!-AM194</f>
        <v>#REF!</v>
      </c>
      <c r="CR194" s="10" t="e">
        <f>D194-#REF!</f>
        <v>#REF!</v>
      </c>
      <c r="CS194" s="1" t="e">
        <f>F194-#REF!</f>
        <v>#REF!</v>
      </c>
    </row>
    <row r="195" spans="1:97" x14ac:dyDescent="0.2">
      <c r="A195" s="75"/>
      <c r="B195" s="159"/>
      <c r="C195" s="255" t="s">
        <v>233</v>
      </c>
      <c r="D195" s="220">
        <f t="shared" si="333"/>
        <v>75381</v>
      </c>
      <c r="E195" s="208">
        <f t="shared" si="324"/>
        <v>60893</v>
      </c>
      <c r="F195" s="208">
        <v>75381</v>
      </c>
      <c r="G195" s="208">
        <f t="shared" si="263"/>
        <v>60893</v>
      </c>
      <c r="H195" s="208">
        <f t="shared" si="306"/>
        <v>-14488</v>
      </c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>
        <v>-12488</v>
      </c>
      <c r="AB195" s="208"/>
      <c r="AC195" s="208"/>
      <c r="AD195" s="208"/>
      <c r="AE195" s="208"/>
      <c r="AF195" s="208"/>
      <c r="AG195" s="208">
        <v>-2000</v>
      </c>
      <c r="AH195" s="208"/>
      <c r="AI195" s="208"/>
      <c r="AJ195" s="208"/>
      <c r="AK195" s="208"/>
      <c r="AL195" s="208"/>
      <c r="AM195" s="208">
        <v>0</v>
      </c>
      <c r="AN195" s="208">
        <f t="shared" si="265"/>
        <v>0</v>
      </c>
      <c r="AO195" s="208">
        <f t="shared" si="266"/>
        <v>0</v>
      </c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>
        <v>0</v>
      </c>
      <c r="BB195" s="208">
        <f t="shared" si="267"/>
        <v>0</v>
      </c>
      <c r="BC195" s="208">
        <f t="shared" si="268"/>
        <v>0</v>
      </c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>
        <v>0</v>
      </c>
      <c r="BP195" s="208">
        <f t="shared" si="269"/>
        <v>0</v>
      </c>
      <c r="BQ195" s="208">
        <f t="shared" si="270"/>
        <v>0</v>
      </c>
      <c r="BR195" s="208"/>
      <c r="BS195" s="208"/>
      <c r="BT195" s="208"/>
      <c r="BU195" s="208"/>
      <c r="BV195" s="208"/>
      <c r="BW195" s="208">
        <f t="shared" si="271"/>
        <v>0</v>
      </c>
      <c r="BX195" s="208">
        <f t="shared" si="307"/>
        <v>0</v>
      </c>
      <c r="BY195" s="208"/>
      <c r="BZ195" s="208"/>
      <c r="CA195" s="208"/>
      <c r="CB195" s="208"/>
      <c r="CC195" s="208"/>
      <c r="CD195" s="208"/>
      <c r="CE195" s="208"/>
      <c r="CF195" s="208"/>
      <c r="CG195" s="208"/>
      <c r="CH195" s="208"/>
      <c r="CI195" s="259"/>
      <c r="CJ195" s="54" t="s">
        <v>384</v>
      </c>
      <c r="CK195" s="57"/>
      <c r="CL195" s="230" t="s">
        <v>698</v>
      </c>
      <c r="CM195" s="10" t="s">
        <v>699</v>
      </c>
      <c r="CQ195" s="10" t="e">
        <f>D195-#REF!-AM195</f>
        <v>#REF!</v>
      </c>
      <c r="CR195" s="10" t="e">
        <f>D195-#REF!</f>
        <v>#REF!</v>
      </c>
      <c r="CS195" s="1" t="e">
        <f>F195-#REF!</f>
        <v>#REF!</v>
      </c>
    </row>
    <row r="196" spans="1:97" ht="24" customHeight="1" x14ac:dyDescent="0.2">
      <c r="A196" s="75">
        <v>90009249189</v>
      </c>
      <c r="B196" s="158" t="s">
        <v>491</v>
      </c>
      <c r="C196" s="255" t="s">
        <v>222</v>
      </c>
      <c r="D196" s="220">
        <f t="shared" si="333"/>
        <v>632286</v>
      </c>
      <c r="E196" s="208">
        <f t="shared" si="324"/>
        <v>659433</v>
      </c>
      <c r="F196" s="208">
        <v>545760</v>
      </c>
      <c r="G196" s="208">
        <f t="shared" si="263"/>
        <v>564748</v>
      </c>
      <c r="H196" s="208">
        <f t="shared" si="306"/>
        <v>18988</v>
      </c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>
        <v>-5</v>
      </c>
      <c r="AB196" s="208"/>
      <c r="AC196" s="208"/>
      <c r="AD196" s="208"/>
      <c r="AE196" s="208"/>
      <c r="AF196" s="208"/>
      <c r="AG196" s="208">
        <f>-7299+26292</f>
        <v>18993</v>
      </c>
      <c r="AH196" s="208"/>
      <c r="AI196" s="208"/>
      <c r="AJ196" s="208"/>
      <c r="AK196" s="208"/>
      <c r="AL196" s="208"/>
      <c r="AM196" s="208">
        <v>81536</v>
      </c>
      <c r="AN196" s="208">
        <f t="shared" si="265"/>
        <v>90147</v>
      </c>
      <c r="AO196" s="208">
        <f t="shared" si="266"/>
        <v>8611</v>
      </c>
      <c r="AP196" s="208"/>
      <c r="AQ196" s="208"/>
      <c r="AR196" s="208"/>
      <c r="AS196" s="208"/>
      <c r="AT196" s="208"/>
      <c r="AU196" s="208"/>
      <c r="AV196" s="208">
        <v>8611</v>
      </c>
      <c r="AW196" s="208"/>
      <c r="AX196" s="208"/>
      <c r="AY196" s="208"/>
      <c r="AZ196" s="208"/>
      <c r="BA196" s="208">
        <v>4990</v>
      </c>
      <c r="BB196" s="208">
        <f t="shared" si="267"/>
        <v>4538</v>
      </c>
      <c r="BC196" s="208">
        <f t="shared" si="268"/>
        <v>-452</v>
      </c>
      <c r="BD196" s="208">
        <v>818</v>
      </c>
      <c r="BE196" s="208"/>
      <c r="BF196" s="208"/>
      <c r="BG196" s="208"/>
      <c r="BH196" s="208"/>
      <c r="BI196" s="208"/>
      <c r="BJ196" s="208">
        <v>-1270</v>
      </c>
      <c r="BK196" s="208"/>
      <c r="BL196" s="208"/>
      <c r="BM196" s="208"/>
      <c r="BN196" s="208"/>
      <c r="BO196" s="208">
        <v>0</v>
      </c>
      <c r="BP196" s="208">
        <f t="shared" si="269"/>
        <v>0</v>
      </c>
      <c r="BQ196" s="208">
        <f t="shared" si="270"/>
        <v>0</v>
      </c>
      <c r="BR196" s="208"/>
      <c r="BS196" s="208"/>
      <c r="BT196" s="208"/>
      <c r="BU196" s="208"/>
      <c r="BV196" s="208"/>
      <c r="BW196" s="208">
        <f t="shared" si="271"/>
        <v>0</v>
      </c>
      <c r="BX196" s="208">
        <f t="shared" si="307"/>
        <v>0</v>
      </c>
      <c r="BY196" s="208"/>
      <c r="BZ196" s="208"/>
      <c r="CA196" s="208"/>
      <c r="CB196" s="208"/>
      <c r="CC196" s="208"/>
      <c r="CD196" s="208"/>
      <c r="CE196" s="208"/>
      <c r="CF196" s="208"/>
      <c r="CG196" s="208"/>
      <c r="CH196" s="208"/>
      <c r="CI196" s="259"/>
      <c r="CJ196" s="54" t="s">
        <v>385</v>
      </c>
      <c r="CK196" s="57"/>
      <c r="CL196" s="230" t="s">
        <v>700</v>
      </c>
      <c r="CM196" s="10" t="s">
        <v>701</v>
      </c>
      <c r="CQ196" s="10" t="e">
        <f>D196-#REF!-AM196</f>
        <v>#REF!</v>
      </c>
      <c r="CR196" s="10" t="e">
        <f>D196-#REF!</f>
        <v>#REF!</v>
      </c>
      <c r="CS196" s="1" t="e">
        <f>F196-#REF!</f>
        <v>#REF!</v>
      </c>
    </row>
    <row r="197" spans="1:97" x14ac:dyDescent="0.2">
      <c r="A197" s="75"/>
      <c r="B197" s="159"/>
      <c r="C197" s="255" t="s">
        <v>233</v>
      </c>
      <c r="D197" s="220">
        <f t="shared" si="333"/>
        <v>71058</v>
      </c>
      <c r="E197" s="208">
        <f t="shared" si="324"/>
        <v>48191</v>
      </c>
      <c r="F197" s="208">
        <v>65835</v>
      </c>
      <c r="G197" s="208">
        <f t="shared" si="263"/>
        <v>45335</v>
      </c>
      <c r="H197" s="208">
        <f t="shared" ref="H197:H228" si="334">SUM(I197:AL197)</f>
        <v>-20500</v>
      </c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>
        <v>-9500</v>
      </c>
      <c r="AB197" s="208"/>
      <c r="AC197" s="208"/>
      <c r="AD197" s="208"/>
      <c r="AE197" s="208"/>
      <c r="AF197" s="208"/>
      <c r="AG197" s="208">
        <v>-11000</v>
      </c>
      <c r="AH197" s="208"/>
      <c r="AI197" s="208"/>
      <c r="AJ197" s="208"/>
      <c r="AK197" s="208"/>
      <c r="AL197" s="208"/>
      <c r="AM197" s="208">
        <v>0</v>
      </c>
      <c r="AN197" s="208">
        <f t="shared" si="265"/>
        <v>0</v>
      </c>
      <c r="AO197" s="208">
        <f t="shared" si="266"/>
        <v>0</v>
      </c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>
        <v>5223</v>
      </c>
      <c r="BB197" s="208">
        <f t="shared" si="267"/>
        <v>2856</v>
      </c>
      <c r="BC197" s="208">
        <f t="shared" si="268"/>
        <v>-2367</v>
      </c>
      <c r="BD197" s="208">
        <v>768</v>
      </c>
      <c r="BE197" s="208"/>
      <c r="BF197" s="208"/>
      <c r="BG197" s="208">
        <v>-3135</v>
      </c>
      <c r="BH197" s="208"/>
      <c r="BI197" s="208"/>
      <c r="BJ197" s="208"/>
      <c r="BK197" s="208"/>
      <c r="BL197" s="208"/>
      <c r="BM197" s="208"/>
      <c r="BN197" s="208"/>
      <c r="BO197" s="208">
        <v>0</v>
      </c>
      <c r="BP197" s="208">
        <f t="shared" si="269"/>
        <v>0</v>
      </c>
      <c r="BQ197" s="208">
        <f t="shared" si="270"/>
        <v>0</v>
      </c>
      <c r="BR197" s="208"/>
      <c r="BS197" s="208"/>
      <c r="BT197" s="208"/>
      <c r="BU197" s="208"/>
      <c r="BV197" s="208"/>
      <c r="BW197" s="208">
        <f t="shared" si="271"/>
        <v>0</v>
      </c>
      <c r="BX197" s="208">
        <f t="shared" ref="BX197:BX230" si="335">SUM(BY197:CI197)</f>
        <v>0</v>
      </c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59"/>
      <c r="CJ197" s="54" t="s">
        <v>386</v>
      </c>
      <c r="CK197" s="57"/>
      <c r="CL197" s="230" t="s">
        <v>698</v>
      </c>
      <c r="CM197" s="10" t="s">
        <v>699</v>
      </c>
      <c r="CQ197" s="10" t="e">
        <f>D197-#REF!-AM197</f>
        <v>#REF!</v>
      </c>
      <c r="CR197" s="10" t="e">
        <f>D197-#REF!</f>
        <v>#REF!</v>
      </c>
      <c r="CS197" s="1" t="e">
        <f>F197-#REF!</f>
        <v>#REF!</v>
      </c>
    </row>
    <row r="198" spans="1:97" ht="24" customHeight="1" x14ac:dyDescent="0.2">
      <c r="A198" s="75">
        <v>90009249136</v>
      </c>
      <c r="B198" s="158" t="s">
        <v>492</v>
      </c>
      <c r="C198" s="255" t="s">
        <v>222</v>
      </c>
      <c r="D198" s="220">
        <f t="shared" si="333"/>
        <v>329952</v>
      </c>
      <c r="E198" s="208">
        <f t="shared" si="324"/>
        <v>341660</v>
      </c>
      <c r="F198" s="208">
        <v>310396</v>
      </c>
      <c r="G198" s="208">
        <f t="shared" si="263"/>
        <v>322868</v>
      </c>
      <c r="H198" s="208">
        <f t="shared" si="334"/>
        <v>12472</v>
      </c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>
        <v>-238</v>
      </c>
      <c r="AB198" s="208"/>
      <c r="AC198" s="208"/>
      <c r="AD198" s="208"/>
      <c r="AE198" s="208"/>
      <c r="AF198" s="208"/>
      <c r="AG198" s="208">
        <f>-483+13193</f>
        <v>12710</v>
      </c>
      <c r="AH198" s="208"/>
      <c r="AI198" s="208"/>
      <c r="AJ198" s="208"/>
      <c r="AK198" s="208"/>
      <c r="AL198" s="208"/>
      <c r="AM198" s="208">
        <v>19556</v>
      </c>
      <c r="AN198" s="208">
        <f t="shared" si="265"/>
        <v>18792</v>
      </c>
      <c r="AO198" s="208">
        <f t="shared" si="266"/>
        <v>-764</v>
      </c>
      <c r="AP198" s="208"/>
      <c r="AQ198" s="208"/>
      <c r="AR198" s="208"/>
      <c r="AS198" s="208"/>
      <c r="AT198" s="208"/>
      <c r="AU198" s="208"/>
      <c r="AV198" s="208">
        <v>-764</v>
      </c>
      <c r="AW198" s="208"/>
      <c r="AX198" s="208"/>
      <c r="AY198" s="208"/>
      <c r="AZ198" s="208"/>
      <c r="BA198" s="208">
        <v>0</v>
      </c>
      <c r="BB198" s="208">
        <f t="shared" si="267"/>
        <v>0</v>
      </c>
      <c r="BC198" s="208">
        <f t="shared" si="268"/>
        <v>0</v>
      </c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>
        <v>0</v>
      </c>
      <c r="BP198" s="208">
        <f t="shared" si="269"/>
        <v>0</v>
      </c>
      <c r="BQ198" s="208">
        <f t="shared" si="270"/>
        <v>0</v>
      </c>
      <c r="BR198" s="208"/>
      <c r="BS198" s="208"/>
      <c r="BT198" s="208"/>
      <c r="BU198" s="208"/>
      <c r="BV198" s="208"/>
      <c r="BW198" s="208">
        <f t="shared" si="271"/>
        <v>0</v>
      </c>
      <c r="BX198" s="208">
        <f t="shared" si="335"/>
        <v>0</v>
      </c>
      <c r="BY198" s="208"/>
      <c r="BZ198" s="208"/>
      <c r="CA198" s="208"/>
      <c r="CB198" s="208"/>
      <c r="CC198" s="208"/>
      <c r="CD198" s="208"/>
      <c r="CE198" s="208"/>
      <c r="CF198" s="208"/>
      <c r="CG198" s="208"/>
      <c r="CH198" s="208"/>
      <c r="CI198" s="259"/>
      <c r="CJ198" s="54" t="s">
        <v>387</v>
      </c>
      <c r="CK198" s="57"/>
      <c r="CL198" s="230" t="s">
        <v>700</v>
      </c>
      <c r="CM198" s="10" t="s">
        <v>701</v>
      </c>
      <c r="CQ198" s="10" t="e">
        <f>D198-#REF!-AM198</f>
        <v>#REF!</v>
      </c>
      <c r="CR198" s="10" t="e">
        <f>D198-#REF!</f>
        <v>#REF!</v>
      </c>
      <c r="CS198" s="1" t="e">
        <f>F198-#REF!</f>
        <v>#REF!</v>
      </c>
    </row>
    <row r="199" spans="1:97" x14ac:dyDescent="0.2">
      <c r="A199" s="75"/>
      <c r="B199" s="159"/>
      <c r="C199" s="255" t="s">
        <v>233</v>
      </c>
      <c r="D199" s="220">
        <f t="shared" si="333"/>
        <v>26992</v>
      </c>
      <c r="E199" s="208">
        <f t="shared" si="324"/>
        <v>23382</v>
      </c>
      <c r="F199" s="208">
        <v>26992</v>
      </c>
      <c r="G199" s="208">
        <f t="shared" si="263"/>
        <v>23382</v>
      </c>
      <c r="H199" s="208">
        <f t="shared" si="334"/>
        <v>-3610</v>
      </c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>
        <v>-3610</v>
      </c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>
        <v>0</v>
      </c>
      <c r="AN199" s="208">
        <f t="shared" si="265"/>
        <v>0</v>
      </c>
      <c r="AO199" s="208">
        <f t="shared" si="266"/>
        <v>0</v>
      </c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>
        <v>0</v>
      </c>
      <c r="BB199" s="208">
        <f t="shared" si="267"/>
        <v>0</v>
      </c>
      <c r="BC199" s="208">
        <f t="shared" si="268"/>
        <v>0</v>
      </c>
      <c r="BD199" s="208"/>
      <c r="BE199" s="208"/>
      <c r="BF199" s="208"/>
      <c r="BG199" s="208"/>
      <c r="BH199" s="208"/>
      <c r="BI199" s="208"/>
      <c r="BJ199" s="208"/>
      <c r="BK199" s="208"/>
      <c r="BL199" s="208"/>
      <c r="BM199" s="208"/>
      <c r="BN199" s="208"/>
      <c r="BO199" s="208">
        <v>0</v>
      </c>
      <c r="BP199" s="208">
        <f t="shared" si="269"/>
        <v>0</v>
      </c>
      <c r="BQ199" s="208">
        <f t="shared" si="270"/>
        <v>0</v>
      </c>
      <c r="BR199" s="208"/>
      <c r="BS199" s="208"/>
      <c r="BT199" s="208"/>
      <c r="BU199" s="208"/>
      <c r="BV199" s="208"/>
      <c r="BW199" s="208">
        <f t="shared" si="271"/>
        <v>0</v>
      </c>
      <c r="BX199" s="208">
        <f t="shared" si="335"/>
        <v>0</v>
      </c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59"/>
      <c r="CJ199" s="54" t="s">
        <v>388</v>
      </c>
      <c r="CK199" s="57"/>
      <c r="CL199" s="230" t="s">
        <v>698</v>
      </c>
      <c r="CM199" s="10" t="s">
        <v>699</v>
      </c>
      <c r="CQ199" s="10" t="e">
        <f>D199-#REF!-AM199</f>
        <v>#REF!</v>
      </c>
      <c r="CR199" s="10" t="e">
        <f>D199-#REF!</f>
        <v>#REF!</v>
      </c>
      <c r="CS199" s="1" t="e">
        <f>F199-#REF!</f>
        <v>#REF!</v>
      </c>
    </row>
    <row r="200" spans="1:97" ht="24" customHeight="1" x14ac:dyDescent="0.2">
      <c r="A200" s="75">
        <v>90009563202</v>
      </c>
      <c r="B200" s="158" t="s">
        <v>493</v>
      </c>
      <c r="C200" s="255" t="s">
        <v>222</v>
      </c>
      <c r="D200" s="220">
        <f t="shared" si="333"/>
        <v>362221</v>
      </c>
      <c r="E200" s="208">
        <f t="shared" si="324"/>
        <v>364252</v>
      </c>
      <c r="F200" s="208">
        <v>179494</v>
      </c>
      <c r="G200" s="208">
        <f t="shared" si="263"/>
        <v>202183</v>
      </c>
      <c r="H200" s="208">
        <f t="shared" si="334"/>
        <v>22689</v>
      </c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>
        <v>-674</v>
      </c>
      <c r="AB200" s="208"/>
      <c r="AC200" s="208"/>
      <c r="AD200" s="208"/>
      <c r="AE200" s="208">
        <v>7837</v>
      </c>
      <c r="AF200" s="208"/>
      <c r="AG200" s="208">
        <f>1403+14123</f>
        <v>15526</v>
      </c>
      <c r="AH200" s="208"/>
      <c r="AI200" s="208"/>
      <c r="AJ200" s="208"/>
      <c r="AK200" s="208"/>
      <c r="AL200" s="208"/>
      <c r="AM200" s="208">
        <v>181749</v>
      </c>
      <c r="AN200" s="208">
        <f t="shared" si="265"/>
        <v>161179</v>
      </c>
      <c r="AO200" s="208">
        <f t="shared" si="266"/>
        <v>-20570</v>
      </c>
      <c r="AP200" s="208">
        <v>3926</v>
      </c>
      <c r="AQ200" s="208"/>
      <c r="AR200" s="208"/>
      <c r="AS200" s="208"/>
      <c r="AT200" s="208"/>
      <c r="AU200" s="208"/>
      <c r="AV200" s="208">
        <v>-24496</v>
      </c>
      <c r="AW200" s="208"/>
      <c r="AX200" s="208"/>
      <c r="AY200" s="208"/>
      <c r="AZ200" s="208"/>
      <c r="BA200" s="208">
        <v>978</v>
      </c>
      <c r="BB200" s="208">
        <f t="shared" si="267"/>
        <v>890</v>
      </c>
      <c r="BC200" s="208">
        <f t="shared" si="268"/>
        <v>-88</v>
      </c>
      <c r="BD200" s="208">
        <v>10</v>
      </c>
      <c r="BE200" s="208"/>
      <c r="BF200" s="208"/>
      <c r="BG200" s="208"/>
      <c r="BH200" s="208"/>
      <c r="BI200" s="208"/>
      <c r="BJ200" s="208">
        <v>-98</v>
      </c>
      <c r="BK200" s="208"/>
      <c r="BL200" s="208"/>
      <c r="BM200" s="208"/>
      <c r="BN200" s="208"/>
      <c r="BO200" s="208">
        <v>0</v>
      </c>
      <c r="BP200" s="208">
        <f t="shared" si="269"/>
        <v>0</v>
      </c>
      <c r="BQ200" s="208">
        <f t="shared" si="270"/>
        <v>0</v>
      </c>
      <c r="BR200" s="208"/>
      <c r="BS200" s="208"/>
      <c r="BT200" s="208"/>
      <c r="BU200" s="208"/>
      <c r="BV200" s="208"/>
      <c r="BW200" s="208">
        <f t="shared" si="271"/>
        <v>0</v>
      </c>
      <c r="BX200" s="208">
        <f t="shared" si="335"/>
        <v>0</v>
      </c>
      <c r="BY200" s="208"/>
      <c r="BZ200" s="208"/>
      <c r="CA200" s="208"/>
      <c r="CB200" s="208"/>
      <c r="CC200" s="208"/>
      <c r="CD200" s="208"/>
      <c r="CE200" s="208"/>
      <c r="CF200" s="208"/>
      <c r="CG200" s="208"/>
      <c r="CH200" s="208"/>
      <c r="CI200" s="259"/>
      <c r="CJ200" s="54" t="s">
        <v>389</v>
      </c>
      <c r="CK200" s="57"/>
      <c r="CL200" s="230" t="s">
        <v>700</v>
      </c>
      <c r="CM200" s="10" t="s">
        <v>701</v>
      </c>
      <c r="CQ200" s="10" t="e">
        <f>D200-#REF!-AM200</f>
        <v>#REF!</v>
      </c>
      <c r="CR200" s="10" t="e">
        <f>D200-#REF!</f>
        <v>#REF!</v>
      </c>
      <c r="CS200" s="1" t="e">
        <f>F200-#REF!</f>
        <v>#REF!</v>
      </c>
    </row>
    <row r="201" spans="1:97" s="119" customFormat="1" x14ac:dyDescent="0.2">
      <c r="A201" s="75"/>
      <c r="B201" s="159"/>
      <c r="C201" s="255" t="s">
        <v>233</v>
      </c>
      <c r="D201" s="220">
        <f t="shared" si="333"/>
        <v>20080</v>
      </c>
      <c r="E201" s="208">
        <f t="shared" si="324"/>
        <v>15386</v>
      </c>
      <c r="F201" s="208">
        <v>20080</v>
      </c>
      <c r="G201" s="208">
        <f t="shared" si="263"/>
        <v>15386</v>
      </c>
      <c r="H201" s="208">
        <f t="shared" si="334"/>
        <v>-4694</v>
      </c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>
        <v>-1094</v>
      </c>
      <c r="AB201" s="208"/>
      <c r="AC201" s="208"/>
      <c r="AD201" s="208"/>
      <c r="AE201" s="208"/>
      <c r="AF201" s="208"/>
      <c r="AG201" s="208">
        <v>-3600</v>
      </c>
      <c r="AH201" s="208"/>
      <c r="AI201" s="208"/>
      <c r="AJ201" s="208"/>
      <c r="AK201" s="208"/>
      <c r="AL201" s="208"/>
      <c r="AM201" s="208">
        <v>0</v>
      </c>
      <c r="AN201" s="208">
        <f t="shared" si="265"/>
        <v>0</v>
      </c>
      <c r="AO201" s="208">
        <f t="shared" si="266"/>
        <v>0</v>
      </c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>
        <v>0</v>
      </c>
      <c r="BB201" s="208">
        <f t="shared" si="267"/>
        <v>0</v>
      </c>
      <c r="BC201" s="208">
        <f t="shared" si="268"/>
        <v>0</v>
      </c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208">
        <v>0</v>
      </c>
      <c r="BP201" s="208">
        <f t="shared" si="269"/>
        <v>0</v>
      </c>
      <c r="BQ201" s="208">
        <f t="shared" si="270"/>
        <v>0</v>
      </c>
      <c r="BR201" s="208"/>
      <c r="BS201" s="208"/>
      <c r="BT201" s="208"/>
      <c r="BU201" s="208"/>
      <c r="BV201" s="208"/>
      <c r="BW201" s="208">
        <f t="shared" si="271"/>
        <v>0</v>
      </c>
      <c r="BX201" s="208">
        <f t="shared" si="335"/>
        <v>0</v>
      </c>
      <c r="BY201" s="208"/>
      <c r="BZ201" s="208"/>
      <c r="CA201" s="208"/>
      <c r="CB201" s="208"/>
      <c r="CC201" s="208"/>
      <c r="CD201" s="208"/>
      <c r="CE201" s="208"/>
      <c r="CF201" s="208"/>
      <c r="CG201" s="208"/>
      <c r="CH201" s="208"/>
      <c r="CI201" s="259"/>
      <c r="CJ201" s="54" t="s">
        <v>472</v>
      </c>
      <c r="CK201" s="57"/>
      <c r="CL201" s="230" t="s">
        <v>698</v>
      </c>
      <c r="CM201" s="10" t="s">
        <v>699</v>
      </c>
      <c r="CQ201" s="10" t="e">
        <f>D201-#REF!-AM201</f>
        <v>#REF!</v>
      </c>
      <c r="CR201" s="10" t="e">
        <f>D201-#REF!</f>
        <v>#REF!</v>
      </c>
      <c r="CS201" s="119" t="e">
        <f>F201-#REF!</f>
        <v>#REF!</v>
      </c>
    </row>
    <row r="202" spans="1:97" ht="24" customHeight="1" x14ac:dyDescent="0.2">
      <c r="A202" s="75">
        <v>90009249206</v>
      </c>
      <c r="B202" s="158" t="s">
        <v>494</v>
      </c>
      <c r="C202" s="255" t="s">
        <v>222</v>
      </c>
      <c r="D202" s="220">
        <f t="shared" si="333"/>
        <v>651899</v>
      </c>
      <c r="E202" s="208">
        <f t="shared" si="324"/>
        <v>675599</v>
      </c>
      <c r="F202" s="208">
        <v>576215</v>
      </c>
      <c r="G202" s="208">
        <f t="shared" si="263"/>
        <v>598997</v>
      </c>
      <c r="H202" s="208">
        <f t="shared" si="334"/>
        <v>22782</v>
      </c>
      <c r="I202" s="208"/>
      <c r="J202" s="208"/>
      <c r="K202" s="208"/>
      <c r="L202" s="208"/>
      <c r="M202" s="208">
        <f>-183+1169</f>
        <v>986</v>
      </c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>
        <v>-1023</v>
      </c>
      <c r="AB202" s="208"/>
      <c r="AC202" s="208"/>
      <c r="AD202" s="208"/>
      <c r="AE202" s="208"/>
      <c r="AF202" s="208"/>
      <c r="AG202" s="208">
        <f>-3420+26239</f>
        <v>22819</v>
      </c>
      <c r="AH202" s="208"/>
      <c r="AI202" s="208"/>
      <c r="AJ202" s="208"/>
      <c r="AK202" s="208"/>
      <c r="AL202" s="208"/>
      <c r="AM202" s="208">
        <v>70756</v>
      </c>
      <c r="AN202" s="208">
        <f t="shared" si="265"/>
        <v>72388</v>
      </c>
      <c r="AO202" s="208">
        <f t="shared" si="266"/>
        <v>1632</v>
      </c>
      <c r="AP202" s="208"/>
      <c r="AQ202" s="208"/>
      <c r="AR202" s="208"/>
      <c r="AS202" s="208"/>
      <c r="AT202" s="208"/>
      <c r="AU202" s="208"/>
      <c r="AV202" s="208">
        <v>1632</v>
      </c>
      <c r="AW202" s="208"/>
      <c r="AX202" s="208"/>
      <c r="AY202" s="208"/>
      <c r="AZ202" s="208"/>
      <c r="BA202" s="208">
        <v>4928</v>
      </c>
      <c r="BB202" s="208">
        <f t="shared" si="267"/>
        <v>4214</v>
      </c>
      <c r="BC202" s="208">
        <f t="shared" si="268"/>
        <v>-714</v>
      </c>
      <c r="BD202" s="208">
        <v>282</v>
      </c>
      <c r="BE202" s="208"/>
      <c r="BF202" s="208"/>
      <c r="BG202" s="208">
        <v>-722</v>
      </c>
      <c r="BH202" s="208"/>
      <c r="BI202" s="208"/>
      <c r="BJ202" s="208">
        <v>-274</v>
      </c>
      <c r="BK202" s="208"/>
      <c r="BL202" s="208"/>
      <c r="BM202" s="208"/>
      <c r="BN202" s="208"/>
      <c r="BO202" s="208">
        <v>0</v>
      </c>
      <c r="BP202" s="208">
        <f t="shared" si="269"/>
        <v>0</v>
      </c>
      <c r="BQ202" s="208">
        <f t="shared" si="270"/>
        <v>0</v>
      </c>
      <c r="BR202" s="208"/>
      <c r="BS202" s="208"/>
      <c r="BT202" s="208"/>
      <c r="BU202" s="208"/>
      <c r="BV202" s="208"/>
      <c r="BW202" s="208">
        <f t="shared" si="271"/>
        <v>0</v>
      </c>
      <c r="BX202" s="208">
        <f t="shared" si="335"/>
        <v>0</v>
      </c>
      <c r="BY202" s="208"/>
      <c r="BZ202" s="208"/>
      <c r="CA202" s="208"/>
      <c r="CB202" s="208"/>
      <c r="CC202" s="208"/>
      <c r="CD202" s="208"/>
      <c r="CE202" s="208"/>
      <c r="CF202" s="208"/>
      <c r="CG202" s="208"/>
      <c r="CH202" s="208"/>
      <c r="CI202" s="259"/>
      <c r="CJ202" s="54" t="s">
        <v>390</v>
      </c>
      <c r="CK202" s="57"/>
      <c r="CL202" s="230" t="s">
        <v>700</v>
      </c>
      <c r="CM202" s="10" t="s">
        <v>701</v>
      </c>
      <c r="CQ202" s="10" t="e">
        <f>D202-#REF!-AM202</f>
        <v>#REF!</v>
      </c>
      <c r="CR202" s="10" t="e">
        <f>D202-#REF!</f>
        <v>#REF!</v>
      </c>
      <c r="CS202" s="1" t="e">
        <f>F202-#REF!</f>
        <v>#REF!</v>
      </c>
    </row>
    <row r="203" spans="1:97" x14ac:dyDescent="0.2">
      <c r="A203" s="75"/>
      <c r="B203" s="159"/>
      <c r="C203" s="255" t="s">
        <v>233</v>
      </c>
      <c r="D203" s="220">
        <f t="shared" si="333"/>
        <v>72748</v>
      </c>
      <c r="E203" s="208">
        <f t="shared" si="324"/>
        <v>59095</v>
      </c>
      <c r="F203" s="208">
        <v>72748</v>
      </c>
      <c r="G203" s="208">
        <f t="shared" si="263"/>
        <v>59095</v>
      </c>
      <c r="H203" s="208">
        <f t="shared" si="334"/>
        <v>-13653</v>
      </c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>
        <v>-13653</v>
      </c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>
        <v>0</v>
      </c>
      <c r="AN203" s="208">
        <f t="shared" si="265"/>
        <v>0</v>
      </c>
      <c r="AO203" s="208">
        <f t="shared" si="266"/>
        <v>0</v>
      </c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>
        <v>0</v>
      </c>
      <c r="BB203" s="208">
        <f t="shared" si="267"/>
        <v>0</v>
      </c>
      <c r="BC203" s="208">
        <f t="shared" si="268"/>
        <v>0</v>
      </c>
      <c r="BD203" s="208"/>
      <c r="BE203" s="208"/>
      <c r="BF203" s="208"/>
      <c r="BG203" s="208"/>
      <c r="BH203" s="208"/>
      <c r="BI203" s="208"/>
      <c r="BJ203" s="208"/>
      <c r="BK203" s="208"/>
      <c r="BL203" s="208"/>
      <c r="BM203" s="208"/>
      <c r="BN203" s="208"/>
      <c r="BO203" s="208">
        <v>0</v>
      </c>
      <c r="BP203" s="208">
        <f t="shared" si="269"/>
        <v>0</v>
      </c>
      <c r="BQ203" s="208">
        <f t="shared" si="270"/>
        <v>0</v>
      </c>
      <c r="BR203" s="208"/>
      <c r="BS203" s="208"/>
      <c r="BT203" s="208"/>
      <c r="BU203" s="208"/>
      <c r="BV203" s="208"/>
      <c r="BW203" s="208">
        <f t="shared" si="271"/>
        <v>0</v>
      </c>
      <c r="BX203" s="208">
        <f t="shared" si="335"/>
        <v>0</v>
      </c>
      <c r="BY203" s="208"/>
      <c r="BZ203" s="208"/>
      <c r="CA203" s="208"/>
      <c r="CB203" s="208"/>
      <c r="CC203" s="208"/>
      <c r="CD203" s="208"/>
      <c r="CE203" s="208"/>
      <c r="CF203" s="208"/>
      <c r="CG203" s="208"/>
      <c r="CH203" s="208"/>
      <c r="CI203" s="259"/>
      <c r="CJ203" s="54" t="s">
        <v>391</v>
      </c>
      <c r="CK203" s="57"/>
      <c r="CL203" s="230" t="s">
        <v>698</v>
      </c>
      <c r="CM203" s="10" t="s">
        <v>699</v>
      </c>
      <c r="CQ203" s="10" t="e">
        <f>D203-#REF!-AM203</f>
        <v>#REF!</v>
      </c>
      <c r="CR203" s="10" t="e">
        <f>D203-#REF!</f>
        <v>#REF!</v>
      </c>
      <c r="CS203" s="1" t="e">
        <f>F203-#REF!</f>
        <v>#REF!</v>
      </c>
    </row>
    <row r="204" spans="1:97" s="130" customFormat="1" x14ac:dyDescent="0.2">
      <c r="A204" s="75"/>
      <c r="B204" s="159"/>
      <c r="C204" s="255" t="s">
        <v>675</v>
      </c>
      <c r="D204" s="220">
        <f t="shared" si="333"/>
        <v>7376</v>
      </c>
      <c r="E204" s="208">
        <f t="shared" si="324"/>
        <v>8456</v>
      </c>
      <c r="F204" s="208">
        <v>7376</v>
      </c>
      <c r="G204" s="208">
        <f t="shared" si="263"/>
        <v>8456</v>
      </c>
      <c r="H204" s="208">
        <f t="shared" si="334"/>
        <v>1080</v>
      </c>
      <c r="I204" s="208"/>
      <c r="J204" s="208"/>
      <c r="K204" s="208"/>
      <c r="L204" s="208"/>
      <c r="M204" s="208">
        <v>1080</v>
      </c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>
        <v>0</v>
      </c>
      <c r="AN204" s="208">
        <f t="shared" si="265"/>
        <v>0</v>
      </c>
      <c r="AO204" s="208">
        <f t="shared" si="266"/>
        <v>0</v>
      </c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>
        <v>0</v>
      </c>
      <c r="BB204" s="208">
        <f t="shared" si="267"/>
        <v>0</v>
      </c>
      <c r="BC204" s="208">
        <f t="shared" si="268"/>
        <v>0</v>
      </c>
      <c r="BD204" s="208"/>
      <c r="BE204" s="208"/>
      <c r="BF204" s="208"/>
      <c r="BG204" s="208"/>
      <c r="BH204" s="208"/>
      <c r="BI204" s="208"/>
      <c r="BJ204" s="208"/>
      <c r="BK204" s="208"/>
      <c r="BL204" s="208"/>
      <c r="BM204" s="208"/>
      <c r="BN204" s="208"/>
      <c r="BO204" s="208">
        <v>0</v>
      </c>
      <c r="BP204" s="208">
        <f t="shared" si="269"/>
        <v>0</v>
      </c>
      <c r="BQ204" s="208">
        <f t="shared" si="270"/>
        <v>0</v>
      </c>
      <c r="BR204" s="208"/>
      <c r="BS204" s="208"/>
      <c r="BT204" s="208"/>
      <c r="BU204" s="208"/>
      <c r="BV204" s="208"/>
      <c r="BW204" s="208">
        <f t="shared" si="271"/>
        <v>0</v>
      </c>
      <c r="BX204" s="208">
        <f t="shared" si="335"/>
        <v>0</v>
      </c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59"/>
      <c r="CJ204" s="54" t="s">
        <v>676</v>
      </c>
      <c r="CK204" s="57"/>
      <c r="CL204" s="230" t="s">
        <v>689</v>
      </c>
      <c r="CM204" s="230" t="s">
        <v>689</v>
      </c>
      <c r="CQ204" s="10" t="e">
        <f>D204-#REF!-AM204</f>
        <v>#REF!</v>
      </c>
      <c r="CR204" s="10" t="e">
        <f>D204-#REF!</f>
        <v>#REF!</v>
      </c>
      <c r="CS204" s="130" t="e">
        <f>F204-#REF!</f>
        <v>#REF!</v>
      </c>
    </row>
    <row r="205" spans="1:97" s="130" customFormat="1" ht="24" x14ac:dyDescent="0.2">
      <c r="A205" s="75"/>
      <c r="B205" s="159"/>
      <c r="C205" s="255" t="s">
        <v>678</v>
      </c>
      <c r="D205" s="220">
        <f t="shared" si="333"/>
        <v>8854</v>
      </c>
      <c r="E205" s="208">
        <f t="shared" si="324"/>
        <v>9607</v>
      </c>
      <c r="F205" s="208">
        <v>8854</v>
      </c>
      <c r="G205" s="208">
        <f t="shared" ref="G205:G233" si="336">F205+H205</f>
        <v>9607</v>
      </c>
      <c r="H205" s="208">
        <f t="shared" si="334"/>
        <v>753</v>
      </c>
      <c r="I205" s="208"/>
      <c r="J205" s="208"/>
      <c r="K205" s="208"/>
      <c r="L205" s="208"/>
      <c r="M205" s="208">
        <v>753</v>
      </c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>
        <v>0</v>
      </c>
      <c r="AN205" s="208">
        <f t="shared" ref="AN205:AN233" si="337">AM205+AO205</f>
        <v>0</v>
      </c>
      <c r="AO205" s="208">
        <f t="shared" ref="AO205:AO233" si="338">SUM(AP205:AZ205)</f>
        <v>0</v>
      </c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>
        <v>0</v>
      </c>
      <c r="BB205" s="208">
        <f t="shared" ref="BB205:BB233" si="339">BA205+BC205</f>
        <v>0</v>
      </c>
      <c r="BC205" s="208">
        <f t="shared" ref="BC205:BC233" si="340">SUM(BD205:BN205)</f>
        <v>0</v>
      </c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>
        <v>0</v>
      </c>
      <c r="BP205" s="208">
        <f t="shared" ref="BP205:BP233" si="341">BO205+BQ205</f>
        <v>0</v>
      </c>
      <c r="BQ205" s="208">
        <f t="shared" ref="BQ205:BQ233" si="342">SUM(BR205:BU205)</f>
        <v>0</v>
      </c>
      <c r="BR205" s="208"/>
      <c r="BS205" s="208"/>
      <c r="BT205" s="208"/>
      <c r="BU205" s="208"/>
      <c r="BV205" s="208"/>
      <c r="BW205" s="208">
        <f t="shared" ref="BW205:BW233" si="343">BV205+BX205</f>
        <v>0</v>
      </c>
      <c r="BX205" s="208">
        <f t="shared" si="335"/>
        <v>0</v>
      </c>
      <c r="BY205" s="208"/>
      <c r="BZ205" s="208"/>
      <c r="CA205" s="208"/>
      <c r="CB205" s="208"/>
      <c r="CC205" s="208"/>
      <c r="CD205" s="208"/>
      <c r="CE205" s="208"/>
      <c r="CF205" s="208"/>
      <c r="CG205" s="208"/>
      <c r="CH205" s="208"/>
      <c r="CI205" s="259"/>
      <c r="CJ205" s="54" t="s">
        <v>679</v>
      </c>
      <c r="CK205" s="57"/>
      <c r="CL205" s="230" t="s">
        <v>689</v>
      </c>
      <c r="CM205" s="230" t="s">
        <v>689</v>
      </c>
      <c r="CQ205" s="10" t="e">
        <f>D205-#REF!-AM205</f>
        <v>#REF!</v>
      </c>
      <c r="CR205" s="10" t="e">
        <f>D205-#REF!</f>
        <v>#REF!</v>
      </c>
      <c r="CS205" s="130" t="e">
        <f>F205-#REF!</f>
        <v>#REF!</v>
      </c>
    </row>
    <row r="206" spans="1:97" ht="24" customHeight="1" x14ac:dyDescent="0.2">
      <c r="A206" s="75">
        <v>90009251357</v>
      </c>
      <c r="B206" s="158" t="s">
        <v>495</v>
      </c>
      <c r="C206" s="255" t="s">
        <v>222</v>
      </c>
      <c r="D206" s="220">
        <f t="shared" si="333"/>
        <v>409722</v>
      </c>
      <c r="E206" s="208">
        <f t="shared" si="324"/>
        <v>423459</v>
      </c>
      <c r="F206" s="208">
        <v>364902</v>
      </c>
      <c r="G206" s="208">
        <f t="shared" si="336"/>
        <v>377789</v>
      </c>
      <c r="H206" s="208">
        <f t="shared" si="334"/>
        <v>12887</v>
      </c>
      <c r="I206" s="208"/>
      <c r="J206" s="208"/>
      <c r="K206" s="208"/>
      <c r="L206" s="208"/>
      <c r="M206" s="208">
        <v>-22</v>
      </c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>
        <f>-4121+17030</f>
        <v>12909</v>
      </c>
      <c r="AH206" s="208"/>
      <c r="AI206" s="208"/>
      <c r="AJ206" s="208"/>
      <c r="AK206" s="208"/>
      <c r="AL206" s="208"/>
      <c r="AM206" s="208">
        <v>44820</v>
      </c>
      <c r="AN206" s="208">
        <f t="shared" si="337"/>
        <v>45648</v>
      </c>
      <c r="AO206" s="208">
        <f t="shared" si="338"/>
        <v>828</v>
      </c>
      <c r="AP206" s="208"/>
      <c r="AQ206" s="208"/>
      <c r="AR206" s="208"/>
      <c r="AS206" s="208"/>
      <c r="AT206" s="208"/>
      <c r="AU206" s="208"/>
      <c r="AV206" s="208">
        <v>828</v>
      </c>
      <c r="AW206" s="208"/>
      <c r="AX206" s="208"/>
      <c r="AY206" s="208"/>
      <c r="AZ206" s="208"/>
      <c r="BA206" s="208">
        <v>0</v>
      </c>
      <c r="BB206" s="208">
        <f t="shared" si="339"/>
        <v>22</v>
      </c>
      <c r="BC206" s="208">
        <f t="shared" si="340"/>
        <v>22</v>
      </c>
      <c r="BD206" s="208">
        <v>22</v>
      </c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>
        <v>0</v>
      </c>
      <c r="BP206" s="208">
        <f t="shared" si="341"/>
        <v>0</v>
      </c>
      <c r="BQ206" s="208">
        <f t="shared" si="342"/>
        <v>0</v>
      </c>
      <c r="BR206" s="208"/>
      <c r="BS206" s="208"/>
      <c r="BT206" s="208"/>
      <c r="BU206" s="208"/>
      <c r="BV206" s="208"/>
      <c r="BW206" s="208">
        <f t="shared" si="343"/>
        <v>0</v>
      </c>
      <c r="BX206" s="208">
        <f t="shared" si="335"/>
        <v>0</v>
      </c>
      <c r="BY206" s="208"/>
      <c r="BZ206" s="208"/>
      <c r="CA206" s="208"/>
      <c r="CB206" s="208"/>
      <c r="CC206" s="208"/>
      <c r="CD206" s="208"/>
      <c r="CE206" s="208"/>
      <c r="CF206" s="208"/>
      <c r="CG206" s="208"/>
      <c r="CH206" s="208"/>
      <c r="CI206" s="259"/>
      <c r="CJ206" s="54" t="s">
        <v>392</v>
      </c>
      <c r="CK206" s="57"/>
      <c r="CL206" s="230" t="s">
        <v>700</v>
      </c>
      <c r="CM206" s="10" t="s">
        <v>701</v>
      </c>
      <c r="CQ206" s="10" t="e">
        <f>D206-#REF!-AM206</f>
        <v>#REF!</v>
      </c>
      <c r="CR206" s="10" t="e">
        <f>D206-#REF!</f>
        <v>#REF!</v>
      </c>
      <c r="CS206" s="1" t="e">
        <f>F206-#REF!</f>
        <v>#REF!</v>
      </c>
    </row>
    <row r="207" spans="1:97" ht="12.75" x14ac:dyDescent="0.2">
      <c r="A207" s="75"/>
      <c r="B207" s="160"/>
      <c r="C207" s="255" t="s">
        <v>233</v>
      </c>
      <c r="D207" s="220">
        <f t="shared" si="333"/>
        <v>38184</v>
      </c>
      <c r="E207" s="208">
        <f t="shared" si="324"/>
        <v>36184</v>
      </c>
      <c r="F207" s="208">
        <v>38184</v>
      </c>
      <c r="G207" s="208">
        <f t="shared" si="336"/>
        <v>36184</v>
      </c>
      <c r="H207" s="208">
        <f t="shared" si="334"/>
        <v>-2000</v>
      </c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>
        <v>-2000</v>
      </c>
      <c r="AH207" s="208"/>
      <c r="AI207" s="208"/>
      <c r="AJ207" s="208"/>
      <c r="AK207" s="208"/>
      <c r="AL207" s="208"/>
      <c r="AM207" s="208">
        <v>0</v>
      </c>
      <c r="AN207" s="208">
        <f t="shared" si="337"/>
        <v>0</v>
      </c>
      <c r="AO207" s="208">
        <f t="shared" si="338"/>
        <v>0</v>
      </c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>
        <v>0</v>
      </c>
      <c r="BB207" s="208">
        <f>BA207+BC207</f>
        <v>0</v>
      </c>
      <c r="BC207" s="208">
        <f>SUM(BD207:BN207)</f>
        <v>0</v>
      </c>
      <c r="BD207" s="208"/>
      <c r="BE207" s="208"/>
      <c r="BF207" s="208"/>
      <c r="BG207" s="208"/>
      <c r="BH207" s="208"/>
      <c r="BI207" s="208"/>
      <c r="BJ207" s="208"/>
      <c r="BK207" s="208"/>
      <c r="BL207" s="208"/>
      <c r="BM207" s="208"/>
      <c r="BN207" s="208"/>
      <c r="BO207" s="208">
        <v>0</v>
      </c>
      <c r="BP207" s="208">
        <f>BO207+BQ207</f>
        <v>0</v>
      </c>
      <c r="BQ207" s="208">
        <f>SUM(BR207:BU207)</f>
        <v>0</v>
      </c>
      <c r="BR207" s="208"/>
      <c r="BS207" s="208"/>
      <c r="BT207" s="208"/>
      <c r="BU207" s="208"/>
      <c r="BV207" s="208"/>
      <c r="BW207" s="208">
        <f>BV207+BX207</f>
        <v>0</v>
      </c>
      <c r="BX207" s="208">
        <f t="shared" si="335"/>
        <v>0</v>
      </c>
      <c r="BY207" s="208"/>
      <c r="BZ207" s="208"/>
      <c r="CA207" s="208"/>
      <c r="CB207" s="208"/>
      <c r="CC207" s="208"/>
      <c r="CD207" s="208"/>
      <c r="CE207" s="208"/>
      <c r="CF207" s="208"/>
      <c r="CG207" s="208"/>
      <c r="CH207" s="208"/>
      <c r="CI207" s="259"/>
      <c r="CJ207" s="54" t="s">
        <v>393</v>
      </c>
      <c r="CK207" s="57"/>
      <c r="CL207" s="230" t="s">
        <v>698</v>
      </c>
      <c r="CM207" s="10" t="s">
        <v>699</v>
      </c>
      <c r="CQ207" s="10" t="e">
        <f>D207-#REF!-AM207</f>
        <v>#REF!</v>
      </c>
      <c r="CR207" s="10" t="e">
        <f>D207-#REF!</f>
        <v>#REF!</v>
      </c>
      <c r="CS207" s="1" t="e">
        <f>F207-#REF!</f>
        <v>#REF!</v>
      </c>
    </row>
    <row r="208" spans="1:97" s="130" customFormat="1" ht="26.25" customHeight="1" x14ac:dyDescent="0.2">
      <c r="A208" s="425">
        <v>90000051699</v>
      </c>
      <c r="B208" s="426" t="s">
        <v>858</v>
      </c>
      <c r="C208" s="405" t="s">
        <v>222</v>
      </c>
      <c r="D208" s="220">
        <f t="shared" si="333"/>
        <v>0</v>
      </c>
      <c r="E208" s="208">
        <f t="shared" si="324"/>
        <v>293171</v>
      </c>
      <c r="F208" s="208"/>
      <c r="G208" s="208">
        <f t="shared" si="336"/>
        <v>265421</v>
      </c>
      <c r="H208" s="208">
        <f t="shared" si="334"/>
        <v>265421</v>
      </c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>
        <v>308568</v>
      </c>
      <c r="AC208" s="208"/>
      <c r="AD208" s="208"/>
      <c r="AE208" s="208"/>
      <c r="AF208" s="208"/>
      <c r="AG208" s="208">
        <f>-67583+24436</f>
        <v>-43147</v>
      </c>
      <c r="AH208" s="208"/>
      <c r="AI208" s="208"/>
      <c r="AJ208" s="208"/>
      <c r="AK208" s="208"/>
      <c r="AL208" s="208"/>
      <c r="AM208" s="208"/>
      <c r="AN208" s="208">
        <f t="shared" si="337"/>
        <v>22603</v>
      </c>
      <c r="AO208" s="208">
        <f t="shared" si="338"/>
        <v>22603</v>
      </c>
      <c r="AP208" s="208"/>
      <c r="AQ208" s="208"/>
      <c r="AR208" s="208"/>
      <c r="AS208" s="208"/>
      <c r="AT208" s="208"/>
      <c r="AU208" s="208">
        <v>69531</v>
      </c>
      <c r="AV208" s="208">
        <f>2016-45096-3848</f>
        <v>-46928</v>
      </c>
      <c r="AW208" s="208"/>
      <c r="AX208" s="208"/>
      <c r="AY208" s="208"/>
      <c r="AZ208" s="208"/>
      <c r="BA208" s="208"/>
      <c r="BB208" s="208">
        <f t="shared" ref="BB208:BB209" si="344">BA208+BC208</f>
        <v>5147</v>
      </c>
      <c r="BC208" s="208">
        <f t="shared" ref="BC208:BC209" si="345">SUM(BD208:BN208)</f>
        <v>5147</v>
      </c>
      <c r="BD208" s="208"/>
      <c r="BE208" s="208"/>
      <c r="BF208" s="208"/>
      <c r="BG208" s="208"/>
      <c r="BH208" s="208">
        <v>15331</v>
      </c>
      <c r="BI208" s="208"/>
      <c r="BJ208" s="208">
        <v>-10184</v>
      </c>
      <c r="BK208" s="208"/>
      <c r="BL208" s="208"/>
      <c r="BM208" s="208"/>
      <c r="BN208" s="208"/>
      <c r="BO208" s="208"/>
      <c r="BP208" s="208">
        <f t="shared" ref="BP208:BP209" si="346">BO208+BQ208</f>
        <v>0</v>
      </c>
      <c r="BQ208" s="208">
        <f t="shared" ref="BQ208:BQ209" si="347">SUM(BR208:BU208)</f>
        <v>0</v>
      </c>
      <c r="BR208" s="208"/>
      <c r="BS208" s="208"/>
      <c r="BT208" s="208"/>
      <c r="BU208" s="208"/>
      <c r="BV208" s="208"/>
      <c r="BW208" s="208">
        <f t="shared" ref="BW208:BW209" si="348">BV208+BX208</f>
        <v>0</v>
      </c>
      <c r="BX208" s="208">
        <f t="shared" si="335"/>
        <v>0</v>
      </c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59"/>
      <c r="CJ208" s="54" t="s">
        <v>859</v>
      </c>
      <c r="CK208" s="57"/>
      <c r="CL208" s="230"/>
      <c r="CM208" s="10"/>
      <c r="CQ208" s="10"/>
      <c r="CR208" s="10"/>
    </row>
    <row r="209" spans="1:97" s="130" customFormat="1" ht="12.75" customHeight="1" x14ac:dyDescent="0.2">
      <c r="A209" s="425"/>
      <c r="B209" s="426"/>
      <c r="C209" s="405" t="s">
        <v>233</v>
      </c>
      <c r="D209" s="220">
        <f t="shared" si="333"/>
        <v>0</v>
      </c>
      <c r="E209" s="208">
        <f t="shared" si="324"/>
        <v>14527</v>
      </c>
      <c r="F209" s="208"/>
      <c r="G209" s="208">
        <f t="shared" si="336"/>
        <v>14527</v>
      </c>
      <c r="H209" s="208">
        <f t="shared" si="334"/>
        <v>14527</v>
      </c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>
        <v>34527</v>
      </c>
      <c r="AC209" s="208"/>
      <c r="AD209" s="208"/>
      <c r="AE209" s="208"/>
      <c r="AF209" s="208"/>
      <c r="AG209" s="208">
        <v>-20000</v>
      </c>
      <c r="AH209" s="208"/>
      <c r="AI209" s="208"/>
      <c r="AJ209" s="208"/>
      <c r="AK209" s="208"/>
      <c r="AL209" s="208"/>
      <c r="AM209" s="208"/>
      <c r="AN209" s="208">
        <f t="shared" si="337"/>
        <v>0</v>
      </c>
      <c r="AO209" s="208">
        <f t="shared" si="338"/>
        <v>0</v>
      </c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>
        <f t="shared" si="344"/>
        <v>0</v>
      </c>
      <c r="BC209" s="208">
        <f t="shared" si="345"/>
        <v>0</v>
      </c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8">
        <f t="shared" si="346"/>
        <v>0</v>
      </c>
      <c r="BQ209" s="208">
        <f t="shared" si="347"/>
        <v>0</v>
      </c>
      <c r="BR209" s="208"/>
      <c r="BS209" s="208"/>
      <c r="BT209" s="208"/>
      <c r="BU209" s="208"/>
      <c r="BV209" s="208"/>
      <c r="BW209" s="208">
        <f t="shared" si="348"/>
        <v>0</v>
      </c>
      <c r="BX209" s="208">
        <f t="shared" si="335"/>
        <v>0</v>
      </c>
      <c r="BY209" s="208"/>
      <c r="BZ209" s="208"/>
      <c r="CA209" s="208"/>
      <c r="CB209" s="208"/>
      <c r="CC209" s="208"/>
      <c r="CD209" s="208"/>
      <c r="CE209" s="208"/>
      <c r="CF209" s="208"/>
      <c r="CG209" s="208"/>
      <c r="CH209" s="208"/>
      <c r="CI209" s="259"/>
      <c r="CJ209" s="54" t="s">
        <v>860</v>
      </c>
      <c r="CK209" s="57"/>
      <c r="CL209" s="230"/>
      <c r="CM209" s="10"/>
      <c r="CQ209" s="10"/>
      <c r="CR209" s="10"/>
    </row>
    <row r="210" spans="1:97" ht="24" customHeight="1" x14ac:dyDescent="0.2">
      <c r="A210" s="75">
        <v>90000051542</v>
      </c>
      <c r="B210" s="158" t="s">
        <v>20</v>
      </c>
      <c r="C210" s="255" t="s">
        <v>221</v>
      </c>
      <c r="D210" s="220">
        <f t="shared" si="333"/>
        <v>1650894</v>
      </c>
      <c r="E210" s="208">
        <f t="shared" si="324"/>
        <v>1725660</v>
      </c>
      <c r="F210" s="208">
        <v>495262</v>
      </c>
      <c r="G210" s="208">
        <f t="shared" si="336"/>
        <v>525345</v>
      </c>
      <c r="H210" s="208">
        <f t="shared" si="334"/>
        <v>30083</v>
      </c>
      <c r="I210" s="208"/>
      <c r="J210" s="208"/>
      <c r="K210" s="208"/>
      <c r="L210" s="208"/>
      <c r="M210" s="208">
        <v>-4624</v>
      </c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>
        <f>-3399+12041+5607</f>
        <v>14249</v>
      </c>
      <c r="AB210" s="208"/>
      <c r="AC210" s="208"/>
      <c r="AD210" s="208"/>
      <c r="AE210" s="208"/>
      <c r="AF210" s="208"/>
      <c r="AG210" s="208">
        <f>-11694+32152</f>
        <v>20458</v>
      </c>
      <c r="AH210" s="208"/>
      <c r="AI210" s="208"/>
      <c r="AJ210" s="208"/>
      <c r="AK210" s="208"/>
      <c r="AL210" s="208"/>
      <c r="AM210" s="208">
        <v>1122793</v>
      </c>
      <c r="AN210" s="208">
        <f t="shared" si="337"/>
        <v>1164591</v>
      </c>
      <c r="AO210" s="208">
        <f t="shared" si="338"/>
        <v>41798</v>
      </c>
      <c r="AP210" s="208"/>
      <c r="AQ210" s="208"/>
      <c r="AR210" s="208">
        <v>-3792</v>
      </c>
      <c r="AS210" s="208"/>
      <c r="AT210" s="208">
        <v>-475</v>
      </c>
      <c r="AU210" s="208"/>
      <c r="AV210" s="208">
        <f>54081-8016</f>
        <v>46065</v>
      </c>
      <c r="AW210" s="208"/>
      <c r="AX210" s="208"/>
      <c r="AY210" s="208"/>
      <c r="AZ210" s="208"/>
      <c r="BA210" s="208">
        <v>32839</v>
      </c>
      <c r="BB210" s="208">
        <f t="shared" si="339"/>
        <v>35024</v>
      </c>
      <c r="BC210" s="208">
        <f t="shared" si="340"/>
        <v>2185</v>
      </c>
      <c r="BD210" s="208">
        <v>4992</v>
      </c>
      <c r="BE210" s="208"/>
      <c r="BF210" s="208"/>
      <c r="BG210" s="208">
        <v>-6430</v>
      </c>
      <c r="BH210" s="208"/>
      <c r="BI210" s="208"/>
      <c r="BJ210" s="208">
        <v>3623</v>
      </c>
      <c r="BK210" s="208"/>
      <c r="BL210" s="208"/>
      <c r="BM210" s="208"/>
      <c r="BN210" s="208"/>
      <c r="BO210" s="208">
        <v>0</v>
      </c>
      <c r="BP210" s="208">
        <f t="shared" si="341"/>
        <v>700</v>
      </c>
      <c r="BQ210" s="208">
        <f t="shared" si="342"/>
        <v>700</v>
      </c>
      <c r="BR210" s="208">
        <v>700</v>
      </c>
      <c r="BS210" s="208"/>
      <c r="BT210" s="208"/>
      <c r="BU210" s="208"/>
      <c r="BV210" s="208"/>
      <c r="BW210" s="208">
        <f t="shared" si="343"/>
        <v>0</v>
      </c>
      <c r="BX210" s="208">
        <f t="shared" si="335"/>
        <v>0</v>
      </c>
      <c r="BY210" s="208"/>
      <c r="BZ210" s="208"/>
      <c r="CA210" s="208"/>
      <c r="CB210" s="208"/>
      <c r="CC210" s="208"/>
      <c r="CD210" s="208"/>
      <c r="CE210" s="208"/>
      <c r="CF210" s="208"/>
      <c r="CG210" s="208"/>
      <c r="CH210" s="208"/>
      <c r="CI210" s="259"/>
      <c r="CJ210" s="54" t="s">
        <v>394</v>
      </c>
      <c r="CK210" s="57"/>
      <c r="CL210" s="230" t="s">
        <v>696</v>
      </c>
      <c r="CM210" s="10" t="s">
        <v>697</v>
      </c>
      <c r="CQ210" s="10" t="e">
        <f>D210-#REF!-AM210</f>
        <v>#REF!</v>
      </c>
      <c r="CR210" s="10" t="e">
        <f>D210-#REF!</f>
        <v>#REF!</v>
      </c>
      <c r="CS210" s="1" t="e">
        <f>F210-#REF!</f>
        <v>#REF!</v>
      </c>
    </row>
    <row r="211" spans="1:97" x14ac:dyDescent="0.2">
      <c r="A211" s="75"/>
      <c r="B211" s="159"/>
      <c r="C211" s="255" t="s">
        <v>233</v>
      </c>
      <c r="D211" s="220">
        <f t="shared" si="333"/>
        <v>213725</v>
      </c>
      <c r="E211" s="208">
        <f t="shared" si="324"/>
        <v>168852</v>
      </c>
      <c r="F211" s="208">
        <v>187459</v>
      </c>
      <c r="G211" s="208">
        <f t="shared" si="336"/>
        <v>145511</v>
      </c>
      <c r="H211" s="208">
        <f t="shared" si="334"/>
        <v>-41948</v>
      </c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>
        <v>-41948</v>
      </c>
      <c r="AH211" s="208"/>
      <c r="AI211" s="208"/>
      <c r="AJ211" s="208"/>
      <c r="AK211" s="208"/>
      <c r="AL211" s="208"/>
      <c r="AM211" s="208">
        <v>26266</v>
      </c>
      <c r="AN211" s="208">
        <f t="shared" si="337"/>
        <v>23341</v>
      </c>
      <c r="AO211" s="208">
        <f t="shared" si="338"/>
        <v>-2925</v>
      </c>
      <c r="AP211" s="208">
        <v>1</v>
      </c>
      <c r="AQ211" s="208">
        <v>-11000</v>
      </c>
      <c r="AR211" s="208"/>
      <c r="AS211" s="208"/>
      <c r="AT211" s="208"/>
      <c r="AU211" s="208"/>
      <c r="AV211" s="208">
        <v>8074</v>
      </c>
      <c r="AW211" s="208"/>
      <c r="AX211" s="208"/>
      <c r="AY211" s="208"/>
      <c r="AZ211" s="208"/>
      <c r="BA211" s="208">
        <v>0</v>
      </c>
      <c r="BB211" s="208">
        <f t="shared" si="339"/>
        <v>0</v>
      </c>
      <c r="BC211" s="208">
        <f t="shared" si="340"/>
        <v>0</v>
      </c>
      <c r="BD211" s="208"/>
      <c r="BE211" s="208"/>
      <c r="BF211" s="208"/>
      <c r="BG211" s="208"/>
      <c r="BH211" s="208"/>
      <c r="BI211" s="208"/>
      <c r="BJ211" s="208"/>
      <c r="BK211" s="208"/>
      <c r="BL211" s="208"/>
      <c r="BM211" s="208"/>
      <c r="BN211" s="208"/>
      <c r="BO211" s="208">
        <v>0</v>
      </c>
      <c r="BP211" s="208">
        <f t="shared" si="341"/>
        <v>0</v>
      </c>
      <c r="BQ211" s="208">
        <f t="shared" si="342"/>
        <v>0</v>
      </c>
      <c r="BR211" s="208"/>
      <c r="BS211" s="208"/>
      <c r="BT211" s="208"/>
      <c r="BU211" s="208"/>
      <c r="BV211" s="208"/>
      <c r="BW211" s="208">
        <f t="shared" si="343"/>
        <v>0</v>
      </c>
      <c r="BX211" s="208">
        <f t="shared" si="335"/>
        <v>0</v>
      </c>
      <c r="BY211" s="208"/>
      <c r="BZ211" s="208"/>
      <c r="CA211" s="208"/>
      <c r="CB211" s="208"/>
      <c r="CC211" s="208"/>
      <c r="CD211" s="208"/>
      <c r="CE211" s="208"/>
      <c r="CF211" s="208"/>
      <c r="CG211" s="208"/>
      <c r="CH211" s="208"/>
      <c r="CI211" s="259"/>
      <c r="CJ211" s="54" t="s">
        <v>395</v>
      </c>
      <c r="CK211" s="57"/>
      <c r="CL211" s="230" t="s">
        <v>698</v>
      </c>
      <c r="CM211" s="10" t="s">
        <v>699</v>
      </c>
      <c r="CQ211" s="10" t="e">
        <f>D211-#REF!-AM211</f>
        <v>#REF!</v>
      </c>
      <c r="CR211" s="10" t="e">
        <f>D211-#REF!</f>
        <v>#REF!</v>
      </c>
      <c r="CS211" s="1" t="e">
        <f>F211-#REF!</f>
        <v>#REF!</v>
      </c>
    </row>
    <row r="212" spans="1:97" s="130" customFormat="1" x14ac:dyDescent="0.2">
      <c r="A212" s="75"/>
      <c r="B212" s="159"/>
      <c r="C212" s="255" t="s">
        <v>668</v>
      </c>
      <c r="D212" s="220">
        <f t="shared" si="333"/>
        <v>20864</v>
      </c>
      <c r="E212" s="208">
        <f t="shared" si="324"/>
        <v>12683</v>
      </c>
      <c r="F212" s="208">
        <v>20864</v>
      </c>
      <c r="G212" s="208">
        <f t="shared" si="336"/>
        <v>12683</v>
      </c>
      <c r="H212" s="208">
        <f t="shared" si="334"/>
        <v>-8181</v>
      </c>
      <c r="I212" s="208"/>
      <c r="J212" s="208"/>
      <c r="K212" s="208"/>
      <c r="L212" s="208"/>
      <c r="M212" s="208">
        <v>6275</v>
      </c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>
        <v>-14456</v>
      </c>
      <c r="AH212" s="208"/>
      <c r="AI212" s="208"/>
      <c r="AJ212" s="208"/>
      <c r="AK212" s="208"/>
      <c r="AL212" s="208"/>
      <c r="AM212" s="208">
        <v>0</v>
      </c>
      <c r="AN212" s="208">
        <f t="shared" si="337"/>
        <v>0</v>
      </c>
      <c r="AO212" s="208">
        <f t="shared" si="338"/>
        <v>0</v>
      </c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>
        <v>0</v>
      </c>
      <c r="BB212" s="208">
        <f t="shared" si="339"/>
        <v>0</v>
      </c>
      <c r="BC212" s="208">
        <f t="shared" si="340"/>
        <v>0</v>
      </c>
      <c r="BD212" s="208"/>
      <c r="BE212" s="208"/>
      <c r="BF212" s="208"/>
      <c r="BG212" s="208"/>
      <c r="BH212" s="208"/>
      <c r="BI212" s="208"/>
      <c r="BJ212" s="208"/>
      <c r="BK212" s="208"/>
      <c r="BL212" s="208"/>
      <c r="BM212" s="208"/>
      <c r="BN212" s="208"/>
      <c r="BO212" s="208">
        <v>0</v>
      </c>
      <c r="BP212" s="208">
        <f t="shared" si="341"/>
        <v>0</v>
      </c>
      <c r="BQ212" s="208">
        <f t="shared" si="342"/>
        <v>0</v>
      </c>
      <c r="BR212" s="208"/>
      <c r="BS212" s="208"/>
      <c r="BT212" s="208"/>
      <c r="BU212" s="208"/>
      <c r="BV212" s="208"/>
      <c r="BW212" s="208">
        <f t="shared" si="343"/>
        <v>0</v>
      </c>
      <c r="BX212" s="208">
        <f t="shared" si="335"/>
        <v>0</v>
      </c>
      <c r="BY212" s="208"/>
      <c r="BZ212" s="208"/>
      <c r="CA212" s="208"/>
      <c r="CB212" s="208"/>
      <c r="CC212" s="208"/>
      <c r="CD212" s="208"/>
      <c r="CE212" s="208"/>
      <c r="CF212" s="208"/>
      <c r="CG212" s="208"/>
      <c r="CH212" s="208"/>
      <c r="CI212" s="259"/>
      <c r="CJ212" s="54" t="s">
        <v>739</v>
      </c>
      <c r="CK212" s="57"/>
      <c r="CL212" s="230" t="s">
        <v>689</v>
      </c>
      <c r="CM212" s="230" t="s">
        <v>689</v>
      </c>
      <c r="CQ212" s="10" t="e">
        <f>D212-#REF!-AM212</f>
        <v>#REF!</v>
      </c>
      <c r="CR212" s="10" t="e">
        <f>D212-#REF!</f>
        <v>#REF!</v>
      </c>
      <c r="CS212" s="130" t="e">
        <f>F212-#REF!</f>
        <v>#REF!</v>
      </c>
    </row>
    <row r="213" spans="1:97" s="130" customFormat="1" ht="48" x14ac:dyDescent="0.2">
      <c r="A213" s="75"/>
      <c r="B213" s="159"/>
      <c r="C213" s="255" t="s">
        <v>674</v>
      </c>
      <c r="D213" s="220">
        <f t="shared" si="333"/>
        <v>14800</v>
      </c>
      <c r="E213" s="208">
        <f t="shared" si="324"/>
        <v>16658</v>
      </c>
      <c r="F213" s="208">
        <v>14800</v>
      </c>
      <c r="G213" s="208">
        <f t="shared" si="336"/>
        <v>16658</v>
      </c>
      <c r="H213" s="208">
        <f t="shared" si="334"/>
        <v>1858</v>
      </c>
      <c r="I213" s="208"/>
      <c r="J213" s="208"/>
      <c r="K213" s="208"/>
      <c r="L213" s="208"/>
      <c r="M213" s="208">
        <v>1858</v>
      </c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>
        <v>0</v>
      </c>
      <c r="AN213" s="208">
        <f t="shared" si="337"/>
        <v>0</v>
      </c>
      <c r="AO213" s="208">
        <f t="shared" si="338"/>
        <v>0</v>
      </c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>
        <v>0</v>
      </c>
      <c r="BB213" s="208">
        <f t="shared" si="339"/>
        <v>0</v>
      </c>
      <c r="BC213" s="208">
        <f t="shared" si="340"/>
        <v>0</v>
      </c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>
        <v>0</v>
      </c>
      <c r="BP213" s="208">
        <f t="shared" si="341"/>
        <v>0</v>
      </c>
      <c r="BQ213" s="208">
        <f t="shared" si="342"/>
        <v>0</v>
      </c>
      <c r="BR213" s="208"/>
      <c r="BS213" s="208"/>
      <c r="BT213" s="208"/>
      <c r="BU213" s="208"/>
      <c r="BV213" s="208"/>
      <c r="BW213" s="208">
        <f t="shared" si="343"/>
        <v>0</v>
      </c>
      <c r="BX213" s="208">
        <f t="shared" si="335"/>
        <v>0</v>
      </c>
      <c r="BY213" s="208"/>
      <c r="BZ213" s="208"/>
      <c r="CA213" s="208"/>
      <c r="CB213" s="208"/>
      <c r="CC213" s="208"/>
      <c r="CD213" s="208"/>
      <c r="CE213" s="208"/>
      <c r="CF213" s="208"/>
      <c r="CG213" s="208"/>
      <c r="CH213" s="208"/>
      <c r="CI213" s="259"/>
      <c r="CJ213" s="54" t="s">
        <v>740</v>
      </c>
      <c r="CK213" s="57"/>
      <c r="CL213" s="230" t="s">
        <v>689</v>
      </c>
      <c r="CM213" s="230" t="s">
        <v>689</v>
      </c>
      <c r="CQ213" s="10" t="e">
        <f>D213-#REF!-AM213</f>
        <v>#REF!</v>
      </c>
      <c r="CR213" s="10" t="e">
        <f>D213-#REF!</f>
        <v>#REF!</v>
      </c>
      <c r="CS213" s="130" t="e">
        <f>F213-#REF!</f>
        <v>#REF!</v>
      </c>
    </row>
    <row r="214" spans="1:97" s="130" customFormat="1" x14ac:dyDescent="0.2">
      <c r="A214" s="75"/>
      <c r="B214" s="159"/>
      <c r="C214" s="362" t="s">
        <v>792</v>
      </c>
      <c r="D214" s="220"/>
      <c r="E214" s="208">
        <f t="shared" si="324"/>
        <v>0</v>
      </c>
      <c r="F214" s="208"/>
      <c r="G214" s="208">
        <f t="shared" ref="G214" si="349">F214+H214</f>
        <v>3932</v>
      </c>
      <c r="H214" s="208">
        <f t="shared" si="334"/>
        <v>3932</v>
      </c>
      <c r="I214" s="208"/>
      <c r="J214" s="208"/>
      <c r="K214" s="208"/>
      <c r="L214" s="208"/>
      <c r="M214" s="208">
        <v>3932</v>
      </c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>
        <f t="shared" ref="AN214" si="350">AM214+AO214</f>
        <v>0</v>
      </c>
      <c r="AO214" s="208">
        <f t="shared" ref="AO214" si="351">SUM(AP214:AZ214)</f>
        <v>0</v>
      </c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>
        <f t="shared" ref="BB214" si="352">BA214+BC214</f>
        <v>0</v>
      </c>
      <c r="BC214" s="208">
        <f t="shared" ref="BC214" si="353">SUM(BD214:BN214)</f>
        <v>0</v>
      </c>
      <c r="BD214" s="208"/>
      <c r="BE214" s="208"/>
      <c r="BF214" s="208"/>
      <c r="BG214" s="208"/>
      <c r="BH214" s="208"/>
      <c r="BI214" s="208"/>
      <c r="BJ214" s="208"/>
      <c r="BK214" s="208"/>
      <c r="BL214" s="208"/>
      <c r="BM214" s="208"/>
      <c r="BN214" s="208"/>
      <c r="BO214" s="208"/>
      <c r="BP214" s="208">
        <f t="shared" ref="BP214" si="354">BO214+BQ214</f>
        <v>0</v>
      </c>
      <c r="BQ214" s="208">
        <f t="shared" ref="BQ214" si="355">SUM(BR214:BU214)</f>
        <v>0</v>
      </c>
      <c r="BR214" s="208"/>
      <c r="BS214" s="208"/>
      <c r="BT214" s="208"/>
      <c r="BU214" s="208"/>
      <c r="BV214" s="208"/>
      <c r="BW214" s="208">
        <f t="shared" ref="BW214" si="356">BV214+BX214</f>
        <v>-3932</v>
      </c>
      <c r="BX214" s="208">
        <f t="shared" si="335"/>
        <v>-3932</v>
      </c>
      <c r="BY214" s="208">
        <v>-3932</v>
      </c>
      <c r="BZ214" s="208"/>
      <c r="CA214" s="208"/>
      <c r="CB214" s="208"/>
      <c r="CC214" s="208"/>
      <c r="CD214" s="208"/>
      <c r="CE214" s="208"/>
      <c r="CF214" s="208"/>
      <c r="CG214" s="208"/>
      <c r="CH214" s="208"/>
      <c r="CI214" s="259"/>
      <c r="CJ214" s="54" t="s">
        <v>793</v>
      </c>
      <c r="CK214" s="57"/>
      <c r="CL214" s="230"/>
      <c r="CM214" s="230"/>
      <c r="CQ214" s="10"/>
      <c r="CR214" s="10"/>
    </row>
    <row r="215" spans="1:97" s="130" customFormat="1" ht="24" x14ac:dyDescent="0.2">
      <c r="A215" s="75"/>
      <c r="B215" s="159"/>
      <c r="C215" s="423" t="s">
        <v>875</v>
      </c>
      <c r="D215" s="220"/>
      <c r="E215" s="208">
        <f t="shared" ref="E215:E233" si="357">G215+AN215+BB215+BP215+BW215</f>
        <v>6240</v>
      </c>
      <c r="F215" s="208"/>
      <c r="G215" s="208">
        <f t="shared" ref="G215" si="358">F215+H215</f>
        <v>6240</v>
      </c>
      <c r="H215" s="208">
        <f t="shared" si="334"/>
        <v>6240</v>
      </c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>
        <v>6240</v>
      </c>
      <c r="AH215" s="208"/>
      <c r="AI215" s="208"/>
      <c r="AJ215" s="208"/>
      <c r="AK215" s="208"/>
      <c r="AL215" s="208"/>
      <c r="AM215" s="208"/>
      <c r="AN215" s="208">
        <f t="shared" ref="AN215" si="359">AM215+AO215</f>
        <v>0</v>
      </c>
      <c r="AO215" s="208">
        <f t="shared" ref="AO215" si="360">SUM(AP215:AZ215)</f>
        <v>0</v>
      </c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>
        <f t="shared" ref="BB215" si="361">BA215+BC215</f>
        <v>0</v>
      </c>
      <c r="BC215" s="208">
        <f t="shared" ref="BC215" si="362">SUM(BD215:BN215)</f>
        <v>0</v>
      </c>
      <c r="BD215" s="208"/>
      <c r="BE215" s="208"/>
      <c r="BF215" s="208"/>
      <c r="BG215" s="208"/>
      <c r="BH215" s="208"/>
      <c r="BI215" s="208"/>
      <c r="BJ215" s="208"/>
      <c r="BK215" s="208"/>
      <c r="BL215" s="208"/>
      <c r="BM215" s="208"/>
      <c r="BN215" s="208"/>
      <c r="BO215" s="208"/>
      <c r="BP215" s="208">
        <f t="shared" ref="BP215" si="363">BO215+BQ215</f>
        <v>0</v>
      </c>
      <c r="BQ215" s="208">
        <f t="shared" ref="BQ215" si="364">SUM(BR215:BU215)</f>
        <v>0</v>
      </c>
      <c r="BR215" s="208"/>
      <c r="BS215" s="208"/>
      <c r="BT215" s="208"/>
      <c r="BU215" s="208"/>
      <c r="BV215" s="208"/>
      <c r="BW215" s="208">
        <f t="shared" ref="BW215" si="365">BV215+BX215</f>
        <v>0</v>
      </c>
      <c r="BX215" s="208">
        <f t="shared" ref="BX215" si="366">SUM(BY215:CI215)</f>
        <v>0</v>
      </c>
      <c r="BY215" s="208"/>
      <c r="BZ215" s="208"/>
      <c r="CA215" s="208"/>
      <c r="CB215" s="208"/>
      <c r="CC215" s="208"/>
      <c r="CD215" s="208"/>
      <c r="CE215" s="208"/>
      <c r="CF215" s="208"/>
      <c r="CG215" s="208"/>
      <c r="CH215" s="208"/>
      <c r="CI215" s="259"/>
      <c r="CJ215" s="54" t="s">
        <v>876</v>
      </c>
      <c r="CK215" s="57"/>
      <c r="CL215" s="230"/>
      <c r="CM215" s="230"/>
      <c r="CQ215" s="10"/>
      <c r="CR215" s="10"/>
    </row>
    <row r="216" spans="1:97" s="130" customFormat="1" ht="24" x14ac:dyDescent="0.2">
      <c r="A216" s="75"/>
      <c r="B216" s="159"/>
      <c r="C216" s="423" t="s">
        <v>878</v>
      </c>
      <c r="D216" s="220"/>
      <c r="E216" s="208">
        <f t="shared" si="357"/>
        <v>1000</v>
      </c>
      <c r="F216" s="208"/>
      <c r="G216" s="208">
        <f t="shared" ref="G216" si="367">F216+H216</f>
        <v>1000</v>
      </c>
      <c r="H216" s="208">
        <f t="shared" si="334"/>
        <v>1000</v>
      </c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>
        <v>1000</v>
      </c>
      <c r="AH216" s="208"/>
      <c r="AI216" s="208"/>
      <c r="AJ216" s="208"/>
      <c r="AK216" s="208"/>
      <c r="AL216" s="208"/>
      <c r="AM216" s="208"/>
      <c r="AN216" s="208">
        <f t="shared" ref="AN216" si="368">AM216+AO216</f>
        <v>0</v>
      </c>
      <c r="AO216" s="208">
        <f t="shared" ref="AO216" si="369">SUM(AP216:AZ216)</f>
        <v>0</v>
      </c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>
        <f t="shared" ref="BB216" si="370">BA216+BC216</f>
        <v>0</v>
      </c>
      <c r="BC216" s="208">
        <f t="shared" ref="BC216" si="371">SUM(BD216:BN216)</f>
        <v>0</v>
      </c>
      <c r="BD216" s="208"/>
      <c r="BE216" s="208"/>
      <c r="BF216" s="208"/>
      <c r="BG216" s="208"/>
      <c r="BH216" s="208"/>
      <c r="BI216" s="208"/>
      <c r="BJ216" s="208"/>
      <c r="BK216" s="208"/>
      <c r="BL216" s="208"/>
      <c r="BM216" s="208"/>
      <c r="BN216" s="208"/>
      <c r="BO216" s="208"/>
      <c r="BP216" s="208">
        <f t="shared" ref="BP216" si="372">BO216+BQ216</f>
        <v>0</v>
      </c>
      <c r="BQ216" s="208">
        <f t="shared" ref="BQ216" si="373">SUM(BR216:BU216)</f>
        <v>0</v>
      </c>
      <c r="BR216" s="208"/>
      <c r="BS216" s="208"/>
      <c r="BT216" s="208"/>
      <c r="BU216" s="208"/>
      <c r="BV216" s="208"/>
      <c r="BW216" s="208">
        <f t="shared" ref="BW216" si="374">BV216+BX216</f>
        <v>0</v>
      </c>
      <c r="BX216" s="208">
        <f t="shared" ref="BX216" si="375">SUM(BY216:CI216)</f>
        <v>0</v>
      </c>
      <c r="BY216" s="208"/>
      <c r="BZ216" s="208"/>
      <c r="CA216" s="208"/>
      <c r="CB216" s="208"/>
      <c r="CC216" s="208"/>
      <c r="CD216" s="208"/>
      <c r="CE216" s="208"/>
      <c r="CF216" s="208"/>
      <c r="CG216" s="208"/>
      <c r="CH216" s="208"/>
      <c r="CI216" s="259"/>
      <c r="CJ216" s="54" t="s">
        <v>877</v>
      </c>
      <c r="CK216" s="57"/>
      <c r="CL216" s="230"/>
      <c r="CM216" s="230"/>
      <c r="CQ216" s="10"/>
      <c r="CR216" s="10"/>
    </row>
    <row r="217" spans="1:97" ht="24" customHeight="1" x14ac:dyDescent="0.2">
      <c r="A217" s="75">
        <v>90009251361</v>
      </c>
      <c r="B217" s="158" t="s">
        <v>194</v>
      </c>
      <c r="C217" s="255" t="s">
        <v>221</v>
      </c>
      <c r="D217" s="220">
        <f t="shared" ref="D217:D229" si="376">F217+AM217+BA217+BO217+BV217</f>
        <v>716270</v>
      </c>
      <c r="E217" s="208">
        <f t="shared" si="357"/>
        <v>813718</v>
      </c>
      <c r="F217" s="208">
        <v>519437</v>
      </c>
      <c r="G217" s="208">
        <f t="shared" si="336"/>
        <v>620907</v>
      </c>
      <c r="H217" s="208">
        <f t="shared" si="334"/>
        <v>101470</v>
      </c>
      <c r="I217" s="208"/>
      <c r="J217" s="208"/>
      <c r="K217" s="208"/>
      <c r="L217" s="208"/>
      <c r="M217" s="208"/>
      <c r="N217" s="208"/>
      <c r="O217" s="208"/>
      <c r="P217" s="208"/>
      <c r="Q217" s="208"/>
      <c r="R217" s="208">
        <v>68555</v>
      </c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>
        <v>32915</v>
      </c>
      <c r="AH217" s="208"/>
      <c r="AI217" s="208"/>
      <c r="AJ217" s="208"/>
      <c r="AK217" s="208"/>
      <c r="AL217" s="208"/>
      <c r="AM217" s="208">
        <v>179052</v>
      </c>
      <c r="AN217" s="208">
        <f t="shared" si="337"/>
        <v>183144</v>
      </c>
      <c r="AO217" s="208">
        <f t="shared" si="338"/>
        <v>4092</v>
      </c>
      <c r="AP217" s="208"/>
      <c r="AQ217" s="208"/>
      <c r="AR217" s="208">
        <v>-686</v>
      </c>
      <c r="AS217" s="208"/>
      <c r="AT217" s="208"/>
      <c r="AU217" s="208"/>
      <c r="AV217" s="208">
        <f>3696+1082</f>
        <v>4778</v>
      </c>
      <c r="AW217" s="208"/>
      <c r="AX217" s="208"/>
      <c r="AY217" s="208"/>
      <c r="AZ217" s="208"/>
      <c r="BA217" s="208">
        <v>17781</v>
      </c>
      <c r="BB217" s="208">
        <f t="shared" si="339"/>
        <v>9667</v>
      </c>
      <c r="BC217" s="208">
        <f t="shared" si="340"/>
        <v>-8114</v>
      </c>
      <c r="BD217" s="208">
        <v>2381</v>
      </c>
      <c r="BE217" s="208"/>
      <c r="BF217" s="208"/>
      <c r="BG217" s="208">
        <v>-4381</v>
      </c>
      <c r="BH217" s="208"/>
      <c r="BI217" s="208"/>
      <c r="BJ217" s="208">
        <v>-6114</v>
      </c>
      <c r="BK217" s="208"/>
      <c r="BL217" s="208"/>
      <c r="BM217" s="208"/>
      <c r="BN217" s="208"/>
      <c r="BO217" s="208">
        <v>0</v>
      </c>
      <c r="BP217" s="208">
        <f t="shared" si="341"/>
        <v>0</v>
      </c>
      <c r="BQ217" s="208">
        <f t="shared" si="342"/>
        <v>0</v>
      </c>
      <c r="BR217" s="208"/>
      <c r="BS217" s="208"/>
      <c r="BT217" s="208"/>
      <c r="BU217" s="208"/>
      <c r="BV217" s="208"/>
      <c r="BW217" s="208">
        <f t="shared" si="343"/>
        <v>0</v>
      </c>
      <c r="BX217" s="208">
        <f t="shared" si="335"/>
        <v>0</v>
      </c>
      <c r="BY217" s="208"/>
      <c r="BZ217" s="208"/>
      <c r="CA217" s="208"/>
      <c r="CB217" s="208"/>
      <c r="CC217" s="208"/>
      <c r="CD217" s="208"/>
      <c r="CE217" s="208"/>
      <c r="CF217" s="208"/>
      <c r="CG217" s="208"/>
      <c r="CH217" s="208"/>
      <c r="CI217" s="259"/>
      <c r="CJ217" s="54" t="s">
        <v>721</v>
      </c>
      <c r="CK217" s="57"/>
      <c r="CL217" s="230" t="s">
        <v>696</v>
      </c>
      <c r="CM217" s="10" t="s">
        <v>697</v>
      </c>
      <c r="CQ217" s="10" t="e">
        <f>D217-#REF!-AM217</f>
        <v>#REF!</v>
      </c>
      <c r="CR217" s="10" t="e">
        <f>D217-#REF!</f>
        <v>#REF!</v>
      </c>
      <c r="CS217" s="1" t="e">
        <f>F217-#REF!</f>
        <v>#REF!</v>
      </c>
    </row>
    <row r="218" spans="1:97" x14ac:dyDescent="0.2">
      <c r="A218" s="75"/>
      <c r="B218" s="159"/>
      <c r="C218" s="255" t="s">
        <v>233</v>
      </c>
      <c r="D218" s="220">
        <f t="shared" si="376"/>
        <v>65447</v>
      </c>
      <c r="E218" s="208">
        <f t="shared" si="357"/>
        <v>62246</v>
      </c>
      <c r="F218" s="208">
        <v>53651</v>
      </c>
      <c r="G218" s="208">
        <f t="shared" si="336"/>
        <v>53651</v>
      </c>
      <c r="H218" s="208">
        <f t="shared" si="334"/>
        <v>0</v>
      </c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>
        <v>11796</v>
      </c>
      <c r="AN218" s="208">
        <f t="shared" si="337"/>
        <v>8595</v>
      </c>
      <c r="AO218" s="208">
        <f t="shared" si="338"/>
        <v>-3201</v>
      </c>
      <c r="AP218" s="208"/>
      <c r="AQ218" s="208"/>
      <c r="AR218" s="208"/>
      <c r="AS218" s="208"/>
      <c r="AT218" s="208">
        <v>-3201</v>
      </c>
      <c r="AU218" s="208"/>
      <c r="AV218" s="208"/>
      <c r="AW218" s="208"/>
      <c r="AX218" s="208"/>
      <c r="AY218" s="208"/>
      <c r="AZ218" s="208"/>
      <c r="BA218" s="208">
        <v>0</v>
      </c>
      <c r="BB218" s="208">
        <f t="shared" si="339"/>
        <v>0</v>
      </c>
      <c r="BC218" s="208">
        <f t="shared" si="340"/>
        <v>0</v>
      </c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>
        <v>0</v>
      </c>
      <c r="BP218" s="208">
        <f t="shared" si="341"/>
        <v>0</v>
      </c>
      <c r="BQ218" s="208">
        <f t="shared" si="342"/>
        <v>0</v>
      </c>
      <c r="BR218" s="208"/>
      <c r="BS218" s="208"/>
      <c r="BT218" s="208"/>
      <c r="BU218" s="208"/>
      <c r="BV218" s="208"/>
      <c r="BW218" s="208">
        <f t="shared" si="343"/>
        <v>0</v>
      </c>
      <c r="BX218" s="208">
        <f t="shared" si="335"/>
        <v>0</v>
      </c>
      <c r="BY218" s="208"/>
      <c r="BZ218" s="208"/>
      <c r="CA218" s="208"/>
      <c r="CB218" s="208"/>
      <c r="CC218" s="208"/>
      <c r="CD218" s="208"/>
      <c r="CE218" s="208"/>
      <c r="CF218" s="208"/>
      <c r="CG218" s="208"/>
      <c r="CH218" s="208"/>
      <c r="CI218" s="259"/>
      <c r="CJ218" s="54" t="s">
        <v>722</v>
      </c>
      <c r="CK218" s="57"/>
      <c r="CL218" s="230" t="s">
        <v>698</v>
      </c>
      <c r="CM218" s="10" t="s">
        <v>699</v>
      </c>
      <c r="CQ218" s="10" t="e">
        <f>D218-#REF!-AM218</f>
        <v>#REF!</v>
      </c>
      <c r="CR218" s="10" t="e">
        <f>D218-#REF!</f>
        <v>#REF!</v>
      </c>
      <c r="CS218" s="1" t="e">
        <f>F218-#REF!</f>
        <v>#REF!</v>
      </c>
    </row>
    <row r="219" spans="1:97" ht="24" x14ac:dyDescent="0.2">
      <c r="A219" s="75">
        <v>90000051699</v>
      </c>
      <c r="B219" s="158" t="s">
        <v>195</v>
      </c>
      <c r="C219" s="255" t="s">
        <v>221</v>
      </c>
      <c r="D219" s="220">
        <f t="shared" si="376"/>
        <v>890708</v>
      </c>
      <c r="E219" s="208">
        <f t="shared" si="357"/>
        <v>502438</v>
      </c>
      <c r="F219" s="208">
        <v>669872</v>
      </c>
      <c r="G219" s="208">
        <f t="shared" si="336"/>
        <v>361304</v>
      </c>
      <c r="H219" s="208">
        <f t="shared" si="334"/>
        <v>-308568</v>
      </c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>
        <v>-308568</v>
      </c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>
        <v>197404</v>
      </c>
      <c r="AN219" s="208">
        <f t="shared" si="337"/>
        <v>132173</v>
      </c>
      <c r="AO219" s="208">
        <f t="shared" si="338"/>
        <v>-65231</v>
      </c>
      <c r="AP219" s="208"/>
      <c r="AQ219" s="208"/>
      <c r="AR219" s="208">
        <v>-959</v>
      </c>
      <c r="AS219" s="208"/>
      <c r="AT219" s="208">
        <f>5259</f>
        <v>5259</v>
      </c>
      <c r="AU219" s="208">
        <v>-69531</v>
      </c>
      <c r="AV219" s="208"/>
      <c r="AW219" s="208"/>
      <c r="AX219" s="208"/>
      <c r="AY219" s="208"/>
      <c r="AZ219" s="208"/>
      <c r="BA219" s="208">
        <v>23432</v>
      </c>
      <c r="BB219" s="208">
        <f t="shared" si="339"/>
        <v>8961</v>
      </c>
      <c r="BC219" s="208">
        <f t="shared" si="340"/>
        <v>-14471</v>
      </c>
      <c r="BD219" s="208">
        <v>860</v>
      </c>
      <c r="BE219" s="208"/>
      <c r="BF219" s="208"/>
      <c r="BG219" s="208"/>
      <c r="BH219" s="208">
        <v>-15331</v>
      </c>
      <c r="BI219" s="208"/>
      <c r="BJ219" s="208"/>
      <c r="BK219" s="208"/>
      <c r="BL219" s="208"/>
      <c r="BM219" s="208"/>
      <c r="BN219" s="208"/>
      <c r="BO219" s="208">
        <v>0</v>
      </c>
      <c r="BP219" s="208">
        <f t="shared" si="341"/>
        <v>0</v>
      </c>
      <c r="BQ219" s="208">
        <f t="shared" si="342"/>
        <v>0</v>
      </c>
      <c r="BR219" s="208"/>
      <c r="BS219" s="208"/>
      <c r="BT219" s="208"/>
      <c r="BU219" s="208"/>
      <c r="BV219" s="208"/>
      <c r="BW219" s="208">
        <f t="shared" si="343"/>
        <v>0</v>
      </c>
      <c r="BX219" s="208">
        <f t="shared" si="335"/>
        <v>0</v>
      </c>
      <c r="BY219" s="208"/>
      <c r="BZ219" s="208"/>
      <c r="CA219" s="208"/>
      <c r="CB219" s="208"/>
      <c r="CC219" s="208"/>
      <c r="CD219" s="208"/>
      <c r="CE219" s="208"/>
      <c r="CF219" s="208"/>
      <c r="CG219" s="208"/>
      <c r="CH219" s="208"/>
      <c r="CI219" s="259"/>
      <c r="CJ219" s="54" t="s">
        <v>396</v>
      </c>
      <c r="CK219" s="57"/>
      <c r="CL219" s="230" t="s">
        <v>696</v>
      </c>
      <c r="CM219" s="10" t="s">
        <v>697</v>
      </c>
      <c r="CQ219" s="10" t="e">
        <f>D219-#REF!-AM219</f>
        <v>#REF!</v>
      </c>
      <c r="CR219" s="10" t="e">
        <f>D219-#REF!</f>
        <v>#REF!</v>
      </c>
      <c r="CS219" s="1" t="e">
        <f>F219-#REF!</f>
        <v>#REF!</v>
      </c>
    </row>
    <row r="220" spans="1:97" x14ac:dyDescent="0.2">
      <c r="A220" s="75"/>
      <c r="B220" s="159"/>
      <c r="C220" s="255" t="s">
        <v>233</v>
      </c>
      <c r="D220" s="220">
        <f t="shared" si="376"/>
        <v>64288</v>
      </c>
      <c r="E220" s="208">
        <f t="shared" si="357"/>
        <v>22638</v>
      </c>
      <c r="F220" s="208">
        <v>53674</v>
      </c>
      <c r="G220" s="208">
        <f t="shared" si="336"/>
        <v>19147</v>
      </c>
      <c r="H220" s="208">
        <f t="shared" si="334"/>
        <v>-34527</v>
      </c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>
        <v>-34527</v>
      </c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>
        <v>10614</v>
      </c>
      <c r="AN220" s="208">
        <f t="shared" si="337"/>
        <v>3491</v>
      </c>
      <c r="AO220" s="208">
        <f t="shared" si="338"/>
        <v>-7123</v>
      </c>
      <c r="AP220" s="208"/>
      <c r="AQ220" s="208"/>
      <c r="AR220" s="208"/>
      <c r="AS220" s="208"/>
      <c r="AT220" s="208"/>
      <c r="AU220" s="208">
        <v>-7123</v>
      </c>
      <c r="AV220" s="208"/>
      <c r="AW220" s="208"/>
      <c r="AX220" s="208"/>
      <c r="AY220" s="208"/>
      <c r="AZ220" s="208"/>
      <c r="BA220" s="208">
        <v>0</v>
      </c>
      <c r="BB220" s="208">
        <f t="shared" si="339"/>
        <v>0</v>
      </c>
      <c r="BC220" s="208">
        <f t="shared" si="340"/>
        <v>0</v>
      </c>
      <c r="BD220" s="208"/>
      <c r="BE220" s="208"/>
      <c r="BF220" s="208"/>
      <c r="BG220" s="208"/>
      <c r="BH220" s="208"/>
      <c r="BI220" s="208"/>
      <c r="BJ220" s="208"/>
      <c r="BK220" s="208"/>
      <c r="BL220" s="208"/>
      <c r="BM220" s="208"/>
      <c r="BN220" s="208"/>
      <c r="BO220" s="208">
        <v>0</v>
      </c>
      <c r="BP220" s="208">
        <f t="shared" si="341"/>
        <v>0</v>
      </c>
      <c r="BQ220" s="208">
        <f t="shared" si="342"/>
        <v>0</v>
      </c>
      <c r="BR220" s="208"/>
      <c r="BS220" s="208"/>
      <c r="BT220" s="208"/>
      <c r="BU220" s="208"/>
      <c r="BV220" s="208"/>
      <c r="BW220" s="208">
        <f t="shared" si="343"/>
        <v>0</v>
      </c>
      <c r="BX220" s="208">
        <f t="shared" si="335"/>
        <v>0</v>
      </c>
      <c r="BY220" s="208"/>
      <c r="BZ220" s="208"/>
      <c r="CA220" s="208"/>
      <c r="CB220" s="208"/>
      <c r="CC220" s="208"/>
      <c r="CD220" s="208"/>
      <c r="CE220" s="208"/>
      <c r="CF220" s="208"/>
      <c r="CG220" s="208"/>
      <c r="CH220" s="208"/>
      <c r="CI220" s="259"/>
      <c r="CJ220" s="54" t="s">
        <v>397</v>
      </c>
      <c r="CK220" s="57"/>
      <c r="CL220" s="230" t="s">
        <v>698</v>
      </c>
      <c r="CM220" s="10" t="s">
        <v>699</v>
      </c>
      <c r="CQ220" s="10" t="e">
        <f>D220-#REF!-AM220</f>
        <v>#REF!</v>
      </c>
      <c r="CR220" s="10" t="e">
        <f>D220-#REF!</f>
        <v>#REF!</v>
      </c>
      <c r="CS220" s="1" t="e">
        <f>F220-#REF!</f>
        <v>#REF!</v>
      </c>
    </row>
    <row r="221" spans="1:97" ht="24" x14ac:dyDescent="0.2">
      <c r="A221" s="75">
        <v>90000051612</v>
      </c>
      <c r="B221" s="158" t="s">
        <v>196</v>
      </c>
      <c r="C221" s="255" t="s">
        <v>221</v>
      </c>
      <c r="D221" s="220">
        <f t="shared" si="376"/>
        <v>680299</v>
      </c>
      <c r="E221" s="208">
        <f t="shared" si="357"/>
        <v>696920</v>
      </c>
      <c r="F221" s="208">
        <v>335225</v>
      </c>
      <c r="G221" s="208">
        <f t="shared" si="336"/>
        <v>343150</v>
      </c>
      <c r="H221" s="208">
        <f t="shared" si="334"/>
        <v>7925</v>
      </c>
      <c r="I221" s="208"/>
      <c r="J221" s="208"/>
      <c r="K221" s="208"/>
      <c r="L221" s="208"/>
      <c r="M221" s="208">
        <v>-5679</v>
      </c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>
        <v>-4371</v>
      </c>
      <c r="AB221" s="208"/>
      <c r="AC221" s="208"/>
      <c r="AD221" s="208"/>
      <c r="AE221" s="208"/>
      <c r="AF221" s="208"/>
      <c r="AG221" s="208">
        <f>-508+18483</f>
        <v>17975</v>
      </c>
      <c r="AH221" s="208"/>
      <c r="AI221" s="208"/>
      <c r="AJ221" s="208"/>
      <c r="AK221" s="208"/>
      <c r="AL221" s="208"/>
      <c r="AM221" s="208">
        <v>333785</v>
      </c>
      <c r="AN221" s="208">
        <f t="shared" si="337"/>
        <v>334959</v>
      </c>
      <c r="AO221" s="208">
        <f t="shared" si="338"/>
        <v>1174</v>
      </c>
      <c r="AP221" s="208"/>
      <c r="AQ221" s="208"/>
      <c r="AR221" s="208">
        <v>-1862</v>
      </c>
      <c r="AS221" s="208"/>
      <c r="AT221" s="208"/>
      <c r="AU221" s="208"/>
      <c r="AV221" s="208">
        <f>604+2432</f>
        <v>3036</v>
      </c>
      <c r="AW221" s="208"/>
      <c r="AX221" s="208"/>
      <c r="AY221" s="208"/>
      <c r="AZ221" s="208"/>
      <c r="BA221" s="208">
        <v>11289</v>
      </c>
      <c r="BB221" s="208">
        <f t="shared" si="339"/>
        <v>18811</v>
      </c>
      <c r="BC221" s="208">
        <f t="shared" si="340"/>
        <v>7522</v>
      </c>
      <c r="BD221" s="208">
        <v>5679</v>
      </c>
      <c r="BE221" s="208"/>
      <c r="BF221" s="208">
        <v>-1945</v>
      </c>
      <c r="BG221" s="208"/>
      <c r="BH221" s="208"/>
      <c r="BI221" s="208"/>
      <c r="BJ221" s="208">
        <v>3788</v>
      </c>
      <c r="BK221" s="208"/>
      <c r="BL221" s="208"/>
      <c r="BM221" s="208"/>
      <c r="BN221" s="208"/>
      <c r="BO221" s="208">
        <v>0</v>
      </c>
      <c r="BP221" s="208">
        <f t="shared" si="341"/>
        <v>0</v>
      </c>
      <c r="BQ221" s="208">
        <f t="shared" si="342"/>
        <v>0</v>
      </c>
      <c r="BR221" s="208"/>
      <c r="BS221" s="208"/>
      <c r="BT221" s="208"/>
      <c r="BU221" s="208"/>
      <c r="BV221" s="208"/>
      <c r="BW221" s="208">
        <f t="shared" si="343"/>
        <v>0</v>
      </c>
      <c r="BX221" s="208">
        <f t="shared" si="335"/>
        <v>0</v>
      </c>
      <c r="BY221" s="208"/>
      <c r="BZ221" s="208"/>
      <c r="CA221" s="208"/>
      <c r="CB221" s="208"/>
      <c r="CC221" s="208"/>
      <c r="CD221" s="208"/>
      <c r="CE221" s="208"/>
      <c r="CF221" s="208"/>
      <c r="CG221" s="208"/>
      <c r="CH221" s="208"/>
      <c r="CI221" s="259"/>
      <c r="CJ221" s="54" t="s">
        <v>398</v>
      </c>
      <c r="CK221" s="57"/>
      <c r="CL221" s="230" t="s">
        <v>696</v>
      </c>
      <c r="CM221" s="10" t="s">
        <v>697</v>
      </c>
      <c r="CQ221" s="10" t="e">
        <f>D221-#REF!-AM221</f>
        <v>#REF!</v>
      </c>
      <c r="CR221" s="10" t="e">
        <f>D221-#REF!</f>
        <v>#REF!</v>
      </c>
      <c r="CS221" s="1" t="e">
        <f>F221-#REF!</f>
        <v>#REF!</v>
      </c>
    </row>
    <row r="222" spans="1:97" x14ac:dyDescent="0.2">
      <c r="A222" s="75"/>
      <c r="B222" s="159"/>
      <c r="C222" s="255" t="s">
        <v>233</v>
      </c>
      <c r="D222" s="220">
        <f t="shared" si="376"/>
        <v>77557</v>
      </c>
      <c r="E222" s="208">
        <f t="shared" si="357"/>
        <v>77557</v>
      </c>
      <c r="F222" s="208">
        <v>64197</v>
      </c>
      <c r="G222" s="208">
        <f t="shared" si="336"/>
        <v>64197</v>
      </c>
      <c r="H222" s="208">
        <f t="shared" si="334"/>
        <v>0</v>
      </c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>
        <v>13360</v>
      </c>
      <c r="AN222" s="208">
        <f t="shared" si="337"/>
        <v>13360</v>
      </c>
      <c r="AO222" s="208">
        <f t="shared" si="338"/>
        <v>0</v>
      </c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>
        <v>0</v>
      </c>
      <c r="BB222" s="208">
        <f t="shared" si="339"/>
        <v>0</v>
      </c>
      <c r="BC222" s="208">
        <f t="shared" si="340"/>
        <v>0</v>
      </c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>
        <v>0</v>
      </c>
      <c r="BP222" s="208">
        <f t="shared" si="341"/>
        <v>0</v>
      </c>
      <c r="BQ222" s="208">
        <f t="shared" si="342"/>
        <v>0</v>
      </c>
      <c r="BR222" s="208"/>
      <c r="BS222" s="208"/>
      <c r="BT222" s="208"/>
      <c r="BU222" s="208"/>
      <c r="BV222" s="208"/>
      <c r="BW222" s="208">
        <f t="shared" si="343"/>
        <v>0</v>
      </c>
      <c r="BX222" s="208">
        <f t="shared" si="335"/>
        <v>0</v>
      </c>
      <c r="BY222" s="208"/>
      <c r="BZ222" s="208"/>
      <c r="CA222" s="208"/>
      <c r="CB222" s="208"/>
      <c r="CC222" s="208"/>
      <c r="CD222" s="208"/>
      <c r="CE222" s="208"/>
      <c r="CF222" s="208"/>
      <c r="CG222" s="208"/>
      <c r="CH222" s="208"/>
      <c r="CI222" s="259"/>
      <c r="CJ222" s="54" t="s">
        <v>399</v>
      </c>
      <c r="CK222" s="57"/>
      <c r="CL222" s="230" t="s">
        <v>698</v>
      </c>
      <c r="CM222" s="10" t="s">
        <v>699</v>
      </c>
      <c r="CQ222" s="10" t="e">
        <f>D222-#REF!-AM222</f>
        <v>#REF!</v>
      </c>
      <c r="CR222" s="10" t="e">
        <f>D222-#REF!</f>
        <v>#REF!</v>
      </c>
      <c r="CS222" s="1" t="e">
        <f>F222-#REF!</f>
        <v>#REF!</v>
      </c>
    </row>
    <row r="223" spans="1:97" s="126" customFormat="1" ht="24" x14ac:dyDescent="0.2">
      <c r="A223" s="75"/>
      <c r="B223" s="159"/>
      <c r="C223" s="255" t="s">
        <v>512</v>
      </c>
      <c r="D223" s="220">
        <f t="shared" si="376"/>
        <v>3669</v>
      </c>
      <c r="E223" s="208">
        <f t="shared" si="357"/>
        <v>3731</v>
      </c>
      <c r="F223" s="208">
        <v>3669</v>
      </c>
      <c r="G223" s="208">
        <f t="shared" si="336"/>
        <v>3731</v>
      </c>
      <c r="H223" s="208">
        <f t="shared" si="334"/>
        <v>62</v>
      </c>
      <c r="I223" s="208"/>
      <c r="J223" s="208"/>
      <c r="K223" s="208"/>
      <c r="L223" s="208"/>
      <c r="M223" s="208">
        <v>62</v>
      </c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>
        <v>0</v>
      </c>
      <c r="AN223" s="208">
        <f t="shared" si="337"/>
        <v>0</v>
      </c>
      <c r="AO223" s="208">
        <f t="shared" si="338"/>
        <v>0</v>
      </c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>
        <v>0</v>
      </c>
      <c r="BB223" s="208">
        <f t="shared" si="339"/>
        <v>0</v>
      </c>
      <c r="BC223" s="208">
        <f t="shared" si="340"/>
        <v>0</v>
      </c>
      <c r="BD223" s="208"/>
      <c r="BE223" s="208"/>
      <c r="BF223" s="208"/>
      <c r="BG223" s="208"/>
      <c r="BH223" s="208"/>
      <c r="BI223" s="208"/>
      <c r="BJ223" s="208"/>
      <c r="BK223" s="208"/>
      <c r="BL223" s="208"/>
      <c r="BM223" s="208"/>
      <c r="BN223" s="208"/>
      <c r="BO223" s="208">
        <v>0</v>
      </c>
      <c r="BP223" s="208">
        <f t="shared" si="341"/>
        <v>0</v>
      </c>
      <c r="BQ223" s="208">
        <f t="shared" si="342"/>
        <v>0</v>
      </c>
      <c r="BR223" s="208"/>
      <c r="BS223" s="208"/>
      <c r="BT223" s="208"/>
      <c r="BU223" s="208"/>
      <c r="BV223" s="208"/>
      <c r="BW223" s="208">
        <f t="shared" si="343"/>
        <v>0</v>
      </c>
      <c r="BX223" s="208">
        <f t="shared" si="335"/>
        <v>0</v>
      </c>
      <c r="BY223" s="208"/>
      <c r="BZ223" s="208"/>
      <c r="CA223" s="208"/>
      <c r="CB223" s="208"/>
      <c r="CC223" s="208"/>
      <c r="CD223" s="208"/>
      <c r="CE223" s="208"/>
      <c r="CF223" s="208"/>
      <c r="CG223" s="208"/>
      <c r="CH223" s="208"/>
      <c r="CI223" s="259"/>
      <c r="CJ223" s="54" t="s">
        <v>723</v>
      </c>
      <c r="CK223" s="57"/>
      <c r="CL223" s="230" t="s">
        <v>689</v>
      </c>
      <c r="CM223" s="230" t="s">
        <v>689</v>
      </c>
      <c r="CQ223" s="10" t="e">
        <f>D223-#REF!-AM223</f>
        <v>#REF!</v>
      </c>
      <c r="CR223" s="10" t="e">
        <f>D223-#REF!</f>
        <v>#REF!</v>
      </c>
      <c r="CS223" s="126" t="e">
        <f>F223-#REF!</f>
        <v>#REF!</v>
      </c>
    </row>
    <row r="224" spans="1:97" ht="24" x14ac:dyDescent="0.2">
      <c r="A224" s="75">
        <v>90009251342</v>
      </c>
      <c r="B224" s="158" t="s">
        <v>666</v>
      </c>
      <c r="C224" s="255" t="s">
        <v>221</v>
      </c>
      <c r="D224" s="220">
        <f t="shared" si="376"/>
        <v>909244</v>
      </c>
      <c r="E224" s="208">
        <f t="shared" si="357"/>
        <v>921544</v>
      </c>
      <c r="F224" s="208">
        <v>38778</v>
      </c>
      <c r="G224" s="208">
        <f t="shared" si="336"/>
        <v>59195</v>
      </c>
      <c r="H224" s="208">
        <f t="shared" si="334"/>
        <v>20417</v>
      </c>
      <c r="I224" s="208"/>
      <c r="J224" s="208"/>
      <c r="K224" s="208"/>
      <c r="L224" s="208"/>
      <c r="M224" s="208"/>
      <c r="N224" s="208"/>
      <c r="O224" s="208"/>
      <c r="P224" s="208"/>
      <c r="Q224" s="208">
        <v>135</v>
      </c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>
        <f>1086+19196</f>
        <v>20282</v>
      </c>
      <c r="AH224" s="208"/>
      <c r="AI224" s="208"/>
      <c r="AJ224" s="208"/>
      <c r="AK224" s="208"/>
      <c r="AL224" s="208"/>
      <c r="AM224" s="208">
        <v>865793</v>
      </c>
      <c r="AN224" s="208">
        <f t="shared" si="337"/>
        <v>858281</v>
      </c>
      <c r="AO224" s="208">
        <f t="shared" si="338"/>
        <v>-7512</v>
      </c>
      <c r="AP224" s="208">
        <v>1997</v>
      </c>
      <c r="AQ224" s="208"/>
      <c r="AR224" s="208">
        <v>-384</v>
      </c>
      <c r="AS224" s="208"/>
      <c r="AT224" s="208"/>
      <c r="AU224" s="208"/>
      <c r="AV224" s="208">
        <v>-9125</v>
      </c>
      <c r="AW224" s="208"/>
      <c r="AX224" s="208"/>
      <c r="AY224" s="208"/>
      <c r="AZ224" s="208"/>
      <c r="BA224" s="208">
        <v>4673</v>
      </c>
      <c r="BB224" s="208">
        <f t="shared" si="339"/>
        <v>4068</v>
      </c>
      <c r="BC224" s="208">
        <f t="shared" si="340"/>
        <v>-605</v>
      </c>
      <c r="BD224" s="208">
        <v>-405</v>
      </c>
      <c r="BE224" s="208"/>
      <c r="BF224" s="208"/>
      <c r="BG224" s="208">
        <v>-200</v>
      </c>
      <c r="BH224" s="208"/>
      <c r="BI224" s="208"/>
      <c r="BJ224" s="208"/>
      <c r="BK224" s="208"/>
      <c r="BL224" s="208"/>
      <c r="BM224" s="208"/>
      <c r="BN224" s="208"/>
      <c r="BO224" s="208">
        <v>0</v>
      </c>
      <c r="BP224" s="208">
        <f t="shared" si="341"/>
        <v>0</v>
      </c>
      <c r="BQ224" s="208">
        <f t="shared" si="342"/>
        <v>0</v>
      </c>
      <c r="BR224" s="208"/>
      <c r="BS224" s="208"/>
      <c r="BT224" s="208"/>
      <c r="BU224" s="208"/>
      <c r="BV224" s="208"/>
      <c r="BW224" s="208">
        <f t="shared" si="343"/>
        <v>0</v>
      </c>
      <c r="BX224" s="208">
        <f t="shared" si="335"/>
        <v>0</v>
      </c>
      <c r="BY224" s="208"/>
      <c r="BZ224" s="208"/>
      <c r="CA224" s="208"/>
      <c r="CB224" s="208"/>
      <c r="CC224" s="208"/>
      <c r="CD224" s="208"/>
      <c r="CE224" s="208"/>
      <c r="CF224" s="208"/>
      <c r="CG224" s="208"/>
      <c r="CH224" s="208"/>
      <c r="CI224" s="259"/>
      <c r="CJ224" s="54" t="s">
        <v>400</v>
      </c>
      <c r="CK224" s="57"/>
      <c r="CL224" s="230" t="s">
        <v>696</v>
      </c>
      <c r="CM224" s="10" t="s">
        <v>697</v>
      </c>
      <c r="CQ224" s="10" t="e">
        <f>D224-#REF!-AM224</f>
        <v>#REF!</v>
      </c>
      <c r="CR224" s="10" t="e">
        <f>D224-#REF!</f>
        <v>#REF!</v>
      </c>
      <c r="CS224" s="1" t="e">
        <f>F224-#REF!</f>
        <v>#REF!</v>
      </c>
    </row>
    <row r="225" spans="1:97" ht="24" customHeight="1" x14ac:dyDescent="0.2">
      <c r="A225" s="75">
        <v>90009249367</v>
      </c>
      <c r="B225" s="158" t="s">
        <v>272</v>
      </c>
      <c r="C225" s="255" t="s">
        <v>234</v>
      </c>
      <c r="D225" s="220">
        <f t="shared" si="376"/>
        <v>1466179</v>
      </c>
      <c r="E225" s="208">
        <f t="shared" si="357"/>
        <v>1416395</v>
      </c>
      <c r="F225" s="208">
        <v>935305</v>
      </c>
      <c r="G225" s="208">
        <f t="shared" si="336"/>
        <v>904339</v>
      </c>
      <c r="H225" s="208">
        <f t="shared" si="334"/>
        <v>-30966</v>
      </c>
      <c r="I225" s="208"/>
      <c r="J225" s="208"/>
      <c r="K225" s="208"/>
      <c r="L225" s="208"/>
      <c r="M225" s="208">
        <v>418</v>
      </c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>
        <v>-26394</v>
      </c>
      <c r="Y225" s="208"/>
      <c r="Z225" s="208"/>
      <c r="AA225" s="208">
        <v>432</v>
      </c>
      <c r="AB225" s="208"/>
      <c r="AC225" s="208"/>
      <c r="AD225" s="208"/>
      <c r="AE225" s="208"/>
      <c r="AF225" s="208"/>
      <c r="AG225" s="208">
        <f>-39442+34020</f>
        <v>-5422</v>
      </c>
      <c r="AH225" s="208"/>
      <c r="AI225" s="208"/>
      <c r="AJ225" s="208"/>
      <c r="AK225" s="208"/>
      <c r="AL225" s="208"/>
      <c r="AM225" s="208">
        <v>478523</v>
      </c>
      <c r="AN225" s="208">
        <f t="shared" si="337"/>
        <v>472147</v>
      </c>
      <c r="AO225" s="208">
        <f t="shared" si="338"/>
        <v>-6376</v>
      </c>
      <c r="AP225" s="208">
        <v>-14114</v>
      </c>
      <c r="AQ225" s="208"/>
      <c r="AR225" s="208"/>
      <c r="AS225" s="208"/>
      <c r="AT225" s="208"/>
      <c r="AU225" s="208"/>
      <c r="AV225" s="208">
        <v>7738</v>
      </c>
      <c r="AW225" s="208"/>
      <c r="AX225" s="208"/>
      <c r="AY225" s="208"/>
      <c r="AZ225" s="208"/>
      <c r="BA225" s="208">
        <v>51261</v>
      </c>
      <c r="BB225" s="208">
        <f t="shared" si="339"/>
        <v>40445</v>
      </c>
      <c r="BC225" s="208">
        <f t="shared" si="340"/>
        <v>-10816</v>
      </c>
      <c r="BD225" s="208">
        <v>1454</v>
      </c>
      <c r="BE225" s="208"/>
      <c r="BF225" s="208"/>
      <c r="BG225" s="208"/>
      <c r="BH225" s="208"/>
      <c r="BI225" s="208"/>
      <c r="BJ225" s="208">
        <v>-12270</v>
      </c>
      <c r="BK225" s="208"/>
      <c r="BL225" s="208"/>
      <c r="BM225" s="208"/>
      <c r="BN225" s="208"/>
      <c r="BO225" s="208">
        <v>1090</v>
      </c>
      <c r="BP225" s="208">
        <f t="shared" si="341"/>
        <v>1090</v>
      </c>
      <c r="BQ225" s="208">
        <f t="shared" si="342"/>
        <v>0</v>
      </c>
      <c r="BR225" s="208"/>
      <c r="BS225" s="208"/>
      <c r="BT225" s="208"/>
      <c r="BU225" s="208"/>
      <c r="BV225" s="208"/>
      <c r="BW225" s="208">
        <f t="shared" si="343"/>
        <v>-1626</v>
      </c>
      <c r="BX225" s="208">
        <f t="shared" si="335"/>
        <v>-1626</v>
      </c>
      <c r="BY225" s="208">
        <v>-300</v>
      </c>
      <c r="BZ225" s="208"/>
      <c r="CA225" s="208"/>
      <c r="CB225" s="208"/>
      <c r="CC225" s="208"/>
      <c r="CD225" s="208"/>
      <c r="CE225" s="208"/>
      <c r="CF225" s="208"/>
      <c r="CG225" s="208">
        <v>-1326</v>
      </c>
      <c r="CH225" s="208"/>
      <c r="CI225" s="259"/>
      <c r="CJ225" s="54" t="s">
        <v>401</v>
      </c>
      <c r="CK225" s="57"/>
      <c r="CL225" s="230" t="s">
        <v>690</v>
      </c>
      <c r="CM225" s="10" t="s">
        <v>691</v>
      </c>
      <c r="CQ225" s="10" t="e">
        <f>D225-#REF!-AM225</f>
        <v>#REF!</v>
      </c>
      <c r="CR225" s="10" t="e">
        <f>D225-#REF!</f>
        <v>#REF!</v>
      </c>
      <c r="CS225" s="1" t="e">
        <f>F225-#REF!</f>
        <v>#REF!</v>
      </c>
    </row>
    <row r="226" spans="1:97" s="71" customFormat="1" x14ac:dyDescent="0.2">
      <c r="A226" s="75"/>
      <c r="B226" s="159"/>
      <c r="C226" s="255" t="s">
        <v>240</v>
      </c>
      <c r="D226" s="220">
        <f t="shared" si="376"/>
        <v>380341</v>
      </c>
      <c r="E226" s="208">
        <f t="shared" si="357"/>
        <v>249566</v>
      </c>
      <c r="F226" s="208">
        <v>380341</v>
      </c>
      <c r="G226" s="208">
        <f t="shared" si="336"/>
        <v>249566</v>
      </c>
      <c r="H226" s="208">
        <f t="shared" si="334"/>
        <v>-130775</v>
      </c>
      <c r="I226" s="208"/>
      <c r="J226" s="208"/>
      <c r="K226" s="208"/>
      <c r="L226" s="208"/>
      <c r="M226" s="208">
        <f>5582+3643</f>
        <v>9225</v>
      </c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>
        <v>-947</v>
      </c>
      <c r="Y226" s="208"/>
      <c r="Z226" s="208"/>
      <c r="AA226" s="208">
        <v>-432</v>
      </c>
      <c r="AB226" s="208"/>
      <c r="AC226" s="208"/>
      <c r="AD226" s="208"/>
      <c r="AE226" s="208"/>
      <c r="AF226" s="208"/>
      <c r="AG226" s="208">
        <v>-138621</v>
      </c>
      <c r="AH226" s="208"/>
      <c r="AI226" s="208"/>
      <c r="AJ226" s="208"/>
      <c r="AK226" s="208"/>
      <c r="AL226" s="208"/>
      <c r="AM226" s="208">
        <v>0</v>
      </c>
      <c r="AN226" s="208">
        <f t="shared" si="337"/>
        <v>0</v>
      </c>
      <c r="AO226" s="208">
        <f t="shared" si="338"/>
        <v>0</v>
      </c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>
        <v>0</v>
      </c>
      <c r="BB226" s="208">
        <f t="shared" si="339"/>
        <v>0</v>
      </c>
      <c r="BC226" s="208">
        <f t="shared" si="340"/>
        <v>0</v>
      </c>
      <c r="BD226" s="208"/>
      <c r="BE226" s="208"/>
      <c r="BF226" s="208"/>
      <c r="BG226" s="208"/>
      <c r="BH226" s="208"/>
      <c r="BI226" s="208"/>
      <c r="BJ226" s="208"/>
      <c r="BK226" s="208"/>
      <c r="BL226" s="208"/>
      <c r="BM226" s="208"/>
      <c r="BN226" s="208"/>
      <c r="BO226" s="208">
        <v>0</v>
      </c>
      <c r="BP226" s="208">
        <f t="shared" si="341"/>
        <v>0</v>
      </c>
      <c r="BQ226" s="208">
        <f t="shared" si="342"/>
        <v>0</v>
      </c>
      <c r="BR226" s="208"/>
      <c r="BS226" s="208"/>
      <c r="BT226" s="208"/>
      <c r="BU226" s="208"/>
      <c r="BV226" s="208"/>
      <c r="BW226" s="208">
        <f t="shared" si="343"/>
        <v>0</v>
      </c>
      <c r="BX226" s="208">
        <f t="shared" si="335"/>
        <v>0</v>
      </c>
      <c r="BY226" s="208"/>
      <c r="BZ226" s="208"/>
      <c r="CA226" s="208"/>
      <c r="CB226" s="208"/>
      <c r="CC226" s="208"/>
      <c r="CD226" s="208"/>
      <c r="CE226" s="208"/>
      <c r="CF226" s="208"/>
      <c r="CG226" s="208"/>
      <c r="CH226" s="208"/>
      <c r="CI226" s="259"/>
      <c r="CJ226" s="54" t="s">
        <v>724</v>
      </c>
      <c r="CK226" s="57" t="s">
        <v>479</v>
      </c>
      <c r="CL226" s="230" t="s">
        <v>690</v>
      </c>
      <c r="CM226" s="10" t="s">
        <v>691</v>
      </c>
      <c r="CQ226" s="10" t="e">
        <f>D226-#REF!-AM226</f>
        <v>#REF!</v>
      </c>
      <c r="CR226" s="10" t="e">
        <f>D226-#REF!</f>
        <v>#REF!</v>
      </c>
      <c r="CS226" s="71" t="e">
        <f>F226-#REF!</f>
        <v>#REF!</v>
      </c>
    </row>
    <row r="227" spans="1:97" ht="24" customHeight="1" x14ac:dyDescent="0.2">
      <c r="A227" s="75">
        <v>90000783949</v>
      </c>
      <c r="B227" s="158" t="s">
        <v>19</v>
      </c>
      <c r="C227" s="255" t="s">
        <v>221</v>
      </c>
      <c r="D227" s="220">
        <f t="shared" si="376"/>
        <v>694161</v>
      </c>
      <c r="E227" s="208">
        <f t="shared" si="357"/>
        <v>713425</v>
      </c>
      <c r="F227" s="208">
        <v>298691</v>
      </c>
      <c r="G227" s="208">
        <f t="shared" si="336"/>
        <v>320342</v>
      </c>
      <c r="H227" s="208">
        <f t="shared" si="334"/>
        <v>21651</v>
      </c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>
        <v>2578</v>
      </c>
      <c r="AD227" s="208"/>
      <c r="AE227" s="208"/>
      <c r="AF227" s="208"/>
      <c r="AG227" s="208">
        <v>19073</v>
      </c>
      <c r="AH227" s="208"/>
      <c r="AI227" s="208"/>
      <c r="AJ227" s="208"/>
      <c r="AK227" s="208"/>
      <c r="AL227" s="208"/>
      <c r="AM227" s="208">
        <v>391774</v>
      </c>
      <c r="AN227" s="208">
        <f t="shared" si="337"/>
        <v>390712</v>
      </c>
      <c r="AO227" s="208">
        <f t="shared" si="338"/>
        <v>-1062</v>
      </c>
      <c r="AP227" s="208">
        <v>8818</v>
      </c>
      <c r="AQ227" s="208"/>
      <c r="AR227" s="208">
        <v>-1092</v>
      </c>
      <c r="AS227" s="208"/>
      <c r="AT227" s="208"/>
      <c r="AU227" s="208"/>
      <c r="AV227" s="208">
        <f>-892-7896</f>
        <v>-8788</v>
      </c>
      <c r="AW227" s="208"/>
      <c r="AX227" s="208"/>
      <c r="AY227" s="208"/>
      <c r="AZ227" s="208"/>
      <c r="BA227" s="208">
        <v>3695</v>
      </c>
      <c r="BB227" s="208">
        <f t="shared" si="339"/>
        <v>2370</v>
      </c>
      <c r="BC227" s="208">
        <f t="shared" si="340"/>
        <v>-1325</v>
      </c>
      <c r="BD227" s="208">
        <v>43</v>
      </c>
      <c r="BE227" s="208"/>
      <c r="BF227" s="208"/>
      <c r="BG227" s="208">
        <v>-1368</v>
      </c>
      <c r="BH227" s="208"/>
      <c r="BI227" s="208"/>
      <c r="BJ227" s="208"/>
      <c r="BK227" s="208"/>
      <c r="BL227" s="208"/>
      <c r="BM227" s="208"/>
      <c r="BN227" s="208"/>
      <c r="BO227" s="208">
        <v>1</v>
      </c>
      <c r="BP227" s="208">
        <f t="shared" si="341"/>
        <v>1</v>
      </c>
      <c r="BQ227" s="208">
        <f t="shared" si="342"/>
        <v>0</v>
      </c>
      <c r="BR227" s="208"/>
      <c r="BS227" s="208"/>
      <c r="BT227" s="208"/>
      <c r="BU227" s="208"/>
      <c r="BV227" s="208"/>
      <c r="BW227" s="208">
        <f t="shared" si="343"/>
        <v>0</v>
      </c>
      <c r="BX227" s="208">
        <f t="shared" si="335"/>
        <v>0</v>
      </c>
      <c r="BY227" s="208"/>
      <c r="BZ227" s="208"/>
      <c r="CA227" s="208"/>
      <c r="CB227" s="208"/>
      <c r="CC227" s="208"/>
      <c r="CD227" s="208"/>
      <c r="CE227" s="208"/>
      <c r="CF227" s="208"/>
      <c r="CG227" s="208"/>
      <c r="CH227" s="208"/>
      <c r="CI227" s="259"/>
      <c r="CJ227" s="54" t="s">
        <v>402</v>
      </c>
      <c r="CK227" s="57"/>
      <c r="CL227" s="230" t="s">
        <v>696</v>
      </c>
      <c r="CM227" s="10" t="s">
        <v>697</v>
      </c>
      <c r="CQ227" s="10" t="e">
        <f>D227-#REF!-AM227</f>
        <v>#REF!</v>
      </c>
      <c r="CR227" s="10" t="e">
        <f>D227-#REF!</f>
        <v>#REF!</v>
      </c>
      <c r="CS227" s="1" t="e">
        <f>F227-#REF!</f>
        <v>#REF!</v>
      </c>
    </row>
    <row r="228" spans="1:97" ht="12.75" x14ac:dyDescent="0.2">
      <c r="A228" s="75"/>
      <c r="B228" s="160"/>
      <c r="C228" s="255" t="s">
        <v>233</v>
      </c>
      <c r="D228" s="220">
        <f t="shared" si="376"/>
        <v>57612</v>
      </c>
      <c r="E228" s="208">
        <f t="shared" si="357"/>
        <v>57613</v>
      </c>
      <c r="F228" s="208">
        <v>50130</v>
      </c>
      <c r="G228" s="208">
        <f t="shared" si="336"/>
        <v>50130</v>
      </c>
      <c r="H228" s="208">
        <f t="shared" si="334"/>
        <v>0</v>
      </c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>
        <v>7482</v>
      </c>
      <c r="AN228" s="208">
        <f t="shared" si="337"/>
        <v>7483</v>
      </c>
      <c r="AO228" s="208">
        <f t="shared" si="338"/>
        <v>1</v>
      </c>
      <c r="AP228" s="208">
        <v>1</v>
      </c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>
        <v>0</v>
      </c>
      <c r="BB228" s="208">
        <f t="shared" si="339"/>
        <v>0</v>
      </c>
      <c r="BC228" s="208">
        <f t="shared" si="340"/>
        <v>0</v>
      </c>
      <c r="BD228" s="208"/>
      <c r="BE228" s="208"/>
      <c r="BF228" s="208"/>
      <c r="BG228" s="208"/>
      <c r="BH228" s="208"/>
      <c r="BI228" s="208"/>
      <c r="BJ228" s="208"/>
      <c r="BK228" s="208"/>
      <c r="BL228" s="208"/>
      <c r="BM228" s="208"/>
      <c r="BN228" s="208"/>
      <c r="BO228" s="208">
        <v>0</v>
      </c>
      <c r="BP228" s="208">
        <f t="shared" si="341"/>
        <v>0</v>
      </c>
      <c r="BQ228" s="208">
        <f t="shared" si="342"/>
        <v>0</v>
      </c>
      <c r="BR228" s="208"/>
      <c r="BS228" s="208"/>
      <c r="BT228" s="208"/>
      <c r="BU228" s="208"/>
      <c r="BV228" s="208"/>
      <c r="BW228" s="208">
        <f t="shared" si="343"/>
        <v>0</v>
      </c>
      <c r="BX228" s="208">
        <f t="shared" si="335"/>
        <v>0</v>
      </c>
      <c r="BY228" s="208"/>
      <c r="BZ228" s="208"/>
      <c r="CA228" s="208"/>
      <c r="CB228" s="208"/>
      <c r="CC228" s="208"/>
      <c r="CD228" s="208"/>
      <c r="CE228" s="208"/>
      <c r="CF228" s="208"/>
      <c r="CG228" s="208"/>
      <c r="CH228" s="208"/>
      <c r="CI228" s="259"/>
      <c r="CJ228" s="54" t="s">
        <v>403</v>
      </c>
      <c r="CK228" s="57"/>
      <c r="CL228" s="230" t="s">
        <v>698</v>
      </c>
      <c r="CM228" s="10" t="s">
        <v>699</v>
      </c>
      <c r="CQ228" s="10" t="e">
        <f>D228-#REF!-AM228</f>
        <v>#REF!</v>
      </c>
      <c r="CR228" s="10" t="e">
        <f>D228-#REF!</f>
        <v>#REF!</v>
      </c>
      <c r="CS228" s="1" t="e">
        <f>F228-#REF!</f>
        <v>#REF!</v>
      </c>
    </row>
    <row r="229" spans="1:97" s="130" customFormat="1" ht="28.5" customHeight="1" x14ac:dyDescent="0.2">
      <c r="A229" s="75"/>
      <c r="B229" s="160"/>
      <c r="C229" s="255" t="s">
        <v>656</v>
      </c>
      <c r="D229" s="220">
        <f t="shared" si="376"/>
        <v>20569</v>
      </c>
      <c r="E229" s="208">
        <f t="shared" si="357"/>
        <v>20569</v>
      </c>
      <c r="F229" s="208">
        <v>20569</v>
      </c>
      <c r="G229" s="208">
        <f t="shared" si="336"/>
        <v>20569</v>
      </c>
      <c r="H229" s="208">
        <f t="shared" ref="H229:H233" si="377">SUM(I229:AL229)</f>
        <v>0</v>
      </c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>
        <v>0</v>
      </c>
      <c r="AN229" s="208">
        <f t="shared" si="337"/>
        <v>0</v>
      </c>
      <c r="AO229" s="208">
        <f t="shared" si="338"/>
        <v>0</v>
      </c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>
        <v>0</v>
      </c>
      <c r="BB229" s="208">
        <f t="shared" si="339"/>
        <v>0</v>
      </c>
      <c r="BC229" s="208">
        <f t="shared" si="340"/>
        <v>0</v>
      </c>
      <c r="BD229" s="208"/>
      <c r="BE229" s="208"/>
      <c r="BF229" s="208"/>
      <c r="BG229" s="208"/>
      <c r="BH229" s="208"/>
      <c r="BI229" s="208"/>
      <c r="BJ229" s="208"/>
      <c r="BK229" s="208"/>
      <c r="BL229" s="208"/>
      <c r="BM229" s="208"/>
      <c r="BN229" s="208"/>
      <c r="BO229" s="208">
        <v>0</v>
      </c>
      <c r="BP229" s="208">
        <f t="shared" si="341"/>
        <v>0</v>
      </c>
      <c r="BQ229" s="208">
        <f t="shared" si="342"/>
        <v>0</v>
      </c>
      <c r="BR229" s="208"/>
      <c r="BS229" s="208"/>
      <c r="BT229" s="208"/>
      <c r="BU229" s="208"/>
      <c r="BV229" s="208"/>
      <c r="BW229" s="208">
        <f t="shared" si="343"/>
        <v>0</v>
      </c>
      <c r="BX229" s="208">
        <f t="shared" si="335"/>
        <v>0</v>
      </c>
      <c r="BY229" s="208"/>
      <c r="BZ229" s="208"/>
      <c r="CA229" s="208"/>
      <c r="CB229" s="208"/>
      <c r="CC229" s="208"/>
      <c r="CD229" s="208"/>
      <c r="CE229" s="208"/>
      <c r="CF229" s="208"/>
      <c r="CG229" s="208"/>
      <c r="CH229" s="208"/>
      <c r="CI229" s="259"/>
      <c r="CJ229" s="54" t="s">
        <v>725</v>
      </c>
      <c r="CK229" s="57"/>
      <c r="CL229" s="230" t="s">
        <v>689</v>
      </c>
      <c r="CM229" s="230" t="s">
        <v>689</v>
      </c>
      <c r="CQ229" s="10" t="e">
        <f>D229-#REF!-AM229</f>
        <v>#REF!</v>
      </c>
      <c r="CR229" s="10" t="e">
        <f>D229-#REF!</f>
        <v>#REF!</v>
      </c>
      <c r="CS229" s="130" t="e">
        <f>F229-#REF!</f>
        <v>#REF!</v>
      </c>
    </row>
    <row r="230" spans="1:97" s="130" customFormat="1" ht="28.5" customHeight="1" x14ac:dyDescent="0.2">
      <c r="A230" s="75"/>
      <c r="B230" s="160"/>
      <c r="C230" s="360" t="s">
        <v>786</v>
      </c>
      <c r="D230" s="220"/>
      <c r="E230" s="208">
        <f t="shared" si="357"/>
        <v>1</v>
      </c>
      <c r="F230" s="208"/>
      <c r="G230" s="208">
        <f t="shared" ref="G230" si="378">F230+H230</f>
        <v>2720</v>
      </c>
      <c r="H230" s="208">
        <f t="shared" si="377"/>
        <v>2720</v>
      </c>
      <c r="I230" s="208"/>
      <c r="J230" s="208"/>
      <c r="K230" s="208"/>
      <c r="L230" s="208"/>
      <c r="M230" s="208">
        <v>2720</v>
      </c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>
        <f t="shared" ref="AN230" si="379">AM230+AO230</f>
        <v>0</v>
      </c>
      <c r="AO230" s="208">
        <f t="shared" ref="AO230" si="380">SUM(AP230:AZ230)</f>
        <v>0</v>
      </c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>
        <f t="shared" ref="BB230" si="381">BA230+BC230</f>
        <v>0</v>
      </c>
      <c r="BC230" s="208">
        <f t="shared" ref="BC230" si="382">SUM(BD230:BN230)</f>
        <v>0</v>
      </c>
      <c r="BD230" s="208"/>
      <c r="BE230" s="208"/>
      <c r="BF230" s="208"/>
      <c r="BG230" s="208"/>
      <c r="BH230" s="208"/>
      <c r="BI230" s="208"/>
      <c r="BJ230" s="208"/>
      <c r="BK230" s="208"/>
      <c r="BL230" s="208"/>
      <c r="BM230" s="208"/>
      <c r="BN230" s="208"/>
      <c r="BO230" s="208"/>
      <c r="BP230" s="208">
        <f t="shared" ref="BP230" si="383">BO230+BQ230</f>
        <v>0</v>
      </c>
      <c r="BQ230" s="208">
        <f t="shared" ref="BQ230" si="384">SUM(BR230:BU230)</f>
        <v>0</v>
      </c>
      <c r="BR230" s="208"/>
      <c r="BS230" s="208"/>
      <c r="BT230" s="208"/>
      <c r="BU230" s="208"/>
      <c r="BV230" s="208"/>
      <c r="BW230" s="208">
        <f t="shared" ref="BW230" si="385">BV230+BX230</f>
        <v>-2719</v>
      </c>
      <c r="BX230" s="208">
        <f t="shared" si="335"/>
        <v>-2719</v>
      </c>
      <c r="BY230" s="208">
        <v>-2719</v>
      </c>
      <c r="BZ230" s="208"/>
      <c r="CA230" s="208"/>
      <c r="CB230" s="208"/>
      <c r="CC230" s="208"/>
      <c r="CD230" s="208"/>
      <c r="CE230" s="208"/>
      <c r="CF230" s="208"/>
      <c r="CG230" s="208"/>
      <c r="CH230" s="208"/>
      <c r="CI230" s="259"/>
      <c r="CJ230" s="54" t="s">
        <v>787</v>
      </c>
      <c r="CK230" s="57"/>
      <c r="CL230" s="230"/>
      <c r="CM230" s="230"/>
      <c r="CQ230" s="10"/>
      <c r="CR230" s="10"/>
    </row>
    <row r="231" spans="1:97" s="130" customFormat="1" ht="39" customHeight="1" x14ac:dyDescent="0.2">
      <c r="A231" s="75"/>
      <c r="B231" s="160"/>
      <c r="C231" s="360" t="s">
        <v>789</v>
      </c>
      <c r="D231" s="220"/>
      <c r="E231" s="208">
        <f t="shared" si="357"/>
        <v>9</v>
      </c>
      <c r="F231" s="208"/>
      <c r="G231" s="208">
        <f t="shared" ref="G231" si="386">F231+H231</f>
        <v>6793</v>
      </c>
      <c r="H231" s="208">
        <f t="shared" si="377"/>
        <v>6793</v>
      </c>
      <c r="I231" s="208"/>
      <c r="J231" s="208"/>
      <c r="K231" s="208"/>
      <c r="L231" s="208"/>
      <c r="M231" s="208">
        <v>6793</v>
      </c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>
        <f t="shared" ref="AN231" si="387">AM231+AO231</f>
        <v>0</v>
      </c>
      <c r="AO231" s="208">
        <f t="shared" ref="AO231" si="388">SUM(AP231:AZ231)</f>
        <v>0</v>
      </c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>
        <f t="shared" ref="BB231" si="389">BA231+BC231</f>
        <v>0</v>
      </c>
      <c r="BC231" s="208">
        <f t="shared" ref="BC231" si="390">SUM(BD231:BN231)</f>
        <v>0</v>
      </c>
      <c r="BD231" s="208"/>
      <c r="BE231" s="208"/>
      <c r="BF231" s="208"/>
      <c r="BG231" s="208"/>
      <c r="BH231" s="208"/>
      <c r="BI231" s="208"/>
      <c r="BJ231" s="208"/>
      <c r="BK231" s="208"/>
      <c r="BL231" s="208"/>
      <c r="BM231" s="208"/>
      <c r="BN231" s="208"/>
      <c r="BO231" s="208"/>
      <c r="BP231" s="208">
        <f t="shared" ref="BP231" si="391">BO231+BQ231</f>
        <v>0</v>
      </c>
      <c r="BQ231" s="208">
        <f t="shared" ref="BQ231" si="392">SUM(BR231:BU231)</f>
        <v>0</v>
      </c>
      <c r="BR231" s="208"/>
      <c r="BS231" s="208"/>
      <c r="BT231" s="208"/>
      <c r="BU231" s="208"/>
      <c r="BV231" s="208"/>
      <c r="BW231" s="208">
        <f t="shared" ref="BW231" si="393">BV231+BX231</f>
        <v>-6784</v>
      </c>
      <c r="BX231" s="208">
        <f t="shared" ref="BX231:BX233" si="394">SUM(BY231:CI231)</f>
        <v>-6784</v>
      </c>
      <c r="BY231" s="208">
        <v>-6784</v>
      </c>
      <c r="BZ231" s="208"/>
      <c r="CA231" s="208"/>
      <c r="CB231" s="208"/>
      <c r="CC231" s="208"/>
      <c r="CD231" s="208"/>
      <c r="CE231" s="208"/>
      <c r="CF231" s="208"/>
      <c r="CG231" s="208"/>
      <c r="CH231" s="208"/>
      <c r="CI231" s="259"/>
      <c r="CJ231" s="54" t="s">
        <v>788</v>
      </c>
      <c r="CK231" s="57"/>
      <c r="CL231" s="230"/>
      <c r="CM231" s="230"/>
      <c r="CQ231" s="10"/>
      <c r="CR231" s="10"/>
    </row>
    <row r="232" spans="1:97" s="130" customFormat="1" ht="24" x14ac:dyDescent="0.2">
      <c r="A232" s="75"/>
      <c r="B232" s="160"/>
      <c r="C232" s="402" t="s">
        <v>851</v>
      </c>
      <c r="D232" s="220"/>
      <c r="E232" s="208">
        <f t="shared" si="357"/>
        <v>42638</v>
      </c>
      <c r="F232" s="208"/>
      <c r="G232" s="208">
        <f t="shared" ref="G232" si="395">F232+H232</f>
        <v>42638</v>
      </c>
      <c r="H232" s="208">
        <f t="shared" si="377"/>
        <v>42638</v>
      </c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>
        <v>42638</v>
      </c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>
        <f t="shared" ref="AN232" si="396">AM232+AO232</f>
        <v>0</v>
      </c>
      <c r="AO232" s="208">
        <f t="shared" ref="AO232" si="397">SUM(AP232:AZ232)</f>
        <v>0</v>
      </c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>
        <f t="shared" ref="BB232" si="398">BA232+BC232</f>
        <v>0</v>
      </c>
      <c r="BC232" s="208">
        <f t="shared" ref="BC232" si="399">SUM(BD232:BN232)</f>
        <v>0</v>
      </c>
      <c r="BD232" s="208"/>
      <c r="BE232" s="208"/>
      <c r="BF232" s="208"/>
      <c r="BG232" s="208"/>
      <c r="BH232" s="208"/>
      <c r="BI232" s="208"/>
      <c r="BJ232" s="208"/>
      <c r="BK232" s="208"/>
      <c r="BL232" s="208"/>
      <c r="BM232" s="208"/>
      <c r="BN232" s="208"/>
      <c r="BO232" s="208"/>
      <c r="BP232" s="208">
        <f t="shared" ref="BP232" si="400">BO232+BQ232</f>
        <v>0</v>
      </c>
      <c r="BQ232" s="208">
        <f t="shared" ref="BQ232" si="401">SUM(BR232:BU232)</f>
        <v>0</v>
      </c>
      <c r="BR232" s="208"/>
      <c r="BS232" s="208"/>
      <c r="BT232" s="208"/>
      <c r="BU232" s="208"/>
      <c r="BV232" s="208"/>
      <c r="BW232" s="208">
        <f t="shared" ref="BW232" si="402">BV232+BX232</f>
        <v>0</v>
      </c>
      <c r="BX232" s="208">
        <f t="shared" si="394"/>
        <v>0</v>
      </c>
      <c r="BY232" s="208"/>
      <c r="BZ232" s="208"/>
      <c r="CA232" s="208"/>
      <c r="CB232" s="208"/>
      <c r="CC232" s="208"/>
      <c r="CD232" s="208"/>
      <c r="CE232" s="208"/>
      <c r="CF232" s="208"/>
      <c r="CG232" s="208"/>
      <c r="CH232" s="208"/>
      <c r="CI232" s="259"/>
      <c r="CJ232" s="54" t="s">
        <v>850</v>
      </c>
      <c r="CK232" s="57"/>
      <c r="CL232" s="230"/>
      <c r="CM232" s="230"/>
      <c r="CQ232" s="10"/>
      <c r="CR232" s="10"/>
    </row>
    <row r="233" spans="1:97" s="74" customFormat="1" ht="36" x14ac:dyDescent="0.2">
      <c r="A233" s="75">
        <v>40008006745</v>
      </c>
      <c r="B233" s="158" t="s">
        <v>293</v>
      </c>
      <c r="C233" s="269" t="s">
        <v>233</v>
      </c>
      <c r="D233" s="220">
        <f>F233+AM233+BA233+BO233+BV233</f>
        <v>13877</v>
      </c>
      <c r="E233" s="208">
        <f t="shared" si="357"/>
        <v>0</v>
      </c>
      <c r="F233" s="208">
        <v>0</v>
      </c>
      <c r="G233" s="208">
        <f t="shared" si="336"/>
        <v>0</v>
      </c>
      <c r="H233" s="208">
        <f t="shared" si="377"/>
        <v>0</v>
      </c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>
        <v>13877</v>
      </c>
      <c r="AN233" s="208">
        <f t="shared" si="337"/>
        <v>0</v>
      </c>
      <c r="AO233" s="208">
        <f t="shared" si="338"/>
        <v>-13877</v>
      </c>
      <c r="AP233" s="208">
        <v>-13877</v>
      </c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>
        <v>0</v>
      </c>
      <c r="BB233" s="208">
        <f t="shared" si="339"/>
        <v>0</v>
      </c>
      <c r="BC233" s="208">
        <f t="shared" si="340"/>
        <v>0</v>
      </c>
      <c r="BD233" s="208"/>
      <c r="BE233" s="208"/>
      <c r="BF233" s="208"/>
      <c r="BG233" s="208"/>
      <c r="BH233" s="208"/>
      <c r="BI233" s="208"/>
      <c r="BJ233" s="208"/>
      <c r="BK233" s="208"/>
      <c r="BL233" s="208"/>
      <c r="BM233" s="208"/>
      <c r="BN233" s="208"/>
      <c r="BO233" s="208">
        <v>0</v>
      </c>
      <c r="BP233" s="208">
        <f t="shared" si="341"/>
        <v>0</v>
      </c>
      <c r="BQ233" s="208">
        <f t="shared" si="342"/>
        <v>0</v>
      </c>
      <c r="BR233" s="208"/>
      <c r="BS233" s="208"/>
      <c r="BT233" s="208"/>
      <c r="BU233" s="208"/>
      <c r="BV233" s="208"/>
      <c r="BW233" s="208">
        <f t="shared" si="343"/>
        <v>0</v>
      </c>
      <c r="BX233" s="208">
        <f t="shared" si="394"/>
        <v>0</v>
      </c>
      <c r="BY233" s="208"/>
      <c r="BZ233" s="208"/>
      <c r="CA233" s="208"/>
      <c r="CB233" s="208"/>
      <c r="CC233" s="208"/>
      <c r="CD233" s="208"/>
      <c r="CE233" s="208"/>
      <c r="CF233" s="208"/>
      <c r="CG233" s="208"/>
      <c r="CH233" s="208"/>
      <c r="CI233" s="259"/>
      <c r="CJ233" s="54" t="s">
        <v>627</v>
      </c>
      <c r="CK233" s="57"/>
      <c r="CL233" s="230" t="s">
        <v>692</v>
      </c>
      <c r="CM233" s="10" t="s">
        <v>693</v>
      </c>
      <c r="CQ233" s="10" t="e">
        <f>D233-#REF!-AM233</f>
        <v>#REF!</v>
      </c>
      <c r="CR233" s="10" t="e">
        <f>D233-#REF!</f>
        <v>#REF!</v>
      </c>
      <c r="CS233" s="74" t="e">
        <f>F233-#REF!</f>
        <v>#REF!</v>
      </c>
    </row>
    <row r="234" spans="1:97" ht="16.5" customHeight="1" thickBot="1" x14ac:dyDescent="0.25">
      <c r="A234" s="197"/>
      <c r="B234" s="142"/>
      <c r="C234" s="198"/>
      <c r="D234" s="225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/>
      <c r="AF234" s="214"/>
      <c r="AG234" s="214"/>
      <c r="AH234" s="214"/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  <c r="BI234" s="214"/>
      <c r="BJ234" s="214"/>
      <c r="BK234" s="214"/>
      <c r="BL234" s="214"/>
      <c r="BM234" s="214"/>
      <c r="BN234" s="214"/>
      <c r="BO234" s="214"/>
      <c r="BP234" s="214"/>
      <c r="BQ234" s="214"/>
      <c r="BR234" s="214"/>
      <c r="BS234" s="214"/>
      <c r="BT234" s="214"/>
      <c r="BU234" s="214"/>
      <c r="BV234" s="214"/>
      <c r="BW234" s="214"/>
      <c r="BX234" s="214"/>
      <c r="BY234" s="214"/>
      <c r="BZ234" s="214"/>
      <c r="CA234" s="214"/>
      <c r="CB234" s="214"/>
      <c r="CC234" s="214"/>
      <c r="CD234" s="214"/>
      <c r="CE234" s="214"/>
      <c r="CF234" s="214"/>
      <c r="CG234" s="214"/>
      <c r="CH234" s="214"/>
      <c r="CI234" s="274"/>
      <c r="CJ234" s="199"/>
      <c r="CK234" s="200"/>
      <c r="CQ234" s="10" t="e">
        <f>D234-#REF!-AM234</f>
        <v>#REF!</v>
      </c>
      <c r="CR234" s="10" t="e">
        <f>D234-#REF!</f>
        <v>#REF!</v>
      </c>
      <c r="CS234" s="1" t="e">
        <f>F234-#REF!</f>
        <v>#REF!</v>
      </c>
    </row>
    <row r="235" spans="1:97" ht="16.5" customHeight="1" thickBot="1" x14ac:dyDescent="0.25">
      <c r="A235" s="139">
        <v>10</v>
      </c>
      <c r="B235" s="379" t="s">
        <v>21</v>
      </c>
      <c r="C235" s="187"/>
      <c r="D235" s="223">
        <f t="shared" ref="D235:E235" si="403">SUM(D236:D257)</f>
        <v>7254366</v>
      </c>
      <c r="E235" s="262">
        <f t="shared" si="403"/>
        <v>7732275</v>
      </c>
      <c r="F235" s="262">
        <f>SUM(F236:F257)</f>
        <v>6222400</v>
      </c>
      <c r="G235" s="262">
        <f t="shared" ref="G235:CI235" si="404">SUM(G236:G257)</f>
        <v>6642041</v>
      </c>
      <c r="H235" s="262">
        <f t="shared" si="404"/>
        <v>419641</v>
      </c>
      <c r="I235" s="262">
        <f t="shared" si="404"/>
        <v>0</v>
      </c>
      <c r="J235" s="262">
        <f t="shared" si="404"/>
        <v>0</v>
      </c>
      <c r="K235" s="262">
        <f t="shared" si="404"/>
        <v>0</v>
      </c>
      <c r="L235" s="262">
        <f t="shared" si="404"/>
        <v>0</v>
      </c>
      <c r="M235" s="262">
        <f t="shared" si="404"/>
        <v>60805</v>
      </c>
      <c r="N235" s="262">
        <f t="shared" si="404"/>
        <v>0</v>
      </c>
      <c r="O235" s="262">
        <f t="shared" si="404"/>
        <v>2205</v>
      </c>
      <c r="P235" s="262">
        <f t="shared" si="404"/>
        <v>65108</v>
      </c>
      <c r="Q235" s="262">
        <f t="shared" si="404"/>
        <v>75553</v>
      </c>
      <c r="R235" s="262">
        <f t="shared" ref="R235:AK235" si="405">SUM(R236:R257)</f>
        <v>6350</v>
      </c>
      <c r="S235" s="262">
        <f t="shared" si="405"/>
        <v>0</v>
      </c>
      <c r="T235" s="262">
        <f t="shared" si="405"/>
        <v>0</v>
      </c>
      <c r="U235" s="262">
        <f t="shared" si="405"/>
        <v>2863</v>
      </c>
      <c r="V235" s="262">
        <f t="shared" si="405"/>
        <v>0</v>
      </c>
      <c r="W235" s="262">
        <f t="shared" si="405"/>
        <v>0</v>
      </c>
      <c r="X235" s="262">
        <f t="shared" si="405"/>
        <v>0</v>
      </c>
      <c r="Y235" s="262">
        <f t="shared" si="405"/>
        <v>0</v>
      </c>
      <c r="Z235" s="262">
        <f t="shared" si="405"/>
        <v>0</v>
      </c>
      <c r="AA235" s="262">
        <f t="shared" si="405"/>
        <v>-20750</v>
      </c>
      <c r="AB235" s="262">
        <f t="shared" si="405"/>
        <v>0</v>
      </c>
      <c r="AC235" s="262">
        <f t="shared" si="405"/>
        <v>0</v>
      </c>
      <c r="AD235" s="262">
        <f t="shared" si="405"/>
        <v>0</v>
      </c>
      <c r="AE235" s="262">
        <f t="shared" ref="AE235:AI235" si="406">SUM(AE236:AE257)</f>
        <v>0</v>
      </c>
      <c r="AF235" s="262">
        <f t="shared" ref="AF235:AG235" si="407">SUM(AF236:AF257)</f>
        <v>0</v>
      </c>
      <c r="AG235" s="262">
        <f t="shared" si="407"/>
        <v>207207</v>
      </c>
      <c r="AH235" s="262">
        <f t="shared" si="406"/>
        <v>0</v>
      </c>
      <c r="AI235" s="262">
        <f t="shared" si="406"/>
        <v>20300</v>
      </c>
      <c r="AJ235" s="262">
        <f t="shared" si="405"/>
        <v>0</v>
      </c>
      <c r="AK235" s="262">
        <f t="shared" si="405"/>
        <v>0</v>
      </c>
      <c r="AL235" s="262">
        <f t="shared" si="404"/>
        <v>0</v>
      </c>
      <c r="AM235" s="262">
        <f t="shared" si="404"/>
        <v>335239</v>
      </c>
      <c r="AN235" s="262">
        <f t="shared" si="404"/>
        <v>335239</v>
      </c>
      <c r="AO235" s="262">
        <f t="shared" si="404"/>
        <v>0</v>
      </c>
      <c r="AP235" s="262">
        <f t="shared" si="404"/>
        <v>0</v>
      </c>
      <c r="AQ235" s="262">
        <f t="shared" si="404"/>
        <v>0</v>
      </c>
      <c r="AR235" s="262">
        <f t="shared" si="404"/>
        <v>0</v>
      </c>
      <c r="AS235" s="262">
        <f t="shared" si="404"/>
        <v>0</v>
      </c>
      <c r="AT235" s="262">
        <f t="shared" si="404"/>
        <v>0</v>
      </c>
      <c r="AU235" s="262">
        <f t="shared" ref="AU235" si="408">SUM(AU236:AU257)</f>
        <v>0</v>
      </c>
      <c r="AV235" s="262">
        <f t="shared" si="404"/>
        <v>0</v>
      </c>
      <c r="AW235" s="262">
        <f t="shared" si="404"/>
        <v>0</v>
      </c>
      <c r="AX235" s="262">
        <f t="shared" si="404"/>
        <v>0</v>
      </c>
      <c r="AY235" s="262">
        <f t="shared" si="404"/>
        <v>0</v>
      </c>
      <c r="AZ235" s="262">
        <f t="shared" si="404"/>
        <v>0</v>
      </c>
      <c r="BA235" s="262">
        <f t="shared" si="404"/>
        <v>700777</v>
      </c>
      <c r="BB235" s="262">
        <f t="shared" si="404"/>
        <v>760398</v>
      </c>
      <c r="BC235" s="262">
        <f t="shared" si="404"/>
        <v>59621</v>
      </c>
      <c r="BD235" s="262">
        <f t="shared" si="404"/>
        <v>52304</v>
      </c>
      <c r="BE235" s="262">
        <f t="shared" si="404"/>
        <v>0</v>
      </c>
      <c r="BF235" s="262">
        <f t="shared" si="404"/>
        <v>5917</v>
      </c>
      <c r="BG235" s="262">
        <f t="shared" si="404"/>
        <v>1400</v>
      </c>
      <c r="BH235" s="262">
        <f t="shared" ref="BH235" si="409">SUM(BH236:BH257)</f>
        <v>0</v>
      </c>
      <c r="BI235" s="262">
        <f t="shared" si="404"/>
        <v>0</v>
      </c>
      <c r="BJ235" s="262">
        <f t="shared" si="404"/>
        <v>0</v>
      </c>
      <c r="BK235" s="262">
        <f t="shared" si="404"/>
        <v>0</v>
      </c>
      <c r="BL235" s="262">
        <f t="shared" si="404"/>
        <v>0</v>
      </c>
      <c r="BM235" s="262">
        <f t="shared" si="404"/>
        <v>0</v>
      </c>
      <c r="BN235" s="262">
        <f t="shared" si="404"/>
        <v>0</v>
      </c>
      <c r="BO235" s="262">
        <f t="shared" si="404"/>
        <v>0</v>
      </c>
      <c r="BP235" s="262">
        <f t="shared" si="404"/>
        <v>47</v>
      </c>
      <c r="BQ235" s="262">
        <f t="shared" si="404"/>
        <v>47</v>
      </c>
      <c r="BR235" s="262">
        <f t="shared" si="404"/>
        <v>0</v>
      </c>
      <c r="BS235" s="262">
        <f t="shared" si="404"/>
        <v>47</v>
      </c>
      <c r="BT235" s="262">
        <f t="shared" si="404"/>
        <v>0</v>
      </c>
      <c r="BU235" s="262">
        <f t="shared" si="404"/>
        <v>0</v>
      </c>
      <c r="BV235" s="262">
        <f t="shared" si="404"/>
        <v>-4050</v>
      </c>
      <c r="BW235" s="262">
        <f t="shared" si="404"/>
        <v>-5450</v>
      </c>
      <c r="BX235" s="262">
        <f t="shared" si="404"/>
        <v>-1400</v>
      </c>
      <c r="BY235" s="262">
        <f t="shared" si="404"/>
        <v>0</v>
      </c>
      <c r="BZ235" s="262">
        <f t="shared" si="404"/>
        <v>0</v>
      </c>
      <c r="CA235" s="262">
        <f t="shared" si="404"/>
        <v>0</v>
      </c>
      <c r="CB235" s="262">
        <f t="shared" si="404"/>
        <v>0</v>
      </c>
      <c r="CC235" s="262">
        <f t="shared" si="404"/>
        <v>0</v>
      </c>
      <c r="CD235" s="262">
        <f t="shared" si="404"/>
        <v>-1400</v>
      </c>
      <c r="CE235" s="262">
        <f t="shared" si="404"/>
        <v>0</v>
      </c>
      <c r="CF235" s="262">
        <f t="shared" ref="CF235" si="410">SUM(CF236:CF257)</f>
        <v>0</v>
      </c>
      <c r="CG235" s="262">
        <f t="shared" si="404"/>
        <v>0</v>
      </c>
      <c r="CH235" s="262">
        <f t="shared" si="404"/>
        <v>0</v>
      </c>
      <c r="CI235" s="270">
        <f t="shared" si="404"/>
        <v>0</v>
      </c>
      <c r="CJ235" s="7"/>
      <c r="CK235" s="59"/>
      <c r="CQ235" s="10" t="e">
        <f>D235-#REF!-AM235</f>
        <v>#REF!</v>
      </c>
      <c r="CR235" s="10" t="e">
        <f>D235-#REF!</f>
        <v>#REF!</v>
      </c>
      <c r="CS235" s="1" t="e">
        <f>F235-#REF!</f>
        <v>#REF!</v>
      </c>
    </row>
    <row r="236" spans="1:97" s="87" customFormat="1" ht="24.75" customHeight="1" thickTop="1" x14ac:dyDescent="0.2">
      <c r="A236" s="75">
        <v>90000056357</v>
      </c>
      <c r="B236" s="164" t="s">
        <v>5</v>
      </c>
      <c r="C236" s="189" t="s">
        <v>436</v>
      </c>
      <c r="D236" s="220">
        <f>F236+AM236+BA236+BO236+BV236</f>
        <v>5000</v>
      </c>
      <c r="E236" s="211">
        <f>G236+AN236+BB236+BP236+BW236</f>
        <v>13445</v>
      </c>
      <c r="F236" s="211">
        <v>5000</v>
      </c>
      <c r="G236" s="211">
        <f t="shared" ref="G236:G256" si="411">F236+H236</f>
        <v>13445</v>
      </c>
      <c r="H236" s="211">
        <f t="shared" ref="H236:H256" si="412">SUM(I236:AL236)</f>
        <v>8445</v>
      </c>
      <c r="I236" s="211"/>
      <c r="J236" s="211"/>
      <c r="K236" s="211"/>
      <c r="L236" s="211"/>
      <c r="M236" s="211">
        <v>5000</v>
      </c>
      <c r="N236" s="211"/>
      <c r="O236" s="211">
        <v>2205</v>
      </c>
      <c r="P236" s="211"/>
      <c r="Q236" s="211"/>
      <c r="R236" s="211">
        <v>5000</v>
      </c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>
        <v>-3760</v>
      </c>
      <c r="AH236" s="211"/>
      <c r="AI236" s="211"/>
      <c r="AJ236" s="211"/>
      <c r="AK236" s="211"/>
      <c r="AL236" s="211"/>
      <c r="AM236" s="211">
        <v>0</v>
      </c>
      <c r="AN236" s="211">
        <f t="shared" ref="AN236:AN256" si="413">AM236+AO236</f>
        <v>0</v>
      </c>
      <c r="AO236" s="211">
        <f t="shared" ref="AO236:AO256" si="414">SUM(AP236:AZ236)</f>
        <v>0</v>
      </c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>
        <v>0</v>
      </c>
      <c r="BB236" s="211">
        <f t="shared" ref="BB236:BB256" si="415">BA236+BC236</f>
        <v>0</v>
      </c>
      <c r="BC236" s="211">
        <f t="shared" ref="BC236:BC256" si="416">SUM(BD236:BN236)</f>
        <v>0</v>
      </c>
      <c r="BD236" s="211"/>
      <c r="BE236" s="211"/>
      <c r="BF236" s="211"/>
      <c r="BG236" s="211"/>
      <c r="BH236" s="211"/>
      <c r="BI236" s="211"/>
      <c r="BJ236" s="211"/>
      <c r="BK236" s="211"/>
      <c r="BL236" s="211"/>
      <c r="BM236" s="211"/>
      <c r="BN236" s="211"/>
      <c r="BO236" s="211">
        <v>0</v>
      </c>
      <c r="BP236" s="211">
        <f t="shared" ref="BP236:BP256" si="417">BO236+BQ236</f>
        <v>0</v>
      </c>
      <c r="BQ236" s="211">
        <f t="shared" ref="BQ236:BQ256" si="418">SUM(BR236:BU236)</f>
        <v>0</v>
      </c>
      <c r="BR236" s="211"/>
      <c r="BS236" s="211"/>
      <c r="BT236" s="211"/>
      <c r="BU236" s="211"/>
      <c r="BV236" s="211"/>
      <c r="BW236" s="211">
        <f t="shared" ref="BW236:BW256" si="419">BV236+BX236</f>
        <v>0</v>
      </c>
      <c r="BX236" s="211">
        <f t="shared" ref="BX236:BX256" si="420">SUM(BY236:CI236)</f>
        <v>0</v>
      </c>
      <c r="BY236" s="211"/>
      <c r="BZ236" s="211"/>
      <c r="CA236" s="211"/>
      <c r="CB236" s="211"/>
      <c r="CC236" s="211"/>
      <c r="CD236" s="211"/>
      <c r="CE236" s="211"/>
      <c r="CF236" s="211"/>
      <c r="CG236" s="211"/>
      <c r="CH236" s="211"/>
      <c r="CI236" s="278"/>
      <c r="CJ236" s="283" t="s">
        <v>741</v>
      </c>
      <c r="CK236" s="58" t="s">
        <v>422</v>
      </c>
      <c r="CL236" s="230" t="s">
        <v>688</v>
      </c>
      <c r="CM236" s="10" t="s">
        <v>688</v>
      </c>
      <c r="CN236" s="234" t="s">
        <v>719</v>
      </c>
      <c r="CO236" s="87" t="s">
        <v>716</v>
      </c>
      <c r="CQ236" s="10" t="e">
        <f>D236-#REF!-AM236</f>
        <v>#REF!</v>
      </c>
      <c r="CR236" s="10" t="e">
        <f>D236-#REF!</f>
        <v>#REF!</v>
      </c>
      <c r="CS236" s="87" t="e">
        <f>F236-#REF!</f>
        <v>#REF!</v>
      </c>
    </row>
    <row r="237" spans="1:97" s="130" customFormat="1" ht="36" x14ac:dyDescent="0.2">
      <c r="A237" s="75"/>
      <c r="B237" s="361"/>
      <c r="C237" s="233" t="s">
        <v>784</v>
      </c>
      <c r="D237" s="220"/>
      <c r="E237" s="211">
        <f t="shared" ref="E237:E256" si="421">G237+AN237+BB237+BP237+BW237</f>
        <v>31337</v>
      </c>
      <c r="F237" s="211"/>
      <c r="G237" s="211">
        <f t="shared" ref="G237" si="422">F237+H237</f>
        <v>31337</v>
      </c>
      <c r="H237" s="211">
        <f t="shared" si="412"/>
        <v>31337</v>
      </c>
      <c r="I237" s="211"/>
      <c r="J237" s="211"/>
      <c r="K237" s="211"/>
      <c r="L237" s="211"/>
      <c r="M237" s="211">
        <v>31337</v>
      </c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>
        <f t="shared" ref="AN237" si="423">AM237+AO237</f>
        <v>0</v>
      </c>
      <c r="AO237" s="211">
        <f t="shared" ref="AO237" si="424">SUM(AP237:AZ237)</f>
        <v>0</v>
      </c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>
        <f t="shared" ref="BB237" si="425">BA237+BC237</f>
        <v>0</v>
      </c>
      <c r="BC237" s="211">
        <f t="shared" ref="BC237" si="426">SUM(BD237:BN237)</f>
        <v>0</v>
      </c>
      <c r="BD237" s="211"/>
      <c r="BE237" s="211"/>
      <c r="BF237" s="211"/>
      <c r="BG237" s="211"/>
      <c r="BH237" s="211"/>
      <c r="BI237" s="211"/>
      <c r="BJ237" s="211"/>
      <c r="BK237" s="211"/>
      <c r="BL237" s="211"/>
      <c r="BM237" s="211"/>
      <c r="BN237" s="211"/>
      <c r="BO237" s="211"/>
      <c r="BP237" s="211">
        <f t="shared" ref="BP237" si="427">BO237+BQ237</f>
        <v>0</v>
      </c>
      <c r="BQ237" s="211">
        <f t="shared" ref="BQ237" si="428">SUM(BR237:BU237)</f>
        <v>0</v>
      </c>
      <c r="BR237" s="211"/>
      <c r="BS237" s="211"/>
      <c r="BT237" s="211"/>
      <c r="BU237" s="211"/>
      <c r="BV237" s="211"/>
      <c r="BW237" s="211">
        <f t="shared" ref="BW237" si="429">BV237+BX237</f>
        <v>0</v>
      </c>
      <c r="BX237" s="211">
        <f t="shared" si="420"/>
        <v>0</v>
      </c>
      <c r="BY237" s="211"/>
      <c r="BZ237" s="211"/>
      <c r="CA237" s="211"/>
      <c r="CB237" s="211"/>
      <c r="CC237" s="211"/>
      <c r="CD237" s="211"/>
      <c r="CE237" s="211"/>
      <c r="CF237" s="211"/>
      <c r="CG237" s="211"/>
      <c r="CH237" s="211"/>
      <c r="CI237" s="278"/>
      <c r="CJ237" s="283" t="s">
        <v>785</v>
      </c>
      <c r="CK237" s="58"/>
      <c r="CL237" s="230"/>
      <c r="CM237" s="10"/>
      <c r="CN237" s="234"/>
      <c r="CQ237" s="10"/>
      <c r="CR237" s="10"/>
    </row>
    <row r="238" spans="1:97" ht="25.5" customHeight="1" x14ac:dyDescent="0.2">
      <c r="A238" s="75">
        <v>90000594245</v>
      </c>
      <c r="B238" s="158" t="s">
        <v>496</v>
      </c>
      <c r="C238" s="255" t="s">
        <v>177</v>
      </c>
      <c r="D238" s="220">
        <f t="shared" ref="D238:D256" si="430">F238+AM238+BA238+BO238+BV238</f>
        <v>748168</v>
      </c>
      <c r="E238" s="208">
        <f t="shared" si="421"/>
        <v>788946</v>
      </c>
      <c r="F238" s="208">
        <v>748128</v>
      </c>
      <c r="G238" s="208">
        <f t="shared" si="411"/>
        <v>788906</v>
      </c>
      <c r="H238" s="208">
        <f t="shared" si="412"/>
        <v>40778</v>
      </c>
      <c r="I238" s="208"/>
      <c r="J238" s="208"/>
      <c r="K238" s="208"/>
      <c r="L238" s="208"/>
      <c r="M238" s="208">
        <v>1989</v>
      </c>
      <c r="N238" s="208"/>
      <c r="O238" s="208"/>
      <c r="P238" s="208"/>
      <c r="Q238" s="208"/>
      <c r="R238" s="208">
        <v>4027</v>
      </c>
      <c r="S238" s="208"/>
      <c r="T238" s="208"/>
      <c r="U238" s="208"/>
      <c r="V238" s="208"/>
      <c r="W238" s="208"/>
      <c r="X238" s="208"/>
      <c r="Y238" s="208"/>
      <c r="Z238" s="208"/>
      <c r="AA238" s="208">
        <v>2669</v>
      </c>
      <c r="AB238" s="208"/>
      <c r="AC238" s="208"/>
      <c r="AD238" s="208"/>
      <c r="AE238" s="208"/>
      <c r="AF238" s="208"/>
      <c r="AG238" s="208">
        <v>32093</v>
      </c>
      <c r="AH238" s="208"/>
      <c r="AI238" s="208"/>
      <c r="AJ238" s="208"/>
      <c r="AK238" s="208"/>
      <c r="AL238" s="208"/>
      <c r="AM238" s="208">
        <v>0</v>
      </c>
      <c r="AN238" s="208">
        <f t="shared" si="413"/>
        <v>0</v>
      </c>
      <c r="AO238" s="208">
        <f t="shared" si="414"/>
        <v>0</v>
      </c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>
        <v>40</v>
      </c>
      <c r="BB238" s="208">
        <f t="shared" si="415"/>
        <v>1440</v>
      </c>
      <c r="BC238" s="208">
        <f t="shared" si="416"/>
        <v>1400</v>
      </c>
      <c r="BD238" s="208"/>
      <c r="BE238" s="208"/>
      <c r="BF238" s="208"/>
      <c r="BG238" s="208">
        <v>1400</v>
      </c>
      <c r="BH238" s="208"/>
      <c r="BI238" s="208"/>
      <c r="BJ238" s="208"/>
      <c r="BK238" s="208"/>
      <c r="BL238" s="208"/>
      <c r="BM238" s="208"/>
      <c r="BN238" s="208"/>
      <c r="BO238" s="208">
        <v>0</v>
      </c>
      <c r="BP238" s="208">
        <f t="shared" si="417"/>
        <v>0</v>
      </c>
      <c r="BQ238" s="208">
        <f t="shared" si="418"/>
        <v>0</v>
      </c>
      <c r="BR238" s="208"/>
      <c r="BS238" s="208"/>
      <c r="BT238" s="208"/>
      <c r="BU238" s="208"/>
      <c r="BV238" s="208"/>
      <c r="BW238" s="208">
        <f t="shared" si="419"/>
        <v>-1400</v>
      </c>
      <c r="BX238" s="208">
        <f t="shared" si="420"/>
        <v>-1400</v>
      </c>
      <c r="BY238" s="208"/>
      <c r="BZ238" s="208"/>
      <c r="CA238" s="208"/>
      <c r="CB238" s="208"/>
      <c r="CC238" s="208"/>
      <c r="CD238" s="208">
        <v>-1400</v>
      </c>
      <c r="CE238" s="208"/>
      <c r="CF238" s="208"/>
      <c r="CG238" s="208"/>
      <c r="CH238" s="208"/>
      <c r="CI238" s="259"/>
      <c r="CJ238" s="54" t="s">
        <v>404</v>
      </c>
      <c r="CK238" s="57"/>
      <c r="CL238" s="230" t="s">
        <v>694</v>
      </c>
      <c r="CM238" s="10" t="s">
        <v>695</v>
      </c>
      <c r="CQ238" s="10" t="e">
        <f>D238-#REF!-AM238</f>
        <v>#REF!</v>
      </c>
      <c r="CR238" s="10" t="e">
        <f>D238-#REF!</f>
        <v>#REF!</v>
      </c>
      <c r="CS238" s="1" t="e">
        <f>F238-#REF!</f>
        <v>#REF!</v>
      </c>
    </row>
    <row r="239" spans="1:97" s="87" customFormat="1" ht="20.25" customHeight="1" x14ac:dyDescent="0.2">
      <c r="A239" s="75"/>
      <c r="B239" s="159"/>
      <c r="C239" s="255" t="s">
        <v>200</v>
      </c>
      <c r="D239" s="220">
        <f t="shared" si="430"/>
        <v>245724</v>
      </c>
      <c r="E239" s="208">
        <f t="shared" si="421"/>
        <v>245724</v>
      </c>
      <c r="F239" s="208">
        <v>13524</v>
      </c>
      <c r="G239" s="208">
        <f t="shared" si="411"/>
        <v>13524</v>
      </c>
      <c r="H239" s="208">
        <f t="shared" si="412"/>
        <v>0</v>
      </c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>
        <v>232200</v>
      </c>
      <c r="AN239" s="208">
        <f t="shared" si="413"/>
        <v>232200</v>
      </c>
      <c r="AO239" s="208">
        <f t="shared" si="414"/>
        <v>0</v>
      </c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>
        <v>0</v>
      </c>
      <c r="BB239" s="208">
        <f t="shared" si="415"/>
        <v>0</v>
      </c>
      <c r="BC239" s="208">
        <f t="shared" si="416"/>
        <v>0</v>
      </c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208"/>
      <c r="BN239" s="208"/>
      <c r="BO239" s="208">
        <v>0</v>
      </c>
      <c r="BP239" s="208">
        <f t="shared" si="417"/>
        <v>0</v>
      </c>
      <c r="BQ239" s="208">
        <f t="shared" si="418"/>
        <v>0</v>
      </c>
      <c r="BR239" s="208"/>
      <c r="BS239" s="208"/>
      <c r="BT239" s="208"/>
      <c r="BU239" s="208"/>
      <c r="BV239" s="208"/>
      <c r="BW239" s="208">
        <f t="shared" si="419"/>
        <v>0</v>
      </c>
      <c r="BX239" s="208">
        <f t="shared" si="420"/>
        <v>0</v>
      </c>
      <c r="BY239" s="208"/>
      <c r="BZ239" s="208"/>
      <c r="CA239" s="208"/>
      <c r="CB239" s="208"/>
      <c r="CC239" s="208"/>
      <c r="CD239" s="208"/>
      <c r="CE239" s="208"/>
      <c r="CF239" s="208"/>
      <c r="CG239" s="208"/>
      <c r="CH239" s="208"/>
      <c r="CI239" s="259"/>
      <c r="CJ239" s="54" t="s">
        <v>405</v>
      </c>
      <c r="CK239" s="57" t="s">
        <v>623</v>
      </c>
      <c r="CL239" s="230" t="s">
        <v>694</v>
      </c>
      <c r="CM239" s="10" t="s">
        <v>695</v>
      </c>
      <c r="CQ239" s="10" t="e">
        <f>D239-#REF!-AM239</f>
        <v>#REF!</v>
      </c>
      <c r="CR239" s="10" t="e">
        <f>D239-#REF!</f>
        <v>#REF!</v>
      </c>
      <c r="CS239" s="87" t="e">
        <f>F239-#REF!</f>
        <v>#REF!</v>
      </c>
    </row>
    <row r="240" spans="1:97" ht="18" customHeight="1" x14ac:dyDescent="0.2">
      <c r="A240" s="75"/>
      <c r="B240" s="159"/>
      <c r="C240" s="255" t="s">
        <v>201</v>
      </c>
      <c r="D240" s="220">
        <f t="shared" si="430"/>
        <v>1090882</v>
      </c>
      <c r="E240" s="208">
        <f t="shared" si="421"/>
        <v>1164382</v>
      </c>
      <c r="F240" s="208">
        <v>1085362</v>
      </c>
      <c r="G240" s="208">
        <f t="shared" si="411"/>
        <v>1158862</v>
      </c>
      <c r="H240" s="208">
        <f t="shared" si="412"/>
        <v>73500</v>
      </c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>
        <v>73500</v>
      </c>
      <c r="AH240" s="208"/>
      <c r="AI240" s="208"/>
      <c r="AJ240" s="208"/>
      <c r="AK240" s="208"/>
      <c r="AL240" s="208"/>
      <c r="AM240" s="208">
        <v>5520</v>
      </c>
      <c r="AN240" s="208">
        <f t="shared" si="413"/>
        <v>5520</v>
      </c>
      <c r="AO240" s="208">
        <f t="shared" si="414"/>
        <v>0</v>
      </c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>
        <v>0</v>
      </c>
      <c r="BB240" s="208">
        <f t="shared" si="415"/>
        <v>0</v>
      </c>
      <c r="BC240" s="208">
        <f t="shared" si="416"/>
        <v>0</v>
      </c>
      <c r="BD240" s="208"/>
      <c r="BE240" s="208"/>
      <c r="BF240" s="208"/>
      <c r="BG240" s="208"/>
      <c r="BH240" s="208"/>
      <c r="BI240" s="208"/>
      <c r="BJ240" s="208"/>
      <c r="BK240" s="208"/>
      <c r="BL240" s="208"/>
      <c r="BM240" s="208"/>
      <c r="BN240" s="208"/>
      <c r="BO240" s="208">
        <v>0</v>
      </c>
      <c r="BP240" s="208">
        <f t="shared" si="417"/>
        <v>0</v>
      </c>
      <c r="BQ240" s="208">
        <f t="shared" si="418"/>
        <v>0</v>
      </c>
      <c r="BR240" s="208"/>
      <c r="BS240" s="208"/>
      <c r="BT240" s="208"/>
      <c r="BU240" s="208"/>
      <c r="BV240" s="208"/>
      <c r="BW240" s="208">
        <f t="shared" si="419"/>
        <v>0</v>
      </c>
      <c r="BX240" s="208">
        <f t="shared" si="420"/>
        <v>0</v>
      </c>
      <c r="BY240" s="208"/>
      <c r="BZ240" s="208"/>
      <c r="CA240" s="208"/>
      <c r="CB240" s="208"/>
      <c r="CC240" s="208"/>
      <c r="CD240" s="208"/>
      <c r="CE240" s="208"/>
      <c r="CF240" s="208"/>
      <c r="CG240" s="208"/>
      <c r="CH240" s="208"/>
      <c r="CI240" s="259"/>
      <c r="CJ240" s="54" t="s">
        <v>406</v>
      </c>
      <c r="CK240" s="57" t="s">
        <v>623</v>
      </c>
      <c r="CL240" s="230" t="s">
        <v>694</v>
      </c>
      <c r="CM240" s="10" t="s">
        <v>695</v>
      </c>
      <c r="CQ240" s="10" t="e">
        <f>D240-#REF!-AM240</f>
        <v>#REF!</v>
      </c>
      <c r="CR240" s="10" t="e">
        <f>D240-#REF!</f>
        <v>#REF!</v>
      </c>
      <c r="CS240" s="1" t="e">
        <f>F240-#REF!</f>
        <v>#REF!</v>
      </c>
    </row>
    <row r="241" spans="1:97" ht="19.5" customHeight="1" x14ac:dyDescent="0.2">
      <c r="A241" s="75"/>
      <c r="B241" s="159"/>
      <c r="C241" s="255" t="s">
        <v>202</v>
      </c>
      <c r="D241" s="220">
        <f t="shared" si="430"/>
        <v>447544</v>
      </c>
      <c r="E241" s="208">
        <f t="shared" si="421"/>
        <v>476733</v>
      </c>
      <c r="F241" s="208">
        <v>445266</v>
      </c>
      <c r="G241" s="208">
        <f t="shared" si="411"/>
        <v>471179</v>
      </c>
      <c r="H241" s="208">
        <f t="shared" si="412"/>
        <v>25913</v>
      </c>
      <c r="I241" s="208"/>
      <c r="J241" s="208"/>
      <c r="K241" s="208"/>
      <c r="L241" s="208"/>
      <c r="M241" s="208"/>
      <c r="N241" s="208"/>
      <c r="O241" s="208"/>
      <c r="P241" s="208"/>
      <c r="Q241" s="208"/>
      <c r="R241" s="208">
        <v>5550</v>
      </c>
      <c r="S241" s="208"/>
      <c r="T241" s="208"/>
      <c r="U241" s="208"/>
      <c r="V241" s="208"/>
      <c r="W241" s="208"/>
      <c r="X241" s="208"/>
      <c r="Y241" s="208"/>
      <c r="Z241" s="208"/>
      <c r="AA241" s="208">
        <v>5263</v>
      </c>
      <c r="AB241" s="208"/>
      <c r="AC241" s="208"/>
      <c r="AD241" s="208"/>
      <c r="AE241" s="208"/>
      <c r="AF241" s="208"/>
      <c r="AG241" s="208">
        <v>15100</v>
      </c>
      <c r="AH241" s="208"/>
      <c r="AI241" s="208"/>
      <c r="AJ241" s="208"/>
      <c r="AK241" s="208"/>
      <c r="AL241" s="208"/>
      <c r="AM241" s="208">
        <v>0</v>
      </c>
      <c r="AN241" s="208">
        <f t="shared" si="413"/>
        <v>0</v>
      </c>
      <c r="AO241" s="208">
        <f t="shared" si="414"/>
        <v>0</v>
      </c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>
        <v>2278</v>
      </c>
      <c r="BB241" s="208">
        <f t="shared" si="415"/>
        <v>5554</v>
      </c>
      <c r="BC241" s="208">
        <f t="shared" si="416"/>
        <v>3276</v>
      </c>
      <c r="BD241" s="208"/>
      <c r="BE241" s="208"/>
      <c r="BF241" s="208">
        <v>3276</v>
      </c>
      <c r="BG241" s="208"/>
      <c r="BH241" s="208"/>
      <c r="BI241" s="208"/>
      <c r="BJ241" s="208"/>
      <c r="BK241" s="208"/>
      <c r="BL241" s="208"/>
      <c r="BM241" s="208"/>
      <c r="BN241" s="208"/>
      <c r="BO241" s="208">
        <v>0</v>
      </c>
      <c r="BP241" s="208">
        <f t="shared" si="417"/>
        <v>0</v>
      </c>
      <c r="BQ241" s="208">
        <f t="shared" si="418"/>
        <v>0</v>
      </c>
      <c r="BR241" s="208"/>
      <c r="BS241" s="208"/>
      <c r="BT241" s="208"/>
      <c r="BU241" s="208"/>
      <c r="BV241" s="208"/>
      <c r="BW241" s="208">
        <f t="shared" si="419"/>
        <v>0</v>
      </c>
      <c r="BX241" s="208">
        <f t="shared" si="420"/>
        <v>0</v>
      </c>
      <c r="BY241" s="208"/>
      <c r="BZ241" s="208"/>
      <c r="CA241" s="208"/>
      <c r="CB241" s="208"/>
      <c r="CC241" s="208"/>
      <c r="CD241" s="208"/>
      <c r="CE241" s="208"/>
      <c r="CF241" s="208"/>
      <c r="CG241" s="208"/>
      <c r="CH241" s="208"/>
      <c r="CI241" s="259"/>
      <c r="CJ241" s="54" t="s">
        <v>407</v>
      </c>
      <c r="CK241" s="57" t="s">
        <v>624</v>
      </c>
      <c r="CL241" s="230" t="s">
        <v>694</v>
      </c>
      <c r="CM241" s="10" t="s">
        <v>695</v>
      </c>
      <c r="CQ241" s="10" t="e">
        <f>D241-#REF!-AM241</f>
        <v>#REF!</v>
      </c>
      <c r="CR241" s="10" t="e">
        <f>D241-#REF!</f>
        <v>#REF!</v>
      </c>
      <c r="CS241" s="1" t="e">
        <f>F241-#REF!</f>
        <v>#REF!</v>
      </c>
    </row>
    <row r="242" spans="1:97" ht="24" x14ac:dyDescent="0.2">
      <c r="A242" s="75"/>
      <c r="B242" s="159"/>
      <c r="C242" s="255" t="s">
        <v>203</v>
      </c>
      <c r="D242" s="220">
        <f t="shared" si="430"/>
        <v>280274</v>
      </c>
      <c r="E242" s="208">
        <f t="shared" si="421"/>
        <v>273733</v>
      </c>
      <c r="F242" s="208">
        <v>280274</v>
      </c>
      <c r="G242" s="208">
        <f t="shared" si="411"/>
        <v>273733</v>
      </c>
      <c r="H242" s="208">
        <f t="shared" si="412"/>
        <v>-6541</v>
      </c>
      <c r="I242" s="208"/>
      <c r="J242" s="208"/>
      <c r="K242" s="208"/>
      <c r="L242" s="208"/>
      <c r="M242" s="208"/>
      <c r="N242" s="208"/>
      <c r="O242" s="208"/>
      <c r="P242" s="208"/>
      <c r="Q242" s="208"/>
      <c r="R242" s="208">
        <v>-6541</v>
      </c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>
        <v>0</v>
      </c>
      <c r="AN242" s="208">
        <f t="shared" si="413"/>
        <v>0</v>
      </c>
      <c r="AO242" s="208">
        <f t="shared" si="414"/>
        <v>0</v>
      </c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>
        <v>0</v>
      </c>
      <c r="BB242" s="208">
        <f t="shared" si="415"/>
        <v>0</v>
      </c>
      <c r="BC242" s="208">
        <f t="shared" si="416"/>
        <v>0</v>
      </c>
      <c r="BD242" s="208"/>
      <c r="BE242" s="208"/>
      <c r="BF242" s="208"/>
      <c r="BG242" s="208"/>
      <c r="BH242" s="208"/>
      <c r="BI242" s="208"/>
      <c r="BJ242" s="208"/>
      <c r="BK242" s="208"/>
      <c r="BL242" s="208"/>
      <c r="BM242" s="208"/>
      <c r="BN242" s="208"/>
      <c r="BO242" s="208">
        <v>0</v>
      </c>
      <c r="BP242" s="208">
        <f t="shared" si="417"/>
        <v>0</v>
      </c>
      <c r="BQ242" s="208">
        <f t="shared" si="418"/>
        <v>0</v>
      </c>
      <c r="BR242" s="208"/>
      <c r="BS242" s="208"/>
      <c r="BT242" s="208"/>
      <c r="BU242" s="208"/>
      <c r="BV242" s="208"/>
      <c r="BW242" s="208">
        <f t="shared" si="419"/>
        <v>0</v>
      </c>
      <c r="BX242" s="208">
        <f t="shared" si="420"/>
        <v>0</v>
      </c>
      <c r="BY242" s="208"/>
      <c r="BZ242" s="208"/>
      <c r="CA242" s="208"/>
      <c r="CB242" s="208"/>
      <c r="CC242" s="208"/>
      <c r="CD242" s="208"/>
      <c r="CE242" s="208"/>
      <c r="CF242" s="208"/>
      <c r="CG242" s="208"/>
      <c r="CH242" s="208"/>
      <c r="CI242" s="259"/>
      <c r="CJ242" s="54" t="s">
        <v>408</v>
      </c>
      <c r="CK242" s="57" t="s">
        <v>625</v>
      </c>
      <c r="CL242" s="230" t="s">
        <v>694</v>
      </c>
      <c r="CM242" s="10" t="s">
        <v>695</v>
      </c>
      <c r="CQ242" s="10" t="e">
        <f>D242-#REF!-AM242</f>
        <v>#REF!</v>
      </c>
      <c r="CR242" s="10" t="e">
        <f>D242-#REF!</f>
        <v>#REF!</v>
      </c>
      <c r="CS242" s="1" t="e">
        <f>F242-#REF!</f>
        <v>#REF!</v>
      </c>
    </row>
    <row r="243" spans="1:97" ht="27.75" customHeight="1" x14ac:dyDescent="0.2">
      <c r="A243" s="75"/>
      <c r="B243" s="159"/>
      <c r="C243" s="255" t="s">
        <v>264</v>
      </c>
      <c r="D243" s="220">
        <f t="shared" si="430"/>
        <v>324950</v>
      </c>
      <c r="E243" s="208">
        <f t="shared" si="421"/>
        <v>440625</v>
      </c>
      <c r="F243" s="208">
        <v>324950</v>
      </c>
      <c r="G243" s="208">
        <f t="shared" si="411"/>
        <v>440625</v>
      </c>
      <c r="H243" s="208">
        <f t="shared" si="412"/>
        <v>115675</v>
      </c>
      <c r="I243" s="208"/>
      <c r="J243" s="208"/>
      <c r="K243" s="208"/>
      <c r="L243" s="208"/>
      <c r="M243" s="208">
        <v>-3149</v>
      </c>
      <c r="N243" s="208"/>
      <c r="O243" s="208"/>
      <c r="P243" s="208">
        <f>165908-100800</f>
        <v>65108</v>
      </c>
      <c r="Q243" s="208">
        <f>33440+38428</f>
        <v>71868</v>
      </c>
      <c r="R243" s="208">
        <v>-3900</v>
      </c>
      <c r="S243" s="208"/>
      <c r="T243" s="208"/>
      <c r="U243" s="208"/>
      <c r="V243" s="208"/>
      <c r="W243" s="208"/>
      <c r="X243" s="208"/>
      <c r="Y243" s="208"/>
      <c r="Z243" s="208"/>
      <c r="AA243" s="208">
        <v>-34552</v>
      </c>
      <c r="AB243" s="208"/>
      <c r="AC243" s="208"/>
      <c r="AD243" s="208"/>
      <c r="AE243" s="208"/>
      <c r="AF243" s="208"/>
      <c r="AG243" s="208"/>
      <c r="AH243" s="208"/>
      <c r="AI243" s="208">
        <v>20300</v>
      </c>
      <c r="AJ243" s="208"/>
      <c r="AK243" s="208"/>
      <c r="AL243" s="208"/>
      <c r="AM243" s="208">
        <v>0</v>
      </c>
      <c r="AN243" s="208">
        <f t="shared" si="413"/>
        <v>0</v>
      </c>
      <c r="AO243" s="208">
        <f t="shared" si="414"/>
        <v>0</v>
      </c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>
        <v>0</v>
      </c>
      <c r="BB243" s="208">
        <f t="shared" si="415"/>
        <v>0</v>
      </c>
      <c r="BC243" s="208">
        <f t="shared" si="416"/>
        <v>0</v>
      </c>
      <c r="BD243" s="208"/>
      <c r="BE243" s="208"/>
      <c r="BF243" s="208"/>
      <c r="BG243" s="208"/>
      <c r="BH243" s="208"/>
      <c r="BI243" s="208"/>
      <c r="BJ243" s="208"/>
      <c r="BK243" s="208"/>
      <c r="BL243" s="208"/>
      <c r="BM243" s="208"/>
      <c r="BN243" s="208"/>
      <c r="BO243" s="208">
        <v>0</v>
      </c>
      <c r="BP243" s="208">
        <f t="shared" si="417"/>
        <v>0</v>
      </c>
      <c r="BQ243" s="208">
        <f t="shared" si="418"/>
        <v>0</v>
      </c>
      <c r="BR243" s="208"/>
      <c r="BS243" s="208"/>
      <c r="BT243" s="208"/>
      <c r="BU243" s="208"/>
      <c r="BV243" s="208"/>
      <c r="BW243" s="208">
        <f t="shared" si="419"/>
        <v>0</v>
      </c>
      <c r="BX243" s="208">
        <f t="shared" si="420"/>
        <v>0</v>
      </c>
      <c r="BY243" s="208"/>
      <c r="BZ243" s="208"/>
      <c r="CA243" s="208"/>
      <c r="CB243" s="208"/>
      <c r="CC243" s="208"/>
      <c r="CD243" s="208"/>
      <c r="CE243" s="208"/>
      <c r="CF243" s="208"/>
      <c r="CG243" s="208"/>
      <c r="CH243" s="208"/>
      <c r="CI243" s="259"/>
      <c r="CJ243" s="54" t="s">
        <v>409</v>
      </c>
      <c r="CK243" s="57" t="s">
        <v>485</v>
      </c>
      <c r="CL243" s="230" t="s">
        <v>694</v>
      </c>
      <c r="CM243" s="10" t="s">
        <v>695</v>
      </c>
      <c r="CQ243" s="10" t="e">
        <f>D243-#REF!-AM243</f>
        <v>#REF!</v>
      </c>
      <c r="CR243" s="10" t="e">
        <f>D243-#REF!</f>
        <v>#REF!</v>
      </c>
      <c r="CS243" s="1" t="e">
        <f>F243-#REF!</f>
        <v>#REF!</v>
      </c>
    </row>
    <row r="244" spans="1:97" s="87" customFormat="1" ht="25.5" customHeight="1" x14ac:dyDescent="0.2">
      <c r="A244" s="75"/>
      <c r="B244" s="159"/>
      <c r="C244" s="255" t="s">
        <v>263</v>
      </c>
      <c r="D244" s="220">
        <f t="shared" si="430"/>
        <v>553356</v>
      </c>
      <c r="E244" s="208">
        <f t="shared" si="421"/>
        <v>553120</v>
      </c>
      <c r="F244" s="208">
        <v>551596</v>
      </c>
      <c r="G244" s="208">
        <f t="shared" si="411"/>
        <v>551360</v>
      </c>
      <c r="H244" s="208">
        <f t="shared" si="412"/>
        <v>-236</v>
      </c>
      <c r="I244" s="208"/>
      <c r="J244" s="208"/>
      <c r="K244" s="208"/>
      <c r="L244" s="208"/>
      <c r="M244" s="208"/>
      <c r="N244" s="208"/>
      <c r="O244" s="208"/>
      <c r="P244" s="208"/>
      <c r="Q244" s="208"/>
      <c r="R244" s="208">
        <v>864</v>
      </c>
      <c r="S244" s="208"/>
      <c r="T244" s="208"/>
      <c r="U244" s="208"/>
      <c r="V244" s="208"/>
      <c r="W244" s="208"/>
      <c r="X244" s="208"/>
      <c r="Y244" s="208"/>
      <c r="Z244" s="208"/>
      <c r="AA244" s="208">
        <v>4000</v>
      </c>
      <c r="AB244" s="208"/>
      <c r="AC244" s="208"/>
      <c r="AD244" s="208"/>
      <c r="AE244" s="208"/>
      <c r="AF244" s="208"/>
      <c r="AG244" s="208">
        <v>-5100</v>
      </c>
      <c r="AH244" s="208"/>
      <c r="AI244" s="208"/>
      <c r="AJ244" s="208"/>
      <c r="AK244" s="208"/>
      <c r="AL244" s="208"/>
      <c r="AM244" s="208">
        <v>1760</v>
      </c>
      <c r="AN244" s="208">
        <f t="shared" si="413"/>
        <v>1760</v>
      </c>
      <c r="AO244" s="208">
        <f t="shared" si="414"/>
        <v>0</v>
      </c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>
        <v>0</v>
      </c>
      <c r="BB244" s="208">
        <f t="shared" si="415"/>
        <v>0</v>
      </c>
      <c r="BC244" s="208">
        <f t="shared" si="416"/>
        <v>0</v>
      </c>
      <c r="BD244" s="208"/>
      <c r="BE244" s="208"/>
      <c r="BF244" s="208"/>
      <c r="BG244" s="208"/>
      <c r="BH244" s="208"/>
      <c r="BI244" s="208"/>
      <c r="BJ244" s="208"/>
      <c r="BK244" s="208"/>
      <c r="BL244" s="208"/>
      <c r="BM244" s="208"/>
      <c r="BN244" s="208"/>
      <c r="BO244" s="208">
        <v>0</v>
      </c>
      <c r="BP244" s="208">
        <f t="shared" si="417"/>
        <v>0</v>
      </c>
      <c r="BQ244" s="208">
        <f t="shared" si="418"/>
        <v>0</v>
      </c>
      <c r="BR244" s="208"/>
      <c r="BS244" s="208"/>
      <c r="BT244" s="208"/>
      <c r="BU244" s="208"/>
      <c r="BV244" s="208"/>
      <c r="BW244" s="208">
        <f t="shared" si="419"/>
        <v>0</v>
      </c>
      <c r="BX244" s="208">
        <f t="shared" si="420"/>
        <v>0</v>
      </c>
      <c r="BY244" s="208"/>
      <c r="BZ244" s="208"/>
      <c r="CA244" s="208"/>
      <c r="CB244" s="208"/>
      <c r="CC244" s="208"/>
      <c r="CD244" s="208"/>
      <c r="CE244" s="208"/>
      <c r="CF244" s="208"/>
      <c r="CG244" s="208"/>
      <c r="CH244" s="208"/>
      <c r="CI244" s="259"/>
      <c r="CJ244" s="54" t="s">
        <v>410</v>
      </c>
      <c r="CK244" s="57" t="s">
        <v>625</v>
      </c>
      <c r="CL244" s="230" t="s">
        <v>694</v>
      </c>
      <c r="CM244" s="10" t="s">
        <v>695</v>
      </c>
      <c r="CQ244" s="10" t="e">
        <f>D244-#REF!-AM244</f>
        <v>#REF!</v>
      </c>
      <c r="CR244" s="10" t="e">
        <f>D244-#REF!</f>
        <v>#REF!</v>
      </c>
      <c r="CS244" s="87" t="e">
        <f>F244-#REF!</f>
        <v>#REF!</v>
      </c>
    </row>
    <row r="245" spans="1:97" ht="24" x14ac:dyDescent="0.2">
      <c r="A245" s="75"/>
      <c r="B245" s="159"/>
      <c r="C245" s="255" t="s">
        <v>462</v>
      </c>
      <c r="D245" s="220">
        <f t="shared" si="430"/>
        <v>121475</v>
      </c>
      <c r="E245" s="208">
        <f t="shared" si="421"/>
        <v>126843</v>
      </c>
      <c r="F245" s="208">
        <v>121475</v>
      </c>
      <c r="G245" s="208">
        <f t="shared" si="411"/>
        <v>126843</v>
      </c>
      <c r="H245" s="208">
        <f t="shared" si="412"/>
        <v>5368</v>
      </c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>
        <v>733</v>
      </c>
      <c r="AB245" s="208"/>
      <c r="AC245" s="208"/>
      <c r="AD245" s="208"/>
      <c r="AE245" s="208"/>
      <c r="AF245" s="208"/>
      <c r="AG245" s="208">
        <v>4635</v>
      </c>
      <c r="AH245" s="208"/>
      <c r="AI245" s="208"/>
      <c r="AJ245" s="208"/>
      <c r="AK245" s="208"/>
      <c r="AL245" s="208"/>
      <c r="AM245" s="208">
        <v>0</v>
      </c>
      <c r="AN245" s="208">
        <f t="shared" si="413"/>
        <v>0</v>
      </c>
      <c r="AO245" s="208">
        <f t="shared" si="414"/>
        <v>0</v>
      </c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>
        <v>0</v>
      </c>
      <c r="BB245" s="208">
        <f t="shared" si="415"/>
        <v>0</v>
      </c>
      <c r="BC245" s="208">
        <f t="shared" si="416"/>
        <v>0</v>
      </c>
      <c r="BD245" s="208"/>
      <c r="BE245" s="208"/>
      <c r="BF245" s="208"/>
      <c r="BG245" s="208"/>
      <c r="BH245" s="208"/>
      <c r="BI245" s="208"/>
      <c r="BJ245" s="208"/>
      <c r="BK245" s="208"/>
      <c r="BL245" s="208"/>
      <c r="BM245" s="208"/>
      <c r="BN245" s="208"/>
      <c r="BO245" s="208">
        <v>0</v>
      </c>
      <c r="BP245" s="208">
        <f t="shared" si="417"/>
        <v>0</v>
      </c>
      <c r="BQ245" s="208">
        <f t="shared" si="418"/>
        <v>0</v>
      </c>
      <c r="BR245" s="208"/>
      <c r="BS245" s="208"/>
      <c r="BT245" s="208"/>
      <c r="BU245" s="208"/>
      <c r="BV245" s="208"/>
      <c r="BW245" s="208">
        <f t="shared" si="419"/>
        <v>0</v>
      </c>
      <c r="BX245" s="208">
        <f t="shared" si="420"/>
        <v>0</v>
      </c>
      <c r="BY245" s="208"/>
      <c r="BZ245" s="208"/>
      <c r="CA245" s="208"/>
      <c r="CB245" s="208"/>
      <c r="CC245" s="208"/>
      <c r="CD245" s="208"/>
      <c r="CE245" s="208"/>
      <c r="CF245" s="208"/>
      <c r="CG245" s="208"/>
      <c r="CH245" s="208"/>
      <c r="CI245" s="259"/>
      <c r="CJ245" s="54" t="s">
        <v>411</v>
      </c>
      <c r="CK245" s="57"/>
      <c r="CL245" s="230" t="s">
        <v>694</v>
      </c>
      <c r="CM245" s="10" t="s">
        <v>695</v>
      </c>
      <c r="CQ245" s="10" t="e">
        <f>D245-#REF!-AM245</f>
        <v>#REF!</v>
      </c>
      <c r="CR245" s="10" t="e">
        <f>D245-#REF!</f>
        <v>#REF!</v>
      </c>
      <c r="CS245" s="1" t="e">
        <f>F245-#REF!</f>
        <v>#REF!</v>
      </c>
    </row>
    <row r="246" spans="1:97" s="125" customFormat="1" ht="39" customHeight="1" x14ac:dyDescent="0.2">
      <c r="A246" s="75"/>
      <c r="B246" s="159"/>
      <c r="C246" s="255" t="s">
        <v>510</v>
      </c>
      <c r="D246" s="220">
        <f t="shared" si="430"/>
        <v>231103</v>
      </c>
      <c r="E246" s="208">
        <f t="shared" si="421"/>
        <v>285878</v>
      </c>
      <c r="F246" s="208">
        <v>231103</v>
      </c>
      <c r="G246" s="208">
        <f t="shared" si="411"/>
        <v>285878</v>
      </c>
      <c r="H246" s="208">
        <f t="shared" si="412"/>
        <v>54775</v>
      </c>
      <c r="I246" s="208"/>
      <c r="J246" s="208"/>
      <c r="K246" s="208"/>
      <c r="L246" s="208"/>
      <c r="M246" s="208">
        <v>54775</v>
      </c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>
        <v>0</v>
      </c>
      <c r="AN246" s="208">
        <f t="shared" si="413"/>
        <v>0</v>
      </c>
      <c r="AO246" s="208">
        <f t="shared" si="414"/>
        <v>0</v>
      </c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>
        <v>0</v>
      </c>
      <c r="BB246" s="208">
        <f t="shared" si="415"/>
        <v>0</v>
      </c>
      <c r="BC246" s="208">
        <f t="shared" si="416"/>
        <v>0</v>
      </c>
      <c r="BD246" s="208"/>
      <c r="BE246" s="208"/>
      <c r="BF246" s="208"/>
      <c r="BG246" s="208"/>
      <c r="BH246" s="208"/>
      <c r="BI246" s="208"/>
      <c r="BJ246" s="208"/>
      <c r="BK246" s="208"/>
      <c r="BL246" s="208"/>
      <c r="BM246" s="208"/>
      <c r="BN246" s="208"/>
      <c r="BO246" s="208">
        <v>0</v>
      </c>
      <c r="BP246" s="208">
        <f t="shared" si="417"/>
        <v>0</v>
      </c>
      <c r="BQ246" s="208">
        <f t="shared" si="418"/>
        <v>0</v>
      </c>
      <c r="BR246" s="208"/>
      <c r="BS246" s="208"/>
      <c r="BT246" s="208"/>
      <c r="BU246" s="208"/>
      <c r="BV246" s="208"/>
      <c r="BW246" s="208">
        <f t="shared" si="419"/>
        <v>0</v>
      </c>
      <c r="BX246" s="208">
        <f t="shared" si="420"/>
        <v>0</v>
      </c>
      <c r="BY246" s="208"/>
      <c r="BZ246" s="208"/>
      <c r="CA246" s="208"/>
      <c r="CB246" s="208"/>
      <c r="CC246" s="208"/>
      <c r="CD246" s="208"/>
      <c r="CE246" s="208"/>
      <c r="CF246" s="208"/>
      <c r="CG246" s="208"/>
      <c r="CH246" s="208"/>
      <c r="CI246" s="259"/>
      <c r="CJ246" s="54" t="s">
        <v>477</v>
      </c>
      <c r="CK246" s="57"/>
      <c r="CL246" s="230" t="s">
        <v>689</v>
      </c>
      <c r="CM246" s="230" t="s">
        <v>689</v>
      </c>
      <c r="CQ246" s="10" t="e">
        <f>D246-#REF!-AM246</f>
        <v>#REF!</v>
      </c>
      <c r="CR246" s="10" t="e">
        <f>D246-#REF!</f>
        <v>#REF!</v>
      </c>
      <c r="CS246" s="125" t="e">
        <f>F246-#REF!</f>
        <v>#REF!</v>
      </c>
    </row>
    <row r="247" spans="1:97" s="125" customFormat="1" ht="27" customHeight="1" x14ac:dyDescent="0.2">
      <c r="A247" s="75"/>
      <c r="B247" s="159"/>
      <c r="C247" s="255" t="s">
        <v>511</v>
      </c>
      <c r="D247" s="220">
        <f t="shared" si="430"/>
        <v>8401</v>
      </c>
      <c r="E247" s="208">
        <f t="shared" si="421"/>
        <v>14414</v>
      </c>
      <c r="F247" s="208">
        <v>8401</v>
      </c>
      <c r="G247" s="208">
        <f t="shared" si="411"/>
        <v>14414</v>
      </c>
      <c r="H247" s="208">
        <f t="shared" si="412"/>
        <v>6013</v>
      </c>
      <c r="I247" s="208"/>
      <c r="J247" s="208"/>
      <c r="K247" s="208"/>
      <c r="L247" s="208"/>
      <c r="M247" s="208">
        <v>3150</v>
      </c>
      <c r="N247" s="208"/>
      <c r="O247" s="208"/>
      <c r="P247" s="208"/>
      <c r="Q247" s="208"/>
      <c r="R247" s="208"/>
      <c r="S247" s="208"/>
      <c r="T247" s="208"/>
      <c r="U247" s="208">
        <v>2863</v>
      </c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>
        <v>0</v>
      </c>
      <c r="AN247" s="208">
        <f t="shared" si="413"/>
        <v>0</v>
      </c>
      <c r="AO247" s="208">
        <f t="shared" si="414"/>
        <v>0</v>
      </c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>
        <v>0</v>
      </c>
      <c r="BB247" s="208">
        <f t="shared" si="415"/>
        <v>0</v>
      </c>
      <c r="BC247" s="208">
        <f t="shared" si="416"/>
        <v>0</v>
      </c>
      <c r="BD247" s="208"/>
      <c r="BE247" s="208"/>
      <c r="BF247" s="208"/>
      <c r="BG247" s="208"/>
      <c r="BH247" s="208"/>
      <c r="BI247" s="208"/>
      <c r="BJ247" s="208"/>
      <c r="BK247" s="208"/>
      <c r="BL247" s="208"/>
      <c r="BM247" s="208"/>
      <c r="BN247" s="208"/>
      <c r="BO247" s="208">
        <v>0</v>
      </c>
      <c r="BP247" s="208">
        <f t="shared" si="417"/>
        <v>0</v>
      </c>
      <c r="BQ247" s="208">
        <f t="shared" si="418"/>
        <v>0</v>
      </c>
      <c r="BR247" s="208"/>
      <c r="BS247" s="208"/>
      <c r="BT247" s="208"/>
      <c r="BU247" s="208"/>
      <c r="BV247" s="208"/>
      <c r="BW247" s="208">
        <f t="shared" si="419"/>
        <v>0</v>
      </c>
      <c r="BX247" s="208">
        <f t="shared" si="420"/>
        <v>0</v>
      </c>
      <c r="BY247" s="208"/>
      <c r="BZ247" s="208"/>
      <c r="CA247" s="208"/>
      <c r="CB247" s="208"/>
      <c r="CC247" s="208"/>
      <c r="CD247" s="208"/>
      <c r="CE247" s="208"/>
      <c r="CF247" s="208"/>
      <c r="CG247" s="208"/>
      <c r="CH247" s="208"/>
      <c r="CI247" s="259"/>
      <c r="CJ247" s="54" t="s">
        <v>622</v>
      </c>
      <c r="CK247" s="57"/>
      <c r="CL247" s="230" t="s">
        <v>689</v>
      </c>
      <c r="CM247" s="230" t="s">
        <v>689</v>
      </c>
      <c r="CQ247" s="10" t="e">
        <f>D247-#REF!-AM247</f>
        <v>#REF!</v>
      </c>
      <c r="CR247" s="10" t="e">
        <f>D247-#REF!</f>
        <v>#REF!</v>
      </c>
      <c r="CS247" s="125" t="e">
        <f>F247-#REF!</f>
        <v>#REF!</v>
      </c>
    </row>
    <row r="248" spans="1:97" ht="60" x14ac:dyDescent="0.2">
      <c r="A248" s="75">
        <v>90010991438</v>
      </c>
      <c r="B248" s="158" t="s">
        <v>450</v>
      </c>
      <c r="C248" s="255" t="s">
        <v>205</v>
      </c>
      <c r="D248" s="220">
        <f t="shared" si="430"/>
        <v>1471398</v>
      </c>
      <c r="E248" s="208">
        <f t="shared" si="421"/>
        <v>1522437</v>
      </c>
      <c r="F248" s="208">
        <v>699266</v>
      </c>
      <c r="G248" s="208">
        <f t="shared" si="411"/>
        <v>698544</v>
      </c>
      <c r="H248" s="208">
        <f t="shared" si="412"/>
        <v>-722</v>
      </c>
      <c r="I248" s="208"/>
      <c r="J248" s="208"/>
      <c r="K248" s="208"/>
      <c r="L248" s="208"/>
      <c r="M248" s="208">
        <v>-38038</v>
      </c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>
        <v>37316</v>
      </c>
      <c r="AH248" s="208"/>
      <c r="AI248" s="208"/>
      <c r="AJ248" s="208"/>
      <c r="AK248" s="208"/>
      <c r="AL248" s="208"/>
      <c r="AM248" s="208">
        <v>95759</v>
      </c>
      <c r="AN248" s="208">
        <f t="shared" si="413"/>
        <v>95759</v>
      </c>
      <c r="AO248" s="208">
        <f t="shared" si="414"/>
        <v>0</v>
      </c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>
        <v>676373</v>
      </c>
      <c r="BB248" s="208">
        <f t="shared" si="415"/>
        <v>728134</v>
      </c>
      <c r="BC248" s="208">
        <f t="shared" si="416"/>
        <v>51761</v>
      </c>
      <c r="BD248" s="208">
        <v>51761</v>
      </c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>
        <v>0</v>
      </c>
      <c r="BP248" s="208">
        <f t="shared" si="417"/>
        <v>0</v>
      </c>
      <c r="BQ248" s="208">
        <f t="shared" si="418"/>
        <v>0</v>
      </c>
      <c r="BR248" s="208"/>
      <c r="BS248" s="208"/>
      <c r="BT248" s="208"/>
      <c r="BU248" s="208"/>
      <c r="BV248" s="208"/>
      <c r="BW248" s="208">
        <f t="shared" si="419"/>
        <v>0</v>
      </c>
      <c r="BX248" s="208">
        <f t="shared" si="420"/>
        <v>0</v>
      </c>
      <c r="BY248" s="208"/>
      <c r="BZ248" s="208"/>
      <c r="CA248" s="208"/>
      <c r="CB248" s="208"/>
      <c r="CC248" s="208"/>
      <c r="CD248" s="208"/>
      <c r="CE248" s="208"/>
      <c r="CF248" s="208"/>
      <c r="CG248" s="208"/>
      <c r="CH248" s="208"/>
      <c r="CI248" s="259"/>
      <c r="CJ248" s="54" t="s">
        <v>523</v>
      </c>
      <c r="CK248" s="57"/>
      <c r="CL248" s="230" t="s">
        <v>694</v>
      </c>
      <c r="CM248" s="10" t="s">
        <v>695</v>
      </c>
      <c r="CQ248" s="10" t="e">
        <f>D248-#REF!-AM248</f>
        <v>#REF!</v>
      </c>
      <c r="CR248" s="10" t="e">
        <f>D248-#REF!</f>
        <v>#REF!</v>
      </c>
      <c r="CS248" s="1" t="e">
        <f>F248-#REF!</f>
        <v>#REF!</v>
      </c>
    </row>
    <row r="249" spans="1:97" ht="24" x14ac:dyDescent="0.2">
      <c r="A249" s="75"/>
      <c r="B249" s="160"/>
      <c r="C249" s="255" t="s">
        <v>463</v>
      </c>
      <c r="D249" s="220">
        <f t="shared" si="430"/>
        <v>47919</v>
      </c>
      <c r="E249" s="208">
        <f t="shared" si="421"/>
        <v>49458</v>
      </c>
      <c r="F249" s="208">
        <v>47919</v>
      </c>
      <c r="G249" s="208">
        <f t="shared" si="411"/>
        <v>49458</v>
      </c>
      <c r="H249" s="208">
        <f t="shared" si="412"/>
        <v>1539</v>
      </c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>
        <v>1539</v>
      </c>
      <c r="AH249" s="208"/>
      <c r="AI249" s="208"/>
      <c r="AJ249" s="208"/>
      <c r="AK249" s="208"/>
      <c r="AL249" s="208"/>
      <c r="AM249" s="208">
        <v>0</v>
      </c>
      <c r="AN249" s="208">
        <f t="shared" si="413"/>
        <v>0</v>
      </c>
      <c r="AO249" s="208">
        <f t="shared" si="414"/>
        <v>0</v>
      </c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>
        <v>0</v>
      </c>
      <c r="BB249" s="208">
        <f t="shared" si="415"/>
        <v>0</v>
      </c>
      <c r="BC249" s="208">
        <f t="shared" si="416"/>
        <v>0</v>
      </c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208">
        <v>0</v>
      </c>
      <c r="BP249" s="208">
        <f t="shared" si="417"/>
        <v>0</v>
      </c>
      <c r="BQ249" s="208">
        <f t="shared" si="418"/>
        <v>0</v>
      </c>
      <c r="BR249" s="208"/>
      <c r="BS249" s="208"/>
      <c r="BT249" s="208"/>
      <c r="BU249" s="208"/>
      <c r="BV249" s="208"/>
      <c r="BW249" s="208">
        <f t="shared" si="419"/>
        <v>0</v>
      </c>
      <c r="BX249" s="208">
        <f t="shared" si="420"/>
        <v>0</v>
      </c>
      <c r="BY249" s="208"/>
      <c r="BZ249" s="208"/>
      <c r="CA249" s="208"/>
      <c r="CB249" s="208"/>
      <c r="CC249" s="208"/>
      <c r="CD249" s="208"/>
      <c r="CE249" s="208"/>
      <c r="CF249" s="208"/>
      <c r="CG249" s="208"/>
      <c r="CH249" s="208"/>
      <c r="CI249" s="259"/>
      <c r="CJ249" s="54" t="s">
        <v>478</v>
      </c>
      <c r="CK249" s="57"/>
      <c r="CL249" s="230" t="s">
        <v>694</v>
      </c>
      <c r="CM249" s="10" t="s">
        <v>695</v>
      </c>
      <c r="CQ249" s="10" t="e">
        <f>D249-#REF!-AM249</f>
        <v>#REF!</v>
      </c>
      <c r="CR249" s="10" t="e">
        <f>D249-#REF!</f>
        <v>#REF!</v>
      </c>
      <c r="CS249" s="1" t="e">
        <f>F249-#REF!</f>
        <v>#REF!</v>
      </c>
    </row>
    <row r="250" spans="1:97" ht="12.75" x14ac:dyDescent="0.2">
      <c r="A250" s="75"/>
      <c r="B250" s="160"/>
      <c r="C250" s="255" t="s">
        <v>207</v>
      </c>
      <c r="D250" s="220">
        <f t="shared" si="430"/>
        <v>5040</v>
      </c>
      <c r="E250" s="208">
        <f t="shared" si="421"/>
        <v>5040</v>
      </c>
      <c r="F250" s="208">
        <v>5040</v>
      </c>
      <c r="G250" s="208">
        <f t="shared" si="411"/>
        <v>5040</v>
      </c>
      <c r="H250" s="208">
        <f t="shared" si="412"/>
        <v>0</v>
      </c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>
        <v>0</v>
      </c>
      <c r="AN250" s="208">
        <f t="shared" si="413"/>
        <v>0</v>
      </c>
      <c r="AO250" s="208">
        <f t="shared" si="414"/>
        <v>0</v>
      </c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>
        <v>0</v>
      </c>
      <c r="BB250" s="208">
        <f t="shared" si="415"/>
        <v>0</v>
      </c>
      <c r="BC250" s="208">
        <f t="shared" si="416"/>
        <v>0</v>
      </c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>
        <v>0</v>
      </c>
      <c r="BP250" s="208">
        <f t="shared" si="417"/>
        <v>0</v>
      </c>
      <c r="BQ250" s="208">
        <f t="shared" si="418"/>
        <v>0</v>
      </c>
      <c r="BR250" s="208"/>
      <c r="BS250" s="208"/>
      <c r="BT250" s="208"/>
      <c r="BU250" s="208"/>
      <c r="BV250" s="208"/>
      <c r="BW250" s="208">
        <f t="shared" si="419"/>
        <v>0</v>
      </c>
      <c r="BX250" s="208">
        <f t="shared" si="420"/>
        <v>0</v>
      </c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59"/>
      <c r="CJ250" s="54" t="s">
        <v>412</v>
      </c>
      <c r="CK250" s="57"/>
      <c r="CL250" s="230" t="s">
        <v>694</v>
      </c>
      <c r="CM250" s="10" t="s">
        <v>695</v>
      </c>
      <c r="CQ250" s="10" t="e">
        <f>D250-#REF!-AM250</f>
        <v>#REF!</v>
      </c>
      <c r="CR250" s="10" t="e">
        <f>D250-#REF!</f>
        <v>#REF!</v>
      </c>
      <c r="CS250" s="1" t="e">
        <f>F250-#REF!</f>
        <v>#REF!</v>
      </c>
    </row>
    <row r="251" spans="1:97" ht="12.75" x14ac:dyDescent="0.2">
      <c r="A251" s="75"/>
      <c r="B251" s="160"/>
      <c r="C251" s="255" t="s">
        <v>206</v>
      </c>
      <c r="D251" s="220">
        <f t="shared" si="430"/>
        <v>123758</v>
      </c>
      <c r="E251" s="208">
        <f t="shared" si="421"/>
        <v>132426</v>
      </c>
      <c r="F251" s="208">
        <v>123758</v>
      </c>
      <c r="G251" s="208">
        <f t="shared" si="411"/>
        <v>132426</v>
      </c>
      <c r="H251" s="208">
        <f t="shared" si="412"/>
        <v>8668</v>
      </c>
      <c r="I251" s="208"/>
      <c r="J251" s="208"/>
      <c r="K251" s="208"/>
      <c r="L251" s="208"/>
      <c r="M251" s="208"/>
      <c r="N251" s="208"/>
      <c r="O251" s="208"/>
      <c r="P251" s="208"/>
      <c r="Q251" s="208"/>
      <c r="R251" s="208">
        <v>5291</v>
      </c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>
        <v>3377</v>
      </c>
      <c r="AH251" s="208"/>
      <c r="AI251" s="208"/>
      <c r="AJ251" s="208"/>
      <c r="AK251" s="208"/>
      <c r="AL251" s="208"/>
      <c r="AM251" s="208">
        <v>0</v>
      </c>
      <c r="AN251" s="208">
        <f t="shared" si="413"/>
        <v>0</v>
      </c>
      <c r="AO251" s="208">
        <f t="shared" si="414"/>
        <v>0</v>
      </c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>
        <v>0</v>
      </c>
      <c r="BB251" s="208">
        <f t="shared" si="415"/>
        <v>0</v>
      </c>
      <c r="BC251" s="208">
        <f t="shared" si="416"/>
        <v>0</v>
      </c>
      <c r="BD251" s="208"/>
      <c r="BE251" s="208"/>
      <c r="BF251" s="208"/>
      <c r="BG251" s="208"/>
      <c r="BH251" s="208"/>
      <c r="BI251" s="208"/>
      <c r="BJ251" s="208"/>
      <c r="BK251" s="208"/>
      <c r="BL251" s="208"/>
      <c r="BM251" s="208"/>
      <c r="BN251" s="208"/>
      <c r="BO251" s="208">
        <v>0</v>
      </c>
      <c r="BP251" s="208">
        <f t="shared" si="417"/>
        <v>0</v>
      </c>
      <c r="BQ251" s="208">
        <f t="shared" si="418"/>
        <v>0</v>
      </c>
      <c r="BR251" s="208"/>
      <c r="BS251" s="208"/>
      <c r="BT251" s="208"/>
      <c r="BU251" s="208"/>
      <c r="BV251" s="208"/>
      <c r="BW251" s="208">
        <f t="shared" si="419"/>
        <v>0</v>
      </c>
      <c r="BX251" s="208">
        <f t="shared" si="420"/>
        <v>0</v>
      </c>
      <c r="BY251" s="208"/>
      <c r="BZ251" s="208"/>
      <c r="CA251" s="208"/>
      <c r="CB251" s="208"/>
      <c r="CC251" s="208"/>
      <c r="CD251" s="208"/>
      <c r="CE251" s="208"/>
      <c r="CF251" s="208"/>
      <c r="CG251" s="208"/>
      <c r="CH251" s="208"/>
      <c r="CI251" s="259"/>
      <c r="CJ251" s="54" t="s">
        <v>413</v>
      </c>
      <c r="CK251" s="57"/>
      <c r="CL251" s="230" t="s">
        <v>694</v>
      </c>
      <c r="CM251" s="10" t="s">
        <v>695</v>
      </c>
      <c r="CQ251" s="10" t="e">
        <f>D251-#REF!-AM251</f>
        <v>#REF!</v>
      </c>
      <c r="CR251" s="10" t="e">
        <f>D251-#REF!</f>
        <v>#REF!</v>
      </c>
      <c r="CS251" s="1" t="e">
        <f>F251-#REF!</f>
        <v>#REF!</v>
      </c>
    </row>
    <row r="252" spans="1:97" ht="25.5" customHeight="1" x14ac:dyDescent="0.2">
      <c r="A252" s="75"/>
      <c r="B252" s="160"/>
      <c r="C252" s="255" t="s">
        <v>265</v>
      </c>
      <c r="D252" s="220">
        <f t="shared" si="430"/>
        <v>401285</v>
      </c>
      <c r="E252" s="208">
        <f t="shared" si="421"/>
        <v>415599</v>
      </c>
      <c r="F252" s="208">
        <v>383757</v>
      </c>
      <c r="G252" s="208">
        <f t="shared" si="411"/>
        <v>395430</v>
      </c>
      <c r="H252" s="208">
        <f t="shared" si="412"/>
        <v>11673</v>
      </c>
      <c r="I252" s="208"/>
      <c r="J252" s="208"/>
      <c r="K252" s="208"/>
      <c r="L252" s="208"/>
      <c r="M252" s="208"/>
      <c r="N252" s="208"/>
      <c r="O252" s="208"/>
      <c r="P252" s="208"/>
      <c r="Q252" s="208"/>
      <c r="R252" s="208">
        <v>-5291</v>
      </c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>
        <v>16964</v>
      </c>
      <c r="AH252" s="208"/>
      <c r="AI252" s="208"/>
      <c r="AJ252" s="208"/>
      <c r="AK252" s="208"/>
      <c r="AL252" s="208"/>
      <c r="AM252" s="208">
        <v>0</v>
      </c>
      <c r="AN252" s="208">
        <f t="shared" si="413"/>
        <v>0</v>
      </c>
      <c r="AO252" s="208">
        <f t="shared" si="414"/>
        <v>0</v>
      </c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>
        <v>17528</v>
      </c>
      <c r="BB252" s="208">
        <f t="shared" si="415"/>
        <v>20169</v>
      </c>
      <c r="BC252" s="208">
        <f t="shared" si="416"/>
        <v>2641</v>
      </c>
      <c r="BD252" s="208"/>
      <c r="BE252" s="208"/>
      <c r="BF252" s="208">
        <v>2641</v>
      </c>
      <c r="BG252" s="208"/>
      <c r="BH252" s="208"/>
      <c r="BI252" s="208"/>
      <c r="BJ252" s="208"/>
      <c r="BK252" s="208"/>
      <c r="BL252" s="208"/>
      <c r="BM252" s="208"/>
      <c r="BN252" s="208"/>
      <c r="BO252" s="208">
        <v>0</v>
      </c>
      <c r="BP252" s="208">
        <f t="shared" si="417"/>
        <v>0</v>
      </c>
      <c r="BQ252" s="208">
        <f t="shared" si="418"/>
        <v>0</v>
      </c>
      <c r="BR252" s="208"/>
      <c r="BS252" s="208"/>
      <c r="BT252" s="208"/>
      <c r="BU252" s="208"/>
      <c r="BV252" s="208"/>
      <c r="BW252" s="208">
        <f t="shared" si="419"/>
        <v>0</v>
      </c>
      <c r="BX252" s="208">
        <f t="shared" si="420"/>
        <v>0</v>
      </c>
      <c r="BY252" s="208"/>
      <c r="BZ252" s="208"/>
      <c r="CA252" s="208"/>
      <c r="CB252" s="208"/>
      <c r="CC252" s="208"/>
      <c r="CD252" s="208"/>
      <c r="CE252" s="208"/>
      <c r="CF252" s="208"/>
      <c r="CG252" s="208"/>
      <c r="CH252" s="208"/>
      <c r="CI252" s="259"/>
      <c r="CJ252" s="54" t="s">
        <v>414</v>
      </c>
      <c r="CK252" s="57"/>
      <c r="CL252" s="230" t="s">
        <v>694</v>
      </c>
      <c r="CM252" s="10" t="s">
        <v>695</v>
      </c>
      <c r="CQ252" s="10" t="e">
        <f>D252-#REF!-AM252</f>
        <v>#REF!</v>
      </c>
      <c r="CR252" s="10" t="e">
        <f>D252-#REF!</f>
        <v>#REF!</v>
      </c>
      <c r="CS252" s="1" t="e">
        <f>F252-#REF!</f>
        <v>#REF!</v>
      </c>
    </row>
    <row r="253" spans="1:97" ht="12.75" x14ac:dyDescent="0.2">
      <c r="A253" s="75"/>
      <c r="B253" s="160"/>
      <c r="C253" s="255" t="s">
        <v>464</v>
      </c>
      <c r="D253" s="220">
        <f t="shared" si="430"/>
        <v>118928</v>
      </c>
      <c r="E253" s="208">
        <f t="shared" si="421"/>
        <v>121205</v>
      </c>
      <c r="F253" s="208">
        <v>118928</v>
      </c>
      <c r="G253" s="208">
        <f t="shared" si="411"/>
        <v>121205</v>
      </c>
      <c r="H253" s="208">
        <f t="shared" si="412"/>
        <v>2277</v>
      </c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>
        <v>2277</v>
      </c>
      <c r="AH253" s="208"/>
      <c r="AI253" s="208"/>
      <c r="AJ253" s="208"/>
      <c r="AK253" s="208"/>
      <c r="AL253" s="208"/>
      <c r="AM253" s="208">
        <v>0</v>
      </c>
      <c r="AN253" s="208">
        <f t="shared" si="413"/>
        <v>0</v>
      </c>
      <c r="AO253" s="208">
        <f t="shared" si="414"/>
        <v>0</v>
      </c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>
        <v>4050</v>
      </c>
      <c r="BB253" s="208">
        <f t="shared" si="415"/>
        <v>4050</v>
      </c>
      <c r="BC253" s="208">
        <f t="shared" si="416"/>
        <v>0</v>
      </c>
      <c r="BD253" s="208"/>
      <c r="BE253" s="208"/>
      <c r="BF253" s="208"/>
      <c r="BG253" s="208"/>
      <c r="BH253" s="208"/>
      <c r="BI253" s="208"/>
      <c r="BJ253" s="208"/>
      <c r="BK253" s="208"/>
      <c r="BL253" s="208"/>
      <c r="BM253" s="208"/>
      <c r="BN253" s="208"/>
      <c r="BO253" s="208">
        <v>0</v>
      </c>
      <c r="BP253" s="208">
        <f t="shared" si="417"/>
        <v>0</v>
      </c>
      <c r="BQ253" s="208">
        <f t="shared" si="418"/>
        <v>0</v>
      </c>
      <c r="BR253" s="208"/>
      <c r="BS253" s="208"/>
      <c r="BT253" s="208"/>
      <c r="BU253" s="208"/>
      <c r="BV253" s="208">
        <v>-4050</v>
      </c>
      <c r="BW253" s="208">
        <f t="shared" si="419"/>
        <v>-4050</v>
      </c>
      <c r="BX253" s="208">
        <f t="shared" si="420"/>
        <v>0</v>
      </c>
      <c r="BY253" s="208"/>
      <c r="BZ253" s="208"/>
      <c r="CA253" s="208"/>
      <c r="CB253" s="208"/>
      <c r="CC253" s="208"/>
      <c r="CD253" s="208"/>
      <c r="CE253" s="208"/>
      <c r="CF253" s="208"/>
      <c r="CG253" s="208"/>
      <c r="CH253" s="208"/>
      <c r="CI253" s="259"/>
      <c r="CJ253" s="54" t="s">
        <v>415</v>
      </c>
      <c r="CK253" s="57"/>
      <c r="CL253" s="230" t="s">
        <v>694</v>
      </c>
      <c r="CM253" s="10" t="s">
        <v>695</v>
      </c>
      <c r="CQ253" s="10" t="e">
        <f>D253-#REF!-AM253</f>
        <v>#REF!</v>
      </c>
      <c r="CR253" s="10" t="e">
        <f>D253-#REF!</f>
        <v>#REF!</v>
      </c>
      <c r="CS253" s="1" t="e">
        <f>F253-#REF!</f>
        <v>#REF!</v>
      </c>
    </row>
    <row r="254" spans="1:97" s="72" customFormat="1" ht="26.25" customHeight="1" x14ac:dyDescent="0.2">
      <c r="A254" s="75"/>
      <c r="B254" s="160"/>
      <c r="C254" s="255" t="s">
        <v>483</v>
      </c>
      <c r="D254" s="220">
        <f t="shared" si="430"/>
        <v>354231</v>
      </c>
      <c r="E254" s="208">
        <f t="shared" si="421"/>
        <v>362824</v>
      </c>
      <c r="F254" s="208">
        <v>354231</v>
      </c>
      <c r="G254" s="208">
        <f t="shared" si="411"/>
        <v>362824</v>
      </c>
      <c r="H254" s="208">
        <f t="shared" si="412"/>
        <v>8593</v>
      </c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>
        <v>8593</v>
      </c>
      <c r="AH254" s="208"/>
      <c r="AI254" s="208"/>
      <c r="AJ254" s="208"/>
      <c r="AK254" s="208"/>
      <c r="AL254" s="208"/>
      <c r="AM254" s="208">
        <v>0</v>
      </c>
      <c r="AN254" s="208">
        <f t="shared" si="413"/>
        <v>0</v>
      </c>
      <c r="AO254" s="208">
        <f t="shared" si="414"/>
        <v>0</v>
      </c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>
        <v>0</v>
      </c>
      <c r="BB254" s="208">
        <f t="shared" si="415"/>
        <v>0</v>
      </c>
      <c r="BC254" s="208">
        <f t="shared" si="416"/>
        <v>0</v>
      </c>
      <c r="BD254" s="208"/>
      <c r="BE254" s="208"/>
      <c r="BF254" s="208"/>
      <c r="BG254" s="208"/>
      <c r="BH254" s="208"/>
      <c r="BI254" s="208"/>
      <c r="BJ254" s="208"/>
      <c r="BK254" s="208"/>
      <c r="BL254" s="208"/>
      <c r="BM254" s="208"/>
      <c r="BN254" s="208"/>
      <c r="BO254" s="208">
        <v>0</v>
      </c>
      <c r="BP254" s="208">
        <f t="shared" si="417"/>
        <v>0</v>
      </c>
      <c r="BQ254" s="208">
        <f t="shared" si="418"/>
        <v>0</v>
      </c>
      <c r="BR254" s="208"/>
      <c r="BS254" s="208"/>
      <c r="BT254" s="208"/>
      <c r="BU254" s="208"/>
      <c r="BV254" s="208"/>
      <c r="BW254" s="208">
        <f t="shared" si="419"/>
        <v>0</v>
      </c>
      <c r="BX254" s="208">
        <f t="shared" si="420"/>
        <v>0</v>
      </c>
      <c r="BY254" s="208"/>
      <c r="BZ254" s="208"/>
      <c r="CA254" s="208"/>
      <c r="CB254" s="208"/>
      <c r="CC254" s="208"/>
      <c r="CD254" s="208"/>
      <c r="CE254" s="208"/>
      <c r="CF254" s="208"/>
      <c r="CG254" s="208"/>
      <c r="CH254" s="208"/>
      <c r="CI254" s="259"/>
      <c r="CJ254" s="54" t="s">
        <v>522</v>
      </c>
      <c r="CK254" s="57"/>
      <c r="CL254" s="230" t="s">
        <v>694</v>
      </c>
      <c r="CM254" s="10" t="s">
        <v>695</v>
      </c>
      <c r="CQ254" s="10" t="e">
        <f>D254-#REF!-AM254</f>
        <v>#REF!</v>
      </c>
      <c r="CR254" s="10" t="e">
        <f>D254-#REF!</f>
        <v>#REF!</v>
      </c>
      <c r="CS254" s="72" t="e">
        <f>F254-#REF!</f>
        <v>#REF!</v>
      </c>
    </row>
    <row r="255" spans="1:97" ht="26.25" customHeight="1" x14ac:dyDescent="0.2">
      <c r="A255" s="75">
        <v>90001868844</v>
      </c>
      <c r="B255" s="158" t="s">
        <v>294</v>
      </c>
      <c r="C255" s="255" t="s">
        <v>185</v>
      </c>
      <c r="D255" s="220">
        <f t="shared" si="430"/>
        <v>509070</v>
      </c>
      <c r="E255" s="208">
        <f t="shared" si="421"/>
        <v>532913</v>
      </c>
      <c r="F255" s="208">
        <v>508570</v>
      </c>
      <c r="G255" s="208">
        <f t="shared" si="411"/>
        <v>531823</v>
      </c>
      <c r="H255" s="208">
        <f t="shared" si="412"/>
        <v>23253</v>
      </c>
      <c r="I255" s="208"/>
      <c r="J255" s="208"/>
      <c r="K255" s="208"/>
      <c r="L255" s="208"/>
      <c r="M255" s="208">
        <v>5741</v>
      </c>
      <c r="N255" s="208"/>
      <c r="O255" s="208"/>
      <c r="P255" s="208"/>
      <c r="Q255" s="208">
        <v>3685</v>
      </c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>
        <v>217</v>
      </c>
      <c r="AB255" s="208"/>
      <c r="AC255" s="208"/>
      <c r="AD255" s="208"/>
      <c r="AE255" s="208"/>
      <c r="AF255" s="208"/>
      <c r="AG255" s="208">
        <v>13610</v>
      </c>
      <c r="AH255" s="208"/>
      <c r="AI255" s="208"/>
      <c r="AJ255" s="208"/>
      <c r="AK255" s="208"/>
      <c r="AL255" s="208"/>
      <c r="AM255" s="208">
        <v>0</v>
      </c>
      <c r="AN255" s="208">
        <f t="shared" si="413"/>
        <v>0</v>
      </c>
      <c r="AO255" s="208">
        <f t="shared" si="414"/>
        <v>0</v>
      </c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>
        <v>500</v>
      </c>
      <c r="BB255" s="208">
        <f t="shared" si="415"/>
        <v>1043</v>
      </c>
      <c r="BC255" s="208">
        <f t="shared" si="416"/>
        <v>543</v>
      </c>
      <c r="BD255" s="208">
        <v>543</v>
      </c>
      <c r="BE255" s="208"/>
      <c r="BF255" s="208"/>
      <c r="BG255" s="208"/>
      <c r="BH255" s="208"/>
      <c r="BI255" s="208"/>
      <c r="BJ255" s="208"/>
      <c r="BK255" s="208"/>
      <c r="BL255" s="208"/>
      <c r="BM255" s="208"/>
      <c r="BN255" s="208"/>
      <c r="BO255" s="208">
        <v>0</v>
      </c>
      <c r="BP255" s="208">
        <f t="shared" si="417"/>
        <v>47</v>
      </c>
      <c r="BQ255" s="208">
        <f t="shared" si="418"/>
        <v>47</v>
      </c>
      <c r="BR255" s="208"/>
      <c r="BS255" s="208">
        <v>47</v>
      </c>
      <c r="BT255" s="208"/>
      <c r="BU255" s="208"/>
      <c r="BV255" s="208"/>
      <c r="BW255" s="208">
        <f t="shared" si="419"/>
        <v>0</v>
      </c>
      <c r="BX255" s="208">
        <f t="shared" si="420"/>
        <v>0</v>
      </c>
      <c r="BY255" s="208"/>
      <c r="BZ255" s="208"/>
      <c r="CA255" s="208"/>
      <c r="CB255" s="208"/>
      <c r="CC255" s="208"/>
      <c r="CD255" s="208"/>
      <c r="CE255" s="208"/>
      <c r="CF255" s="208"/>
      <c r="CG255" s="208"/>
      <c r="CH255" s="208"/>
      <c r="CI255" s="259"/>
      <c r="CJ255" s="54" t="s">
        <v>416</v>
      </c>
      <c r="CK255" s="57"/>
      <c r="CL255" s="230" t="s">
        <v>694</v>
      </c>
      <c r="CM255" s="10" t="s">
        <v>695</v>
      </c>
      <c r="CQ255" s="10" t="e">
        <f>D255-#REF!-AM255</f>
        <v>#REF!</v>
      </c>
      <c r="CR255" s="10" t="e">
        <f>D255-#REF!</f>
        <v>#REF!</v>
      </c>
      <c r="CS255" s="1" t="e">
        <f>F255-#REF!</f>
        <v>#REF!</v>
      </c>
    </row>
    <row r="256" spans="1:97" ht="12" customHeight="1" x14ac:dyDescent="0.2">
      <c r="A256" s="75">
        <v>90000091456</v>
      </c>
      <c r="B256" s="158" t="s">
        <v>192</v>
      </c>
      <c r="C256" s="255" t="s">
        <v>186</v>
      </c>
      <c r="D256" s="220">
        <f t="shared" si="430"/>
        <v>165860</v>
      </c>
      <c r="E256" s="208">
        <f t="shared" si="421"/>
        <v>175193</v>
      </c>
      <c r="F256" s="208">
        <v>165852</v>
      </c>
      <c r="G256" s="208">
        <f t="shared" si="411"/>
        <v>175185</v>
      </c>
      <c r="H256" s="208">
        <f t="shared" si="412"/>
        <v>9333</v>
      </c>
      <c r="I256" s="208"/>
      <c r="J256" s="208"/>
      <c r="K256" s="208"/>
      <c r="L256" s="208"/>
      <c r="M256" s="208"/>
      <c r="N256" s="208"/>
      <c r="O256" s="208"/>
      <c r="P256" s="208"/>
      <c r="Q256" s="208"/>
      <c r="R256" s="208">
        <v>1350</v>
      </c>
      <c r="S256" s="208"/>
      <c r="T256" s="208"/>
      <c r="U256" s="208"/>
      <c r="V256" s="208"/>
      <c r="W256" s="208"/>
      <c r="X256" s="208"/>
      <c r="Y256" s="208"/>
      <c r="Z256" s="208"/>
      <c r="AA256" s="208">
        <v>920</v>
      </c>
      <c r="AB256" s="208"/>
      <c r="AC256" s="208"/>
      <c r="AD256" s="208"/>
      <c r="AE256" s="208"/>
      <c r="AF256" s="208"/>
      <c r="AG256" s="208">
        <v>7063</v>
      </c>
      <c r="AH256" s="208"/>
      <c r="AI256" s="208"/>
      <c r="AJ256" s="208"/>
      <c r="AK256" s="208"/>
      <c r="AL256" s="208"/>
      <c r="AM256" s="208">
        <v>0</v>
      </c>
      <c r="AN256" s="208">
        <f t="shared" si="413"/>
        <v>0</v>
      </c>
      <c r="AO256" s="208">
        <f t="shared" si="414"/>
        <v>0</v>
      </c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>
        <v>8</v>
      </c>
      <c r="BB256" s="208">
        <f t="shared" si="415"/>
        <v>8</v>
      </c>
      <c r="BC256" s="208">
        <f t="shared" si="416"/>
        <v>0</v>
      </c>
      <c r="BD256" s="208"/>
      <c r="BE256" s="208"/>
      <c r="BF256" s="208"/>
      <c r="BG256" s="208"/>
      <c r="BH256" s="208"/>
      <c r="BI256" s="208"/>
      <c r="BJ256" s="208"/>
      <c r="BK256" s="208"/>
      <c r="BL256" s="208"/>
      <c r="BM256" s="208"/>
      <c r="BN256" s="208"/>
      <c r="BO256" s="208">
        <v>0</v>
      </c>
      <c r="BP256" s="208">
        <f t="shared" si="417"/>
        <v>0</v>
      </c>
      <c r="BQ256" s="208">
        <f t="shared" si="418"/>
        <v>0</v>
      </c>
      <c r="BR256" s="208"/>
      <c r="BS256" s="208"/>
      <c r="BT256" s="208"/>
      <c r="BU256" s="208"/>
      <c r="BV256" s="208"/>
      <c r="BW256" s="208">
        <f t="shared" si="419"/>
        <v>0</v>
      </c>
      <c r="BX256" s="208">
        <f t="shared" si="420"/>
        <v>0</v>
      </c>
      <c r="BY256" s="208"/>
      <c r="BZ256" s="208"/>
      <c r="CA256" s="208"/>
      <c r="CB256" s="208"/>
      <c r="CC256" s="208"/>
      <c r="CD256" s="208"/>
      <c r="CE256" s="208"/>
      <c r="CF256" s="208"/>
      <c r="CG256" s="208"/>
      <c r="CH256" s="208"/>
      <c r="CI256" s="259"/>
      <c r="CJ256" s="54" t="s">
        <v>417</v>
      </c>
      <c r="CK256" s="57"/>
      <c r="CL256" s="230" t="s">
        <v>694</v>
      </c>
      <c r="CM256" s="10" t="s">
        <v>695</v>
      </c>
      <c r="CQ256" s="10" t="e">
        <f>D256-#REF!-AM256</f>
        <v>#REF!</v>
      </c>
      <c r="CR256" s="10" t="e">
        <f>D256-#REF!</f>
        <v>#REF!</v>
      </c>
      <c r="CS256" s="1" t="e">
        <f>F256-#REF!</f>
        <v>#REF!</v>
      </c>
    </row>
    <row r="257" spans="1:97" ht="9.75" customHeight="1" thickBot="1" x14ac:dyDescent="0.25">
      <c r="A257" s="294"/>
      <c r="B257" s="143"/>
      <c r="C257" s="295"/>
      <c r="D257" s="296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  <c r="O257" s="297"/>
      <c r="P257" s="297"/>
      <c r="Q257" s="297"/>
      <c r="R257" s="297"/>
      <c r="S257" s="297"/>
      <c r="T257" s="297"/>
      <c r="U257" s="297"/>
      <c r="V257" s="297"/>
      <c r="W257" s="297"/>
      <c r="X257" s="297"/>
      <c r="Y257" s="297"/>
      <c r="Z257" s="297"/>
      <c r="AA257" s="297"/>
      <c r="AB257" s="297"/>
      <c r="AC257" s="297"/>
      <c r="AD257" s="297"/>
      <c r="AE257" s="297"/>
      <c r="AF257" s="297"/>
      <c r="AG257" s="297"/>
      <c r="AH257" s="297"/>
      <c r="AI257" s="297"/>
      <c r="AJ257" s="297"/>
      <c r="AK257" s="297"/>
      <c r="AL257" s="297"/>
      <c r="AM257" s="297"/>
      <c r="AN257" s="297"/>
      <c r="AO257" s="297"/>
      <c r="AP257" s="297"/>
      <c r="AQ257" s="297"/>
      <c r="AR257" s="297"/>
      <c r="AS257" s="297"/>
      <c r="AT257" s="297"/>
      <c r="AU257" s="297"/>
      <c r="AV257" s="297"/>
      <c r="AW257" s="297"/>
      <c r="AX257" s="297"/>
      <c r="AY257" s="297"/>
      <c r="AZ257" s="297"/>
      <c r="BA257" s="297"/>
      <c r="BB257" s="297"/>
      <c r="BC257" s="297"/>
      <c r="BD257" s="297"/>
      <c r="BE257" s="297"/>
      <c r="BF257" s="297"/>
      <c r="BG257" s="297"/>
      <c r="BH257" s="297"/>
      <c r="BI257" s="297"/>
      <c r="BJ257" s="297"/>
      <c r="BK257" s="297"/>
      <c r="BL257" s="297"/>
      <c r="BM257" s="297"/>
      <c r="BN257" s="297"/>
      <c r="BO257" s="297"/>
      <c r="BP257" s="297"/>
      <c r="BQ257" s="297"/>
      <c r="BR257" s="297"/>
      <c r="BS257" s="297"/>
      <c r="BT257" s="297"/>
      <c r="BU257" s="297"/>
      <c r="BV257" s="297"/>
      <c r="BW257" s="297"/>
      <c r="BX257" s="297"/>
      <c r="BY257" s="297"/>
      <c r="BZ257" s="297"/>
      <c r="CA257" s="297"/>
      <c r="CB257" s="297"/>
      <c r="CC257" s="297"/>
      <c r="CD257" s="297"/>
      <c r="CE257" s="297"/>
      <c r="CF257" s="297"/>
      <c r="CG257" s="297"/>
      <c r="CH257" s="297"/>
      <c r="CI257" s="298"/>
      <c r="CJ257" s="299"/>
      <c r="CK257" s="133"/>
      <c r="CQ257" s="10" t="e">
        <f>D257-#REF!-AM257</f>
        <v>#REF!</v>
      </c>
      <c r="CR257" s="10" t="e">
        <f>D257-#REF!</f>
        <v>#REF!</v>
      </c>
      <c r="CS257" s="1" t="e">
        <f>F257-#REF!</f>
        <v>#REF!</v>
      </c>
    </row>
    <row r="258" spans="1:97" s="127" customFormat="1" ht="27" customHeight="1" thickTop="1" thickBot="1" x14ac:dyDescent="0.25">
      <c r="A258" s="144"/>
      <c r="B258" s="452" t="s">
        <v>562</v>
      </c>
      <c r="C258" s="453"/>
      <c r="D258" s="226">
        <f t="shared" ref="D258:BB258" si="431">D11+D26+D34+D61+D70+D82+D91+D132+D235</f>
        <v>109064522</v>
      </c>
      <c r="E258" s="215">
        <f t="shared" si="431"/>
        <v>109204846</v>
      </c>
      <c r="F258" s="215">
        <f t="shared" si="431"/>
        <v>95930431</v>
      </c>
      <c r="G258" s="215">
        <f t="shared" si="431"/>
        <v>97490902</v>
      </c>
      <c r="H258" s="215">
        <f t="shared" si="431"/>
        <v>1560471</v>
      </c>
      <c r="I258" s="215">
        <f t="shared" si="431"/>
        <v>0</v>
      </c>
      <c r="J258" s="215">
        <f t="shared" si="431"/>
        <v>0</v>
      </c>
      <c r="K258" s="215">
        <f t="shared" si="431"/>
        <v>0</v>
      </c>
      <c r="L258" s="215">
        <f t="shared" si="431"/>
        <v>0</v>
      </c>
      <c r="M258" s="215">
        <f t="shared" si="431"/>
        <v>2926042</v>
      </c>
      <c r="N258" s="215">
        <f t="shared" si="431"/>
        <v>0</v>
      </c>
      <c r="O258" s="215">
        <f t="shared" si="431"/>
        <v>0</v>
      </c>
      <c r="P258" s="215">
        <f t="shared" si="431"/>
        <v>136117</v>
      </c>
      <c r="Q258" s="215">
        <f t="shared" si="431"/>
        <v>350380</v>
      </c>
      <c r="R258" s="215">
        <f t="shared" si="431"/>
        <v>-140140</v>
      </c>
      <c r="S258" s="215">
        <f t="shared" si="431"/>
        <v>0</v>
      </c>
      <c r="T258" s="215">
        <f t="shared" ref="T258:AK258" si="432">T11+T26+T34+T61+T70+T82+T91+T132+T235</f>
        <v>0</v>
      </c>
      <c r="U258" s="215">
        <f t="shared" si="432"/>
        <v>57336</v>
      </c>
      <c r="V258" s="215">
        <f t="shared" si="432"/>
        <v>0</v>
      </c>
      <c r="W258" s="215">
        <f t="shared" si="432"/>
        <v>0</v>
      </c>
      <c r="X258" s="215">
        <f t="shared" si="432"/>
        <v>1862682</v>
      </c>
      <c r="Y258" s="215">
        <f t="shared" si="432"/>
        <v>0</v>
      </c>
      <c r="Z258" s="215">
        <f t="shared" si="432"/>
        <v>0</v>
      </c>
      <c r="AA258" s="215">
        <f t="shared" si="432"/>
        <v>-311099</v>
      </c>
      <c r="AB258" s="215">
        <f t="shared" si="432"/>
        <v>0</v>
      </c>
      <c r="AC258" s="215">
        <f t="shared" si="432"/>
        <v>0</v>
      </c>
      <c r="AD258" s="215">
        <f t="shared" si="432"/>
        <v>392661</v>
      </c>
      <c r="AE258" s="215">
        <f t="shared" ref="AE258:AI258" si="433">AE11+AE26+AE34+AE61+AE70+AE82+AE91+AE132+AE235</f>
        <v>0</v>
      </c>
      <c r="AF258" s="215">
        <f t="shared" ref="AF258:AG258" si="434">AF11+AF26+AF34+AF61+AF70+AF82+AF91+AF132+AF235</f>
        <v>0</v>
      </c>
      <c r="AG258" s="215">
        <f t="shared" si="434"/>
        <v>-3740302</v>
      </c>
      <c r="AH258" s="215">
        <f t="shared" si="433"/>
        <v>0</v>
      </c>
      <c r="AI258" s="215">
        <f t="shared" si="433"/>
        <v>26794</v>
      </c>
      <c r="AJ258" s="215">
        <f t="shared" si="432"/>
        <v>0</v>
      </c>
      <c r="AK258" s="215">
        <f t="shared" si="432"/>
        <v>0</v>
      </c>
      <c r="AL258" s="215">
        <f t="shared" si="431"/>
        <v>0</v>
      </c>
      <c r="AM258" s="215">
        <f t="shared" si="431"/>
        <v>11337729</v>
      </c>
      <c r="AN258" s="215">
        <f t="shared" si="431"/>
        <v>11405213</v>
      </c>
      <c r="AO258" s="215">
        <f t="shared" si="431"/>
        <v>67484</v>
      </c>
      <c r="AP258" s="215">
        <f t="shared" si="431"/>
        <v>23136</v>
      </c>
      <c r="AQ258" s="215">
        <f t="shared" si="431"/>
        <v>0</v>
      </c>
      <c r="AR258" s="215">
        <f t="shared" si="431"/>
        <v>-24835</v>
      </c>
      <c r="AS258" s="215">
        <f t="shared" si="431"/>
        <v>12182</v>
      </c>
      <c r="AT258" s="215">
        <f t="shared" si="431"/>
        <v>-68146</v>
      </c>
      <c r="AU258" s="215">
        <f t="shared" ref="AU258" si="435">AU11+AU26+AU34+AU61+AU70+AU82+AU91+AU132+AU235</f>
        <v>-7123</v>
      </c>
      <c r="AV258" s="215">
        <f t="shared" si="431"/>
        <v>132270</v>
      </c>
      <c r="AW258" s="215">
        <f t="shared" si="431"/>
        <v>0</v>
      </c>
      <c r="AX258" s="215">
        <f t="shared" si="431"/>
        <v>0</v>
      </c>
      <c r="AY258" s="215">
        <f t="shared" si="431"/>
        <v>0</v>
      </c>
      <c r="AZ258" s="215">
        <f t="shared" si="431"/>
        <v>0</v>
      </c>
      <c r="BA258" s="215">
        <f t="shared" si="431"/>
        <v>1830115</v>
      </c>
      <c r="BB258" s="215">
        <f t="shared" si="431"/>
        <v>1752966</v>
      </c>
      <c r="BC258" s="215">
        <f t="shared" ref="BC258:CI258" si="436">BC11+BC26+BC34+BC61+BC70+BC82+BC91+BC132+BC235</f>
        <v>-77149</v>
      </c>
      <c r="BD258" s="215">
        <f t="shared" si="436"/>
        <v>180814</v>
      </c>
      <c r="BE258" s="215">
        <f t="shared" si="436"/>
        <v>1304</v>
      </c>
      <c r="BF258" s="215">
        <f t="shared" si="436"/>
        <v>12581</v>
      </c>
      <c r="BG258" s="215">
        <f t="shared" si="436"/>
        <v>-85691</v>
      </c>
      <c r="BH258" s="215">
        <f t="shared" ref="BH258" si="437">BH11+BH26+BH34+BH61+BH70+BH82+BH91+BH132+BH235</f>
        <v>0</v>
      </c>
      <c r="BI258" s="215">
        <f t="shared" si="436"/>
        <v>6265</v>
      </c>
      <c r="BJ258" s="215">
        <f t="shared" si="436"/>
        <v>-192422</v>
      </c>
      <c r="BK258" s="215">
        <f t="shared" si="436"/>
        <v>0</v>
      </c>
      <c r="BL258" s="215">
        <f t="shared" si="436"/>
        <v>0</v>
      </c>
      <c r="BM258" s="215">
        <f t="shared" si="436"/>
        <v>0</v>
      </c>
      <c r="BN258" s="215">
        <f t="shared" si="436"/>
        <v>0</v>
      </c>
      <c r="BO258" s="215">
        <f t="shared" si="436"/>
        <v>1091</v>
      </c>
      <c r="BP258" s="215">
        <f t="shared" si="436"/>
        <v>1838</v>
      </c>
      <c r="BQ258" s="215">
        <f t="shared" si="436"/>
        <v>747</v>
      </c>
      <c r="BR258" s="215">
        <f t="shared" si="436"/>
        <v>700</v>
      </c>
      <c r="BS258" s="215">
        <f t="shared" si="436"/>
        <v>47</v>
      </c>
      <c r="BT258" s="215">
        <f t="shared" si="436"/>
        <v>0</v>
      </c>
      <c r="BU258" s="215">
        <f t="shared" si="436"/>
        <v>0</v>
      </c>
      <c r="BV258" s="215">
        <f t="shared" si="436"/>
        <v>-34844</v>
      </c>
      <c r="BW258" s="215">
        <f t="shared" si="436"/>
        <v>-1446073</v>
      </c>
      <c r="BX258" s="215">
        <f t="shared" si="436"/>
        <v>-1411229</v>
      </c>
      <c r="BY258" s="215">
        <f t="shared" si="436"/>
        <v>-1109323</v>
      </c>
      <c r="BZ258" s="215">
        <f t="shared" si="436"/>
        <v>-351</v>
      </c>
      <c r="CA258" s="215">
        <f t="shared" si="436"/>
        <v>-217392</v>
      </c>
      <c r="CB258" s="215">
        <f t="shared" si="436"/>
        <v>-812</v>
      </c>
      <c r="CC258" s="215">
        <f t="shared" si="436"/>
        <v>-13979</v>
      </c>
      <c r="CD258" s="215">
        <f t="shared" si="436"/>
        <v>-1429</v>
      </c>
      <c r="CE258" s="215">
        <f t="shared" si="436"/>
        <v>60514</v>
      </c>
      <c r="CF258" s="215">
        <f t="shared" ref="CF258" si="438">CF11+CF26+CF34+CF61+CF70+CF82+CF91+CF132+CF235</f>
        <v>3040</v>
      </c>
      <c r="CG258" s="215">
        <f t="shared" si="436"/>
        <v>-131497</v>
      </c>
      <c r="CH258" s="215">
        <f t="shared" si="436"/>
        <v>0</v>
      </c>
      <c r="CI258" s="266">
        <f t="shared" si="436"/>
        <v>0</v>
      </c>
      <c r="CJ258" s="9"/>
      <c r="CK258" s="62"/>
      <c r="CQ258" s="10" t="e">
        <f>D258-#REF!-AM258</f>
        <v>#REF!</v>
      </c>
      <c r="CR258" s="10" t="e">
        <f>D258-#REF!</f>
        <v>#REF!</v>
      </c>
      <c r="CS258" s="127" t="e">
        <f>F258-#REF!</f>
        <v>#REF!</v>
      </c>
    </row>
    <row r="259" spans="1:97" ht="13.5" customHeight="1" thickTop="1" thickBot="1" x14ac:dyDescent="0.25">
      <c r="A259" s="92" t="s">
        <v>565</v>
      </c>
      <c r="B259" s="146" t="s">
        <v>122</v>
      </c>
      <c r="C259" s="147"/>
      <c r="D259" s="227">
        <f t="shared" ref="D259:BD259" si="439">SUM(D260:D290)</f>
        <v>407389</v>
      </c>
      <c r="E259" s="216">
        <f t="shared" si="439"/>
        <v>4283438</v>
      </c>
      <c r="F259" s="216">
        <f t="shared" si="439"/>
        <v>1702688</v>
      </c>
      <c r="G259" s="216">
        <f t="shared" si="439"/>
        <v>4272505</v>
      </c>
      <c r="H259" s="216">
        <f t="shared" si="439"/>
        <v>2569817</v>
      </c>
      <c r="I259" s="216">
        <f t="shared" si="439"/>
        <v>0</v>
      </c>
      <c r="J259" s="216">
        <f t="shared" si="439"/>
        <v>0</v>
      </c>
      <c r="K259" s="216">
        <f t="shared" si="439"/>
        <v>0</v>
      </c>
      <c r="L259" s="216">
        <f t="shared" si="439"/>
        <v>0</v>
      </c>
      <c r="M259" s="216">
        <f t="shared" si="439"/>
        <v>-729935</v>
      </c>
      <c r="N259" s="216">
        <f t="shared" si="439"/>
        <v>0</v>
      </c>
      <c r="O259" s="216">
        <f t="shared" si="439"/>
        <v>0</v>
      </c>
      <c r="P259" s="216">
        <f t="shared" si="439"/>
        <v>505249</v>
      </c>
      <c r="Q259" s="216">
        <f t="shared" si="439"/>
        <v>-383520</v>
      </c>
      <c r="R259" s="216">
        <f t="shared" ref="R259:S259" si="440">SUM(R260:R290)</f>
        <v>-351694</v>
      </c>
      <c r="S259" s="216">
        <f t="shared" si="440"/>
        <v>0</v>
      </c>
      <c r="T259" s="216">
        <f t="shared" ref="T259:W259" si="441">SUM(T260:T290)</f>
        <v>0</v>
      </c>
      <c r="U259" s="216">
        <f t="shared" si="441"/>
        <v>-55236</v>
      </c>
      <c r="V259" s="216">
        <f t="shared" si="441"/>
        <v>0</v>
      </c>
      <c r="W259" s="216">
        <f t="shared" si="441"/>
        <v>0</v>
      </c>
      <c r="X259" s="216">
        <f t="shared" ref="X259:AI259" si="442">SUM(X260:X290)</f>
        <v>-113054</v>
      </c>
      <c r="Y259" s="216">
        <f t="shared" si="442"/>
        <v>0</v>
      </c>
      <c r="Z259" s="216">
        <f t="shared" si="442"/>
        <v>0</v>
      </c>
      <c r="AA259" s="216">
        <f t="shared" si="442"/>
        <v>40782</v>
      </c>
      <c r="AB259" s="216">
        <f t="shared" ref="AB259:AC259" si="443">SUM(AB260:AB290)</f>
        <v>0</v>
      </c>
      <c r="AC259" s="216">
        <f t="shared" si="443"/>
        <v>0</v>
      </c>
      <c r="AD259" s="216">
        <f t="shared" si="442"/>
        <v>4153</v>
      </c>
      <c r="AE259" s="216">
        <f t="shared" si="442"/>
        <v>0</v>
      </c>
      <c r="AF259" s="216">
        <f t="shared" ref="AF259:AG259" si="444">SUM(AF260:AF290)</f>
        <v>0</v>
      </c>
      <c r="AG259" s="216">
        <f t="shared" si="444"/>
        <v>3679866</v>
      </c>
      <c r="AH259" s="216">
        <f t="shared" si="442"/>
        <v>0</v>
      </c>
      <c r="AI259" s="216">
        <f t="shared" si="442"/>
        <v>-26794</v>
      </c>
      <c r="AJ259" s="216">
        <f t="shared" ref="AJ259:AK259" si="445">SUM(AJ260:AJ290)</f>
        <v>0</v>
      </c>
      <c r="AK259" s="216">
        <f t="shared" si="445"/>
        <v>0</v>
      </c>
      <c r="AL259" s="216">
        <f t="shared" si="439"/>
        <v>0</v>
      </c>
      <c r="AM259" s="216">
        <f t="shared" si="439"/>
        <v>5924</v>
      </c>
      <c r="AN259" s="216">
        <f t="shared" si="439"/>
        <v>10833</v>
      </c>
      <c r="AO259" s="216">
        <f t="shared" si="439"/>
        <v>4909</v>
      </c>
      <c r="AP259" s="216">
        <f t="shared" si="439"/>
        <v>73243</v>
      </c>
      <c r="AQ259" s="216">
        <f t="shared" si="439"/>
        <v>0</v>
      </c>
      <c r="AR259" s="216">
        <f t="shared" si="439"/>
        <v>0</v>
      </c>
      <c r="AS259" s="216">
        <f t="shared" si="439"/>
        <v>-12182</v>
      </c>
      <c r="AT259" s="216">
        <f t="shared" si="439"/>
        <v>21089</v>
      </c>
      <c r="AU259" s="216">
        <f t="shared" ref="AU259" si="446">SUM(AU260:AU290)</f>
        <v>7123</v>
      </c>
      <c r="AV259" s="216">
        <f t="shared" si="439"/>
        <v>-84364</v>
      </c>
      <c r="AW259" s="216">
        <f t="shared" si="439"/>
        <v>0</v>
      </c>
      <c r="AX259" s="216">
        <f t="shared" si="439"/>
        <v>0</v>
      </c>
      <c r="AY259" s="216">
        <f t="shared" si="439"/>
        <v>0</v>
      </c>
      <c r="AZ259" s="216">
        <f t="shared" si="439"/>
        <v>0</v>
      </c>
      <c r="BA259" s="216">
        <f t="shared" si="439"/>
        <v>0</v>
      </c>
      <c r="BB259" s="216">
        <f t="shared" si="439"/>
        <v>100</v>
      </c>
      <c r="BC259" s="216">
        <f t="shared" si="439"/>
        <v>100</v>
      </c>
      <c r="BD259" s="216">
        <f t="shared" si="439"/>
        <v>100</v>
      </c>
      <c r="BE259" s="216">
        <f t="shared" ref="BE259:CI259" si="447">SUM(BE260:BE290)</f>
        <v>0</v>
      </c>
      <c r="BF259" s="216">
        <f t="shared" si="447"/>
        <v>0</v>
      </c>
      <c r="BG259" s="216">
        <f t="shared" si="447"/>
        <v>0</v>
      </c>
      <c r="BH259" s="216">
        <f t="shared" ref="BH259" si="448">SUM(BH260:BH290)</f>
        <v>0</v>
      </c>
      <c r="BI259" s="216">
        <f t="shared" si="447"/>
        <v>0</v>
      </c>
      <c r="BJ259" s="216">
        <f t="shared" si="447"/>
        <v>0</v>
      </c>
      <c r="BK259" s="216">
        <f t="shared" si="447"/>
        <v>0</v>
      </c>
      <c r="BL259" s="216">
        <f t="shared" si="447"/>
        <v>0</v>
      </c>
      <c r="BM259" s="216">
        <f t="shared" si="447"/>
        <v>0</v>
      </c>
      <c r="BN259" s="216">
        <f t="shared" si="447"/>
        <v>0</v>
      </c>
      <c r="BO259" s="216">
        <f t="shared" si="447"/>
        <v>0</v>
      </c>
      <c r="BP259" s="216">
        <f t="shared" si="447"/>
        <v>0</v>
      </c>
      <c r="BQ259" s="216">
        <f t="shared" si="447"/>
        <v>0</v>
      </c>
      <c r="BR259" s="216">
        <f t="shared" si="447"/>
        <v>47</v>
      </c>
      <c r="BS259" s="216">
        <f t="shared" si="447"/>
        <v>-47</v>
      </c>
      <c r="BT259" s="216">
        <f t="shared" si="447"/>
        <v>0</v>
      </c>
      <c r="BU259" s="216">
        <f t="shared" si="447"/>
        <v>0</v>
      </c>
      <c r="BV259" s="216">
        <f t="shared" si="447"/>
        <v>-1301223</v>
      </c>
      <c r="BW259" s="216">
        <f t="shared" si="447"/>
        <v>0</v>
      </c>
      <c r="BX259" s="216">
        <f t="shared" si="447"/>
        <v>1301223</v>
      </c>
      <c r="BY259" s="216">
        <f t="shared" si="447"/>
        <v>963900</v>
      </c>
      <c r="BZ259" s="216">
        <f t="shared" si="447"/>
        <v>351</v>
      </c>
      <c r="CA259" s="216">
        <f t="shared" si="447"/>
        <v>218260</v>
      </c>
      <c r="CB259" s="216">
        <f t="shared" si="447"/>
        <v>0</v>
      </c>
      <c r="CC259" s="216">
        <f t="shared" si="447"/>
        <v>59427</v>
      </c>
      <c r="CD259" s="216">
        <f t="shared" si="447"/>
        <v>0</v>
      </c>
      <c r="CE259" s="216">
        <f t="shared" si="447"/>
        <v>0</v>
      </c>
      <c r="CF259" s="216">
        <f t="shared" ref="CF259" si="449">SUM(CF260:CF290)</f>
        <v>0</v>
      </c>
      <c r="CG259" s="216">
        <f t="shared" si="447"/>
        <v>59285</v>
      </c>
      <c r="CH259" s="216">
        <f t="shared" si="447"/>
        <v>0</v>
      </c>
      <c r="CI259" s="275">
        <f t="shared" si="447"/>
        <v>0</v>
      </c>
      <c r="CJ259" s="148"/>
      <c r="CK259" s="136"/>
      <c r="CQ259" s="10" t="e">
        <f>D259-#REF!-AM259</f>
        <v>#REF!</v>
      </c>
      <c r="CR259" s="10" t="e">
        <f>D259-#REF!</f>
        <v>#REF!</v>
      </c>
      <c r="CS259" s="1" t="e">
        <f>F259-#REF!</f>
        <v>#REF!</v>
      </c>
    </row>
    <row r="260" spans="1:97" s="127" customFormat="1" hidden="1" outlineLevel="1" x14ac:dyDescent="0.2">
      <c r="A260" s="98"/>
      <c r="B260" s="448" t="s">
        <v>538</v>
      </c>
      <c r="C260" s="449"/>
      <c r="D260" s="220">
        <f t="shared" ref="D260:E264" si="450">F260+AM260+BA260+BO260+BV260</f>
        <v>219543</v>
      </c>
      <c r="E260" s="210">
        <f t="shared" si="450"/>
        <v>219543</v>
      </c>
      <c r="F260" s="210">
        <f>250000-30157-300</f>
        <v>219543</v>
      </c>
      <c r="G260" s="210">
        <f t="shared" ref="G260:G290" si="451">F260+H260</f>
        <v>219543</v>
      </c>
      <c r="H260" s="210">
        <f t="shared" ref="H260:H290" si="452">SUM(I260:AL260)</f>
        <v>0</v>
      </c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10"/>
      <c r="AG260" s="210"/>
      <c r="AH260" s="210"/>
      <c r="AI260" s="210"/>
      <c r="AJ260" s="210"/>
      <c r="AK260" s="210"/>
      <c r="AL260" s="210"/>
      <c r="AM260" s="210"/>
      <c r="AN260" s="210">
        <f t="shared" ref="AN260:AN289" si="453">AM260+AO260</f>
        <v>0</v>
      </c>
      <c r="AO260" s="210">
        <f t="shared" ref="AO260:AO290" si="454">SUM(AP260:AZ260)</f>
        <v>0</v>
      </c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>
        <f t="shared" ref="BB260:BB290" si="455">BA260+BC260</f>
        <v>0</v>
      </c>
      <c r="BC260" s="210">
        <f t="shared" ref="BC260:BC290" si="456">SUM(BD260:BN260)</f>
        <v>0</v>
      </c>
      <c r="BD260" s="210"/>
      <c r="BE260" s="210"/>
      <c r="BF260" s="210"/>
      <c r="BG260" s="210"/>
      <c r="BH260" s="210"/>
      <c r="BI260" s="210"/>
      <c r="BJ260" s="210"/>
      <c r="BK260" s="210"/>
      <c r="BL260" s="210"/>
      <c r="BM260" s="210"/>
      <c r="BN260" s="210"/>
      <c r="BO260" s="210"/>
      <c r="BP260" s="210">
        <f t="shared" ref="BP260:BP290" si="457">BO260+BQ260</f>
        <v>0</v>
      </c>
      <c r="BQ260" s="210">
        <f t="shared" ref="BQ260:BQ290" si="458">SUM(BR260:BU260)</f>
        <v>0</v>
      </c>
      <c r="BR260" s="210"/>
      <c r="BS260" s="210"/>
      <c r="BT260" s="210"/>
      <c r="BU260" s="210"/>
      <c r="BV260" s="210"/>
      <c r="BW260" s="210">
        <f t="shared" ref="BW260:BW290" si="459">BV260+BX260</f>
        <v>0</v>
      </c>
      <c r="BX260" s="210">
        <f>SUM(BY260:CI260)</f>
        <v>0</v>
      </c>
      <c r="BY260" s="210"/>
      <c r="BZ260" s="210"/>
      <c r="CA260" s="210"/>
      <c r="CB260" s="210"/>
      <c r="CC260" s="210"/>
      <c r="CD260" s="210"/>
      <c r="CE260" s="210"/>
      <c r="CF260" s="210"/>
      <c r="CG260" s="210"/>
      <c r="CH260" s="210"/>
      <c r="CI260" s="271"/>
      <c r="CJ260" s="145"/>
      <c r="CK260" s="131"/>
      <c r="CQ260" s="10" t="e">
        <f>D260-#REF!-AM260</f>
        <v>#REF!</v>
      </c>
      <c r="CR260" s="10" t="e">
        <f>D260-#REF!</f>
        <v>#REF!</v>
      </c>
      <c r="CS260" s="127" t="e">
        <f>F260-#REF!</f>
        <v>#REF!</v>
      </c>
    </row>
    <row r="261" spans="1:97" s="127" customFormat="1" hidden="1" outlineLevel="1" x14ac:dyDescent="0.2">
      <c r="A261" s="98" t="s">
        <v>812</v>
      </c>
      <c r="B261" s="430" t="s">
        <v>441</v>
      </c>
      <c r="C261" s="431"/>
      <c r="D261" s="220">
        <f t="shared" si="450"/>
        <v>54207</v>
      </c>
      <c r="E261" s="208">
        <f t="shared" si="450"/>
        <v>2407967</v>
      </c>
      <c r="F261" s="208">
        <f>34844+200+15113+4050</f>
        <v>54207</v>
      </c>
      <c r="G261" s="208">
        <f t="shared" si="451"/>
        <v>2407967</v>
      </c>
      <c r="H261" s="208">
        <f t="shared" si="452"/>
        <v>2353760</v>
      </c>
      <c r="I261" s="208"/>
      <c r="J261" s="208"/>
      <c r="K261" s="208"/>
      <c r="L261" s="208"/>
      <c r="M261" s="208">
        <f>-200+22+183-1169+1591+83-12400+5360-3140-14037+6076+38038-5741-402-793-208-1160-1989+3149-19033-1800+29780+509-509-1-31887-986+4020+365+447-2436+4624-418-5582-2138-12320+1608+1699+4265+1293+5679+5118-1-7137-104208-11800+558214-86+550-118872-3643-116583-19347-162224-2000-119811-1500-35059+3194-1500-5000+35797+71258-2215</f>
        <v>-46413</v>
      </c>
      <c r="N261" s="208"/>
      <c r="O261" s="208"/>
      <c r="P261" s="208">
        <f>409800+7000+165908-7000-165908+100800-5000</f>
        <v>505600</v>
      </c>
      <c r="Q261" s="208">
        <f>24145+3005+4295+22674-99895-1121-71868-3685+2589+10000-12589-40709-135</f>
        <v>-163294</v>
      </c>
      <c r="R261" s="208">
        <f>-176158+86-86-1350-4027-5550+6541+3900-864+2650-5291+5291+6900+20602+833-1902-68555-500-32474+5546+24974-40000-72046-1000-5000-1992+2-57369</f>
        <v>-396839</v>
      </c>
      <c r="S261" s="208"/>
      <c r="T261" s="208"/>
      <c r="U261" s="208">
        <f>-1428+258896+40720-300545+793+11959-11959-14500-37616</f>
        <v>-53680</v>
      </c>
      <c r="V261" s="208"/>
      <c r="W261" s="208"/>
      <c r="X261" s="208">
        <f>-11000+15711-15711+26394+947+8035-7058+1464-1464-10492-1735+1640+395-395-1+15801-15801</f>
        <v>6730</v>
      </c>
      <c r="Y261" s="208">
        <f>268513-268513+850-850+15000-15000</f>
        <v>0</v>
      </c>
      <c r="Z261" s="208"/>
      <c r="AA261" s="208">
        <f>1600-1600+24383+3399+3051+32900+45184+420+3266+3029+2790+8600+7982+4371+347+57849-1460+26185-26185+26779+41123+22079+42667-32187+10656+674+1094+4729+210665-1589-6932+1023+13653+238+3610+3741+12488-550622-217-12041-5607-5263+34552-4000+5482+4684+2130+500+2006+1740-2669-733-2700+432-432-920+104615+31400+2228+859+410+5+9500-1200-84820-18717-5340-45125</f>
        <v>10759</v>
      </c>
      <c r="AB261" s="208"/>
      <c r="AC261" s="208"/>
      <c r="AD261" s="208">
        <f>111055-43026+740+4260-847</f>
        <v>72182</v>
      </c>
      <c r="AE261" s="208"/>
      <c r="AF261" s="208"/>
      <c r="AG261" s="208">
        <f>-250+267-3067+2176+446+18+410+310000-260000+8500-73500-15100+5100+221983-221983+33661+31876+10895+3723+39442+138621+177-5442+483-4565-4228+6574+11694+41948-1086-21280+2195-2+94726-55588-9137+29233-33447+7299+11000-8687+3420-1403+3600+3349+3000+3731+1400+1000+2059+8000+4103+24000+2000+4121+2000+172537+172+508+67583+20000-300519+3119+20000-3452+252026+1395858+1411120-1411120+14301-6100+21714+9527+800+65085+19666+207000+4154+900+36707+127807+15009+3760-41009-21109</f>
        <v>2445509</v>
      </c>
      <c r="AH261" s="208"/>
      <c r="AI261" s="208">
        <f>-20300-6494</f>
        <v>-26794</v>
      </c>
      <c r="AJ261" s="208"/>
      <c r="AK261" s="208"/>
      <c r="AL261" s="208"/>
      <c r="AM261" s="208"/>
      <c r="AN261" s="208">
        <f t="shared" si="453"/>
        <v>0</v>
      </c>
      <c r="AO261" s="208">
        <f t="shared" si="454"/>
        <v>0</v>
      </c>
      <c r="AP261" s="268"/>
      <c r="AQ261" s="208">
        <f>16502+11100+11000-38602</f>
        <v>0</v>
      </c>
      <c r="AR261" s="208"/>
      <c r="AS261" s="208"/>
      <c r="AT261" s="208"/>
      <c r="AU261" s="208"/>
      <c r="AV261" s="208"/>
      <c r="AW261" s="208"/>
      <c r="AX261" s="208"/>
      <c r="AY261" s="208"/>
      <c r="AZ261" s="208"/>
      <c r="BA261" s="208"/>
      <c r="BB261" s="208">
        <f t="shared" si="455"/>
        <v>0</v>
      </c>
      <c r="BC261" s="208">
        <f t="shared" si="456"/>
        <v>0</v>
      </c>
      <c r="BD261" s="208"/>
      <c r="BE261" s="208"/>
      <c r="BF261" s="208"/>
      <c r="BG261" s="208"/>
      <c r="BH261" s="208"/>
      <c r="BI261" s="208"/>
      <c r="BJ261" s="208"/>
      <c r="BK261" s="208"/>
      <c r="BL261" s="208"/>
      <c r="BM261" s="208"/>
      <c r="BN261" s="208"/>
      <c r="BO261" s="208"/>
      <c r="BP261" s="208">
        <f t="shared" si="457"/>
        <v>0</v>
      </c>
      <c r="BQ261" s="208">
        <f t="shared" si="458"/>
        <v>0</v>
      </c>
      <c r="BR261" s="208">
        <v>47</v>
      </c>
      <c r="BS261" s="208">
        <v>-47</v>
      </c>
      <c r="BT261" s="208"/>
      <c r="BU261" s="208"/>
      <c r="BV261" s="208"/>
      <c r="BW261" s="208">
        <f t="shared" si="459"/>
        <v>0</v>
      </c>
      <c r="BX261" s="208">
        <f>SUM(BY261:CI261)</f>
        <v>0</v>
      </c>
      <c r="BY261" s="208">
        <f>-200+200</f>
        <v>0</v>
      </c>
      <c r="BZ261" s="208"/>
      <c r="CA261" s="208"/>
      <c r="CB261" s="208"/>
      <c r="CC261" s="208"/>
      <c r="CD261" s="208"/>
      <c r="CE261" s="208"/>
      <c r="CF261" s="208"/>
      <c r="CG261" s="208"/>
      <c r="CH261" s="208"/>
      <c r="CI261" s="259"/>
      <c r="CJ261" s="54"/>
      <c r="CK261" s="57"/>
      <c r="CQ261" s="10" t="e">
        <f>D261-#REF!-AM261</f>
        <v>#REF!</v>
      </c>
      <c r="CR261" s="10" t="e">
        <f>D261-#REF!</f>
        <v>#REF!</v>
      </c>
      <c r="CS261" s="127" t="e">
        <f>F261-#REF!</f>
        <v>#REF!</v>
      </c>
    </row>
    <row r="262" spans="1:97" s="130" customFormat="1" ht="12.75" hidden="1" customHeight="1" outlineLevel="1" x14ac:dyDescent="0.2">
      <c r="A262" s="98"/>
      <c r="B262" s="432" t="s">
        <v>635</v>
      </c>
      <c r="C262" s="431"/>
      <c r="D262" s="220">
        <f t="shared" si="450"/>
        <v>0</v>
      </c>
      <c r="E262" s="208">
        <f t="shared" si="450"/>
        <v>98231</v>
      </c>
      <c r="F262" s="208"/>
      <c r="G262" s="208">
        <f t="shared" si="451"/>
        <v>98231</v>
      </c>
      <c r="H262" s="208">
        <f t="shared" si="452"/>
        <v>98231</v>
      </c>
      <c r="I262" s="208"/>
      <c r="J262" s="208"/>
      <c r="K262" s="208"/>
      <c r="L262" s="208"/>
      <c r="M262" s="208">
        <f>2719+6784+3592+3932-74+19033-77426+77426+1-1-839590+839590-35892+35892-467+467+300+2865-1059-1745-61-3466+3466+94554+9232+2282-2957+2957-275-4028+4028</f>
        <v>142079</v>
      </c>
      <c r="N262" s="208"/>
      <c r="O262" s="208"/>
      <c r="P262" s="208">
        <f>-351+351</f>
        <v>0</v>
      </c>
      <c r="Q262" s="208">
        <f>-2653-68029+68029+584-150231+150231</f>
        <v>-2069</v>
      </c>
      <c r="R262" s="208">
        <v>812</v>
      </c>
      <c r="S262" s="208"/>
      <c r="T262" s="208"/>
      <c r="U262" s="208"/>
      <c r="V262" s="208"/>
      <c r="W262" s="208"/>
      <c r="X262" s="208">
        <f>13979-59427</f>
        <v>-45448</v>
      </c>
      <c r="Y262" s="208"/>
      <c r="Z262" s="208"/>
      <c r="AA262" s="208"/>
      <c r="AB262" s="208"/>
      <c r="AC262" s="208"/>
      <c r="AD262" s="208">
        <f>-68029</f>
        <v>-68029</v>
      </c>
      <c r="AE262" s="208"/>
      <c r="AF262" s="208"/>
      <c r="AG262" s="208">
        <f>-59285+130171</f>
        <v>70886</v>
      </c>
      <c r="AH262" s="208"/>
      <c r="AI262" s="208"/>
      <c r="AJ262" s="208"/>
      <c r="AK262" s="208"/>
      <c r="AL262" s="208"/>
      <c r="AM262" s="208"/>
      <c r="AN262" s="208">
        <f t="shared" si="453"/>
        <v>0</v>
      </c>
      <c r="AO262" s="208">
        <f t="shared" si="454"/>
        <v>0</v>
      </c>
      <c r="AP262" s="208"/>
      <c r="AQ262" s="208"/>
      <c r="AR262" s="208"/>
      <c r="AS262" s="208"/>
      <c r="AT262" s="208"/>
      <c r="AU262" s="208"/>
      <c r="AV262" s="208"/>
      <c r="AW262" s="208"/>
      <c r="AX262" s="208"/>
      <c r="AY262" s="208"/>
      <c r="AZ262" s="208"/>
      <c r="BA262" s="208"/>
      <c r="BB262" s="208">
        <f t="shared" si="455"/>
        <v>0</v>
      </c>
      <c r="BC262" s="208">
        <f t="shared" si="456"/>
        <v>0</v>
      </c>
      <c r="BD262" s="208"/>
      <c r="BE262" s="208"/>
      <c r="BF262" s="208"/>
      <c r="BG262" s="208"/>
      <c r="BH262" s="208"/>
      <c r="BI262" s="208"/>
      <c r="BJ262" s="208"/>
      <c r="BK262" s="208"/>
      <c r="BL262" s="208"/>
      <c r="BM262" s="208"/>
      <c r="BN262" s="208"/>
      <c r="BO262" s="208"/>
      <c r="BP262" s="208">
        <f t="shared" si="457"/>
        <v>0</v>
      </c>
      <c r="BQ262" s="208">
        <f t="shared" si="458"/>
        <v>0</v>
      </c>
      <c r="BR262" s="208"/>
      <c r="BS262" s="208"/>
      <c r="BT262" s="208"/>
      <c r="BU262" s="208"/>
      <c r="BV262" s="208"/>
      <c r="BW262" s="208">
        <f t="shared" si="459"/>
        <v>0</v>
      </c>
      <c r="BX262" s="208">
        <f>SUM(BY262:CI262)</f>
        <v>0</v>
      </c>
      <c r="BY262" s="208">
        <f>-200+200</f>
        <v>0</v>
      </c>
      <c r="BZ262" s="208"/>
      <c r="CA262" s="208"/>
      <c r="CB262" s="208"/>
      <c r="CC262" s="208"/>
      <c r="CD262" s="208"/>
      <c r="CE262" s="208"/>
      <c r="CF262" s="208"/>
      <c r="CG262" s="208"/>
      <c r="CH262" s="208"/>
      <c r="CI262" s="259"/>
      <c r="CJ262" s="54"/>
      <c r="CK262" s="57"/>
      <c r="CQ262" s="10" t="e">
        <f>D262-#REF!-AM262</f>
        <v>#REF!</v>
      </c>
      <c r="CR262" s="10" t="e">
        <f>D262-#REF!</f>
        <v>#REF!</v>
      </c>
      <c r="CS262" s="130" t="e">
        <f>F262-#REF!</f>
        <v>#REF!</v>
      </c>
    </row>
    <row r="263" spans="1:97" s="130" customFormat="1" ht="12.75" hidden="1" customHeight="1" outlineLevel="1" x14ac:dyDescent="0.2">
      <c r="A263" s="98"/>
      <c r="B263" s="432" t="s">
        <v>640</v>
      </c>
      <c r="C263" s="431"/>
      <c r="D263" s="220">
        <f t="shared" si="450"/>
        <v>0</v>
      </c>
      <c r="E263" s="208">
        <f t="shared" si="450"/>
        <v>0</v>
      </c>
      <c r="F263" s="208">
        <v>1257370</v>
      </c>
      <c r="G263" s="208">
        <f t="shared" si="451"/>
        <v>0</v>
      </c>
      <c r="H263" s="208">
        <f t="shared" si="452"/>
        <v>-1257370</v>
      </c>
      <c r="I263" s="208"/>
      <c r="J263" s="208"/>
      <c r="K263" s="208"/>
      <c r="L263" s="208"/>
      <c r="M263" s="208">
        <f>-74-77426-839590-2957</f>
        <v>-920047</v>
      </c>
      <c r="N263" s="208"/>
      <c r="O263" s="208"/>
      <c r="P263" s="208">
        <v>-351</v>
      </c>
      <c r="Q263" s="208">
        <f>-68029-150231</f>
        <v>-218260</v>
      </c>
      <c r="R263" s="208"/>
      <c r="S263" s="208"/>
      <c r="T263" s="208"/>
      <c r="U263" s="208"/>
      <c r="V263" s="208"/>
      <c r="W263" s="208"/>
      <c r="X263" s="208">
        <f>-59427</f>
        <v>-59427</v>
      </c>
      <c r="Y263" s="208"/>
      <c r="Z263" s="208"/>
      <c r="AA263" s="208"/>
      <c r="AB263" s="208"/>
      <c r="AC263" s="208"/>
      <c r="AD263" s="208"/>
      <c r="AE263" s="208"/>
      <c r="AF263" s="208"/>
      <c r="AG263" s="208">
        <v>-59285</v>
      </c>
      <c r="AH263" s="208"/>
      <c r="AI263" s="208"/>
      <c r="AJ263" s="208"/>
      <c r="AK263" s="208"/>
      <c r="AL263" s="208"/>
      <c r="AM263" s="208"/>
      <c r="AN263" s="208">
        <f t="shared" si="453"/>
        <v>0</v>
      </c>
      <c r="AO263" s="208">
        <f t="shared" si="454"/>
        <v>0</v>
      </c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>
        <f t="shared" si="455"/>
        <v>0</v>
      </c>
      <c r="BC263" s="208">
        <f t="shared" si="456"/>
        <v>0</v>
      </c>
      <c r="BD263" s="208"/>
      <c r="BE263" s="208"/>
      <c r="BF263" s="208"/>
      <c r="BG263" s="208"/>
      <c r="BH263" s="208"/>
      <c r="BI263" s="208"/>
      <c r="BJ263" s="208"/>
      <c r="BK263" s="208"/>
      <c r="BL263" s="208"/>
      <c r="BM263" s="208"/>
      <c r="BN263" s="208"/>
      <c r="BO263" s="208"/>
      <c r="BP263" s="208">
        <f t="shared" si="457"/>
        <v>0</v>
      </c>
      <c r="BQ263" s="208">
        <f t="shared" si="458"/>
        <v>0</v>
      </c>
      <c r="BR263" s="208"/>
      <c r="BS263" s="208"/>
      <c r="BT263" s="208"/>
      <c r="BU263" s="208"/>
      <c r="BV263" s="208">
        <v>-1257370</v>
      </c>
      <c r="BW263" s="208">
        <f t="shared" si="459"/>
        <v>0</v>
      </c>
      <c r="BX263" s="208">
        <f>SUM(BY263:CI263)</f>
        <v>1257370</v>
      </c>
      <c r="BY263" s="208">
        <f>74+77426+839590+2957</f>
        <v>920047</v>
      </c>
      <c r="BZ263" s="208">
        <v>351</v>
      </c>
      <c r="CA263" s="208">
        <f>68029+150231</f>
        <v>218260</v>
      </c>
      <c r="CB263" s="208"/>
      <c r="CC263" s="208">
        <f>59427</f>
        <v>59427</v>
      </c>
      <c r="CD263" s="208"/>
      <c r="CE263" s="208"/>
      <c r="CF263" s="208"/>
      <c r="CG263" s="208">
        <v>59285</v>
      </c>
      <c r="CH263" s="208"/>
      <c r="CI263" s="259"/>
      <c r="CJ263" s="54"/>
      <c r="CK263" s="57"/>
      <c r="CQ263" s="10" t="e">
        <f>D263-#REF!-AM263</f>
        <v>#REF!</v>
      </c>
      <c r="CR263" s="10" t="e">
        <f>D263-#REF!</f>
        <v>#REF!</v>
      </c>
      <c r="CS263" s="130" t="e">
        <f>F263-#REF!</f>
        <v>#REF!</v>
      </c>
    </row>
    <row r="264" spans="1:97" s="130" customFormat="1" ht="12.75" hidden="1" customHeight="1" outlineLevel="1" x14ac:dyDescent="0.2">
      <c r="A264" s="98"/>
      <c r="B264" s="432" t="s">
        <v>641</v>
      </c>
      <c r="C264" s="431"/>
      <c r="D264" s="220">
        <f t="shared" si="450"/>
        <v>0</v>
      </c>
      <c r="E264" s="208">
        <f t="shared" si="450"/>
        <v>0</v>
      </c>
      <c r="F264" s="208">
        <f>40387+3466</f>
        <v>43853</v>
      </c>
      <c r="G264" s="208">
        <f t="shared" si="451"/>
        <v>0</v>
      </c>
      <c r="H264" s="208">
        <f t="shared" si="452"/>
        <v>-43853</v>
      </c>
      <c r="I264" s="208"/>
      <c r="J264" s="208"/>
      <c r="K264" s="208"/>
      <c r="L264" s="208"/>
      <c r="M264" s="208">
        <f>-35892-467-3466-4028</f>
        <v>-43853</v>
      </c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>
        <f t="shared" si="453"/>
        <v>0</v>
      </c>
      <c r="AO264" s="208">
        <f t="shared" si="454"/>
        <v>0</v>
      </c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>
        <f t="shared" si="455"/>
        <v>0</v>
      </c>
      <c r="BC264" s="208">
        <f t="shared" si="456"/>
        <v>0</v>
      </c>
      <c r="BD264" s="208"/>
      <c r="BE264" s="208"/>
      <c r="BF264" s="208"/>
      <c r="BG264" s="208"/>
      <c r="BH264" s="208"/>
      <c r="BI264" s="208"/>
      <c r="BJ264" s="208"/>
      <c r="BK264" s="208"/>
      <c r="BL264" s="208"/>
      <c r="BM264" s="208"/>
      <c r="BN264" s="208"/>
      <c r="BO264" s="208"/>
      <c r="BP264" s="208">
        <f t="shared" si="457"/>
        <v>0</v>
      </c>
      <c r="BQ264" s="208">
        <f t="shared" si="458"/>
        <v>0</v>
      </c>
      <c r="BR264" s="208"/>
      <c r="BS264" s="208"/>
      <c r="BT264" s="208"/>
      <c r="BU264" s="208"/>
      <c r="BV264" s="208">
        <f>-40387-3466</f>
        <v>-43853</v>
      </c>
      <c r="BW264" s="208">
        <f t="shared" si="459"/>
        <v>0</v>
      </c>
      <c r="BX264" s="208">
        <f>SUM(BY264:CI264)</f>
        <v>43853</v>
      </c>
      <c r="BY264" s="208">
        <f>35892+467+3466+4028</f>
        <v>43853</v>
      </c>
      <c r="BZ264" s="208"/>
      <c r="CA264" s="208"/>
      <c r="CB264" s="208"/>
      <c r="CC264" s="208"/>
      <c r="CD264" s="208"/>
      <c r="CE264" s="208"/>
      <c r="CF264" s="208"/>
      <c r="CG264" s="208"/>
      <c r="CH264" s="208"/>
      <c r="CI264" s="259"/>
      <c r="CJ264" s="54"/>
      <c r="CK264" s="57"/>
      <c r="CQ264" s="10" t="e">
        <f>D264-#REF!-AM264</f>
        <v>#REF!</v>
      </c>
      <c r="CR264" s="10" t="e">
        <f>D264-#REF!</f>
        <v>#REF!</v>
      </c>
      <c r="CS264" s="130" t="e">
        <f>F264-#REF!</f>
        <v>#REF!</v>
      </c>
    </row>
    <row r="265" spans="1:97" s="130" customFormat="1" ht="24" hidden="1" customHeight="1" outlineLevel="1" x14ac:dyDescent="0.2">
      <c r="A265" s="98"/>
      <c r="B265" s="432" t="s">
        <v>806</v>
      </c>
      <c r="C265" s="431"/>
      <c r="D265" s="220"/>
      <c r="E265" s="208">
        <f t="shared" ref="E265:E290" si="460">G265+AN265+BB265+BP265+BW265</f>
        <v>0</v>
      </c>
      <c r="F265" s="208"/>
      <c r="G265" s="208">
        <f t="shared" ref="G265" si="461">F265+H265</f>
        <v>0</v>
      </c>
      <c r="H265" s="208">
        <f t="shared" si="452"/>
        <v>0</v>
      </c>
      <c r="I265" s="208"/>
      <c r="J265" s="208"/>
      <c r="K265" s="208"/>
      <c r="L265" s="208"/>
      <c r="M265" s="208">
        <v>2</v>
      </c>
      <c r="N265" s="208"/>
      <c r="O265" s="208"/>
      <c r="P265" s="208"/>
      <c r="Q265" s="208"/>
      <c r="R265" s="208">
        <v>-2</v>
      </c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  <c r="BM265" s="208"/>
      <c r="BN265" s="208"/>
      <c r="BO265" s="208"/>
      <c r="BP265" s="208"/>
      <c r="BQ265" s="208"/>
      <c r="BR265" s="208"/>
      <c r="BS265" s="208"/>
      <c r="BT265" s="208"/>
      <c r="BU265" s="208"/>
      <c r="BV265" s="208"/>
      <c r="BW265" s="208"/>
      <c r="BX265" s="208"/>
      <c r="BY265" s="208"/>
      <c r="BZ265" s="208"/>
      <c r="CA265" s="208"/>
      <c r="CB265" s="208"/>
      <c r="CC265" s="208"/>
      <c r="CD265" s="208"/>
      <c r="CE265" s="208"/>
      <c r="CF265" s="208"/>
      <c r="CG265" s="208"/>
      <c r="CH265" s="208"/>
      <c r="CI265" s="259"/>
      <c r="CJ265" s="54"/>
      <c r="CK265" s="57"/>
      <c r="CQ265" s="10"/>
      <c r="CR265" s="10"/>
    </row>
    <row r="266" spans="1:97" s="130" customFormat="1" ht="12.75" hidden="1" customHeight="1" outlineLevel="1" x14ac:dyDescent="0.2">
      <c r="A266" s="98"/>
      <c r="B266" s="432" t="s">
        <v>665</v>
      </c>
      <c r="C266" s="431"/>
      <c r="D266" s="220">
        <f t="shared" ref="D266:D271" si="462">F266+AM266+BA266+BO266+BV266</f>
        <v>0</v>
      </c>
      <c r="E266" s="208">
        <f t="shared" si="460"/>
        <v>1091454</v>
      </c>
      <c r="F266" s="208"/>
      <c r="G266" s="208">
        <f t="shared" si="451"/>
        <v>1091454</v>
      </c>
      <c r="H266" s="208">
        <f t="shared" si="452"/>
        <v>1091454</v>
      </c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>
        <f>221983+55588+9137+33447+750190+21109</f>
        <v>1091454</v>
      </c>
      <c r="AH266" s="208"/>
      <c r="AI266" s="208"/>
      <c r="AJ266" s="208"/>
      <c r="AK266" s="208"/>
      <c r="AL266" s="208"/>
      <c r="AM266" s="208"/>
      <c r="AN266" s="208">
        <f t="shared" si="453"/>
        <v>0</v>
      </c>
      <c r="AO266" s="208">
        <f t="shared" si="454"/>
        <v>0</v>
      </c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>
        <f t="shared" si="455"/>
        <v>0</v>
      </c>
      <c r="BC266" s="208">
        <f t="shared" si="456"/>
        <v>0</v>
      </c>
      <c r="BD266" s="208"/>
      <c r="BE266" s="208"/>
      <c r="BF266" s="208"/>
      <c r="BG266" s="208"/>
      <c r="BH266" s="208"/>
      <c r="BI266" s="208"/>
      <c r="BJ266" s="208"/>
      <c r="BK266" s="208"/>
      <c r="BL266" s="208"/>
      <c r="BM266" s="208"/>
      <c r="BN266" s="208"/>
      <c r="BO266" s="208"/>
      <c r="BP266" s="208">
        <f t="shared" si="457"/>
        <v>0</v>
      </c>
      <c r="BQ266" s="208">
        <f t="shared" si="458"/>
        <v>0</v>
      </c>
      <c r="BR266" s="208"/>
      <c r="BS266" s="208"/>
      <c r="BT266" s="208"/>
      <c r="BU266" s="208"/>
      <c r="BV266" s="208"/>
      <c r="BW266" s="208">
        <f t="shared" si="459"/>
        <v>0</v>
      </c>
      <c r="BX266" s="208">
        <f t="shared" ref="BX266:BX290" si="463">SUM(BY266:CI266)</f>
        <v>0</v>
      </c>
      <c r="BY266" s="208"/>
      <c r="BZ266" s="208"/>
      <c r="CA266" s="208"/>
      <c r="CB266" s="208"/>
      <c r="CC266" s="208"/>
      <c r="CD266" s="208"/>
      <c r="CE266" s="208"/>
      <c r="CF266" s="208"/>
      <c r="CG266" s="208"/>
      <c r="CH266" s="208"/>
      <c r="CI266" s="259"/>
      <c r="CJ266" s="54"/>
      <c r="CK266" s="57"/>
      <c r="CQ266" s="10" t="e">
        <f>D266-#REF!-AM266</f>
        <v>#REF!</v>
      </c>
      <c r="CR266" s="10" t="e">
        <f>D266-#REF!</f>
        <v>#REF!</v>
      </c>
      <c r="CS266" s="130" t="e">
        <f>F266-#REF!</f>
        <v>#REF!</v>
      </c>
    </row>
    <row r="267" spans="1:97" s="127" customFormat="1" hidden="1" outlineLevel="1" x14ac:dyDescent="0.2">
      <c r="A267" s="98"/>
      <c r="B267" s="430" t="s">
        <v>539</v>
      </c>
      <c r="C267" s="431"/>
      <c r="D267" s="220">
        <f t="shared" si="462"/>
        <v>65807</v>
      </c>
      <c r="E267" s="208">
        <f t="shared" si="460"/>
        <v>220248</v>
      </c>
      <c r="F267" s="208">
        <v>65807</v>
      </c>
      <c r="G267" s="208">
        <f t="shared" si="451"/>
        <v>220248</v>
      </c>
      <c r="H267" s="208">
        <f t="shared" si="452"/>
        <v>154441</v>
      </c>
      <c r="I267" s="208"/>
      <c r="J267" s="208"/>
      <c r="K267" s="208"/>
      <c r="L267" s="208"/>
      <c r="M267" s="208">
        <f>5551+31312-5746+845+550-550</f>
        <v>31962</v>
      </c>
      <c r="N267" s="208"/>
      <c r="O267" s="208"/>
      <c r="P267" s="208"/>
      <c r="Q267" s="208">
        <f>103</f>
        <v>103</v>
      </c>
      <c r="R267" s="208"/>
      <c r="S267" s="208"/>
      <c r="T267" s="208"/>
      <c r="U267" s="208">
        <v>45369</v>
      </c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>
        <f>-103+77110</f>
        <v>77007</v>
      </c>
      <c r="AH267" s="208"/>
      <c r="AI267" s="208"/>
      <c r="AJ267" s="208"/>
      <c r="AK267" s="208"/>
      <c r="AL267" s="208"/>
      <c r="AM267" s="208"/>
      <c r="AN267" s="208">
        <f t="shared" si="453"/>
        <v>0</v>
      </c>
      <c r="AO267" s="208">
        <f t="shared" si="454"/>
        <v>0</v>
      </c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>
        <f t="shared" si="455"/>
        <v>0</v>
      </c>
      <c r="BC267" s="208">
        <f t="shared" si="456"/>
        <v>0</v>
      </c>
      <c r="BD267" s="208"/>
      <c r="BE267" s="208"/>
      <c r="BF267" s="208"/>
      <c r="BG267" s="208"/>
      <c r="BH267" s="208"/>
      <c r="BI267" s="208"/>
      <c r="BJ267" s="208"/>
      <c r="BK267" s="208"/>
      <c r="BL267" s="208"/>
      <c r="BM267" s="208"/>
      <c r="BN267" s="208"/>
      <c r="BO267" s="208"/>
      <c r="BP267" s="208">
        <f t="shared" si="457"/>
        <v>0</v>
      </c>
      <c r="BQ267" s="208">
        <f t="shared" si="458"/>
        <v>0</v>
      </c>
      <c r="BR267" s="208"/>
      <c r="BS267" s="208"/>
      <c r="BT267" s="208"/>
      <c r="BU267" s="208"/>
      <c r="BV267" s="208"/>
      <c r="BW267" s="208">
        <f t="shared" si="459"/>
        <v>0</v>
      </c>
      <c r="BX267" s="208">
        <f t="shared" si="463"/>
        <v>0</v>
      </c>
      <c r="BY267" s="208"/>
      <c r="BZ267" s="208"/>
      <c r="CA267" s="208"/>
      <c r="CB267" s="208"/>
      <c r="CC267" s="208"/>
      <c r="CD267" s="208"/>
      <c r="CE267" s="208"/>
      <c r="CF267" s="208"/>
      <c r="CG267" s="208"/>
      <c r="CH267" s="208"/>
      <c r="CI267" s="259"/>
      <c r="CJ267" s="54"/>
      <c r="CK267" s="57"/>
      <c r="CQ267" s="10" t="e">
        <f>D267-#REF!-AM267</f>
        <v>#REF!</v>
      </c>
      <c r="CR267" s="10" t="e">
        <f>D267-#REF!</f>
        <v>#REF!</v>
      </c>
      <c r="CS267" s="127" t="e">
        <f>F267-#REF!</f>
        <v>#REF!</v>
      </c>
    </row>
    <row r="268" spans="1:97" s="127" customFormat="1" hidden="1" outlineLevel="1" x14ac:dyDescent="0.2">
      <c r="A268" s="98"/>
      <c r="B268" s="430" t="s">
        <v>540</v>
      </c>
      <c r="C268" s="431"/>
      <c r="D268" s="220">
        <f t="shared" si="462"/>
        <v>61908</v>
      </c>
      <c r="E268" s="208">
        <f t="shared" si="460"/>
        <v>110364</v>
      </c>
      <c r="F268" s="208">
        <v>61908</v>
      </c>
      <c r="G268" s="208">
        <f t="shared" si="451"/>
        <v>110364</v>
      </c>
      <c r="H268" s="208">
        <f t="shared" si="452"/>
        <v>48456</v>
      </c>
      <c r="I268" s="208"/>
      <c r="J268" s="208"/>
      <c r="K268" s="208"/>
      <c r="L268" s="208"/>
      <c r="M268" s="208">
        <f>-18736+314-975+1094-1094</f>
        <v>-19397</v>
      </c>
      <c r="N268" s="208"/>
      <c r="O268" s="208"/>
      <c r="P268" s="208"/>
      <c r="Q268" s="208"/>
      <c r="R268" s="208">
        <v>45369</v>
      </c>
      <c r="S268" s="208"/>
      <c r="T268" s="208"/>
      <c r="U268" s="208">
        <f>-45369-1556</f>
        <v>-46925</v>
      </c>
      <c r="V268" s="208"/>
      <c r="W268" s="208"/>
      <c r="X268" s="208">
        <v>-14909</v>
      </c>
      <c r="Y268" s="208"/>
      <c r="Z268" s="208"/>
      <c r="AA268" s="208">
        <f>18277+11746</f>
        <v>30023</v>
      </c>
      <c r="AB268" s="208"/>
      <c r="AC268" s="208"/>
      <c r="AD268" s="208"/>
      <c r="AE268" s="208"/>
      <c r="AF268" s="208"/>
      <c r="AG268" s="208">
        <f>21228+24464+7882+721</f>
        <v>54295</v>
      </c>
      <c r="AH268" s="208"/>
      <c r="AI268" s="208"/>
      <c r="AJ268" s="208"/>
      <c r="AK268" s="208"/>
      <c r="AL268" s="208"/>
      <c r="AM268" s="208"/>
      <c r="AN268" s="208">
        <f t="shared" si="453"/>
        <v>0</v>
      </c>
      <c r="AO268" s="208">
        <f t="shared" si="454"/>
        <v>0</v>
      </c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>
        <f t="shared" si="455"/>
        <v>0</v>
      </c>
      <c r="BC268" s="208">
        <f t="shared" si="456"/>
        <v>0</v>
      </c>
      <c r="BD268" s="208"/>
      <c r="BE268" s="208"/>
      <c r="BF268" s="208"/>
      <c r="BG268" s="208"/>
      <c r="BH268" s="208"/>
      <c r="BI268" s="208"/>
      <c r="BJ268" s="208"/>
      <c r="BK268" s="208"/>
      <c r="BL268" s="208"/>
      <c r="BM268" s="208"/>
      <c r="BN268" s="208"/>
      <c r="BO268" s="208"/>
      <c r="BP268" s="208">
        <f t="shared" si="457"/>
        <v>0</v>
      </c>
      <c r="BQ268" s="208">
        <f t="shared" si="458"/>
        <v>0</v>
      </c>
      <c r="BR268" s="208"/>
      <c r="BS268" s="208"/>
      <c r="BT268" s="208"/>
      <c r="BU268" s="208"/>
      <c r="BV268" s="208"/>
      <c r="BW268" s="208">
        <f t="shared" si="459"/>
        <v>0</v>
      </c>
      <c r="BX268" s="208">
        <f t="shared" si="463"/>
        <v>0</v>
      </c>
      <c r="BY268" s="208"/>
      <c r="BZ268" s="208"/>
      <c r="CA268" s="208"/>
      <c r="CB268" s="208"/>
      <c r="CC268" s="208"/>
      <c r="CD268" s="208"/>
      <c r="CE268" s="208"/>
      <c r="CF268" s="208"/>
      <c r="CG268" s="208"/>
      <c r="CH268" s="208"/>
      <c r="CI268" s="259"/>
      <c r="CJ268" s="54"/>
      <c r="CK268" s="57"/>
      <c r="CQ268" s="10" t="e">
        <f>D268-#REF!-AM268</f>
        <v>#REF!</v>
      </c>
      <c r="CR268" s="10" t="e">
        <f>D268-#REF!</f>
        <v>#REF!</v>
      </c>
      <c r="CS268" s="127" t="e">
        <f>F268-#REF!</f>
        <v>#REF!</v>
      </c>
    </row>
    <row r="269" spans="1:97" s="127" customFormat="1" hidden="1" outlineLevel="1" x14ac:dyDescent="0.2">
      <c r="A269" s="98"/>
      <c r="B269" s="430" t="s">
        <v>541</v>
      </c>
      <c r="C269" s="431"/>
      <c r="D269" s="220">
        <f t="shared" si="462"/>
        <v>0</v>
      </c>
      <c r="E269" s="208">
        <f t="shared" si="460"/>
        <v>0</v>
      </c>
      <c r="F269" s="208">
        <f>15113-15113</f>
        <v>0</v>
      </c>
      <c r="G269" s="208">
        <f t="shared" si="451"/>
        <v>0</v>
      </c>
      <c r="H269" s="208">
        <f t="shared" si="452"/>
        <v>0</v>
      </c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  <c r="AM269" s="208"/>
      <c r="AN269" s="208">
        <f t="shared" si="453"/>
        <v>0</v>
      </c>
      <c r="AO269" s="208">
        <f t="shared" si="454"/>
        <v>0</v>
      </c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>
        <f t="shared" si="455"/>
        <v>0</v>
      </c>
      <c r="BC269" s="208">
        <f t="shared" si="456"/>
        <v>0</v>
      </c>
      <c r="BD269" s="208">
        <f>23197+3-3-23197</f>
        <v>0</v>
      </c>
      <c r="BE269" s="208"/>
      <c r="BF269" s="208"/>
      <c r="BG269" s="208"/>
      <c r="BH269" s="208"/>
      <c r="BI269" s="208"/>
      <c r="BJ269" s="208"/>
      <c r="BK269" s="208"/>
      <c r="BL269" s="208"/>
      <c r="BM269" s="208"/>
      <c r="BN269" s="208"/>
      <c r="BO269" s="208"/>
      <c r="BP269" s="208">
        <f t="shared" si="457"/>
        <v>0</v>
      </c>
      <c r="BQ269" s="208">
        <f t="shared" si="458"/>
        <v>0</v>
      </c>
      <c r="BR269" s="208"/>
      <c r="BS269" s="208"/>
      <c r="BT269" s="208"/>
      <c r="BU269" s="208"/>
      <c r="BV269" s="208"/>
      <c r="BW269" s="208">
        <f t="shared" si="459"/>
        <v>0</v>
      </c>
      <c r="BX269" s="208">
        <f t="shared" si="463"/>
        <v>0</v>
      </c>
      <c r="BY269" s="208"/>
      <c r="BZ269" s="208"/>
      <c r="CA269" s="208"/>
      <c r="CB269" s="208"/>
      <c r="CC269" s="208"/>
      <c r="CD269" s="208"/>
      <c r="CE269" s="208"/>
      <c r="CF269" s="208"/>
      <c r="CG269" s="208"/>
      <c r="CH269" s="208"/>
      <c r="CI269" s="259"/>
      <c r="CJ269" s="54"/>
      <c r="CK269" s="57"/>
      <c r="CQ269" s="10" t="e">
        <f>D269-#REF!-AM269</f>
        <v>#REF!</v>
      </c>
      <c r="CR269" s="10" t="e">
        <f>D269-#REF!</f>
        <v>#REF!</v>
      </c>
      <c r="CS269" s="127" t="e">
        <f>F269-#REF!</f>
        <v>#REF!</v>
      </c>
    </row>
    <row r="270" spans="1:97" s="127" customFormat="1" hidden="1" outlineLevel="1" x14ac:dyDescent="0.2">
      <c r="A270" s="98"/>
      <c r="B270" s="430" t="s">
        <v>542</v>
      </c>
      <c r="C270" s="431"/>
      <c r="D270" s="220">
        <f t="shared" si="462"/>
        <v>0</v>
      </c>
      <c r="E270" s="208">
        <f t="shared" si="460"/>
        <v>100</v>
      </c>
      <c r="F270" s="208"/>
      <c r="G270" s="208">
        <f t="shared" si="451"/>
        <v>0</v>
      </c>
      <c r="H270" s="208">
        <f t="shared" si="452"/>
        <v>0</v>
      </c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>
        <f t="shared" si="453"/>
        <v>0</v>
      </c>
      <c r="AO270" s="208">
        <f t="shared" si="454"/>
        <v>0</v>
      </c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>
        <f t="shared" si="455"/>
        <v>100</v>
      </c>
      <c r="BC270" s="208">
        <f t="shared" si="456"/>
        <v>100</v>
      </c>
      <c r="BD270" s="208">
        <f>200-200+100</f>
        <v>100</v>
      </c>
      <c r="BE270" s="208"/>
      <c r="BF270" s="208"/>
      <c r="BG270" s="208"/>
      <c r="BH270" s="208"/>
      <c r="BI270" s="208"/>
      <c r="BJ270" s="208"/>
      <c r="BK270" s="208"/>
      <c r="BL270" s="208"/>
      <c r="BM270" s="208"/>
      <c r="BN270" s="208"/>
      <c r="BO270" s="208"/>
      <c r="BP270" s="208">
        <f t="shared" si="457"/>
        <v>0</v>
      </c>
      <c r="BQ270" s="208">
        <f t="shared" si="458"/>
        <v>0</v>
      </c>
      <c r="BR270" s="208"/>
      <c r="BS270" s="208"/>
      <c r="BT270" s="208"/>
      <c r="BU270" s="208"/>
      <c r="BV270" s="208"/>
      <c r="BW270" s="208">
        <f t="shared" si="459"/>
        <v>0</v>
      </c>
      <c r="BX270" s="208">
        <f t="shared" si="463"/>
        <v>0</v>
      </c>
      <c r="BY270" s="208">
        <f>-200+200</f>
        <v>0</v>
      </c>
      <c r="BZ270" s="208"/>
      <c r="CA270" s="208"/>
      <c r="CB270" s="208"/>
      <c r="CC270" s="208"/>
      <c r="CD270" s="208"/>
      <c r="CE270" s="208"/>
      <c r="CF270" s="208"/>
      <c r="CG270" s="208"/>
      <c r="CH270" s="208"/>
      <c r="CI270" s="259"/>
      <c r="CJ270" s="54"/>
      <c r="CK270" s="57"/>
      <c r="CQ270" s="10" t="e">
        <f>D270-#REF!-AM270</f>
        <v>#REF!</v>
      </c>
      <c r="CR270" s="10" t="e">
        <f>D270-#REF!</f>
        <v>#REF!</v>
      </c>
      <c r="CS270" s="127" t="e">
        <f>F270-#REF!</f>
        <v>#REF!</v>
      </c>
    </row>
    <row r="271" spans="1:97" s="127" customFormat="1" hidden="1" outlineLevel="1" x14ac:dyDescent="0.2">
      <c r="A271" s="98"/>
      <c r="B271" s="430" t="s">
        <v>51</v>
      </c>
      <c r="C271" s="431"/>
      <c r="D271" s="220">
        <f t="shared" si="462"/>
        <v>0</v>
      </c>
      <c r="E271" s="208">
        <f t="shared" si="460"/>
        <v>1</v>
      </c>
      <c r="F271" s="208"/>
      <c r="G271" s="208">
        <f t="shared" si="451"/>
        <v>1</v>
      </c>
      <c r="H271" s="208">
        <f t="shared" si="452"/>
        <v>1</v>
      </c>
      <c r="I271" s="208"/>
      <c r="J271" s="208"/>
      <c r="K271" s="208"/>
      <c r="L271" s="208"/>
      <c r="M271" s="208">
        <v>1</v>
      </c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208"/>
      <c r="AK271" s="208"/>
      <c r="AL271" s="208"/>
      <c r="AM271" s="208"/>
      <c r="AN271" s="208">
        <f t="shared" si="453"/>
        <v>0</v>
      </c>
      <c r="AO271" s="208">
        <f t="shared" si="454"/>
        <v>0</v>
      </c>
      <c r="AP271" s="208"/>
      <c r="AQ271" s="208"/>
      <c r="AR271" s="208"/>
      <c r="AS271" s="208"/>
      <c r="AT271" s="208"/>
      <c r="AU271" s="208"/>
      <c r="AV271" s="208"/>
      <c r="AW271" s="208"/>
      <c r="AX271" s="208"/>
      <c r="AY271" s="208"/>
      <c r="AZ271" s="208"/>
      <c r="BA271" s="208"/>
      <c r="BB271" s="208">
        <f t="shared" si="455"/>
        <v>0</v>
      </c>
      <c r="BC271" s="208">
        <f t="shared" si="456"/>
        <v>0</v>
      </c>
      <c r="BD271" s="208"/>
      <c r="BE271" s="208"/>
      <c r="BF271" s="208"/>
      <c r="BG271" s="208"/>
      <c r="BH271" s="208"/>
      <c r="BI271" s="208"/>
      <c r="BJ271" s="208"/>
      <c r="BK271" s="208"/>
      <c r="BL271" s="208"/>
      <c r="BM271" s="208"/>
      <c r="BN271" s="208"/>
      <c r="BO271" s="208"/>
      <c r="BP271" s="208">
        <f t="shared" si="457"/>
        <v>0</v>
      </c>
      <c r="BQ271" s="208">
        <f t="shared" si="458"/>
        <v>0</v>
      </c>
      <c r="BR271" s="208"/>
      <c r="BS271" s="208"/>
      <c r="BT271" s="208"/>
      <c r="BU271" s="208"/>
      <c r="BV271" s="208"/>
      <c r="BW271" s="208">
        <f t="shared" si="459"/>
        <v>0</v>
      </c>
      <c r="BX271" s="208">
        <f t="shared" si="463"/>
        <v>0</v>
      </c>
      <c r="BY271" s="208"/>
      <c r="BZ271" s="208"/>
      <c r="CA271" s="208"/>
      <c r="CB271" s="208"/>
      <c r="CC271" s="208"/>
      <c r="CD271" s="208"/>
      <c r="CE271" s="208"/>
      <c r="CF271" s="208"/>
      <c r="CG271" s="208"/>
      <c r="CH271" s="208"/>
      <c r="CI271" s="259"/>
      <c r="CJ271" s="54"/>
      <c r="CK271" s="57"/>
      <c r="CQ271" s="10" t="e">
        <f>D271-#REF!-AM271</f>
        <v>#REF!</v>
      </c>
      <c r="CR271" s="10" t="e">
        <f>D271-#REF!</f>
        <v>#REF!</v>
      </c>
      <c r="CS271" s="127" t="e">
        <f>F271-#REF!</f>
        <v>#REF!</v>
      </c>
    </row>
    <row r="272" spans="1:97" s="130" customFormat="1" ht="12.75" hidden="1" customHeight="1" outlineLevel="1" x14ac:dyDescent="0.2">
      <c r="A272" s="98"/>
      <c r="B272" s="432" t="s">
        <v>78</v>
      </c>
      <c r="C272" s="431"/>
      <c r="D272" s="220"/>
      <c r="E272" s="208">
        <f t="shared" si="460"/>
        <v>5559</v>
      </c>
      <c r="F272" s="208"/>
      <c r="G272" s="208">
        <f t="shared" ref="G272" si="464">F272+H272</f>
        <v>5559</v>
      </c>
      <c r="H272" s="208">
        <f t="shared" si="452"/>
        <v>5559</v>
      </c>
      <c r="I272" s="208"/>
      <c r="J272" s="208"/>
      <c r="K272" s="208"/>
      <c r="L272" s="208"/>
      <c r="M272" s="208">
        <v>5559</v>
      </c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>
        <f t="shared" ref="AN272" si="465">AM272+AO272</f>
        <v>0</v>
      </c>
      <c r="AO272" s="208">
        <f t="shared" ref="AO272" si="466">SUM(AP272:AZ272)</f>
        <v>0</v>
      </c>
      <c r="AP272" s="208"/>
      <c r="AQ272" s="208"/>
      <c r="AR272" s="208"/>
      <c r="AS272" s="208"/>
      <c r="AT272" s="208"/>
      <c r="AU272" s="208"/>
      <c r="AV272" s="208"/>
      <c r="AW272" s="208"/>
      <c r="AX272" s="208"/>
      <c r="AY272" s="208"/>
      <c r="AZ272" s="208"/>
      <c r="BA272" s="208"/>
      <c r="BB272" s="208">
        <f t="shared" ref="BB272" si="467">BA272+BC272</f>
        <v>0</v>
      </c>
      <c r="BC272" s="208">
        <f t="shared" ref="BC272" si="468">SUM(BD272:BN272)</f>
        <v>0</v>
      </c>
      <c r="BD272" s="208"/>
      <c r="BE272" s="208"/>
      <c r="BF272" s="208"/>
      <c r="BG272" s="208"/>
      <c r="BH272" s="208"/>
      <c r="BI272" s="208"/>
      <c r="BJ272" s="208"/>
      <c r="BK272" s="208"/>
      <c r="BL272" s="208"/>
      <c r="BM272" s="208"/>
      <c r="BN272" s="208"/>
      <c r="BO272" s="208"/>
      <c r="BP272" s="208">
        <f t="shared" ref="BP272" si="469">BO272+BQ272</f>
        <v>0</v>
      </c>
      <c r="BQ272" s="208">
        <f t="shared" ref="BQ272" si="470">SUM(BR272:BU272)</f>
        <v>0</v>
      </c>
      <c r="BR272" s="208"/>
      <c r="BS272" s="208"/>
      <c r="BT272" s="208"/>
      <c r="BU272" s="208"/>
      <c r="BV272" s="208"/>
      <c r="BW272" s="208">
        <f t="shared" ref="BW272" si="471">BV272+BX272</f>
        <v>0</v>
      </c>
      <c r="BX272" s="208">
        <f t="shared" si="463"/>
        <v>0</v>
      </c>
      <c r="BY272" s="208"/>
      <c r="BZ272" s="208"/>
      <c r="CA272" s="208"/>
      <c r="CB272" s="208"/>
      <c r="CC272" s="208"/>
      <c r="CD272" s="208"/>
      <c r="CE272" s="208"/>
      <c r="CF272" s="208"/>
      <c r="CG272" s="208"/>
      <c r="CH272" s="208"/>
      <c r="CI272" s="259"/>
      <c r="CJ272" s="54"/>
      <c r="CK272" s="57"/>
      <c r="CQ272" s="10"/>
      <c r="CR272" s="10"/>
    </row>
    <row r="273" spans="1:97" s="127" customFormat="1" hidden="1" outlineLevel="1" x14ac:dyDescent="0.2">
      <c r="A273" s="98"/>
      <c r="B273" s="430" t="s">
        <v>543</v>
      </c>
      <c r="C273" s="431"/>
      <c r="D273" s="220">
        <f t="shared" ref="D273:D290" si="472">F273+AM273+BA273+BO273+BV273</f>
        <v>0</v>
      </c>
      <c r="E273" s="208">
        <f t="shared" si="460"/>
        <v>0</v>
      </c>
      <c r="F273" s="208"/>
      <c r="G273" s="208">
        <f t="shared" si="451"/>
        <v>0</v>
      </c>
      <c r="H273" s="208">
        <f t="shared" si="452"/>
        <v>0</v>
      </c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>
        <f t="shared" si="453"/>
        <v>0</v>
      </c>
      <c r="AO273" s="208">
        <f t="shared" si="454"/>
        <v>0</v>
      </c>
      <c r="AP273" s="208"/>
      <c r="AQ273" s="208"/>
      <c r="AR273" s="208"/>
      <c r="AS273" s="208"/>
      <c r="AT273" s="208"/>
      <c r="AU273" s="208"/>
      <c r="AV273" s="208"/>
      <c r="AW273" s="208"/>
      <c r="AX273" s="208"/>
      <c r="AY273" s="208"/>
      <c r="AZ273" s="208"/>
      <c r="BA273" s="208"/>
      <c r="BB273" s="208">
        <f t="shared" si="455"/>
        <v>0</v>
      </c>
      <c r="BC273" s="208">
        <f t="shared" si="456"/>
        <v>0</v>
      </c>
      <c r="BD273" s="208"/>
      <c r="BE273" s="208"/>
      <c r="BF273" s="208"/>
      <c r="BG273" s="208"/>
      <c r="BH273" s="208"/>
      <c r="BI273" s="208"/>
      <c r="BJ273" s="208"/>
      <c r="BK273" s="208"/>
      <c r="BL273" s="208"/>
      <c r="BM273" s="208"/>
      <c r="BN273" s="208"/>
      <c r="BO273" s="208"/>
      <c r="BP273" s="208">
        <f t="shared" si="457"/>
        <v>0</v>
      </c>
      <c r="BQ273" s="208">
        <f t="shared" si="458"/>
        <v>0</v>
      </c>
      <c r="BR273" s="208"/>
      <c r="BS273" s="208"/>
      <c r="BT273" s="208"/>
      <c r="BU273" s="208"/>
      <c r="BV273" s="208"/>
      <c r="BW273" s="208">
        <f t="shared" si="459"/>
        <v>0</v>
      </c>
      <c r="BX273" s="208">
        <f t="shared" si="463"/>
        <v>0</v>
      </c>
      <c r="BY273" s="208"/>
      <c r="BZ273" s="208"/>
      <c r="CA273" s="208"/>
      <c r="CB273" s="208"/>
      <c r="CC273" s="208"/>
      <c r="CD273" s="208"/>
      <c r="CE273" s="208"/>
      <c r="CF273" s="208"/>
      <c r="CG273" s="208"/>
      <c r="CH273" s="208"/>
      <c r="CI273" s="259"/>
      <c r="CJ273" s="54"/>
      <c r="CK273" s="57"/>
      <c r="CQ273" s="10" t="e">
        <f>D273-#REF!-AM273</f>
        <v>#REF!</v>
      </c>
      <c r="CR273" s="10" t="e">
        <f>D273-#REF!</f>
        <v>#REF!</v>
      </c>
      <c r="CS273" s="127" t="e">
        <f>F273-#REF!</f>
        <v>#REF!</v>
      </c>
    </row>
    <row r="274" spans="1:97" s="130" customFormat="1" hidden="1" outlineLevel="1" x14ac:dyDescent="0.2">
      <c r="A274" s="98"/>
      <c r="B274" s="432" t="s">
        <v>667</v>
      </c>
      <c r="C274" s="431"/>
      <c r="D274" s="220">
        <f t="shared" si="472"/>
        <v>0</v>
      </c>
      <c r="E274" s="208">
        <f t="shared" si="460"/>
        <v>0</v>
      </c>
      <c r="F274" s="208"/>
      <c r="G274" s="208">
        <f t="shared" si="451"/>
        <v>0</v>
      </c>
      <c r="H274" s="208">
        <f t="shared" si="452"/>
        <v>0</v>
      </c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>
        <f t="shared" si="453"/>
        <v>0</v>
      </c>
      <c r="AO274" s="208">
        <f t="shared" si="454"/>
        <v>0</v>
      </c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>
        <f t="shared" si="455"/>
        <v>0</v>
      </c>
      <c r="BC274" s="208">
        <f t="shared" si="456"/>
        <v>0</v>
      </c>
      <c r="BD274" s="208"/>
      <c r="BE274" s="208"/>
      <c r="BF274" s="208"/>
      <c r="BG274" s="208"/>
      <c r="BH274" s="208"/>
      <c r="BI274" s="208"/>
      <c r="BJ274" s="208"/>
      <c r="BK274" s="208"/>
      <c r="BL274" s="208"/>
      <c r="BM274" s="208"/>
      <c r="BN274" s="208"/>
      <c r="BO274" s="208"/>
      <c r="BP274" s="208">
        <f t="shared" si="457"/>
        <v>0</v>
      </c>
      <c r="BQ274" s="208">
        <f t="shared" si="458"/>
        <v>0</v>
      </c>
      <c r="BR274" s="208"/>
      <c r="BS274" s="208"/>
      <c r="BT274" s="208"/>
      <c r="BU274" s="208"/>
      <c r="BV274" s="208"/>
      <c r="BW274" s="208">
        <f t="shared" si="459"/>
        <v>0</v>
      </c>
      <c r="BX274" s="208">
        <f t="shared" si="463"/>
        <v>0</v>
      </c>
      <c r="BY274" s="208"/>
      <c r="BZ274" s="208"/>
      <c r="CA274" s="208"/>
      <c r="CB274" s="208"/>
      <c r="CC274" s="208"/>
      <c r="CD274" s="208"/>
      <c r="CE274" s="208"/>
      <c r="CF274" s="208"/>
      <c r="CG274" s="208"/>
      <c r="CH274" s="208"/>
      <c r="CI274" s="259"/>
      <c r="CJ274" s="54"/>
      <c r="CK274" s="57"/>
      <c r="CQ274" s="10" t="e">
        <f>D274-#REF!-AM274</f>
        <v>#REF!</v>
      </c>
      <c r="CR274" s="10" t="e">
        <f>D274-#REF!</f>
        <v>#REF!</v>
      </c>
      <c r="CS274" s="130" t="e">
        <f>F274-#REF!</f>
        <v>#REF!</v>
      </c>
    </row>
    <row r="275" spans="1:97" s="130" customFormat="1" ht="12.75" hidden="1" customHeight="1" outlineLevel="1" x14ac:dyDescent="0.2">
      <c r="A275" s="98"/>
      <c r="B275" s="437" t="s">
        <v>677</v>
      </c>
      <c r="C275" s="434"/>
      <c r="D275" s="220">
        <f t="shared" si="472"/>
        <v>0</v>
      </c>
      <c r="E275" s="208">
        <f t="shared" si="460"/>
        <v>0</v>
      </c>
      <c r="F275" s="208"/>
      <c r="G275" s="208">
        <f t="shared" si="451"/>
        <v>0</v>
      </c>
      <c r="H275" s="208">
        <f t="shared" si="452"/>
        <v>0</v>
      </c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>
        <f t="shared" si="453"/>
        <v>0</v>
      </c>
      <c r="AO275" s="208">
        <f t="shared" si="454"/>
        <v>0</v>
      </c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>
        <f t="shared" si="455"/>
        <v>0</v>
      </c>
      <c r="BC275" s="208">
        <f t="shared" si="456"/>
        <v>0</v>
      </c>
      <c r="BD275" s="208"/>
      <c r="BE275" s="208"/>
      <c r="BF275" s="208"/>
      <c r="BG275" s="208"/>
      <c r="BH275" s="208"/>
      <c r="BI275" s="208"/>
      <c r="BJ275" s="208"/>
      <c r="BK275" s="208"/>
      <c r="BL275" s="208"/>
      <c r="BM275" s="208"/>
      <c r="BN275" s="208"/>
      <c r="BO275" s="208"/>
      <c r="BP275" s="208">
        <f t="shared" si="457"/>
        <v>0</v>
      </c>
      <c r="BQ275" s="208">
        <f t="shared" si="458"/>
        <v>0</v>
      </c>
      <c r="BR275" s="208"/>
      <c r="BS275" s="208"/>
      <c r="BT275" s="208"/>
      <c r="BU275" s="208"/>
      <c r="BV275" s="208"/>
      <c r="BW275" s="208">
        <f t="shared" si="459"/>
        <v>0</v>
      </c>
      <c r="BX275" s="208">
        <f t="shared" si="463"/>
        <v>0</v>
      </c>
      <c r="BY275" s="208"/>
      <c r="BZ275" s="208"/>
      <c r="CA275" s="208"/>
      <c r="CB275" s="208"/>
      <c r="CC275" s="208"/>
      <c r="CD275" s="208"/>
      <c r="CE275" s="208"/>
      <c r="CF275" s="208"/>
      <c r="CG275" s="208"/>
      <c r="CH275" s="208"/>
      <c r="CI275" s="259"/>
      <c r="CJ275" s="54"/>
      <c r="CK275" s="57"/>
      <c r="CQ275" s="10" t="e">
        <f>D275-#REF!-AM275</f>
        <v>#REF!</v>
      </c>
      <c r="CR275" s="10" t="e">
        <f>D275-#REF!</f>
        <v>#REF!</v>
      </c>
      <c r="CS275" s="130" t="e">
        <f>F275-#REF!</f>
        <v>#REF!</v>
      </c>
    </row>
    <row r="276" spans="1:97" s="127" customFormat="1" hidden="1" outlineLevel="1" x14ac:dyDescent="0.2">
      <c r="A276" s="98"/>
      <c r="B276" s="430" t="s">
        <v>544</v>
      </c>
      <c r="C276" s="431"/>
      <c r="D276" s="220">
        <f t="shared" si="472"/>
        <v>5924</v>
      </c>
      <c r="E276" s="208">
        <f t="shared" si="460"/>
        <v>196</v>
      </c>
      <c r="F276" s="208"/>
      <c r="G276" s="208">
        <f t="shared" si="451"/>
        <v>0</v>
      </c>
      <c r="H276" s="208">
        <f t="shared" si="452"/>
        <v>0</v>
      </c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>
        <v>5924</v>
      </c>
      <c r="AN276" s="208">
        <f t="shared" si="453"/>
        <v>196</v>
      </c>
      <c r="AO276" s="208">
        <f t="shared" si="454"/>
        <v>-5728</v>
      </c>
      <c r="AP276" s="208">
        <f>45071</f>
        <v>45071</v>
      </c>
      <c r="AQ276" s="208"/>
      <c r="AR276" s="208"/>
      <c r="AS276" s="208">
        <v>-11390</v>
      </c>
      <c r="AT276" s="208">
        <f>-4362</f>
        <v>-4362</v>
      </c>
      <c r="AU276" s="208"/>
      <c r="AV276" s="208">
        <f>-5106-26427-1082-2432</f>
        <v>-35047</v>
      </c>
      <c r="AW276" s="208"/>
      <c r="AX276" s="208"/>
      <c r="AY276" s="208"/>
      <c r="AZ276" s="208"/>
      <c r="BA276" s="208"/>
      <c r="BB276" s="208">
        <f t="shared" si="455"/>
        <v>0</v>
      </c>
      <c r="BC276" s="208">
        <f t="shared" si="456"/>
        <v>0</v>
      </c>
      <c r="BD276" s="208"/>
      <c r="BE276" s="208"/>
      <c r="BF276" s="208"/>
      <c r="BG276" s="208"/>
      <c r="BH276" s="208"/>
      <c r="BI276" s="208"/>
      <c r="BJ276" s="208"/>
      <c r="BK276" s="208"/>
      <c r="BL276" s="208"/>
      <c r="BM276" s="208"/>
      <c r="BN276" s="208"/>
      <c r="BO276" s="208"/>
      <c r="BP276" s="208">
        <f t="shared" si="457"/>
        <v>0</v>
      </c>
      <c r="BQ276" s="208">
        <f t="shared" si="458"/>
        <v>0</v>
      </c>
      <c r="BR276" s="208"/>
      <c r="BS276" s="208"/>
      <c r="BT276" s="208"/>
      <c r="BU276" s="208"/>
      <c r="BV276" s="208"/>
      <c r="BW276" s="208">
        <f t="shared" si="459"/>
        <v>0</v>
      </c>
      <c r="BX276" s="208">
        <f t="shared" si="463"/>
        <v>0</v>
      </c>
      <c r="BY276" s="208"/>
      <c r="BZ276" s="208"/>
      <c r="CA276" s="208"/>
      <c r="CB276" s="208"/>
      <c r="CC276" s="208"/>
      <c r="CD276" s="208"/>
      <c r="CE276" s="208"/>
      <c r="CF276" s="208"/>
      <c r="CG276" s="208"/>
      <c r="CH276" s="208"/>
      <c r="CI276" s="259"/>
      <c r="CJ276" s="54"/>
      <c r="CK276" s="57"/>
      <c r="CQ276" s="10" t="e">
        <f>D276-#REF!-AM276</f>
        <v>#REF!</v>
      </c>
      <c r="CR276" s="10" t="e">
        <f>D276-#REF!</f>
        <v>#REF!</v>
      </c>
      <c r="CS276" s="127" t="e">
        <f>F276-#REF!</f>
        <v>#REF!</v>
      </c>
    </row>
    <row r="277" spans="1:97" s="127" customFormat="1" hidden="1" outlineLevel="1" x14ac:dyDescent="0.2">
      <c r="A277" s="98"/>
      <c r="B277" s="471" t="s">
        <v>545</v>
      </c>
      <c r="C277" s="472"/>
      <c r="D277" s="220">
        <f t="shared" si="472"/>
        <v>0</v>
      </c>
      <c r="E277" s="208">
        <f t="shared" si="460"/>
        <v>2866</v>
      </c>
      <c r="F277" s="208"/>
      <c r="G277" s="208">
        <f t="shared" si="451"/>
        <v>0</v>
      </c>
      <c r="H277" s="208">
        <f t="shared" si="452"/>
        <v>0</v>
      </c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>
        <f t="shared" si="453"/>
        <v>2866</v>
      </c>
      <c r="AO277" s="208">
        <f t="shared" si="454"/>
        <v>2866</v>
      </c>
      <c r="AP277" s="208">
        <f>3977</f>
        <v>3977</v>
      </c>
      <c r="AQ277" s="208"/>
      <c r="AR277" s="208"/>
      <c r="AS277" s="208">
        <v>-792</v>
      </c>
      <c r="AT277" s="208">
        <f>-897</f>
        <v>-897</v>
      </c>
      <c r="AU277" s="208"/>
      <c r="AV277" s="208">
        <f>-226+804</f>
        <v>578</v>
      </c>
      <c r="AW277" s="208"/>
      <c r="AX277" s="208"/>
      <c r="AY277" s="208"/>
      <c r="AZ277" s="208"/>
      <c r="BA277" s="208"/>
      <c r="BB277" s="208">
        <f t="shared" si="455"/>
        <v>0</v>
      </c>
      <c r="BC277" s="208">
        <f t="shared" si="456"/>
        <v>0</v>
      </c>
      <c r="BD277" s="208"/>
      <c r="BE277" s="208"/>
      <c r="BF277" s="208"/>
      <c r="BG277" s="208"/>
      <c r="BH277" s="208"/>
      <c r="BI277" s="208"/>
      <c r="BJ277" s="208"/>
      <c r="BK277" s="208"/>
      <c r="BL277" s="208"/>
      <c r="BM277" s="208"/>
      <c r="BN277" s="208"/>
      <c r="BO277" s="208"/>
      <c r="BP277" s="208">
        <f t="shared" si="457"/>
        <v>0</v>
      </c>
      <c r="BQ277" s="208">
        <f t="shared" si="458"/>
        <v>0</v>
      </c>
      <c r="BR277" s="208"/>
      <c r="BS277" s="208"/>
      <c r="BT277" s="208"/>
      <c r="BU277" s="208"/>
      <c r="BV277" s="208"/>
      <c r="BW277" s="208">
        <f t="shared" si="459"/>
        <v>0</v>
      </c>
      <c r="BX277" s="208">
        <f t="shared" si="463"/>
        <v>0</v>
      </c>
      <c r="BY277" s="208"/>
      <c r="BZ277" s="208"/>
      <c r="CA277" s="208"/>
      <c r="CB277" s="208"/>
      <c r="CC277" s="208"/>
      <c r="CD277" s="208"/>
      <c r="CE277" s="208"/>
      <c r="CF277" s="208"/>
      <c r="CG277" s="208"/>
      <c r="CH277" s="208"/>
      <c r="CI277" s="259"/>
      <c r="CJ277" s="54"/>
      <c r="CK277" s="57"/>
      <c r="CQ277" s="10" t="e">
        <f>D277-#REF!-AM277</f>
        <v>#REF!</v>
      </c>
      <c r="CR277" s="10" t="e">
        <f>D277-#REF!</f>
        <v>#REF!</v>
      </c>
      <c r="CS277" s="127" t="e">
        <f>F277-#REF!</f>
        <v>#REF!</v>
      </c>
    </row>
    <row r="278" spans="1:97" s="127" customFormat="1" hidden="1" outlineLevel="1" x14ac:dyDescent="0.2">
      <c r="A278" s="98"/>
      <c r="B278" s="430" t="s">
        <v>546</v>
      </c>
      <c r="C278" s="431"/>
      <c r="D278" s="220">
        <f t="shared" si="472"/>
        <v>0</v>
      </c>
      <c r="E278" s="208">
        <f t="shared" si="460"/>
        <v>517</v>
      </c>
      <c r="F278" s="208"/>
      <c r="G278" s="208">
        <f t="shared" si="451"/>
        <v>0</v>
      </c>
      <c r="H278" s="208">
        <f t="shared" si="452"/>
        <v>0</v>
      </c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  <c r="AM278" s="208"/>
      <c r="AN278" s="208">
        <f t="shared" si="453"/>
        <v>517</v>
      </c>
      <c r="AO278" s="208">
        <f t="shared" si="454"/>
        <v>517</v>
      </c>
      <c r="AP278" s="208">
        <f>24195</f>
        <v>24195</v>
      </c>
      <c r="AQ278" s="208"/>
      <c r="AR278" s="208"/>
      <c r="AS278" s="208"/>
      <c r="AT278" s="208"/>
      <c r="AU278" s="208"/>
      <c r="AV278" s="208">
        <f>-863-1525-410-20880</f>
        <v>-23678</v>
      </c>
      <c r="AW278" s="208"/>
      <c r="AX278" s="208"/>
      <c r="AY278" s="208"/>
      <c r="AZ278" s="208"/>
      <c r="BA278" s="208"/>
      <c r="BB278" s="208">
        <f t="shared" si="455"/>
        <v>0</v>
      </c>
      <c r="BC278" s="208">
        <f t="shared" si="456"/>
        <v>0</v>
      </c>
      <c r="BD278" s="208"/>
      <c r="BE278" s="208"/>
      <c r="BF278" s="208"/>
      <c r="BG278" s="208"/>
      <c r="BH278" s="208"/>
      <c r="BI278" s="208"/>
      <c r="BJ278" s="208"/>
      <c r="BK278" s="208"/>
      <c r="BL278" s="208"/>
      <c r="BM278" s="208"/>
      <c r="BN278" s="208"/>
      <c r="BO278" s="208"/>
      <c r="BP278" s="208">
        <f t="shared" si="457"/>
        <v>0</v>
      </c>
      <c r="BQ278" s="208">
        <f t="shared" si="458"/>
        <v>0</v>
      </c>
      <c r="BR278" s="208"/>
      <c r="BS278" s="208"/>
      <c r="BT278" s="208"/>
      <c r="BU278" s="208"/>
      <c r="BV278" s="208"/>
      <c r="BW278" s="208">
        <f t="shared" si="459"/>
        <v>0</v>
      </c>
      <c r="BX278" s="208">
        <f t="shared" si="463"/>
        <v>0</v>
      </c>
      <c r="BY278" s="208"/>
      <c r="BZ278" s="208"/>
      <c r="CA278" s="208"/>
      <c r="CB278" s="208"/>
      <c r="CC278" s="208"/>
      <c r="CD278" s="208"/>
      <c r="CE278" s="208"/>
      <c r="CF278" s="208"/>
      <c r="CG278" s="208"/>
      <c r="CH278" s="208"/>
      <c r="CI278" s="259"/>
      <c r="CJ278" s="54"/>
      <c r="CK278" s="57"/>
      <c r="CQ278" s="10" t="e">
        <f>D278-#REF!-AM278</f>
        <v>#REF!</v>
      </c>
      <c r="CR278" s="10" t="e">
        <f>D278-#REF!</f>
        <v>#REF!</v>
      </c>
      <c r="CS278" s="127" t="e">
        <f>F278-#REF!</f>
        <v>#REF!</v>
      </c>
    </row>
    <row r="279" spans="1:97" s="127" customFormat="1" hidden="1" outlineLevel="1" x14ac:dyDescent="0.2">
      <c r="A279" s="98"/>
      <c r="B279" s="430" t="s">
        <v>547</v>
      </c>
      <c r="C279" s="431"/>
      <c r="D279" s="220">
        <f t="shared" si="472"/>
        <v>0</v>
      </c>
      <c r="E279" s="208">
        <f t="shared" si="460"/>
        <v>0</v>
      </c>
      <c r="F279" s="208"/>
      <c r="G279" s="208">
        <f t="shared" si="451"/>
        <v>0</v>
      </c>
      <c r="H279" s="208">
        <f t="shared" si="452"/>
        <v>0</v>
      </c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>
        <f t="shared" si="453"/>
        <v>0</v>
      </c>
      <c r="AO279" s="208">
        <f t="shared" si="454"/>
        <v>0</v>
      </c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8"/>
      <c r="AZ279" s="208"/>
      <c r="BA279" s="208"/>
      <c r="BB279" s="208">
        <f t="shared" si="455"/>
        <v>0</v>
      </c>
      <c r="BC279" s="208">
        <f t="shared" si="456"/>
        <v>0</v>
      </c>
      <c r="BD279" s="208"/>
      <c r="BE279" s="208"/>
      <c r="BF279" s="208"/>
      <c r="BG279" s="208"/>
      <c r="BH279" s="208"/>
      <c r="BI279" s="208"/>
      <c r="BJ279" s="208"/>
      <c r="BK279" s="208"/>
      <c r="BL279" s="208"/>
      <c r="BM279" s="208"/>
      <c r="BN279" s="208"/>
      <c r="BO279" s="208"/>
      <c r="BP279" s="208">
        <f t="shared" si="457"/>
        <v>0</v>
      </c>
      <c r="BQ279" s="208">
        <f t="shared" si="458"/>
        <v>0</v>
      </c>
      <c r="BR279" s="208"/>
      <c r="BS279" s="208"/>
      <c r="BT279" s="208"/>
      <c r="BU279" s="208"/>
      <c r="BV279" s="208"/>
      <c r="BW279" s="208">
        <f t="shared" si="459"/>
        <v>0</v>
      </c>
      <c r="BX279" s="208">
        <f t="shared" si="463"/>
        <v>0</v>
      </c>
      <c r="BY279" s="208"/>
      <c r="BZ279" s="208"/>
      <c r="CA279" s="208"/>
      <c r="CB279" s="208"/>
      <c r="CC279" s="208"/>
      <c r="CD279" s="208"/>
      <c r="CE279" s="208"/>
      <c r="CF279" s="208"/>
      <c r="CG279" s="208"/>
      <c r="CH279" s="208"/>
      <c r="CI279" s="259"/>
      <c r="CJ279" s="54"/>
      <c r="CK279" s="57"/>
      <c r="CQ279" s="10" t="e">
        <f>D279-#REF!-AM279</f>
        <v>#REF!</v>
      </c>
      <c r="CR279" s="10" t="e">
        <f>D279-#REF!</f>
        <v>#REF!</v>
      </c>
      <c r="CS279" s="127" t="e">
        <f>F279-#REF!</f>
        <v>#REF!</v>
      </c>
    </row>
    <row r="280" spans="1:97" s="127" customFormat="1" hidden="1" outlineLevel="1" x14ac:dyDescent="0.2">
      <c r="A280" s="98"/>
      <c r="B280" s="430" t="s">
        <v>548</v>
      </c>
      <c r="C280" s="431"/>
      <c r="D280" s="220">
        <f t="shared" si="472"/>
        <v>0</v>
      </c>
      <c r="E280" s="208">
        <f t="shared" si="460"/>
        <v>0</v>
      </c>
      <c r="F280" s="208"/>
      <c r="G280" s="208">
        <f t="shared" si="451"/>
        <v>0</v>
      </c>
      <c r="H280" s="208">
        <f t="shared" si="452"/>
        <v>0</v>
      </c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>
        <f t="shared" si="453"/>
        <v>0</v>
      </c>
      <c r="AO280" s="208">
        <f t="shared" si="454"/>
        <v>0</v>
      </c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8"/>
      <c r="AZ280" s="208"/>
      <c r="BA280" s="208"/>
      <c r="BB280" s="208">
        <f t="shared" si="455"/>
        <v>0</v>
      </c>
      <c r="BC280" s="208">
        <f t="shared" si="456"/>
        <v>0</v>
      </c>
      <c r="BD280" s="208"/>
      <c r="BE280" s="208"/>
      <c r="BF280" s="208"/>
      <c r="BG280" s="208"/>
      <c r="BH280" s="208"/>
      <c r="BI280" s="208"/>
      <c r="BJ280" s="208"/>
      <c r="BK280" s="208"/>
      <c r="BL280" s="208"/>
      <c r="BM280" s="208"/>
      <c r="BN280" s="208"/>
      <c r="BO280" s="208"/>
      <c r="BP280" s="208">
        <f t="shared" si="457"/>
        <v>0</v>
      </c>
      <c r="BQ280" s="208">
        <f t="shared" si="458"/>
        <v>0</v>
      </c>
      <c r="BR280" s="208"/>
      <c r="BS280" s="208"/>
      <c r="BT280" s="208"/>
      <c r="BU280" s="208"/>
      <c r="BV280" s="208"/>
      <c r="BW280" s="208">
        <f t="shared" si="459"/>
        <v>0</v>
      </c>
      <c r="BX280" s="208">
        <f t="shared" si="463"/>
        <v>0</v>
      </c>
      <c r="BY280" s="208"/>
      <c r="BZ280" s="208"/>
      <c r="CA280" s="208"/>
      <c r="CB280" s="208"/>
      <c r="CC280" s="208"/>
      <c r="CD280" s="208"/>
      <c r="CE280" s="208"/>
      <c r="CF280" s="208"/>
      <c r="CG280" s="208"/>
      <c r="CH280" s="208"/>
      <c r="CI280" s="259"/>
      <c r="CJ280" s="54"/>
      <c r="CK280" s="57"/>
      <c r="CQ280" s="10" t="e">
        <f>D280-#REF!-AM280</f>
        <v>#REF!</v>
      </c>
      <c r="CR280" s="10" t="e">
        <f>D280-#REF!</f>
        <v>#REF!</v>
      </c>
      <c r="CS280" s="127" t="e">
        <f>F280-#REF!</f>
        <v>#REF!</v>
      </c>
    </row>
    <row r="281" spans="1:97" s="127" customFormat="1" hidden="1" outlineLevel="1" x14ac:dyDescent="0.2">
      <c r="A281" s="98"/>
      <c r="B281" s="430" t="s">
        <v>549</v>
      </c>
      <c r="C281" s="431"/>
      <c r="D281" s="220">
        <f t="shared" si="472"/>
        <v>0</v>
      </c>
      <c r="E281" s="208">
        <f t="shared" si="460"/>
        <v>0</v>
      </c>
      <c r="F281" s="208"/>
      <c r="G281" s="208">
        <f t="shared" si="451"/>
        <v>0</v>
      </c>
      <c r="H281" s="208">
        <f t="shared" si="452"/>
        <v>0</v>
      </c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>
        <f t="shared" si="453"/>
        <v>0</v>
      </c>
      <c r="AO281" s="208">
        <f t="shared" si="454"/>
        <v>0</v>
      </c>
      <c r="AP281" s="208"/>
      <c r="AQ281" s="208"/>
      <c r="AR281" s="208"/>
      <c r="AS281" s="208"/>
      <c r="AT281" s="208"/>
      <c r="AU281" s="208"/>
      <c r="AV281" s="208"/>
      <c r="AW281" s="208"/>
      <c r="AX281" s="208"/>
      <c r="AY281" s="208"/>
      <c r="AZ281" s="208"/>
      <c r="BA281" s="208"/>
      <c r="BB281" s="208">
        <f t="shared" si="455"/>
        <v>0</v>
      </c>
      <c r="BC281" s="208">
        <f t="shared" si="456"/>
        <v>0</v>
      </c>
      <c r="BD281" s="208"/>
      <c r="BE281" s="208"/>
      <c r="BF281" s="208"/>
      <c r="BG281" s="208"/>
      <c r="BH281" s="208"/>
      <c r="BI281" s="208"/>
      <c r="BJ281" s="208"/>
      <c r="BK281" s="208"/>
      <c r="BL281" s="208"/>
      <c r="BM281" s="208"/>
      <c r="BN281" s="208"/>
      <c r="BO281" s="208"/>
      <c r="BP281" s="208">
        <f t="shared" si="457"/>
        <v>0</v>
      </c>
      <c r="BQ281" s="208">
        <f t="shared" si="458"/>
        <v>0</v>
      </c>
      <c r="BR281" s="208"/>
      <c r="BS281" s="208"/>
      <c r="BT281" s="208"/>
      <c r="BU281" s="208"/>
      <c r="BV281" s="208"/>
      <c r="BW281" s="208">
        <f t="shared" si="459"/>
        <v>0</v>
      </c>
      <c r="BX281" s="208">
        <f t="shared" si="463"/>
        <v>0</v>
      </c>
      <c r="BY281" s="208"/>
      <c r="BZ281" s="208"/>
      <c r="CA281" s="208"/>
      <c r="CB281" s="208"/>
      <c r="CC281" s="208"/>
      <c r="CD281" s="208"/>
      <c r="CE281" s="208"/>
      <c r="CF281" s="208"/>
      <c r="CG281" s="208"/>
      <c r="CH281" s="208"/>
      <c r="CI281" s="259"/>
      <c r="CJ281" s="54"/>
      <c r="CK281" s="57"/>
      <c r="CQ281" s="10" t="e">
        <f>D281-#REF!-AM281</f>
        <v>#REF!</v>
      </c>
      <c r="CR281" s="10" t="e">
        <f>D281-#REF!</f>
        <v>#REF!</v>
      </c>
      <c r="CS281" s="127" t="e">
        <f>F281-#REF!</f>
        <v>#REF!</v>
      </c>
    </row>
    <row r="282" spans="1:97" s="127" customFormat="1" hidden="1" outlineLevel="1" x14ac:dyDescent="0.2">
      <c r="A282" s="98"/>
      <c r="B282" s="430" t="s">
        <v>550</v>
      </c>
      <c r="C282" s="431"/>
      <c r="D282" s="220">
        <f t="shared" si="472"/>
        <v>0</v>
      </c>
      <c r="E282" s="208">
        <f t="shared" si="460"/>
        <v>21856</v>
      </c>
      <c r="F282" s="208"/>
      <c r="G282" s="208">
        <f t="shared" si="451"/>
        <v>21856</v>
      </c>
      <c r="H282" s="208">
        <f t="shared" si="452"/>
        <v>21856</v>
      </c>
      <c r="I282" s="208"/>
      <c r="J282" s="208"/>
      <c r="K282" s="208"/>
      <c r="L282" s="208"/>
      <c r="M282" s="208">
        <f>22890</f>
        <v>22890</v>
      </c>
      <c r="N282" s="208"/>
      <c r="O282" s="208"/>
      <c r="P282" s="208"/>
      <c r="Q282" s="208"/>
      <c r="R282" s="208">
        <f>-1034</f>
        <v>-1034</v>
      </c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>
        <f t="shared" si="453"/>
        <v>0</v>
      </c>
      <c r="AO282" s="208">
        <f t="shared" si="454"/>
        <v>0</v>
      </c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>
        <f t="shared" si="455"/>
        <v>0</v>
      </c>
      <c r="BC282" s="208">
        <f t="shared" si="456"/>
        <v>0</v>
      </c>
      <c r="BD282" s="208"/>
      <c r="BE282" s="208"/>
      <c r="BF282" s="208"/>
      <c r="BG282" s="208"/>
      <c r="BH282" s="208"/>
      <c r="BI282" s="208"/>
      <c r="BJ282" s="208"/>
      <c r="BK282" s="208"/>
      <c r="BL282" s="208"/>
      <c r="BM282" s="208"/>
      <c r="BN282" s="208"/>
      <c r="BO282" s="208"/>
      <c r="BP282" s="208">
        <f t="shared" si="457"/>
        <v>0</v>
      </c>
      <c r="BQ282" s="208">
        <f t="shared" si="458"/>
        <v>0</v>
      </c>
      <c r="BR282" s="208"/>
      <c r="BS282" s="208"/>
      <c r="BT282" s="208"/>
      <c r="BU282" s="208"/>
      <c r="BV282" s="208"/>
      <c r="BW282" s="208">
        <f t="shared" si="459"/>
        <v>0</v>
      </c>
      <c r="BX282" s="208">
        <f t="shared" si="463"/>
        <v>0</v>
      </c>
      <c r="BY282" s="208"/>
      <c r="BZ282" s="208"/>
      <c r="CA282" s="208"/>
      <c r="CB282" s="208"/>
      <c r="CC282" s="208"/>
      <c r="CD282" s="208"/>
      <c r="CE282" s="208"/>
      <c r="CF282" s="208"/>
      <c r="CG282" s="208"/>
      <c r="CH282" s="208"/>
      <c r="CI282" s="259"/>
      <c r="CJ282" s="54"/>
      <c r="CK282" s="57"/>
      <c r="CQ282" s="10" t="e">
        <f>D282-#REF!-AM282</f>
        <v>#REF!</v>
      </c>
      <c r="CR282" s="10" t="e">
        <f>D282-#REF!</f>
        <v>#REF!</v>
      </c>
      <c r="CS282" s="127" t="e">
        <f>F282-#REF!</f>
        <v>#REF!</v>
      </c>
    </row>
    <row r="283" spans="1:97" s="130" customFormat="1" ht="12.75" hidden="1" customHeight="1" outlineLevel="1" x14ac:dyDescent="0.2">
      <c r="A283" s="98"/>
      <c r="B283" s="432" t="s">
        <v>662</v>
      </c>
      <c r="C283" s="431"/>
      <c r="D283" s="220">
        <f t="shared" si="472"/>
        <v>0</v>
      </c>
      <c r="E283" s="208">
        <f t="shared" si="460"/>
        <v>87770</v>
      </c>
      <c r="F283" s="208"/>
      <c r="G283" s="208">
        <f t="shared" si="451"/>
        <v>87770</v>
      </c>
      <c r="H283" s="208">
        <f t="shared" si="452"/>
        <v>87770</v>
      </c>
      <c r="I283" s="208"/>
      <c r="J283" s="208"/>
      <c r="K283" s="208"/>
      <c r="L283" s="208"/>
      <c r="M283" s="208">
        <f>159028-71258</f>
        <v>87770</v>
      </c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>
        <f t="shared" si="453"/>
        <v>0</v>
      </c>
      <c r="AO283" s="208">
        <f t="shared" si="454"/>
        <v>0</v>
      </c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>
        <f t="shared" si="455"/>
        <v>0</v>
      </c>
      <c r="BC283" s="208">
        <f t="shared" si="456"/>
        <v>0</v>
      </c>
      <c r="BD283" s="208"/>
      <c r="BE283" s="208"/>
      <c r="BF283" s="208"/>
      <c r="BG283" s="208"/>
      <c r="BH283" s="208"/>
      <c r="BI283" s="208"/>
      <c r="BJ283" s="208"/>
      <c r="BK283" s="208"/>
      <c r="BL283" s="208"/>
      <c r="BM283" s="208"/>
      <c r="BN283" s="208"/>
      <c r="BO283" s="208"/>
      <c r="BP283" s="208">
        <f t="shared" si="457"/>
        <v>0</v>
      </c>
      <c r="BQ283" s="208">
        <f t="shared" si="458"/>
        <v>0</v>
      </c>
      <c r="BR283" s="208"/>
      <c r="BS283" s="208"/>
      <c r="BT283" s="208"/>
      <c r="BU283" s="208"/>
      <c r="BV283" s="208"/>
      <c r="BW283" s="208">
        <f t="shared" si="459"/>
        <v>0</v>
      </c>
      <c r="BX283" s="208">
        <f t="shared" si="463"/>
        <v>0</v>
      </c>
      <c r="BY283" s="208"/>
      <c r="BZ283" s="208"/>
      <c r="CA283" s="208"/>
      <c r="CB283" s="208"/>
      <c r="CC283" s="208"/>
      <c r="CD283" s="208"/>
      <c r="CE283" s="208"/>
      <c r="CF283" s="208"/>
      <c r="CG283" s="208"/>
      <c r="CH283" s="208"/>
      <c r="CI283" s="259"/>
      <c r="CJ283" s="54"/>
      <c r="CK283" s="57"/>
      <c r="CQ283" s="10" t="e">
        <f>D283-#REF!-AM283</f>
        <v>#REF!</v>
      </c>
      <c r="CR283" s="10" t="e">
        <f>D283-#REF!</f>
        <v>#REF!</v>
      </c>
      <c r="CS283" s="130" t="e">
        <f>F283-#REF!</f>
        <v>#REF!</v>
      </c>
    </row>
    <row r="284" spans="1:97" s="127" customFormat="1" hidden="1" outlineLevel="1" x14ac:dyDescent="0.2">
      <c r="A284" s="98"/>
      <c r="B284" s="430" t="s">
        <v>551</v>
      </c>
      <c r="C284" s="431"/>
      <c r="D284" s="220">
        <f t="shared" si="472"/>
        <v>0</v>
      </c>
      <c r="E284" s="208">
        <f t="shared" si="460"/>
        <v>0</v>
      </c>
      <c r="F284" s="208"/>
      <c r="G284" s="208">
        <f t="shared" si="451"/>
        <v>0</v>
      </c>
      <c r="H284" s="208">
        <f t="shared" si="452"/>
        <v>0</v>
      </c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>
        <f t="shared" si="453"/>
        <v>0</v>
      </c>
      <c r="AO284" s="208">
        <f t="shared" si="454"/>
        <v>0</v>
      </c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08"/>
      <c r="BB284" s="208">
        <f t="shared" si="455"/>
        <v>0</v>
      </c>
      <c r="BC284" s="208">
        <f t="shared" si="456"/>
        <v>0</v>
      </c>
      <c r="BD284" s="208"/>
      <c r="BE284" s="208"/>
      <c r="BF284" s="208"/>
      <c r="BG284" s="208"/>
      <c r="BH284" s="208"/>
      <c r="BI284" s="208"/>
      <c r="BJ284" s="208"/>
      <c r="BK284" s="208"/>
      <c r="BL284" s="208"/>
      <c r="BM284" s="208"/>
      <c r="BN284" s="208"/>
      <c r="BO284" s="208"/>
      <c r="BP284" s="208">
        <f t="shared" si="457"/>
        <v>0</v>
      </c>
      <c r="BQ284" s="208">
        <f t="shared" si="458"/>
        <v>0</v>
      </c>
      <c r="BR284" s="208"/>
      <c r="BS284" s="208"/>
      <c r="BT284" s="208"/>
      <c r="BU284" s="208"/>
      <c r="BV284" s="208"/>
      <c r="BW284" s="208">
        <f t="shared" si="459"/>
        <v>0</v>
      </c>
      <c r="BX284" s="208">
        <f t="shared" si="463"/>
        <v>0</v>
      </c>
      <c r="BY284" s="208"/>
      <c r="BZ284" s="208"/>
      <c r="CA284" s="208"/>
      <c r="CB284" s="208"/>
      <c r="CC284" s="208"/>
      <c r="CD284" s="208"/>
      <c r="CE284" s="208"/>
      <c r="CF284" s="208"/>
      <c r="CG284" s="208"/>
      <c r="CH284" s="208"/>
      <c r="CI284" s="259"/>
      <c r="CJ284" s="54"/>
      <c r="CK284" s="57"/>
      <c r="CQ284" s="10" t="e">
        <f>D284-#REF!-AM284</f>
        <v>#REF!</v>
      </c>
      <c r="CR284" s="10" t="e">
        <f>D284-#REF!</f>
        <v>#REF!</v>
      </c>
      <c r="CS284" s="127" t="e">
        <f>F284-#REF!</f>
        <v>#REF!</v>
      </c>
    </row>
    <row r="285" spans="1:97" s="127" customFormat="1" hidden="1" outlineLevel="1" x14ac:dyDescent="0.2">
      <c r="A285" s="98"/>
      <c r="B285" s="430" t="s">
        <v>466</v>
      </c>
      <c r="C285" s="431"/>
      <c r="D285" s="220">
        <f t="shared" si="472"/>
        <v>0</v>
      </c>
      <c r="E285" s="208">
        <f t="shared" si="460"/>
        <v>0</v>
      </c>
      <c r="F285" s="208"/>
      <c r="G285" s="208">
        <f t="shared" si="451"/>
        <v>0</v>
      </c>
      <c r="H285" s="208">
        <f t="shared" si="452"/>
        <v>0</v>
      </c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>
        <f t="shared" si="453"/>
        <v>0</v>
      </c>
      <c r="AO285" s="208">
        <f t="shared" si="454"/>
        <v>0</v>
      </c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>
        <f t="shared" si="455"/>
        <v>0</v>
      </c>
      <c r="BC285" s="208">
        <f t="shared" si="456"/>
        <v>0</v>
      </c>
      <c r="BD285" s="208"/>
      <c r="BE285" s="208"/>
      <c r="BF285" s="208"/>
      <c r="BG285" s="208"/>
      <c r="BH285" s="208"/>
      <c r="BI285" s="208"/>
      <c r="BJ285" s="208"/>
      <c r="BK285" s="208"/>
      <c r="BL285" s="208"/>
      <c r="BM285" s="208"/>
      <c r="BN285" s="208"/>
      <c r="BO285" s="208"/>
      <c r="BP285" s="208">
        <f t="shared" si="457"/>
        <v>0</v>
      </c>
      <c r="BQ285" s="208">
        <f t="shared" si="458"/>
        <v>0</v>
      </c>
      <c r="BR285" s="208"/>
      <c r="BS285" s="208"/>
      <c r="BT285" s="208"/>
      <c r="BU285" s="208"/>
      <c r="BV285" s="208"/>
      <c r="BW285" s="208">
        <f t="shared" si="459"/>
        <v>0</v>
      </c>
      <c r="BX285" s="208">
        <f t="shared" si="463"/>
        <v>0</v>
      </c>
      <c r="BY285" s="208"/>
      <c r="BZ285" s="208"/>
      <c r="CA285" s="208"/>
      <c r="CB285" s="208"/>
      <c r="CC285" s="208"/>
      <c r="CD285" s="208"/>
      <c r="CE285" s="208"/>
      <c r="CF285" s="208"/>
      <c r="CG285" s="208"/>
      <c r="CH285" s="208"/>
      <c r="CI285" s="259"/>
      <c r="CJ285" s="54"/>
      <c r="CK285" s="57"/>
      <c r="CQ285" s="10" t="e">
        <f>D285-#REF!-AM285</f>
        <v>#REF!</v>
      </c>
      <c r="CR285" s="10" t="e">
        <f>D285-#REF!</f>
        <v>#REF!</v>
      </c>
      <c r="CS285" s="127" t="e">
        <f>F285-#REF!</f>
        <v>#REF!</v>
      </c>
    </row>
    <row r="286" spans="1:97" s="127" customFormat="1" hidden="1" outlineLevel="1" x14ac:dyDescent="0.2">
      <c r="A286" s="98"/>
      <c r="B286" s="430" t="s">
        <v>552</v>
      </c>
      <c r="C286" s="431"/>
      <c r="D286" s="220">
        <f t="shared" si="472"/>
        <v>0</v>
      </c>
      <c r="E286" s="208">
        <f t="shared" si="460"/>
        <v>0</v>
      </c>
      <c r="F286" s="208"/>
      <c r="G286" s="208">
        <f t="shared" si="451"/>
        <v>0</v>
      </c>
      <c r="H286" s="208">
        <f t="shared" si="452"/>
        <v>0</v>
      </c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>
        <f t="shared" si="453"/>
        <v>0</v>
      </c>
      <c r="AO286" s="208">
        <f t="shared" si="454"/>
        <v>0</v>
      </c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>
        <f t="shared" si="455"/>
        <v>0</v>
      </c>
      <c r="BC286" s="208">
        <f t="shared" si="456"/>
        <v>0</v>
      </c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8"/>
      <c r="BN286" s="208"/>
      <c r="BO286" s="208"/>
      <c r="BP286" s="208">
        <f t="shared" si="457"/>
        <v>0</v>
      </c>
      <c r="BQ286" s="208">
        <f t="shared" si="458"/>
        <v>0</v>
      </c>
      <c r="BR286" s="208"/>
      <c r="BS286" s="208"/>
      <c r="BT286" s="208"/>
      <c r="BU286" s="208"/>
      <c r="BV286" s="208"/>
      <c r="BW286" s="208">
        <f t="shared" si="459"/>
        <v>0</v>
      </c>
      <c r="BX286" s="208">
        <f t="shared" si="463"/>
        <v>0</v>
      </c>
      <c r="BY286" s="208"/>
      <c r="BZ286" s="208"/>
      <c r="CA286" s="208"/>
      <c r="CB286" s="208"/>
      <c r="CC286" s="208"/>
      <c r="CD286" s="208"/>
      <c r="CE286" s="208"/>
      <c r="CF286" s="208"/>
      <c r="CG286" s="208"/>
      <c r="CH286" s="208"/>
      <c r="CI286" s="259"/>
      <c r="CJ286" s="54"/>
      <c r="CK286" s="57"/>
      <c r="CQ286" s="10" t="e">
        <f>D286-#REF!-AM286</f>
        <v>#REF!</v>
      </c>
      <c r="CR286" s="10" t="e">
        <f>D286-#REF!</f>
        <v>#REF!</v>
      </c>
      <c r="CS286" s="127" t="e">
        <f>F286-#REF!</f>
        <v>#REF!</v>
      </c>
    </row>
    <row r="287" spans="1:97" s="127" customFormat="1" hidden="1" outlineLevel="1" x14ac:dyDescent="0.2">
      <c r="A287" s="98"/>
      <c r="B287" s="430" t="s">
        <v>144</v>
      </c>
      <c r="C287" s="431"/>
      <c r="D287" s="220">
        <f t="shared" si="472"/>
        <v>0</v>
      </c>
      <c r="E287" s="208">
        <f t="shared" si="460"/>
        <v>7254</v>
      </c>
      <c r="F287" s="208"/>
      <c r="G287" s="208">
        <f t="shared" si="451"/>
        <v>0</v>
      </c>
      <c r="H287" s="208">
        <f t="shared" si="452"/>
        <v>0</v>
      </c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>
        <f t="shared" si="453"/>
        <v>7254</v>
      </c>
      <c r="AO287" s="208">
        <f t="shared" si="454"/>
        <v>7254</v>
      </c>
      <c r="AP287" s="208"/>
      <c r="AQ287" s="208"/>
      <c r="AR287" s="208"/>
      <c r="AS287" s="208"/>
      <c r="AT287" s="208">
        <f>2986+4638+1662+1453+2898+6928+2582+3201</f>
        <v>26348</v>
      </c>
      <c r="AU287" s="208">
        <v>7123</v>
      </c>
      <c r="AV287" s="208">
        <f>-668-8074-3418-9565-1980-2512</f>
        <v>-26217</v>
      </c>
      <c r="AW287" s="208"/>
      <c r="AX287" s="208"/>
      <c r="AY287" s="208"/>
      <c r="AZ287" s="208"/>
      <c r="BA287" s="208"/>
      <c r="BB287" s="208">
        <f t="shared" si="455"/>
        <v>0</v>
      </c>
      <c r="BC287" s="208">
        <f t="shared" si="456"/>
        <v>0</v>
      </c>
      <c r="BD287" s="208"/>
      <c r="BE287" s="208"/>
      <c r="BF287" s="208"/>
      <c r="BG287" s="208"/>
      <c r="BH287" s="208"/>
      <c r="BI287" s="208"/>
      <c r="BJ287" s="208"/>
      <c r="BK287" s="208"/>
      <c r="BL287" s="208"/>
      <c r="BM287" s="208"/>
      <c r="BN287" s="208"/>
      <c r="BO287" s="208"/>
      <c r="BP287" s="208">
        <f t="shared" si="457"/>
        <v>0</v>
      </c>
      <c r="BQ287" s="208">
        <f t="shared" si="458"/>
        <v>0</v>
      </c>
      <c r="BR287" s="208"/>
      <c r="BS287" s="208"/>
      <c r="BT287" s="208"/>
      <c r="BU287" s="208"/>
      <c r="BV287" s="208"/>
      <c r="BW287" s="208">
        <f t="shared" si="459"/>
        <v>0</v>
      </c>
      <c r="BX287" s="208">
        <f t="shared" si="463"/>
        <v>0</v>
      </c>
      <c r="BY287" s="208"/>
      <c r="BZ287" s="208"/>
      <c r="CA287" s="208"/>
      <c r="CB287" s="208"/>
      <c r="CC287" s="208"/>
      <c r="CD287" s="208"/>
      <c r="CE287" s="208"/>
      <c r="CF287" s="208"/>
      <c r="CG287" s="208"/>
      <c r="CH287" s="208"/>
      <c r="CI287" s="259"/>
      <c r="CJ287" s="54"/>
      <c r="CK287" s="57"/>
      <c r="CQ287" s="10" t="e">
        <f>D287-#REF!-AM287</f>
        <v>#REF!</v>
      </c>
      <c r="CR287" s="10" t="e">
        <f>D287-#REF!</f>
        <v>#REF!</v>
      </c>
      <c r="CS287" s="127" t="e">
        <f>F287-#REF!</f>
        <v>#REF!</v>
      </c>
    </row>
    <row r="288" spans="1:97" s="127" customFormat="1" hidden="1" outlineLevel="1" x14ac:dyDescent="0.2">
      <c r="A288" s="98"/>
      <c r="B288" s="430" t="s">
        <v>140</v>
      </c>
      <c r="C288" s="431"/>
      <c r="D288" s="220">
        <f t="shared" si="472"/>
        <v>0</v>
      </c>
      <c r="E288" s="208">
        <f t="shared" si="460"/>
        <v>0</v>
      </c>
      <c r="F288" s="208"/>
      <c r="G288" s="208">
        <f t="shared" si="451"/>
        <v>0</v>
      </c>
      <c r="H288" s="208">
        <f t="shared" si="452"/>
        <v>0</v>
      </c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>
        <f t="shared" si="453"/>
        <v>0</v>
      </c>
      <c r="AO288" s="208">
        <f t="shared" si="454"/>
        <v>0</v>
      </c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>
        <f t="shared" si="455"/>
        <v>0</v>
      </c>
      <c r="BC288" s="208">
        <f t="shared" si="456"/>
        <v>0</v>
      </c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8"/>
      <c r="BN288" s="208"/>
      <c r="BO288" s="208"/>
      <c r="BP288" s="208">
        <f t="shared" si="457"/>
        <v>0</v>
      </c>
      <c r="BQ288" s="208">
        <f t="shared" si="458"/>
        <v>0</v>
      </c>
      <c r="BR288" s="208"/>
      <c r="BS288" s="208"/>
      <c r="BT288" s="208"/>
      <c r="BU288" s="208"/>
      <c r="BV288" s="208"/>
      <c r="BW288" s="208">
        <f t="shared" si="459"/>
        <v>0</v>
      </c>
      <c r="BX288" s="208">
        <f t="shared" si="463"/>
        <v>0</v>
      </c>
      <c r="BY288" s="208"/>
      <c r="BZ288" s="208"/>
      <c r="CA288" s="208"/>
      <c r="CB288" s="208"/>
      <c r="CC288" s="208"/>
      <c r="CD288" s="208"/>
      <c r="CE288" s="208"/>
      <c r="CF288" s="208"/>
      <c r="CG288" s="208"/>
      <c r="CH288" s="208"/>
      <c r="CI288" s="259"/>
      <c r="CJ288" s="54"/>
      <c r="CK288" s="57"/>
      <c r="CQ288" s="10" t="e">
        <f>D288-#REF!-AM288</f>
        <v>#REF!</v>
      </c>
      <c r="CR288" s="10" t="e">
        <f>D288-#REF!</f>
        <v>#REF!</v>
      </c>
      <c r="CS288" s="127" t="e">
        <f>F288-#REF!</f>
        <v>#REF!</v>
      </c>
    </row>
    <row r="289" spans="1:97" s="127" customFormat="1" hidden="1" outlineLevel="1" x14ac:dyDescent="0.2">
      <c r="A289" s="98"/>
      <c r="B289" s="430" t="s">
        <v>164</v>
      </c>
      <c r="C289" s="431"/>
      <c r="D289" s="220">
        <f t="shared" si="472"/>
        <v>0</v>
      </c>
      <c r="E289" s="208">
        <f t="shared" si="460"/>
        <v>9512</v>
      </c>
      <c r="F289" s="208"/>
      <c r="G289" s="208">
        <f t="shared" si="451"/>
        <v>9512</v>
      </c>
      <c r="H289" s="208">
        <f t="shared" si="452"/>
        <v>9512</v>
      </c>
      <c r="I289" s="208"/>
      <c r="J289" s="208"/>
      <c r="K289" s="208"/>
      <c r="L289" s="208"/>
      <c r="M289" s="208">
        <v>9512</v>
      </c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>
        <f t="shared" si="453"/>
        <v>0</v>
      </c>
      <c r="AO289" s="208">
        <f t="shared" si="454"/>
        <v>0</v>
      </c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>
        <f t="shared" si="455"/>
        <v>0</v>
      </c>
      <c r="BC289" s="208">
        <f t="shared" si="456"/>
        <v>0</v>
      </c>
      <c r="BD289" s="208"/>
      <c r="BE289" s="208"/>
      <c r="BF289" s="208"/>
      <c r="BG289" s="208"/>
      <c r="BH289" s="208"/>
      <c r="BI289" s="208"/>
      <c r="BJ289" s="208"/>
      <c r="BK289" s="208"/>
      <c r="BL289" s="208"/>
      <c r="BM289" s="208"/>
      <c r="BN289" s="208"/>
      <c r="BO289" s="208"/>
      <c r="BP289" s="208">
        <f t="shared" si="457"/>
        <v>0</v>
      </c>
      <c r="BQ289" s="208">
        <f t="shared" si="458"/>
        <v>0</v>
      </c>
      <c r="BR289" s="208"/>
      <c r="BS289" s="208"/>
      <c r="BT289" s="208"/>
      <c r="BU289" s="208"/>
      <c r="BV289" s="208"/>
      <c r="BW289" s="208">
        <f t="shared" si="459"/>
        <v>0</v>
      </c>
      <c r="BX289" s="208">
        <f t="shared" si="463"/>
        <v>0</v>
      </c>
      <c r="BY289" s="208"/>
      <c r="BZ289" s="208"/>
      <c r="CA289" s="208"/>
      <c r="CB289" s="208"/>
      <c r="CC289" s="208"/>
      <c r="CD289" s="208"/>
      <c r="CE289" s="208"/>
      <c r="CF289" s="208"/>
      <c r="CG289" s="208"/>
      <c r="CH289" s="208"/>
      <c r="CI289" s="259"/>
      <c r="CJ289" s="54"/>
      <c r="CK289" s="57"/>
      <c r="CQ289" s="10" t="e">
        <f>D289-#REF!-AM289</f>
        <v>#REF!</v>
      </c>
      <c r="CR289" s="10" t="e">
        <f>D289-#REF!</f>
        <v>#REF!</v>
      </c>
      <c r="CS289" s="127" t="e">
        <f>F289-#REF!</f>
        <v>#REF!</v>
      </c>
    </row>
    <row r="290" spans="1:97" s="127" customFormat="1" ht="9.75" hidden="1" customHeight="1" outlineLevel="1" thickBot="1" x14ac:dyDescent="0.25">
      <c r="A290" s="98"/>
      <c r="B290" s="435"/>
      <c r="C290" s="436"/>
      <c r="D290" s="224">
        <f t="shared" si="472"/>
        <v>0</v>
      </c>
      <c r="E290" s="211">
        <f t="shared" si="460"/>
        <v>0</v>
      </c>
      <c r="F290" s="211"/>
      <c r="G290" s="211">
        <f t="shared" si="451"/>
        <v>0</v>
      </c>
      <c r="H290" s="211">
        <f t="shared" si="452"/>
        <v>0</v>
      </c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>
        <f>AM290+AO290</f>
        <v>0</v>
      </c>
      <c r="AO290" s="211">
        <f t="shared" si="454"/>
        <v>0</v>
      </c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>
        <f t="shared" si="455"/>
        <v>0</v>
      </c>
      <c r="BC290" s="211">
        <f t="shared" si="456"/>
        <v>0</v>
      </c>
      <c r="BD290" s="211"/>
      <c r="BE290" s="211"/>
      <c r="BF290" s="211"/>
      <c r="BG290" s="211"/>
      <c r="BH290" s="211"/>
      <c r="BI290" s="211"/>
      <c r="BJ290" s="211"/>
      <c r="BK290" s="211"/>
      <c r="BL290" s="211"/>
      <c r="BM290" s="211"/>
      <c r="BN290" s="211"/>
      <c r="BO290" s="211"/>
      <c r="BP290" s="211">
        <f t="shared" si="457"/>
        <v>0</v>
      </c>
      <c r="BQ290" s="211">
        <f t="shared" si="458"/>
        <v>0</v>
      </c>
      <c r="BR290" s="211"/>
      <c r="BS290" s="211"/>
      <c r="BT290" s="211"/>
      <c r="BU290" s="211"/>
      <c r="BV290" s="211"/>
      <c r="BW290" s="211">
        <f t="shared" si="459"/>
        <v>0</v>
      </c>
      <c r="BX290" s="211">
        <f t="shared" si="463"/>
        <v>0</v>
      </c>
      <c r="BY290" s="211"/>
      <c r="BZ290" s="211"/>
      <c r="CA290" s="211"/>
      <c r="CB290" s="211"/>
      <c r="CC290" s="211"/>
      <c r="CD290" s="211"/>
      <c r="CE290" s="211"/>
      <c r="CF290" s="211"/>
      <c r="CG290" s="211"/>
      <c r="CH290" s="211"/>
      <c r="CI290" s="278"/>
      <c r="CJ290" s="134"/>
      <c r="CK290" s="60"/>
      <c r="CQ290" s="10" t="e">
        <f>D290-#REF!-AM290</f>
        <v>#REF!</v>
      </c>
      <c r="CR290" s="10" t="e">
        <f>D290-#REF!</f>
        <v>#REF!</v>
      </c>
      <c r="CS290" s="127" t="e">
        <f>F290-#REF!</f>
        <v>#REF!</v>
      </c>
    </row>
    <row r="291" spans="1:97" s="127" customFormat="1" ht="13.5" customHeight="1" collapsed="1" thickTop="1" x14ac:dyDescent="0.2">
      <c r="A291" s="149" t="s">
        <v>566</v>
      </c>
      <c r="B291" s="150" t="s">
        <v>567</v>
      </c>
      <c r="C291" s="191"/>
      <c r="D291" s="228">
        <f t="shared" ref="D291:E291" si="473">D292+D294+D299+D303+D308</f>
        <v>5423833</v>
      </c>
      <c r="E291" s="217">
        <f t="shared" si="473"/>
        <v>5428907</v>
      </c>
      <c r="F291" s="217">
        <f t="shared" ref="F291" si="474">F292+F294+F299+F303+F308</f>
        <v>5180833</v>
      </c>
      <c r="G291" s="217">
        <f t="shared" ref="G291:CI291" si="475">G292+G294+G299+G303+G308</f>
        <v>5185907</v>
      </c>
      <c r="H291" s="217">
        <f t="shared" si="475"/>
        <v>5074</v>
      </c>
      <c r="I291" s="217">
        <f t="shared" si="475"/>
        <v>0</v>
      </c>
      <c r="J291" s="217">
        <f t="shared" si="475"/>
        <v>0</v>
      </c>
      <c r="K291" s="217">
        <f t="shared" si="475"/>
        <v>0</v>
      </c>
      <c r="L291" s="217">
        <f t="shared" si="475"/>
        <v>0</v>
      </c>
      <c r="M291" s="217">
        <f t="shared" si="475"/>
        <v>1</v>
      </c>
      <c r="N291" s="217">
        <f t="shared" si="475"/>
        <v>0</v>
      </c>
      <c r="O291" s="217">
        <f t="shared" si="475"/>
        <v>0</v>
      </c>
      <c r="P291" s="217">
        <f t="shared" si="475"/>
        <v>0</v>
      </c>
      <c r="Q291" s="217">
        <f t="shared" si="475"/>
        <v>0</v>
      </c>
      <c r="R291" s="217">
        <f t="shared" ref="R291:AK291" si="476">R292+R294+R299+R303+R308</f>
        <v>5073</v>
      </c>
      <c r="S291" s="217">
        <f t="shared" si="476"/>
        <v>0</v>
      </c>
      <c r="T291" s="217">
        <f t="shared" si="476"/>
        <v>0</v>
      </c>
      <c r="U291" s="217">
        <f t="shared" si="476"/>
        <v>0</v>
      </c>
      <c r="V291" s="217">
        <f t="shared" si="476"/>
        <v>0</v>
      </c>
      <c r="W291" s="217">
        <f t="shared" si="476"/>
        <v>0</v>
      </c>
      <c r="X291" s="217">
        <f t="shared" si="476"/>
        <v>0</v>
      </c>
      <c r="Y291" s="217">
        <f t="shared" si="476"/>
        <v>0</v>
      </c>
      <c r="Z291" s="217">
        <f t="shared" si="476"/>
        <v>0</v>
      </c>
      <c r="AA291" s="217">
        <f t="shared" si="476"/>
        <v>0</v>
      </c>
      <c r="AB291" s="217">
        <f t="shared" si="476"/>
        <v>0</v>
      </c>
      <c r="AC291" s="217">
        <f t="shared" si="476"/>
        <v>0</v>
      </c>
      <c r="AD291" s="217">
        <f t="shared" si="476"/>
        <v>0</v>
      </c>
      <c r="AE291" s="217">
        <f t="shared" ref="AE291:AI291" si="477">AE292+AE294+AE299+AE303+AE308</f>
        <v>0</v>
      </c>
      <c r="AF291" s="217">
        <f t="shared" ref="AF291:AG291" si="478">AF292+AF294+AF299+AF303+AF308</f>
        <v>0</v>
      </c>
      <c r="AG291" s="217">
        <f t="shared" si="478"/>
        <v>0</v>
      </c>
      <c r="AH291" s="217">
        <f t="shared" si="477"/>
        <v>0</v>
      </c>
      <c r="AI291" s="217">
        <f t="shared" si="477"/>
        <v>0</v>
      </c>
      <c r="AJ291" s="217">
        <f t="shared" si="476"/>
        <v>0</v>
      </c>
      <c r="AK291" s="217">
        <f t="shared" si="476"/>
        <v>0</v>
      </c>
      <c r="AL291" s="217">
        <f t="shared" si="475"/>
        <v>0</v>
      </c>
      <c r="AM291" s="217">
        <f t="shared" si="475"/>
        <v>243000</v>
      </c>
      <c r="AN291" s="217">
        <f t="shared" si="475"/>
        <v>243000</v>
      </c>
      <c r="AO291" s="217">
        <f t="shared" si="475"/>
        <v>0</v>
      </c>
      <c r="AP291" s="217">
        <f t="shared" si="475"/>
        <v>0</v>
      </c>
      <c r="AQ291" s="217">
        <f t="shared" si="475"/>
        <v>0</v>
      </c>
      <c r="AR291" s="217">
        <f t="shared" si="475"/>
        <v>0</v>
      </c>
      <c r="AS291" s="217">
        <f t="shared" si="475"/>
        <v>0</v>
      </c>
      <c r="AT291" s="217">
        <f t="shared" si="475"/>
        <v>0</v>
      </c>
      <c r="AU291" s="217">
        <f t="shared" ref="AU291" si="479">AU292+AU294+AU299+AU303+AU308</f>
        <v>0</v>
      </c>
      <c r="AV291" s="217">
        <f t="shared" si="475"/>
        <v>0</v>
      </c>
      <c r="AW291" s="217">
        <f t="shared" si="475"/>
        <v>0</v>
      </c>
      <c r="AX291" s="217">
        <f t="shared" si="475"/>
        <v>0</v>
      </c>
      <c r="AY291" s="217">
        <f t="shared" si="475"/>
        <v>0</v>
      </c>
      <c r="AZ291" s="217">
        <f t="shared" si="475"/>
        <v>0</v>
      </c>
      <c r="BA291" s="217">
        <f t="shared" si="475"/>
        <v>0</v>
      </c>
      <c r="BB291" s="217">
        <f t="shared" si="475"/>
        <v>0</v>
      </c>
      <c r="BC291" s="217">
        <f t="shared" si="475"/>
        <v>0</v>
      </c>
      <c r="BD291" s="217">
        <f t="shared" si="475"/>
        <v>0</v>
      </c>
      <c r="BE291" s="217">
        <f t="shared" si="475"/>
        <v>0</v>
      </c>
      <c r="BF291" s="217">
        <f t="shared" si="475"/>
        <v>0</v>
      </c>
      <c r="BG291" s="217">
        <f t="shared" si="475"/>
        <v>0</v>
      </c>
      <c r="BH291" s="217">
        <f t="shared" ref="BH291" si="480">BH292+BH294+BH299+BH303+BH308</f>
        <v>0</v>
      </c>
      <c r="BI291" s="217">
        <f t="shared" si="475"/>
        <v>0</v>
      </c>
      <c r="BJ291" s="217">
        <f t="shared" si="475"/>
        <v>0</v>
      </c>
      <c r="BK291" s="217">
        <f t="shared" si="475"/>
        <v>0</v>
      </c>
      <c r="BL291" s="217">
        <f t="shared" si="475"/>
        <v>0</v>
      </c>
      <c r="BM291" s="217">
        <f t="shared" si="475"/>
        <v>0</v>
      </c>
      <c r="BN291" s="217">
        <f t="shared" si="475"/>
        <v>0</v>
      </c>
      <c r="BO291" s="217">
        <f t="shared" si="475"/>
        <v>0</v>
      </c>
      <c r="BP291" s="217">
        <f t="shared" si="475"/>
        <v>0</v>
      </c>
      <c r="BQ291" s="217">
        <f t="shared" si="475"/>
        <v>0</v>
      </c>
      <c r="BR291" s="217">
        <f t="shared" si="475"/>
        <v>0</v>
      </c>
      <c r="BS291" s="217">
        <f t="shared" si="475"/>
        <v>0</v>
      </c>
      <c r="BT291" s="217">
        <f t="shared" si="475"/>
        <v>0</v>
      </c>
      <c r="BU291" s="217">
        <f t="shared" si="475"/>
        <v>0</v>
      </c>
      <c r="BV291" s="217">
        <f t="shared" si="475"/>
        <v>0</v>
      </c>
      <c r="BW291" s="217">
        <f t="shared" si="475"/>
        <v>0</v>
      </c>
      <c r="BX291" s="217">
        <f t="shared" si="475"/>
        <v>0</v>
      </c>
      <c r="BY291" s="217">
        <f t="shared" si="475"/>
        <v>0</v>
      </c>
      <c r="BZ291" s="217">
        <f t="shared" si="475"/>
        <v>0</v>
      </c>
      <c r="CA291" s="217">
        <f t="shared" si="475"/>
        <v>0</v>
      </c>
      <c r="CB291" s="217">
        <f t="shared" si="475"/>
        <v>0</v>
      </c>
      <c r="CC291" s="217">
        <f t="shared" si="475"/>
        <v>0</v>
      </c>
      <c r="CD291" s="217">
        <f t="shared" si="475"/>
        <v>0</v>
      </c>
      <c r="CE291" s="217">
        <f t="shared" si="475"/>
        <v>0</v>
      </c>
      <c r="CF291" s="217">
        <f t="shared" ref="CF291" si="481">CF292+CF294+CF299+CF303+CF308</f>
        <v>0</v>
      </c>
      <c r="CG291" s="217">
        <f t="shared" si="475"/>
        <v>0</v>
      </c>
      <c r="CH291" s="217">
        <f t="shared" si="475"/>
        <v>0</v>
      </c>
      <c r="CI291" s="276">
        <f t="shared" si="475"/>
        <v>0</v>
      </c>
      <c r="CJ291" s="151"/>
      <c r="CK291" s="152"/>
      <c r="CQ291" s="10" t="e">
        <f>D291-#REF!-AM291</f>
        <v>#REF!</v>
      </c>
      <c r="CR291" s="10" t="e">
        <f>D291-#REF!</f>
        <v>#REF!</v>
      </c>
      <c r="CS291" s="127" t="e">
        <f>F291-#REF!</f>
        <v>#REF!</v>
      </c>
    </row>
    <row r="292" spans="1:97" s="130" customFormat="1" ht="13.5" customHeight="1" x14ac:dyDescent="0.2">
      <c r="A292" s="156" t="s">
        <v>7</v>
      </c>
      <c r="B292" s="153" t="s">
        <v>8</v>
      </c>
      <c r="C292" s="192"/>
      <c r="D292" s="229">
        <f t="shared" ref="D292:CI292" si="482">SUM(D293:D293)</f>
        <v>770234</v>
      </c>
      <c r="E292" s="218">
        <f t="shared" si="482"/>
        <v>770234</v>
      </c>
      <c r="F292" s="218">
        <f t="shared" si="482"/>
        <v>527234</v>
      </c>
      <c r="G292" s="218">
        <f t="shared" si="482"/>
        <v>527234</v>
      </c>
      <c r="H292" s="218">
        <f t="shared" si="482"/>
        <v>0</v>
      </c>
      <c r="I292" s="218">
        <f t="shared" si="482"/>
        <v>0</v>
      </c>
      <c r="J292" s="218">
        <f t="shared" si="482"/>
        <v>0</v>
      </c>
      <c r="K292" s="218">
        <f t="shared" si="482"/>
        <v>0</v>
      </c>
      <c r="L292" s="218">
        <f t="shared" si="482"/>
        <v>0</v>
      </c>
      <c r="M292" s="218">
        <f t="shared" si="482"/>
        <v>0</v>
      </c>
      <c r="N292" s="218">
        <f t="shared" si="482"/>
        <v>0</v>
      </c>
      <c r="O292" s="218">
        <f t="shared" si="482"/>
        <v>0</v>
      </c>
      <c r="P292" s="218">
        <f t="shared" si="482"/>
        <v>0</v>
      </c>
      <c r="Q292" s="218">
        <f t="shared" si="482"/>
        <v>0</v>
      </c>
      <c r="R292" s="218">
        <f t="shared" si="482"/>
        <v>0</v>
      </c>
      <c r="S292" s="218">
        <f t="shared" si="482"/>
        <v>0</v>
      </c>
      <c r="T292" s="218">
        <f t="shared" si="482"/>
        <v>0</v>
      </c>
      <c r="U292" s="218">
        <f t="shared" si="482"/>
        <v>0</v>
      </c>
      <c r="V292" s="218">
        <f t="shared" si="482"/>
        <v>0</v>
      </c>
      <c r="W292" s="218">
        <f t="shared" si="482"/>
        <v>0</v>
      </c>
      <c r="X292" s="218">
        <f t="shared" si="482"/>
        <v>0</v>
      </c>
      <c r="Y292" s="218">
        <f t="shared" si="482"/>
        <v>0</v>
      </c>
      <c r="Z292" s="218">
        <f t="shared" si="482"/>
        <v>0</v>
      </c>
      <c r="AA292" s="218">
        <f t="shared" si="482"/>
        <v>0</v>
      </c>
      <c r="AB292" s="218">
        <f t="shared" si="482"/>
        <v>0</v>
      </c>
      <c r="AC292" s="218">
        <f t="shared" si="482"/>
        <v>0</v>
      </c>
      <c r="AD292" s="218">
        <f t="shared" si="482"/>
        <v>0</v>
      </c>
      <c r="AE292" s="218">
        <f t="shared" si="482"/>
        <v>0</v>
      </c>
      <c r="AF292" s="218">
        <f t="shared" si="482"/>
        <v>0</v>
      </c>
      <c r="AG292" s="218">
        <f t="shared" si="482"/>
        <v>0</v>
      </c>
      <c r="AH292" s="218">
        <f t="shared" si="482"/>
        <v>0</v>
      </c>
      <c r="AI292" s="218">
        <f t="shared" si="482"/>
        <v>0</v>
      </c>
      <c r="AJ292" s="218">
        <f t="shared" si="482"/>
        <v>0</v>
      </c>
      <c r="AK292" s="218">
        <f t="shared" si="482"/>
        <v>0</v>
      </c>
      <c r="AL292" s="218">
        <f t="shared" si="482"/>
        <v>0</v>
      </c>
      <c r="AM292" s="218">
        <f t="shared" si="482"/>
        <v>243000</v>
      </c>
      <c r="AN292" s="218">
        <f t="shared" si="482"/>
        <v>243000</v>
      </c>
      <c r="AO292" s="218">
        <f t="shared" si="482"/>
        <v>0</v>
      </c>
      <c r="AP292" s="218">
        <f t="shared" si="482"/>
        <v>0</v>
      </c>
      <c r="AQ292" s="218">
        <f t="shared" si="482"/>
        <v>0</v>
      </c>
      <c r="AR292" s="218">
        <f t="shared" si="482"/>
        <v>0</v>
      </c>
      <c r="AS292" s="218">
        <f t="shared" si="482"/>
        <v>0</v>
      </c>
      <c r="AT292" s="218">
        <f t="shared" si="482"/>
        <v>0</v>
      </c>
      <c r="AU292" s="218">
        <f t="shared" si="482"/>
        <v>0</v>
      </c>
      <c r="AV292" s="218">
        <f t="shared" si="482"/>
        <v>0</v>
      </c>
      <c r="AW292" s="218">
        <f t="shared" si="482"/>
        <v>0</v>
      </c>
      <c r="AX292" s="218">
        <f t="shared" si="482"/>
        <v>0</v>
      </c>
      <c r="AY292" s="218">
        <f t="shared" si="482"/>
        <v>0</v>
      </c>
      <c r="AZ292" s="218">
        <f t="shared" si="482"/>
        <v>0</v>
      </c>
      <c r="BA292" s="218">
        <f t="shared" si="482"/>
        <v>0</v>
      </c>
      <c r="BB292" s="218">
        <f t="shared" si="482"/>
        <v>0</v>
      </c>
      <c r="BC292" s="218">
        <f t="shared" si="482"/>
        <v>0</v>
      </c>
      <c r="BD292" s="218">
        <f t="shared" si="482"/>
        <v>0</v>
      </c>
      <c r="BE292" s="218">
        <f t="shared" si="482"/>
        <v>0</v>
      </c>
      <c r="BF292" s="218">
        <f t="shared" si="482"/>
        <v>0</v>
      </c>
      <c r="BG292" s="218">
        <f t="shared" si="482"/>
        <v>0</v>
      </c>
      <c r="BH292" s="218">
        <f t="shared" si="482"/>
        <v>0</v>
      </c>
      <c r="BI292" s="218">
        <f t="shared" si="482"/>
        <v>0</v>
      </c>
      <c r="BJ292" s="218">
        <f t="shared" si="482"/>
        <v>0</v>
      </c>
      <c r="BK292" s="218">
        <f t="shared" si="482"/>
        <v>0</v>
      </c>
      <c r="BL292" s="218">
        <f t="shared" si="482"/>
        <v>0</v>
      </c>
      <c r="BM292" s="218">
        <f t="shared" si="482"/>
        <v>0</v>
      </c>
      <c r="BN292" s="218">
        <f t="shared" si="482"/>
        <v>0</v>
      </c>
      <c r="BO292" s="218">
        <f t="shared" si="482"/>
        <v>0</v>
      </c>
      <c r="BP292" s="218">
        <f t="shared" si="482"/>
        <v>0</v>
      </c>
      <c r="BQ292" s="218">
        <f t="shared" si="482"/>
        <v>0</v>
      </c>
      <c r="BR292" s="218">
        <f t="shared" si="482"/>
        <v>0</v>
      </c>
      <c r="BS292" s="218">
        <f t="shared" si="482"/>
        <v>0</v>
      </c>
      <c r="BT292" s="218">
        <f t="shared" si="482"/>
        <v>0</v>
      </c>
      <c r="BU292" s="218">
        <f t="shared" si="482"/>
        <v>0</v>
      </c>
      <c r="BV292" s="218">
        <f t="shared" si="482"/>
        <v>0</v>
      </c>
      <c r="BW292" s="218">
        <f t="shared" si="482"/>
        <v>0</v>
      </c>
      <c r="BX292" s="218">
        <f t="shared" si="482"/>
        <v>0</v>
      </c>
      <c r="BY292" s="218">
        <f t="shared" si="482"/>
        <v>0</v>
      </c>
      <c r="BZ292" s="218">
        <f t="shared" si="482"/>
        <v>0</v>
      </c>
      <c r="CA292" s="218">
        <f t="shared" si="482"/>
        <v>0</v>
      </c>
      <c r="CB292" s="218">
        <f t="shared" si="482"/>
        <v>0</v>
      </c>
      <c r="CC292" s="218">
        <f t="shared" si="482"/>
        <v>0</v>
      </c>
      <c r="CD292" s="218">
        <f t="shared" si="482"/>
        <v>0</v>
      </c>
      <c r="CE292" s="218">
        <f t="shared" si="482"/>
        <v>0</v>
      </c>
      <c r="CF292" s="218">
        <f t="shared" si="482"/>
        <v>0</v>
      </c>
      <c r="CG292" s="218">
        <f t="shared" si="482"/>
        <v>0</v>
      </c>
      <c r="CH292" s="218">
        <f t="shared" si="482"/>
        <v>0</v>
      </c>
      <c r="CI292" s="277">
        <f t="shared" si="482"/>
        <v>0</v>
      </c>
      <c r="CJ292" s="154"/>
      <c r="CK292" s="155"/>
      <c r="CQ292" s="10" t="e">
        <f>D292-#REF!-AM292</f>
        <v>#REF!</v>
      </c>
      <c r="CR292" s="10" t="e">
        <f>D292-#REF!</f>
        <v>#REF!</v>
      </c>
      <c r="CS292" s="130" t="e">
        <f>F292-#REF!</f>
        <v>#REF!</v>
      </c>
    </row>
    <row r="293" spans="1:97" s="127" customFormat="1" ht="13.5" customHeight="1" x14ac:dyDescent="0.2">
      <c r="A293" s="75"/>
      <c r="B293" s="433" t="s">
        <v>553</v>
      </c>
      <c r="C293" s="434"/>
      <c r="D293" s="220">
        <f>F293+AM293+BA293+BO293+BV293</f>
        <v>770234</v>
      </c>
      <c r="E293" s="208">
        <f>G293+AN293+BB293+BP293+BW293</f>
        <v>770234</v>
      </c>
      <c r="F293" s="208">
        <f>770234-243000</f>
        <v>527234</v>
      </c>
      <c r="G293" s="208">
        <f>F293+H293</f>
        <v>527234</v>
      </c>
      <c r="H293" s="208">
        <f>SUM(I293:AL293)</f>
        <v>0</v>
      </c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>
        <v>243000</v>
      </c>
      <c r="AN293" s="208">
        <f>AM293+AO293</f>
        <v>243000</v>
      </c>
      <c r="AO293" s="208">
        <f>SUM(AP293:AZ293)</f>
        <v>0</v>
      </c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8"/>
      <c r="BA293" s="208"/>
      <c r="BB293" s="208">
        <f>BA293+BC293</f>
        <v>0</v>
      </c>
      <c r="BC293" s="208">
        <f>SUM(BD293:BN293)</f>
        <v>0</v>
      </c>
      <c r="BD293" s="208"/>
      <c r="BE293" s="208"/>
      <c r="BF293" s="208"/>
      <c r="BG293" s="208"/>
      <c r="BH293" s="208"/>
      <c r="BI293" s="208"/>
      <c r="BJ293" s="208"/>
      <c r="BK293" s="208"/>
      <c r="BL293" s="208"/>
      <c r="BM293" s="208"/>
      <c r="BN293" s="208"/>
      <c r="BO293" s="208"/>
      <c r="BP293" s="208">
        <f>BO293+BQ293</f>
        <v>0</v>
      </c>
      <c r="BQ293" s="208">
        <f>SUM(BR293:BU293)</f>
        <v>0</v>
      </c>
      <c r="BR293" s="208"/>
      <c r="BS293" s="208"/>
      <c r="BT293" s="208"/>
      <c r="BU293" s="208"/>
      <c r="BV293" s="208"/>
      <c r="BW293" s="208">
        <f>BV293+BX293</f>
        <v>0</v>
      </c>
      <c r="BX293" s="208">
        <f>SUM(BY293:CI293)</f>
        <v>0</v>
      </c>
      <c r="BY293" s="208"/>
      <c r="BZ293" s="208"/>
      <c r="CA293" s="208"/>
      <c r="CB293" s="208"/>
      <c r="CC293" s="208"/>
      <c r="CD293" s="208"/>
      <c r="CE293" s="208"/>
      <c r="CF293" s="208"/>
      <c r="CG293" s="208"/>
      <c r="CH293" s="208"/>
      <c r="CI293" s="259"/>
      <c r="CJ293" s="54"/>
      <c r="CK293" s="57"/>
      <c r="CQ293" s="10" t="e">
        <f>D293-#REF!-AM293</f>
        <v>#REF!</v>
      </c>
      <c r="CR293" s="10" t="e">
        <f>D293-#REF!</f>
        <v>#REF!</v>
      </c>
      <c r="CS293" s="127" t="e">
        <f>F293-#REF!</f>
        <v>#REF!</v>
      </c>
    </row>
    <row r="294" spans="1:97" s="130" customFormat="1" ht="11.25" customHeight="1" x14ac:dyDescent="0.2">
      <c r="A294" s="156" t="s">
        <v>11</v>
      </c>
      <c r="B294" s="153" t="s">
        <v>161</v>
      </c>
      <c r="C294" s="192"/>
      <c r="D294" s="229">
        <f t="shared" ref="D294:CI294" si="483">SUM(D295:D298)</f>
        <v>1759081</v>
      </c>
      <c r="E294" s="218">
        <f t="shared" si="483"/>
        <v>1759081</v>
      </c>
      <c r="F294" s="218">
        <f t="shared" si="483"/>
        <v>1759081</v>
      </c>
      <c r="G294" s="218">
        <f t="shared" si="483"/>
        <v>1759081</v>
      </c>
      <c r="H294" s="218">
        <f t="shared" si="483"/>
        <v>0</v>
      </c>
      <c r="I294" s="218">
        <f t="shared" si="483"/>
        <v>0</v>
      </c>
      <c r="J294" s="218">
        <f t="shared" si="483"/>
        <v>0</v>
      </c>
      <c r="K294" s="218">
        <f t="shared" si="483"/>
        <v>0</v>
      </c>
      <c r="L294" s="218">
        <f t="shared" si="483"/>
        <v>0</v>
      </c>
      <c r="M294" s="218">
        <f t="shared" si="483"/>
        <v>0</v>
      </c>
      <c r="N294" s="218">
        <f t="shared" si="483"/>
        <v>0</v>
      </c>
      <c r="O294" s="218">
        <f t="shared" si="483"/>
        <v>0</v>
      </c>
      <c r="P294" s="218">
        <f t="shared" si="483"/>
        <v>0</v>
      </c>
      <c r="Q294" s="218">
        <f t="shared" si="483"/>
        <v>0</v>
      </c>
      <c r="R294" s="218">
        <f t="shared" ref="R294:S294" si="484">SUM(R295:R298)</f>
        <v>0</v>
      </c>
      <c r="S294" s="218">
        <f t="shared" si="484"/>
        <v>0</v>
      </c>
      <c r="T294" s="218">
        <f t="shared" ref="T294:W294" si="485">SUM(T295:T298)</f>
        <v>0</v>
      </c>
      <c r="U294" s="218">
        <f t="shared" si="485"/>
        <v>0</v>
      </c>
      <c r="V294" s="218">
        <f t="shared" si="485"/>
        <v>0</v>
      </c>
      <c r="W294" s="218">
        <f t="shared" si="485"/>
        <v>0</v>
      </c>
      <c r="X294" s="218">
        <f t="shared" ref="X294:AI294" si="486">SUM(X295:X298)</f>
        <v>0</v>
      </c>
      <c r="Y294" s="218">
        <f t="shared" si="486"/>
        <v>0</v>
      </c>
      <c r="Z294" s="218">
        <f t="shared" si="486"/>
        <v>0</v>
      </c>
      <c r="AA294" s="218">
        <f t="shared" si="486"/>
        <v>0</v>
      </c>
      <c r="AB294" s="218">
        <f t="shared" ref="AB294:AC294" si="487">SUM(AB295:AB298)</f>
        <v>0</v>
      </c>
      <c r="AC294" s="218">
        <f t="shared" si="487"/>
        <v>0</v>
      </c>
      <c r="AD294" s="218">
        <f t="shared" si="486"/>
        <v>0</v>
      </c>
      <c r="AE294" s="218">
        <f t="shared" si="486"/>
        <v>0</v>
      </c>
      <c r="AF294" s="218">
        <f t="shared" ref="AF294:AG294" si="488">SUM(AF295:AF298)</f>
        <v>0</v>
      </c>
      <c r="AG294" s="218">
        <f t="shared" si="488"/>
        <v>0</v>
      </c>
      <c r="AH294" s="218">
        <f t="shared" si="486"/>
        <v>0</v>
      </c>
      <c r="AI294" s="218">
        <f t="shared" si="486"/>
        <v>0</v>
      </c>
      <c r="AJ294" s="218">
        <f t="shared" ref="AJ294:AK294" si="489">SUM(AJ295:AJ298)</f>
        <v>0</v>
      </c>
      <c r="AK294" s="218">
        <f t="shared" si="489"/>
        <v>0</v>
      </c>
      <c r="AL294" s="218">
        <f t="shared" si="483"/>
        <v>0</v>
      </c>
      <c r="AM294" s="218">
        <f t="shared" si="483"/>
        <v>0</v>
      </c>
      <c r="AN294" s="218">
        <f t="shared" si="483"/>
        <v>0</v>
      </c>
      <c r="AO294" s="218">
        <f t="shared" si="483"/>
        <v>0</v>
      </c>
      <c r="AP294" s="218">
        <f t="shared" si="483"/>
        <v>0</v>
      </c>
      <c r="AQ294" s="218">
        <f t="shared" si="483"/>
        <v>0</v>
      </c>
      <c r="AR294" s="218">
        <f t="shared" si="483"/>
        <v>0</v>
      </c>
      <c r="AS294" s="218">
        <f t="shared" si="483"/>
        <v>0</v>
      </c>
      <c r="AT294" s="218">
        <f t="shared" si="483"/>
        <v>0</v>
      </c>
      <c r="AU294" s="218">
        <f t="shared" ref="AU294" si="490">SUM(AU295:AU298)</f>
        <v>0</v>
      </c>
      <c r="AV294" s="218">
        <f t="shared" si="483"/>
        <v>0</v>
      </c>
      <c r="AW294" s="218">
        <f t="shared" si="483"/>
        <v>0</v>
      </c>
      <c r="AX294" s="218">
        <f t="shared" si="483"/>
        <v>0</v>
      </c>
      <c r="AY294" s="218">
        <f t="shared" si="483"/>
        <v>0</v>
      </c>
      <c r="AZ294" s="218">
        <f t="shared" si="483"/>
        <v>0</v>
      </c>
      <c r="BA294" s="218">
        <f t="shared" si="483"/>
        <v>0</v>
      </c>
      <c r="BB294" s="218">
        <f t="shared" si="483"/>
        <v>0</v>
      </c>
      <c r="BC294" s="218">
        <f t="shared" si="483"/>
        <v>0</v>
      </c>
      <c r="BD294" s="218">
        <f t="shared" si="483"/>
        <v>0</v>
      </c>
      <c r="BE294" s="218">
        <f t="shared" si="483"/>
        <v>0</v>
      </c>
      <c r="BF294" s="218">
        <f t="shared" si="483"/>
        <v>0</v>
      </c>
      <c r="BG294" s="218">
        <f t="shared" si="483"/>
        <v>0</v>
      </c>
      <c r="BH294" s="218">
        <f t="shared" ref="BH294" si="491">SUM(BH295:BH298)</f>
        <v>0</v>
      </c>
      <c r="BI294" s="218">
        <f t="shared" si="483"/>
        <v>0</v>
      </c>
      <c r="BJ294" s="218">
        <f t="shared" si="483"/>
        <v>0</v>
      </c>
      <c r="BK294" s="218">
        <f t="shared" si="483"/>
        <v>0</v>
      </c>
      <c r="BL294" s="218">
        <f t="shared" si="483"/>
        <v>0</v>
      </c>
      <c r="BM294" s="218">
        <f t="shared" si="483"/>
        <v>0</v>
      </c>
      <c r="BN294" s="218">
        <f t="shared" si="483"/>
        <v>0</v>
      </c>
      <c r="BO294" s="218">
        <f t="shared" si="483"/>
        <v>0</v>
      </c>
      <c r="BP294" s="218">
        <f t="shared" si="483"/>
        <v>0</v>
      </c>
      <c r="BQ294" s="218">
        <f t="shared" si="483"/>
        <v>0</v>
      </c>
      <c r="BR294" s="218">
        <f t="shared" si="483"/>
        <v>0</v>
      </c>
      <c r="BS294" s="218">
        <f t="shared" si="483"/>
        <v>0</v>
      </c>
      <c r="BT294" s="218">
        <f t="shared" si="483"/>
        <v>0</v>
      </c>
      <c r="BU294" s="218">
        <f t="shared" si="483"/>
        <v>0</v>
      </c>
      <c r="BV294" s="218">
        <f t="shared" si="483"/>
        <v>0</v>
      </c>
      <c r="BW294" s="218">
        <f t="shared" si="483"/>
        <v>0</v>
      </c>
      <c r="BX294" s="218">
        <f t="shared" si="483"/>
        <v>0</v>
      </c>
      <c r="BY294" s="218">
        <f t="shared" si="483"/>
        <v>0</v>
      </c>
      <c r="BZ294" s="218">
        <f t="shared" si="483"/>
        <v>0</v>
      </c>
      <c r="CA294" s="218">
        <f t="shared" si="483"/>
        <v>0</v>
      </c>
      <c r="CB294" s="218">
        <f t="shared" si="483"/>
        <v>0</v>
      </c>
      <c r="CC294" s="218">
        <f t="shared" si="483"/>
        <v>0</v>
      </c>
      <c r="CD294" s="218">
        <f t="shared" si="483"/>
        <v>0</v>
      </c>
      <c r="CE294" s="218">
        <f t="shared" si="483"/>
        <v>0</v>
      </c>
      <c r="CF294" s="218">
        <f t="shared" ref="CF294" si="492">SUM(CF295:CF298)</f>
        <v>0</v>
      </c>
      <c r="CG294" s="218">
        <f t="shared" si="483"/>
        <v>0</v>
      </c>
      <c r="CH294" s="218">
        <f t="shared" si="483"/>
        <v>0</v>
      </c>
      <c r="CI294" s="277">
        <f t="shared" si="483"/>
        <v>0</v>
      </c>
      <c r="CJ294" s="154"/>
      <c r="CK294" s="155"/>
      <c r="CQ294" s="10" t="e">
        <f>D294-#REF!-AM294</f>
        <v>#REF!</v>
      </c>
      <c r="CR294" s="10" t="e">
        <f>D294-#REF!</f>
        <v>#REF!</v>
      </c>
      <c r="CS294" s="130" t="e">
        <f>F294-#REF!</f>
        <v>#REF!</v>
      </c>
    </row>
    <row r="295" spans="1:97" s="127" customFormat="1" ht="27.75" customHeight="1" x14ac:dyDescent="0.2">
      <c r="A295" s="75"/>
      <c r="B295" s="433" t="s">
        <v>554</v>
      </c>
      <c r="C295" s="434"/>
      <c r="D295" s="220">
        <f t="shared" ref="D295:E298" si="493">F295+AM295+BA295+BO295+BV295</f>
        <v>650000</v>
      </c>
      <c r="E295" s="208">
        <f t="shared" si="493"/>
        <v>650000</v>
      </c>
      <c r="F295" s="208">
        <v>650000</v>
      </c>
      <c r="G295" s="208">
        <f t="shared" ref="G295:G298" si="494">F295+H295</f>
        <v>650000</v>
      </c>
      <c r="H295" s="208">
        <f>SUM(I295:AL295)</f>
        <v>0</v>
      </c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>
        <f t="shared" ref="AN295:AN298" si="495">AM295+AO295</f>
        <v>0</v>
      </c>
      <c r="AO295" s="208">
        <f t="shared" ref="AO295:AO298" si="496">SUM(AP295:AZ295)</f>
        <v>0</v>
      </c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>
        <f t="shared" ref="BB295:BB298" si="497">BA295+BC295</f>
        <v>0</v>
      </c>
      <c r="BC295" s="208">
        <f t="shared" ref="BC295:BC298" si="498">SUM(BD295:BN295)</f>
        <v>0</v>
      </c>
      <c r="BD295" s="208"/>
      <c r="BE295" s="208"/>
      <c r="BF295" s="208"/>
      <c r="BG295" s="208"/>
      <c r="BH295" s="208"/>
      <c r="BI295" s="208"/>
      <c r="BJ295" s="208"/>
      <c r="BK295" s="208"/>
      <c r="BL295" s="208"/>
      <c r="BM295" s="208"/>
      <c r="BN295" s="208"/>
      <c r="BO295" s="208"/>
      <c r="BP295" s="208">
        <f t="shared" ref="BP295:BP298" si="499">BO295+BQ295</f>
        <v>0</v>
      </c>
      <c r="BQ295" s="208">
        <f t="shared" ref="BQ295:BQ298" si="500">SUM(BR295:BU295)</f>
        <v>0</v>
      </c>
      <c r="BR295" s="208"/>
      <c r="BS295" s="208"/>
      <c r="BT295" s="208"/>
      <c r="BU295" s="208"/>
      <c r="BV295" s="208"/>
      <c r="BW295" s="208">
        <f t="shared" ref="BW295:BW298" si="501">BV295+BX295</f>
        <v>0</v>
      </c>
      <c r="BX295" s="208">
        <f>SUM(BY295:CI295)</f>
        <v>0</v>
      </c>
      <c r="BY295" s="208"/>
      <c r="BZ295" s="208"/>
      <c r="CA295" s="208"/>
      <c r="CB295" s="208"/>
      <c r="CC295" s="208"/>
      <c r="CD295" s="208"/>
      <c r="CE295" s="208"/>
      <c r="CF295" s="208"/>
      <c r="CG295" s="208"/>
      <c r="CH295" s="208"/>
      <c r="CI295" s="259"/>
      <c r="CJ295" s="54"/>
      <c r="CK295" s="57"/>
      <c r="CQ295" s="10" t="e">
        <f>D295-#REF!-AM295</f>
        <v>#REF!</v>
      </c>
      <c r="CR295" s="10" t="e">
        <f>D295-#REF!</f>
        <v>#REF!</v>
      </c>
      <c r="CS295" s="127" t="e">
        <f>F295-#REF!</f>
        <v>#REF!</v>
      </c>
    </row>
    <row r="296" spans="1:97" s="127" customFormat="1" ht="27.75" customHeight="1" x14ac:dyDescent="0.2">
      <c r="A296" s="75"/>
      <c r="B296" s="433" t="s">
        <v>555</v>
      </c>
      <c r="C296" s="434"/>
      <c r="D296" s="220">
        <f t="shared" si="493"/>
        <v>320500</v>
      </c>
      <c r="E296" s="208">
        <f t="shared" si="493"/>
        <v>320500</v>
      </c>
      <c r="F296" s="208">
        <v>320500</v>
      </c>
      <c r="G296" s="208">
        <f t="shared" si="494"/>
        <v>320500</v>
      </c>
      <c r="H296" s="208">
        <f>SUM(I296:AL296)</f>
        <v>0</v>
      </c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>
        <f t="shared" si="495"/>
        <v>0</v>
      </c>
      <c r="AO296" s="208">
        <f t="shared" si="496"/>
        <v>0</v>
      </c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>
        <f t="shared" si="497"/>
        <v>0</v>
      </c>
      <c r="BC296" s="208">
        <f t="shared" si="498"/>
        <v>0</v>
      </c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8"/>
      <c r="BN296" s="208"/>
      <c r="BO296" s="208"/>
      <c r="BP296" s="208">
        <f t="shared" si="499"/>
        <v>0</v>
      </c>
      <c r="BQ296" s="208">
        <f t="shared" si="500"/>
        <v>0</v>
      </c>
      <c r="BR296" s="208"/>
      <c r="BS296" s="208"/>
      <c r="BT296" s="208"/>
      <c r="BU296" s="208"/>
      <c r="BV296" s="208"/>
      <c r="BW296" s="208">
        <f t="shared" si="501"/>
        <v>0</v>
      </c>
      <c r="BX296" s="208">
        <f>SUM(BY296:CI296)</f>
        <v>0</v>
      </c>
      <c r="BY296" s="208"/>
      <c r="BZ296" s="208"/>
      <c r="CA296" s="208"/>
      <c r="CB296" s="208"/>
      <c r="CC296" s="208"/>
      <c r="CD296" s="208"/>
      <c r="CE296" s="208"/>
      <c r="CF296" s="208"/>
      <c r="CG296" s="208"/>
      <c r="CH296" s="208"/>
      <c r="CI296" s="259"/>
      <c r="CJ296" s="54"/>
      <c r="CK296" s="57"/>
      <c r="CQ296" s="10" t="e">
        <f>D296-#REF!-AM296</f>
        <v>#REF!</v>
      </c>
      <c r="CR296" s="10" t="e">
        <f>D296-#REF!</f>
        <v>#REF!</v>
      </c>
      <c r="CS296" s="127" t="e">
        <f>F296-#REF!</f>
        <v>#REF!</v>
      </c>
    </row>
    <row r="297" spans="1:97" s="127" customFormat="1" ht="37.5" customHeight="1" x14ac:dyDescent="0.2">
      <c r="A297" s="75"/>
      <c r="B297" s="433" t="s">
        <v>556</v>
      </c>
      <c r="C297" s="434"/>
      <c r="D297" s="220">
        <f t="shared" si="493"/>
        <v>242540</v>
      </c>
      <c r="E297" s="208">
        <f t="shared" si="493"/>
        <v>242540</v>
      </c>
      <c r="F297" s="208">
        <v>242540</v>
      </c>
      <c r="G297" s="208">
        <f t="shared" si="494"/>
        <v>242540</v>
      </c>
      <c r="H297" s="208">
        <f>SUM(I297:AL297)</f>
        <v>0</v>
      </c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>
        <f t="shared" si="495"/>
        <v>0</v>
      </c>
      <c r="AO297" s="208">
        <f t="shared" si="496"/>
        <v>0</v>
      </c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>
        <f t="shared" si="497"/>
        <v>0</v>
      </c>
      <c r="BC297" s="208">
        <f t="shared" si="498"/>
        <v>0</v>
      </c>
      <c r="BD297" s="208"/>
      <c r="BE297" s="208"/>
      <c r="BF297" s="208"/>
      <c r="BG297" s="208"/>
      <c r="BH297" s="208"/>
      <c r="BI297" s="208"/>
      <c r="BJ297" s="208"/>
      <c r="BK297" s="208"/>
      <c r="BL297" s="208"/>
      <c r="BM297" s="208"/>
      <c r="BN297" s="208"/>
      <c r="BO297" s="208"/>
      <c r="BP297" s="208">
        <f t="shared" si="499"/>
        <v>0</v>
      </c>
      <c r="BQ297" s="208">
        <f t="shared" si="500"/>
        <v>0</v>
      </c>
      <c r="BR297" s="208"/>
      <c r="BS297" s="208"/>
      <c r="BT297" s="208"/>
      <c r="BU297" s="208"/>
      <c r="BV297" s="208"/>
      <c r="BW297" s="208">
        <f t="shared" si="501"/>
        <v>0</v>
      </c>
      <c r="BX297" s="208">
        <f>SUM(BY297:CI297)</f>
        <v>0</v>
      </c>
      <c r="BY297" s="208"/>
      <c r="BZ297" s="208"/>
      <c r="CA297" s="208"/>
      <c r="CB297" s="208"/>
      <c r="CC297" s="208"/>
      <c r="CD297" s="208"/>
      <c r="CE297" s="208"/>
      <c r="CF297" s="208"/>
      <c r="CG297" s="208"/>
      <c r="CH297" s="208"/>
      <c r="CI297" s="259"/>
      <c r="CJ297" s="54"/>
      <c r="CK297" s="57"/>
      <c r="CQ297" s="10" t="e">
        <f>D297-#REF!-AM297</f>
        <v>#REF!</v>
      </c>
      <c r="CR297" s="10" t="e">
        <f>D297-#REF!</f>
        <v>#REF!</v>
      </c>
      <c r="CS297" s="127" t="e">
        <f>F297-#REF!</f>
        <v>#REF!</v>
      </c>
    </row>
    <row r="298" spans="1:97" s="127" customFormat="1" ht="37.5" customHeight="1" x14ac:dyDescent="0.2">
      <c r="A298" s="75"/>
      <c r="B298" s="433" t="s">
        <v>453</v>
      </c>
      <c r="C298" s="434"/>
      <c r="D298" s="220">
        <f t="shared" si="493"/>
        <v>546041</v>
      </c>
      <c r="E298" s="208">
        <f t="shared" si="493"/>
        <v>546041</v>
      </c>
      <c r="F298" s="208">
        <v>546041</v>
      </c>
      <c r="G298" s="208">
        <f t="shared" si="494"/>
        <v>546041</v>
      </c>
      <c r="H298" s="208">
        <f>SUM(I298:AL298)</f>
        <v>0</v>
      </c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>
        <f t="shared" si="495"/>
        <v>0</v>
      </c>
      <c r="AO298" s="208">
        <f t="shared" si="496"/>
        <v>0</v>
      </c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>
        <f t="shared" si="497"/>
        <v>0</v>
      </c>
      <c r="BC298" s="208">
        <f t="shared" si="498"/>
        <v>0</v>
      </c>
      <c r="BD298" s="208"/>
      <c r="BE298" s="208"/>
      <c r="BF298" s="208"/>
      <c r="BG298" s="208"/>
      <c r="BH298" s="208"/>
      <c r="BI298" s="208"/>
      <c r="BJ298" s="208"/>
      <c r="BK298" s="208"/>
      <c r="BL298" s="208"/>
      <c r="BM298" s="208"/>
      <c r="BN298" s="208"/>
      <c r="BO298" s="208"/>
      <c r="BP298" s="208">
        <f t="shared" si="499"/>
        <v>0</v>
      </c>
      <c r="BQ298" s="208">
        <f t="shared" si="500"/>
        <v>0</v>
      </c>
      <c r="BR298" s="208"/>
      <c r="BS298" s="208"/>
      <c r="BT298" s="208"/>
      <c r="BU298" s="208"/>
      <c r="BV298" s="208"/>
      <c r="BW298" s="208">
        <f t="shared" si="501"/>
        <v>0</v>
      </c>
      <c r="BX298" s="208">
        <f>SUM(BY298:CI298)</f>
        <v>0</v>
      </c>
      <c r="BY298" s="208"/>
      <c r="BZ298" s="208"/>
      <c r="CA298" s="208"/>
      <c r="CB298" s="208"/>
      <c r="CC298" s="208"/>
      <c r="CD298" s="208"/>
      <c r="CE298" s="208"/>
      <c r="CF298" s="208"/>
      <c r="CG298" s="208"/>
      <c r="CH298" s="208"/>
      <c r="CI298" s="259"/>
      <c r="CJ298" s="54"/>
      <c r="CK298" s="57"/>
      <c r="CQ298" s="10" t="e">
        <f>D298-#REF!-AM298</f>
        <v>#REF!</v>
      </c>
      <c r="CR298" s="10" t="e">
        <f>D298-#REF!</f>
        <v>#REF!</v>
      </c>
      <c r="CS298" s="127" t="e">
        <f>F298-#REF!</f>
        <v>#REF!</v>
      </c>
    </row>
    <row r="299" spans="1:97" s="130" customFormat="1" x14ac:dyDescent="0.2">
      <c r="A299" s="156" t="s">
        <v>14</v>
      </c>
      <c r="B299" s="153" t="s">
        <v>15</v>
      </c>
      <c r="C299" s="192"/>
      <c r="D299" s="229">
        <f t="shared" ref="D299:CI299" si="502">SUM(D300:D302)</f>
        <v>1609646</v>
      </c>
      <c r="E299" s="218">
        <f t="shared" si="502"/>
        <v>1609646</v>
      </c>
      <c r="F299" s="218">
        <f t="shared" si="502"/>
        <v>1609646</v>
      </c>
      <c r="G299" s="218">
        <f t="shared" si="502"/>
        <v>1609646</v>
      </c>
      <c r="H299" s="218">
        <f t="shared" si="502"/>
        <v>0</v>
      </c>
      <c r="I299" s="218">
        <f t="shared" si="502"/>
        <v>0</v>
      </c>
      <c r="J299" s="218">
        <f t="shared" si="502"/>
        <v>0</v>
      </c>
      <c r="K299" s="218">
        <f t="shared" si="502"/>
        <v>0</v>
      </c>
      <c r="L299" s="218">
        <f t="shared" si="502"/>
        <v>0</v>
      </c>
      <c r="M299" s="218">
        <f t="shared" si="502"/>
        <v>0</v>
      </c>
      <c r="N299" s="218">
        <f t="shared" si="502"/>
        <v>0</v>
      </c>
      <c r="O299" s="218">
        <f t="shared" si="502"/>
        <v>0</v>
      </c>
      <c r="P299" s="218">
        <f t="shared" si="502"/>
        <v>0</v>
      </c>
      <c r="Q299" s="218">
        <f t="shared" si="502"/>
        <v>0</v>
      </c>
      <c r="R299" s="218">
        <f t="shared" ref="R299:S299" si="503">SUM(R300:R302)</f>
        <v>0</v>
      </c>
      <c r="S299" s="218">
        <f t="shared" si="503"/>
        <v>0</v>
      </c>
      <c r="T299" s="218">
        <f t="shared" ref="T299:W299" si="504">SUM(T300:T302)</f>
        <v>0</v>
      </c>
      <c r="U299" s="218">
        <f t="shared" si="504"/>
        <v>0</v>
      </c>
      <c r="V299" s="218">
        <f t="shared" si="504"/>
        <v>0</v>
      </c>
      <c r="W299" s="218">
        <f t="shared" si="504"/>
        <v>0</v>
      </c>
      <c r="X299" s="218">
        <f t="shared" ref="X299:AI299" si="505">SUM(X300:X302)</f>
        <v>0</v>
      </c>
      <c r="Y299" s="218">
        <f t="shared" si="505"/>
        <v>0</v>
      </c>
      <c r="Z299" s="218">
        <f t="shared" si="505"/>
        <v>0</v>
      </c>
      <c r="AA299" s="218">
        <f t="shared" si="505"/>
        <v>0</v>
      </c>
      <c r="AB299" s="218">
        <f t="shared" ref="AB299:AC299" si="506">SUM(AB300:AB302)</f>
        <v>0</v>
      </c>
      <c r="AC299" s="218">
        <f t="shared" si="506"/>
        <v>0</v>
      </c>
      <c r="AD299" s="218">
        <f t="shared" si="505"/>
        <v>0</v>
      </c>
      <c r="AE299" s="218">
        <f t="shared" si="505"/>
        <v>0</v>
      </c>
      <c r="AF299" s="218">
        <f t="shared" ref="AF299:AG299" si="507">SUM(AF300:AF302)</f>
        <v>0</v>
      </c>
      <c r="AG299" s="218">
        <f t="shared" si="507"/>
        <v>0</v>
      </c>
      <c r="AH299" s="218">
        <f t="shared" si="505"/>
        <v>0</v>
      </c>
      <c r="AI299" s="218">
        <f t="shared" si="505"/>
        <v>0</v>
      </c>
      <c r="AJ299" s="218">
        <f t="shared" ref="AJ299:AK299" si="508">SUM(AJ300:AJ302)</f>
        <v>0</v>
      </c>
      <c r="AK299" s="218">
        <f t="shared" si="508"/>
        <v>0</v>
      </c>
      <c r="AL299" s="218">
        <f t="shared" si="502"/>
        <v>0</v>
      </c>
      <c r="AM299" s="218">
        <f t="shared" si="502"/>
        <v>0</v>
      </c>
      <c r="AN299" s="218">
        <f t="shared" si="502"/>
        <v>0</v>
      </c>
      <c r="AO299" s="218">
        <f t="shared" si="502"/>
        <v>0</v>
      </c>
      <c r="AP299" s="218">
        <f t="shared" si="502"/>
        <v>0</v>
      </c>
      <c r="AQ299" s="218">
        <f t="shared" si="502"/>
        <v>0</v>
      </c>
      <c r="AR299" s="218">
        <f t="shared" si="502"/>
        <v>0</v>
      </c>
      <c r="AS299" s="218">
        <f t="shared" si="502"/>
        <v>0</v>
      </c>
      <c r="AT299" s="218">
        <f t="shared" si="502"/>
        <v>0</v>
      </c>
      <c r="AU299" s="218">
        <f t="shared" ref="AU299" si="509">SUM(AU300:AU302)</f>
        <v>0</v>
      </c>
      <c r="AV299" s="218">
        <f t="shared" si="502"/>
        <v>0</v>
      </c>
      <c r="AW299" s="218">
        <f t="shared" si="502"/>
        <v>0</v>
      </c>
      <c r="AX299" s="218">
        <f t="shared" si="502"/>
        <v>0</v>
      </c>
      <c r="AY299" s="218">
        <f t="shared" si="502"/>
        <v>0</v>
      </c>
      <c r="AZ299" s="218">
        <f t="shared" si="502"/>
        <v>0</v>
      </c>
      <c r="BA299" s="218">
        <f t="shared" si="502"/>
        <v>0</v>
      </c>
      <c r="BB299" s="218">
        <f t="shared" si="502"/>
        <v>0</v>
      </c>
      <c r="BC299" s="218">
        <f t="shared" si="502"/>
        <v>0</v>
      </c>
      <c r="BD299" s="218">
        <f t="shared" si="502"/>
        <v>0</v>
      </c>
      <c r="BE299" s="218">
        <f t="shared" si="502"/>
        <v>0</v>
      </c>
      <c r="BF299" s="218">
        <f t="shared" si="502"/>
        <v>0</v>
      </c>
      <c r="BG299" s="218">
        <f t="shared" si="502"/>
        <v>0</v>
      </c>
      <c r="BH299" s="218">
        <f t="shared" ref="BH299" si="510">SUM(BH300:BH302)</f>
        <v>0</v>
      </c>
      <c r="BI299" s="218">
        <f t="shared" si="502"/>
        <v>0</v>
      </c>
      <c r="BJ299" s="218">
        <f t="shared" si="502"/>
        <v>0</v>
      </c>
      <c r="BK299" s="218">
        <f t="shared" si="502"/>
        <v>0</v>
      </c>
      <c r="BL299" s="218">
        <f t="shared" si="502"/>
        <v>0</v>
      </c>
      <c r="BM299" s="218">
        <f t="shared" si="502"/>
        <v>0</v>
      </c>
      <c r="BN299" s="218">
        <f t="shared" si="502"/>
        <v>0</v>
      </c>
      <c r="BO299" s="218">
        <f t="shared" si="502"/>
        <v>0</v>
      </c>
      <c r="BP299" s="218">
        <f t="shared" si="502"/>
        <v>0</v>
      </c>
      <c r="BQ299" s="218">
        <f t="shared" si="502"/>
        <v>0</v>
      </c>
      <c r="BR299" s="218">
        <f t="shared" si="502"/>
        <v>0</v>
      </c>
      <c r="BS299" s="218">
        <f t="shared" si="502"/>
        <v>0</v>
      </c>
      <c r="BT299" s="218">
        <f t="shared" si="502"/>
        <v>0</v>
      </c>
      <c r="BU299" s="218">
        <f t="shared" si="502"/>
        <v>0</v>
      </c>
      <c r="BV299" s="218">
        <f t="shared" si="502"/>
        <v>0</v>
      </c>
      <c r="BW299" s="218">
        <f t="shared" si="502"/>
        <v>0</v>
      </c>
      <c r="BX299" s="218">
        <f t="shared" si="502"/>
        <v>0</v>
      </c>
      <c r="BY299" s="218">
        <f t="shared" si="502"/>
        <v>0</v>
      </c>
      <c r="BZ299" s="218">
        <f t="shared" si="502"/>
        <v>0</v>
      </c>
      <c r="CA299" s="218">
        <f t="shared" si="502"/>
        <v>0</v>
      </c>
      <c r="CB299" s="218">
        <f t="shared" si="502"/>
        <v>0</v>
      </c>
      <c r="CC299" s="218">
        <f t="shared" si="502"/>
        <v>0</v>
      </c>
      <c r="CD299" s="218">
        <f t="shared" si="502"/>
        <v>0</v>
      </c>
      <c r="CE299" s="218">
        <f t="shared" si="502"/>
        <v>0</v>
      </c>
      <c r="CF299" s="218">
        <f t="shared" ref="CF299" si="511">SUM(CF300:CF302)</f>
        <v>0</v>
      </c>
      <c r="CG299" s="218">
        <f t="shared" si="502"/>
        <v>0</v>
      </c>
      <c r="CH299" s="218">
        <f t="shared" si="502"/>
        <v>0</v>
      </c>
      <c r="CI299" s="277">
        <f t="shared" si="502"/>
        <v>0</v>
      </c>
      <c r="CJ299" s="154"/>
      <c r="CK299" s="155"/>
      <c r="CQ299" s="10" t="e">
        <f>D299-#REF!-AM299</f>
        <v>#REF!</v>
      </c>
      <c r="CR299" s="10" t="e">
        <f>D299-#REF!</f>
        <v>#REF!</v>
      </c>
      <c r="CS299" s="130" t="e">
        <f>F299-#REF!</f>
        <v>#REF!</v>
      </c>
    </row>
    <row r="300" spans="1:97" s="127" customFormat="1" ht="26.25" customHeight="1" x14ac:dyDescent="0.2">
      <c r="A300" s="75"/>
      <c r="B300" s="433" t="s">
        <v>557</v>
      </c>
      <c r="C300" s="434"/>
      <c r="D300" s="220">
        <f t="shared" ref="D300:E302" si="512">F300+AM300+BA300+BO300+BV300</f>
        <v>100668</v>
      </c>
      <c r="E300" s="208">
        <f t="shared" si="512"/>
        <v>100668</v>
      </c>
      <c r="F300" s="208">
        <v>100668</v>
      </c>
      <c r="G300" s="208">
        <f t="shared" ref="G300:G302" si="513">F300+H300</f>
        <v>100668</v>
      </c>
      <c r="H300" s="208">
        <f>SUM(I300:AL300)</f>
        <v>0</v>
      </c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>
        <f t="shared" ref="AN300:AN302" si="514">AM300+AO300</f>
        <v>0</v>
      </c>
      <c r="AO300" s="208">
        <f t="shared" ref="AO300:AO302" si="515">SUM(AP300:AZ300)</f>
        <v>0</v>
      </c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>
        <f t="shared" ref="BB300:BB302" si="516">BA300+BC300</f>
        <v>0</v>
      </c>
      <c r="BC300" s="208">
        <f t="shared" ref="BC300:BC302" si="517">SUM(BD300:BN300)</f>
        <v>0</v>
      </c>
      <c r="BD300" s="208"/>
      <c r="BE300" s="208"/>
      <c r="BF300" s="208"/>
      <c r="BG300" s="208"/>
      <c r="BH300" s="208"/>
      <c r="BI300" s="208"/>
      <c r="BJ300" s="208"/>
      <c r="BK300" s="208"/>
      <c r="BL300" s="208"/>
      <c r="BM300" s="208"/>
      <c r="BN300" s="208"/>
      <c r="BO300" s="208"/>
      <c r="BP300" s="208">
        <f t="shared" ref="BP300:BP302" si="518">BO300+BQ300</f>
        <v>0</v>
      </c>
      <c r="BQ300" s="208">
        <f t="shared" ref="BQ300:BQ302" si="519">SUM(BR300:BU300)</f>
        <v>0</v>
      </c>
      <c r="BR300" s="208"/>
      <c r="BS300" s="208"/>
      <c r="BT300" s="208"/>
      <c r="BU300" s="208"/>
      <c r="BV300" s="208"/>
      <c r="BW300" s="208">
        <f t="shared" ref="BW300:BW302" si="520">BV300+BX300</f>
        <v>0</v>
      </c>
      <c r="BX300" s="208">
        <f>SUM(BY300:CI300)</f>
        <v>0</v>
      </c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59"/>
      <c r="CJ300" s="54"/>
      <c r="CK300" s="57"/>
      <c r="CQ300" s="10" t="e">
        <f>D300-#REF!-AM300</f>
        <v>#REF!</v>
      </c>
      <c r="CR300" s="10" t="e">
        <f>D300-#REF!</f>
        <v>#REF!</v>
      </c>
      <c r="CS300" s="127" t="e">
        <f>F300-#REF!</f>
        <v>#REF!</v>
      </c>
    </row>
    <row r="301" spans="1:97" s="130" customFormat="1" ht="51" customHeight="1" x14ac:dyDescent="0.2">
      <c r="A301" s="75"/>
      <c r="B301" s="437" t="s">
        <v>590</v>
      </c>
      <c r="C301" s="434"/>
      <c r="D301" s="220">
        <f t="shared" si="512"/>
        <v>839590</v>
      </c>
      <c r="E301" s="208">
        <f t="shared" si="512"/>
        <v>839590</v>
      </c>
      <c r="F301" s="208">
        <v>839590</v>
      </c>
      <c r="G301" s="208">
        <f t="shared" si="513"/>
        <v>839590</v>
      </c>
      <c r="H301" s="208">
        <f>SUM(I301:AL301)</f>
        <v>0</v>
      </c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>
        <f t="shared" si="514"/>
        <v>0</v>
      </c>
      <c r="AO301" s="208">
        <f t="shared" si="515"/>
        <v>0</v>
      </c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>
        <f t="shared" si="516"/>
        <v>0</v>
      </c>
      <c r="BC301" s="208">
        <f t="shared" si="517"/>
        <v>0</v>
      </c>
      <c r="BD301" s="208"/>
      <c r="BE301" s="208"/>
      <c r="BF301" s="208"/>
      <c r="BG301" s="208"/>
      <c r="BH301" s="208"/>
      <c r="BI301" s="208"/>
      <c r="BJ301" s="208"/>
      <c r="BK301" s="208"/>
      <c r="BL301" s="208"/>
      <c r="BM301" s="208"/>
      <c r="BN301" s="208"/>
      <c r="BO301" s="208"/>
      <c r="BP301" s="208">
        <f t="shared" si="518"/>
        <v>0</v>
      </c>
      <c r="BQ301" s="208">
        <f t="shared" si="519"/>
        <v>0</v>
      </c>
      <c r="BR301" s="208"/>
      <c r="BS301" s="208"/>
      <c r="BT301" s="208"/>
      <c r="BU301" s="208"/>
      <c r="BV301" s="208"/>
      <c r="BW301" s="208">
        <f t="shared" si="520"/>
        <v>0</v>
      </c>
      <c r="BX301" s="208">
        <f>SUM(BY301:CI301)</f>
        <v>0</v>
      </c>
      <c r="BY301" s="208"/>
      <c r="BZ301" s="208"/>
      <c r="CA301" s="208"/>
      <c r="CB301" s="208"/>
      <c r="CC301" s="208"/>
      <c r="CD301" s="208"/>
      <c r="CE301" s="208"/>
      <c r="CF301" s="208"/>
      <c r="CG301" s="208"/>
      <c r="CH301" s="208"/>
      <c r="CI301" s="259"/>
      <c r="CJ301" s="54"/>
      <c r="CK301" s="57"/>
      <c r="CQ301" s="10" t="e">
        <f>D301-#REF!-AM301</f>
        <v>#REF!</v>
      </c>
      <c r="CR301" s="10" t="e">
        <f>D301-#REF!</f>
        <v>#REF!</v>
      </c>
      <c r="CS301" s="130" t="e">
        <f>F301-#REF!</f>
        <v>#REF!</v>
      </c>
    </row>
    <row r="302" spans="1:97" s="127" customFormat="1" ht="24" customHeight="1" x14ac:dyDescent="0.2">
      <c r="A302" s="75"/>
      <c r="B302" s="433" t="s">
        <v>558</v>
      </c>
      <c r="C302" s="434"/>
      <c r="D302" s="220">
        <f t="shared" si="512"/>
        <v>669388</v>
      </c>
      <c r="E302" s="208">
        <f t="shared" si="512"/>
        <v>669388</v>
      </c>
      <c r="F302" s="208">
        <v>669388</v>
      </c>
      <c r="G302" s="208">
        <f t="shared" si="513"/>
        <v>669388</v>
      </c>
      <c r="H302" s="208">
        <f>SUM(I302:AL302)</f>
        <v>0</v>
      </c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>
        <f t="shared" si="514"/>
        <v>0</v>
      </c>
      <c r="AO302" s="208">
        <f t="shared" si="515"/>
        <v>0</v>
      </c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>
        <f t="shared" si="516"/>
        <v>0</v>
      </c>
      <c r="BC302" s="208">
        <f t="shared" si="517"/>
        <v>0</v>
      </c>
      <c r="BD302" s="208"/>
      <c r="BE302" s="208"/>
      <c r="BF302" s="208"/>
      <c r="BG302" s="208"/>
      <c r="BH302" s="208"/>
      <c r="BI302" s="208"/>
      <c r="BJ302" s="208"/>
      <c r="BK302" s="208"/>
      <c r="BL302" s="208"/>
      <c r="BM302" s="208"/>
      <c r="BN302" s="208"/>
      <c r="BO302" s="208"/>
      <c r="BP302" s="208">
        <f t="shared" si="518"/>
        <v>0</v>
      </c>
      <c r="BQ302" s="208">
        <f t="shared" si="519"/>
        <v>0</v>
      </c>
      <c r="BR302" s="208"/>
      <c r="BS302" s="208"/>
      <c r="BT302" s="208"/>
      <c r="BU302" s="208"/>
      <c r="BV302" s="208"/>
      <c r="BW302" s="208">
        <f t="shared" si="520"/>
        <v>0</v>
      </c>
      <c r="BX302" s="208">
        <f>SUM(BY302:CI302)</f>
        <v>0</v>
      </c>
      <c r="BY302" s="208"/>
      <c r="BZ302" s="208"/>
      <c r="CA302" s="208"/>
      <c r="CB302" s="208"/>
      <c r="CC302" s="208"/>
      <c r="CD302" s="208"/>
      <c r="CE302" s="208"/>
      <c r="CF302" s="208"/>
      <c r="CG302" s="208"/>
      <c r="CH302" s="208"/>
      <c r="CI302" s="259"/>
      <c r="CJ302" s="54"/>
      <c r="CK302" s="57"/>
      <c r="CQ302" s="10" t="e">
        <f>D302-#REF!-AM302</f>
        <v>#REF!</v>
      </c>
      <c r="CR302" s="10" t="e">
        <f>D302-#REF!</f>
        <v>#REF!</v>
      </c>
      <c r="CS302" s="127" t="e">
        <f>F302-#REF!</f>
        <v>#REF!</v>
      </c>
    </row>
    <row r="303" spans="1:97" s="130" customFormat="1" x14ac:dyDescent="0.2">
      <c r="A303" s="156" t="s">
        <v>17</v>
      </c>
      <c r="B303" s="153" t="s">
        <v>18</v>
      </c>
      <c r="C303" s="192"/>
      <c r="D303" s="229">
        <f t="shared" ref="D303:CI303" si="521">SUM(D304:D307)</f>
        <v>941527</v>
      </c>
      <c r="E303" s="218">
        <f t="shared" si="521"/>
        <v>946601</v>
      </c>
      <c r="F303" s="218">
        <f t="shared" si="521"/>
        <v>941527</v>
      </c>
      <c r="G303" s="218">
        <f t="shared" si="521"/>
        <v>946601</v>
      </c>
      <c r="H303" s="218">
        <f t="shared" si="521"/>
        <v>5074</v>
      </c>
      <c r="I303" s="218">
        <f t="shared" si="521"/>
        <v>0</v>
      </c>
      <c r="J303" s="218">
        <f t="shared" si="521"/>
        <v>0</v>
      </c>
      <c r="K303" s="218">
        <f t="shared" si="521"/>
        <v>0</v>
      </c>
      <c r="L303" s="218">
        <f t="shared" si="521"/>
        <v>0</v>
      </c>
      <c r="M303" s="218">
        <f t="shared" si="521"/>
        <v>1</v>
      </c>
      <c r="N303" s="218">
        <f t="shared" si="521"/>
        <v>0</v>
      </c>
      <c r="O303" s="218">
        <f t="shared" si="521"/>
        <v>0</v>
      </c>
      <c r="P303" s="218">
        <f t="shared" si="521"/>
        <v>0</v>
      </c>
      <c r="Q303" s="218">
        <f t="shared" si="521"/>
        <v>0</v>
      </c>
      <c r="R303" s="218">
        <f t="shared" ref="R303:S303" si="522">SUM(R304:R307)</f>
        <v>5073</v>
      </c>
      <c r="S303" s="218">
        <f t="shared" si="522"/>
        <v>0</v>
      </c>
      <c r="T303" s="218">
        <f t="shared" ref="T303:W303" si="523">SUM(T304:T307)</f>
        <v>0</v>
      </c>
      <c r="U303" s="218">
        <f t="shared" si="523"/>
        <v>0</v>
      </c>
      <c r="V303" s="218">
        <f t="shared" si="523"/>
        <v>0</v>
      </c>
      <c r="W303" s="218">
        <f t="shared" si="523"/>
        <v>0</v>
      </c>
      <c r="X303" s="218">
        <f t="shared" ref="X303:AI303" si="524">SUM(X304:X307)</f>
        <v>0</v>
      </c>
      <c r="Y303" s="218">
        <f t="shared" si="524"/>
        <v>0</v>
      </c>
      <c r="Z303" s="218">
        <f t="shared" si="524"/>
        <v>0</v>
      </c>
      <c r="AA303" s="218">
        <f t="shared" si="524"/>
        <v>0</v>
      </c>
      <c r="AB303" s="218">
        <f t="shared" ref="AB303:AC303" si="525">SUM(AB304:AB307)</f>
        <v>0</v>
      </c>
      <c r="AC303" s="218">
        <f t="shared" si="525"/>
        <v>0</v>
      </c>
      <c r="AD303" s="218">
        <f t="shared" si="524"/>
        <v>0</v>
      </c>
      <c r="AE303" s="218">
        <f t="shared" si="524"/>
        <v>0</v>
      </c>
      <c r="AF303" s="218">
        <f t="shared" ref="AF303:AG303" si="526">SUM(AF304:AF307)</f>
        <v>0</v>
      </c>
      <c r="AG303" s="218">
        <f t="shared" si="526"/>
        <v>0</v>
      </c>
      <c r="AH303" s="218">
        <f t="shared" si="524"/>
        <v>0</v>
      </c>
      <c r="AI303" s="218">
        <f t="shared" si="524"/>
        <v>0</v>
      </c>
      <c r="AJ303" s="218">
        <f t="shared" ref="AJ303:AK303" si="527">SUM(AJ304:AJ307)</f>
        <v>0</v>
      </c>
      <c r="AK303" s="218">
        <f t="shared" si="527"/>
        <v>0</v>
      </c>
      <c r="AL303" s="218">
        <f t="shared" si="521"/>
        <v>0</v>
      </c>
      <c r="AM303" s="218">
        <f t="shared" si="521"/>
        <v>0</v>
      </c>
      <c r="AN303" s="218">
        <f t="shared" si="521"/>
        <v>0</v>
      </c>
      <c r="AO303" s="218">
        <f t="shared" si="521"/>
        <v>0</v>
      </c>
      <c r="AP303" s="218">
        <f t="shared" si="521"/>
        <v>0</v>
      </c>
      <c r="AQ303" s="218">
        <f t="shared" si="521"/>
        <v>0</v>
      </c>
      <c r="AR303" s="218">
        <f t="shared" si="521"/>
        <v>0</v>
      </c>
      <c r="AS303" s="218">
        <f t="shared" si="521"/>
        <v>0</v>
      </c>
      <c r="AT303" s="218">
        <f t="shared" si="521"/>
        <v>0</v>
      </c>
      <c r="AU303" s="218">
        <f t="shared" ref="AU303" si="528">SUM(AU304:AU307)</f>
        <v>0</v>
      </c>
      <c r="AV303" s="218">
        <f t="shared" si="521"/>
        <v>0</v>
      </c>
      <c r="AW303" s="218">
        <f t="shared" si="521"/>
        <v>0</v>
      </c>
      <c r="AX303" s="218">
        <f t="shared" si="521"/>
        <v>0</v>
      </c>
      <c r="AY303" s="218">
        <f t="shared" si="521"/>
        <v>0</v>
      </c>
      <c r="AZ303" s="218">
        <f t="shared" si="521"/>
        <v>0</v>
      </c>
      <c r="BA303" s="218">
        <f t="shared" si="521"/>
        <v>0</v>
      </c>
      <c r="BB303" s="218">
        <f t="shared" si="521"/>
        <v>0</v>
      </c>
      <c r="BC303" s="218">
        <f t="shared" si="521"/>
        <v>0</v>
      </c>
      <c r="BD303" s="218">
        <f t="shared" si="521"/>
        <v>0</v>
      </c>
      <c r="BE303" s="218">
        <f t="shared" si="521"/>
        <v>0</v>
      </c>
      <c r="BF303" s="218">
        <f t="shared" si="521"/>
        <v>0</v>
      </c>
      <c r="BG303" s="218">
        <f t="shared" si="521"/>
        <v>0</v>
      </c>
      <c r="BH303" s="218">
        <f t="shared" ref="BH303" si="529">SUM(BH304:BH307)</f>
        <v>0</v>
      </c>
      <c r="BI303" s="218">
        <f t="shared" si="521"/>
        <v>0</v>
      </c>
      <c r="BJ303" s="218">
        <f t="shared" si="521"/>
        <v>0</v>
      </c>
      <c r="BK303" s="218">
        <f t="shared" si="521"/>
        <v>0</v>
      </c>
      <c r="BL303" s="218">
        <f t="shared" si="521"/>
        <v>0</v>
      </c>
      <c r="BM303" s="218">
        <f t="shared" si="521"/>
        <v>0</v>
      </c>
      <c r="BN303" s="218">
        <f t="shared" si="521"/>
        <v>0</v>
      </c>
      <c r="BO303" s="218">
        <f t="shared" si="521"/>
        <v>0</v>
      </c>
      <c r="BP303" s="218">
        <f t="shared" si="521"/>
        <v>0</v>
      </c>
      <c r="BQ303" s="218">
        <f t="shared" si="521"/>
        <v>0</v>
      </c>
      <c r="BR303" s="218">
        <f t="shared" si="521"/>
        <v>0</v>
      </c>
      <c r="BS303" s="218">
        <f t="shared" si="521"/>
        <v>0</v>
      </c>
      <c r="BT303" s="218">
        <f t="shared" si="521"/>
        <v>0</v>
      </c>
      <c r="BU303" s="218">
        <f t="shared" si="521"/>
        <v>0</v>
      </c>
      <c r="BV303" s="218">
        <f t="shared" si="521"/>
        <v>0</v>
      </c>
      <c r="BW303" s="218">
        <f t="shared" si="521"/>
        <v>0</v>
      </c>
      <c r="BX303" s="218">
        <f t="shared" si="521"/>
        <v>0</v>
      </c>
      <c r="BY303" s="218">
        <f t="shared" si="521"/>
        <v>0</v>
      </c>
      <c r="BZ303" s="218">
        <f t="shared" si="521"/>
        <v>0</v>
      </c>
      <c r="CA303" s="218">
        <f t="shared" si="521"/>
        <v>0</v>
      </c>
      <c r="CB303" s="218">
        <f t="shared" si="521"/>
        <v>0</v>
      </c>
      <c r="CC303" s="218">
        <f t="shared" si="521"/>
        <v>0</v>
      </c>
      <c r="CD303" s="218">
        <f t="shared" si="521"/>
        <v>0</v>
      </c>
      <c r="CE303" s="218">
        <f t="shared" si="521"/>
        <v>0</v>
      </c>
      <c r="CF303" s="218">
        <f t="shared" ref="CF303" si="530">SUM(CF304:CF307)</f>
        <v>0</v>
      </c>
      <c r="CG303" s="218">
        <f t="shared" si="521"/>
        <v>0</v>
      </c>
      <c r="CH303" s="218">
        <f t="shared" si="521"/>
        <v>0</v>
      </c>
      <c r="CI303" s="277">
        <f t="shared" si="521"/>
        <v>0</v>
      </c>
      <c r="CJ303" s="154"/>
      <c r="CK303" s="155"/>
      <c r="CQ303" s="10" t="e">
        <f>D303-#REF!-AM303</f>
        <v>#REF!</v>
      </c>
      <c r="CR303" s="10" t="e">
        <f>D303-#REF!</f>
        <v>#REF!</v>
      </c>
      <c r="CS303" s="130" t="e">
        <f>F303-#REF!</f>
        <v>#REF!</v>
      </c>
    </row>
    <row r="304" spans="1:97" s="127" customFormat="1" ht="27.75" customHeight="1" x14ac:dyDescent="0.2">
      <c r="A304" s="75"/>
      <c r="B304" s="433" t="s">
        <v>230</v>
      </c>
      <c r="C304" s="434"/>
      <c r="D304" s="220">
        <f t="shared" ref="D304:E307" si="531">F304+AM304+BA304+BO304+BV304</f>
        <v>500500</v>
      </c>
      <c r="E304" s="208">
        <f t="shared" si="531"/>
        <v>500500</v>
      </c>
      <c r="F304" s="208">
        <v>500500</v>
      </c>
      <c r="G304" s="208">
        <f t="shared" ref="G304:G307" si="532">F304+H304</f>
        <v>500500</v>
      </c>
      <c r="H304" s="208">
        <f>SUM(I304:AL304)</f>
        <v>0</v>
      </c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>
        <f t="shared" ref="AN304:AN307" si="533">AM304+AO304</f>
        <v>0</v>
      </c>
      <c r="AO304" s="208">
        <f t="shared" ref="AO304:AO307" si="534">SUM(AP304:AZ304)</f>
        <v>0</v>
      </c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>
        <f t="shared" ref="BB304:BB307" si="535">BA304+BC304</f>
        <v>0</v>
      </c>
      <c r="BC304" s="208">
        <f t="shared" ref="BC304:BC307" si="536">SUM(BD304:BN304)</f>
        <v>0</v>
      </c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  <c r="BN304" s="208"/>
      <c r="BO304" s="208"/>
      <c r="BP304" s="208">
        <f t="shared" ref="BP304:BP307" si="537">BO304+BQ304</f>
        <v>0</v>
      </c>
      <c r="BQ304" s="208">
        <f t="shared" ref="BQ304:BQ307" si="538">SUM(BR304:BU304)</f>
        <v>0</v>
      </c>
      <c r="BR304" s="208"/>
      <c r="BS304" s="208"/>
      <c r="BT304" s="208"/>
      <c r="BU304" s="208"/>
      <c r="BV304" s="208"/>
      <c r="BW304" s="208">
        <f t="shared" ref="BW304:BW307" si="539">BV304+BX304</f>
        <v>0</v>
      </c>
      <c r="BX304" s="208">
        <f>SUM(BY304:CI304)</f>
        <v>0</v>
      </c>
      <c r="BY304" s="208"/>
      <c r="BZ304" s="208"/>
      <c r="CA304" s="208"/>
      <c r="CB304" s="208"/>
      <c r="CC304" s="208"/>
      <c r="CD304" s="208"/>
      <c r="CE304" s="208"/>
      <c r="CF304" s="208"/>
      <c r="CG304" s="208"/>
      <c r="CH304" s="208"/>
      <c r="CI304" s="259"/>
      <c r="CJ304" s="54"/>
      <c r="CK304" s="57"/>
      <c r="CQ304" s="10" t="e">
        <f>D304-#REF!-AM304</f>
        <v>#REF!</v>
      </c>
      <c r="CR304" s="10" t="e">
        <f>D304-#REF!</f>
        <v>#REF!</v>
      </c>
      <c r="CS304" s="127" t="e">
        <f>F304-#REF!</f>
        <v>#REF!</v>
      </c>
    </row>
    <row r="305" spans="1:97" s="127" customFormat="1" x14ac:dyDescent="0.2">
      <c r="A305" s="75"/>
      <c r="B305" s="433" t="s">
        <v>559</v>
      </c>
      <c r="C305" s="434"/>
      <c r="D305" s="220">
        <f t="shared" si="531"/>
        <v>284577</v>
      </c>
      <c r="E305" s="208">
        <f t="shared" si="531"/>
        <v>284577</v>
      </c>
      <c r="F305" s="208">
        <v>284577</v>
      </c>
      <c r="G305" s="208">
        <f t="shared" si="532"/>
        <v>284577</v>
      </c>
      <c r="H305" s="208">
        <f>SUM(I305:AL305)</f>
        <v>0</v>
      </c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>
        <f t="shared" si="533"/>
        <v>0</v>
      </c>
      <c r="AO305" s="208">
        <f t="shared" si="534"/>
        <v>0</v>
      </c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>
        <f t="shared" si="535"/>
        <v>0</v>
      </c>
      <c r="BC305" s="208">
        <f t="shared" si="536"/>
        <v>0</v>
      </c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>
        <f t="shared" si="537"/>
        <v>0</v>
      </c>
      <c r="BQ305" s="208">
        <f t="shared" si="538"/>
        <v>0</v>
      </c>
      <c r="BR305" s="208"/>
      <c r="BS305" s="208"/>
      <c r="BT305" s="208"/>
      <c r="BU305" s="208"/>
      <c r="BV305" s="208"/>
      <c r="BW305" s="208">
        <f t="shared" si="539"/>
        <v>0</v>
      </c>
      <c r="BX305" s="208">
        <f>SUM(BY305:CI305)</f>
        <v>0</v>
      </c>
      <c r="BY305" s="208"/>
      <c r="BZ305" s="208"/>
      <c r="CA305" s="208"/>
      <c r="CB305" s="208"/>
      <c r="CC305" s="208"/>
      <c r="CD305" s="208"/>
      <c r="CE305" s="208"/>
      <c r="CF305" s="208"/>
      <c r="CG305" s="208"/>
      <c r="CH305" s="208"/>
      <c r="CI305" s="259"/>
      <c r="CJ305" s="54"/>
      <c r="CK305" s="57"/>
      <c r="CQ305" s="10" t="e">
        <f>D305-#REF!-AM305</f>
        <v>#REF!</v>
      </c>
      <c r="CR305" s="10" t="e">
        <f>D305-#REF!</f>
        <v>#REF!</v>
      </c>
      <c r="CS305" s="127" t="e">
        <f>F305-#REF!</f>
        <v>#REF!</v>
      </c>
    </row>
    <row r="306" spans="1:97" s="130" customFormat="1" ht="23.25" customHeight="1" x14ac:dyDescent="0.2">
      <c r="A306" s="75"/>
      <c r="B306" s="437" t="s">
        <v>593</v>
      </c>
      <c r="C306" s="434"/>
      <c r="D306" s="220">
        <f t="shared" si="531"/>
        <v>66438</v>
      </c>
      <c r="E306" s="208">
        <f t="shared" si="531"/>
        <v>71512</v>
      </c>
      <c r="F306" s="208">
        <v>66438</v>
      </c>
      <c r="G306" s="208">
        <f t="shared" si="532"/>
        <v>71512</v>
      </c>
      <c r="H306" s="208">
        <f>SUM(I306:AL306)</f>
        <v>5074</v>
      </c>
      <c r="I306" s="208"/>
      <c r="J306" s="208"/>
      <c r="K306" s="208"/>
      <c r="L306" s="208"/>
      <c r="M306" s="208">
        <v>1</v>
      </c>
      <c r="N306" s="208"/>
      <c r="O306" s="208"/>
      <c r="P306" s="208"/>
      <c r="Q306" s="208"/>
      <c r="R306" s="208">
        <v>5073</v>
      </c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>
        <f t="shared" si="533"/>
        <v>0</v>
      </c>
      <c r="AO306" s="208">
        <f t="shared" si="534"/>
        <v>0</v>
      </c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>
        <f t="shared" si="535"/>
        <v>0</v>
      </c>
      <c r="BC306" s="208">
        <f t="shared" si="536"/>
        <v>0</v>
      </c>
      <c r="BD306" s="208"/>
      <c r="BE306" s="208"/>
      <c r="BF306" s="208"/>
      <c r="BG306" s="208"/>
      <c r="BH306" s="208"/>
      <c r="BI306" s="208"/>
      <c r="BJ306" s="208"/>
      <c r="BK306" s="208"/>
      <c r="BL306" s="208"/>
      <c r="BM306" s="208"/>
      <c r="BN306" s="208"/>
      <c r="BO306" s="208"/>
      <c r="BP306" s="208">
        <f t="shared" si="537"/>
        <v>0</v>
      </c>
      <c r="BQ306" s="208">
        <f t="shared" si="538"/>
        <v>0</v>
      </c>
      <c r="BR306" s="208"/>
      <c r="BS306" s="208"/>
      <c r="BT306" s="208"/>
      <c r="BU306" s="208"/>
      <c r="BV306" s="208"/>
      <c r="BW306" s="208">
        <f t="shared" si="539"/>
        <v>0</v>
      </c>
      <c r="BX306" s="208">
        <f>SUM(BY306:CI306)</f>
        <v>0</v>
      </c>
      <c r="BY306" s="208"/>
      <c r="BZ306" s="208"/>
      <c r="CA306" s="208"/>
      <c r="CB306" s="208"/>
      <c r="CC306" s="208"/>
      <c r="CD306" s="208"/>
      <c r="CE306" s="208"/>
      <c r="CF306" s="208"/>
      <c r="CG306" s="208"/>
      <c r="CH306" s="208"/>
      <c r="CI306" s="259"/>
      <c r="CJ306" s="54"/>
      <c r="CK306" s="57"/>
      <c r="CQ306" s="10" t="e">
        <f>D306-#REF!-AM306</f>
        <v>#REF!</v>
      </c>
      <c r="CR306" s="10" t="e">
        <f>D306-#REF!</f>
        <v>#REF!</v>
      </c>
      <c r="CS306" s="130" t="e">
        <f>F306-#REF!</f>
        <v>#REF!</v>
      </c>
    </row>
    <row r="307" spans="1:97" s="127" customFormat="1" ht="27.75" customHeight="1" x14ac:dyDescent="0.2">
      <c r="A307" s="75"/>
      <c r="B307" s="433" t="s">
        <v>713</v>
      </c>
      <c r="C307" s="434"/>
      <c r="D307" s="220">
        <f t="shared" si="531"/>
        <v>90012</v>
      </c>
      <c r="E307" s="208">
        <f t="shared" si="531"/>
        <v>90012</v>
      </c>
      <c r="F307" s="208">
        <v>90012</v>
      </c>
      <c r="G307" s="208">
        <f t="shared" si="532"/>
        <v>90012</v>
      </c>
      <c r="H307" s="208">
        <f>SUM(I307:AL307)</f>
        <v>0</v>
      </c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>
        <f t="shared" si="533"/>
        <v>0</v>
      </c>
      <c r="AO307" s="208">
        <f t="shared" si="534"/>
        <v>0</v>
      </c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>
        <f t="shared" si="535"/>
        <v>0</v>
      </c>
      <c r="BC307" s="208">
        <f t="shared" si="536"/>
        <v>0</v>
      </c>
      <c r="BD307" s="208"/>
      <c r="BE307" s="208"/>
      <c r="BF307" s="208"/>
      <c r="BG307" s="208"/>
      <c r="BH307" s="208"/>
      <c r="BI307" s="208"/>
      <c r="BJ307" s="208"/>
      <c r="BK307" s="208"/>
      <c r="BL307" s="208"/>
      <c r="BM307" s="208"/>
      <c r="BN307" s="208"/>
      <c r="BO307" s="208"/>
      <c r="BP307" s="208">
        <f t="shared" si="537"/>
        <v>0</v>
      </c>
      <c r="BQ307" s="208">
        <f t="shared" si="538"/>
        <v>0</v>
      </c>
      <c r="BR307" s="208"/>
      <c r="BS307" s="208"/>
      <c r="BT307" s="208"/>
      <c r="BU307" s="208"/>
      <c r="BV307" s="208"/>
      <c r="BW307" s="208">
        <f t="shared" si="539"/>
        <v>0</v>
      </c>
      <c r="BX307" s="208">
        <f>SUM(BY307:CI307)</f>
        <v>0</v>
      </c>
      <c r="BY307" s="208"/>
      <c r="BZ307" s="208"/>
      <c r="CA307" s="208"/>
      <c r="CB307" s="208"/>
      <c r="CC307" s="208"/>
      <c r="CD307" s="208"/>
      <c r="CE307" s="208"/>
      <c r="CF307" s="208"/>
      <c r="CG307" s="208"/>
      <c r="CH307" s="208"/>
      <c r="CI307" s="259"/>
      <c r="CJ307" s="54"/>
      <c r="CK307" s="57"/>
      <c r="CQ307" s="10" t="e">
        <f>D307-#REF!-AM307</f>
        <v>#REF!</v>
      </c>
      <c r="CR307" s="10" t="e">
        <f>D307-#REF!</f>
        <v>#REF!</v>
      </c>
      <c r="CS307" s="127" t="e">
        <f>F307-#REF!</f>
        <v>#REF!</v>
      </c>
    </row>
    <row r="308" spans="1:97" s="130" customFormat="1" x14ac:dyDescent="0.2">
      <c r="A308" s="156">
        <v>10</v>
      </c>
      <c r="B308" s="153" t="s">
        <v>21</v>
      </c>
      <c r="C308" s="192"/>
      <c r="D308" s="229">
        <f t="shared" ref="D308:CI308" si="540">SUM(D309:D310)</f>
        <v>343345</v>
      </c>
      <c r="E308" s="218">
        <f t="shared" si="540"/>
        <v>343345</v>
      </c>
      <c r="F308" s="218">
        <f t="shared" si="540"/>
        <v>343345</v>
      </c>
      <c r="G308" s="218">
        <f t="shared" si="540"/>
        <v>343345</v>
      </c>
      <c r="H308" s="218">
        <f t="shared" si="540"/>
        <v>0</v>
      </c>
      <c r="I308" s="218">
        <f t="shared" si="540"/>
        <v>0</v>
      </c>
      <c r="J308" s="218">
        <f t="shared" si="540"/>
        <v>0</v>
      </c>
      <c r="K308" s="218">
        <f t="shared" si="540"/>
        <v>0</v>
      </c>
      <c r="L308" s="218">
        <f t="shared" si="540"/>
        <v>0</v>
      </c>
      <c r="M308" s="218">
        <f t="shared" si="540"/>
        <v>0</v>
      </c>
      <c r="N308" s="218">
        <f t="shared" si="540"/>
        <v>0</v>
      </c>
      <c r="O308" s="218">
        <f t="shared" si="540"/>
        <v>0</v>
      </c>
      <c r="P308" s="218">
        <f t="shared" si="540"/>
        <v>0</v>
      </c>
      <c r="Q308" s="218">
        <f t="shared" si="540"/>
        <v>0</v>
      </c>
      <c r="R308" s="218">
        <f t="shared" ref="R308:S308" si="541">SUM(R309:R310)</f>
        <v>0</v>
      </c>
      <c r="S308" s="218">
        <f t="shared" si="541"/>
        <v>0</v>
      </c>
      <c r="T308" s="218">
        <f t="shared" ref="T308:W308" si="542">SUM(T309:T310)</f>
        <v>0</v>
      </c>
      <c r="U308" s="218">
        <f t="shared" si="542"/>
        <v>0</v>
      </c>
      <c r="V308" s="218">
        <f t="shared" si="542"/>
        <v>0</v>
      </c>
      <c r="W308" s="218">
        <f t="shared" si="542"/>
        <v>0</v>
      </c>
      <c r="X308" s="218">
        <f t="shared" ref="X308:AI308" si="543">SUM(X309:X310)</f>
        <v>0</v>
      </c>
      <c r="Y308" s="218">
        <f t="shared" si="543"/>
        <v>0</v>
      </c>
      <c r="Z308" s="218">
        <f t="shared" si="543"/>
        <v>0</v>
      </c>
      <c r="AA308" s="218">
        <f t="shared" si="543"/>
        <v>0</v>
      </c>
      <c r="AB308" s="218">
        <f t="shared" ref="AB308:AC308" si="544">SUM(AB309:AB310)</f>
        <v>0</v>
      </c>
      <c r="AC308" s="218">
        <f t="shared" si="544"/>
        <v>0</v>
      </c>
      <c r="AD308" s="218">
        <f t="shared" si="543"/>
        <v>0</v>
      </c>
      <c r="AE308" s="218">
        <f t="shared" si="543"/>
        <v>0</v>
      </c>
      <c r="AF308" s="218">
        <f t="shared" ref="AF308:AG308" si="545">SUM(AF309:AF310)</f>
        <v>0</v>
      </c>
      <c r="AG308" s="218">
        <f t="shared" si="545"/>
        <v>0</v>
      </c>
      <c r="AH308" s="218">
        <f t="shared" si="543"/>
        <v>0</v>
      </c>
      <c r="AI308" s="218">
        <f t="shared" si="543"/>
        <v>0</v>
      </c>
      <c r="AJ308" s="218">
        <f t="shared" ref="AJ308:AK308" si="546">SUM(AJ309:AJ310)</f>
        <v>0</v>
      </c>
      <c r="AK308" s="218">
        <f t="shared" si="546"/>
        <v>0</v>
      </c>
      <c r="AL308" s="218">
        <f t="shared" si="540"/>
        <v>0</v>
      </c>
      <c r="AM308" s="218">
        <f t="shared" si="540"/>
        <v>0</v>
      </c>
      <c r="AN308" s="218">
        <f t="shared" si="540"/>
        <v>0</v>
      </c>
      <c r="AO308" s="218">
        <f t="shared" si="540"/>
        <v>0</v>
      </c>
      <c r="AP308" s="218">
        <f t="shared" si="540"/>
        <v>0</v>
      </c>
      <c r="AQ308" s="218">
        <f t="shared" si="540"/>
        <v>0</v>
      </c>
      <c r="AR308" s="218">
        <f t="shared" si="540"/>
        <v>0</v>
      </c>
      <c r="AS308" s="218">
        <f t="shared" si="540"/>
        <v>0</v>
      </c>
      <c r="AT308" s="218">
        <f t="shared" si="540"/>
        <v>0</v>
      </c>
      <c r="AU308" s="218">
        <f t="shared" ref="AU308" si="547">SUM(AU309:AU310)</f>
        <v>0</v>
      </c>
      <c r="AV308" s="218">
        <f t="shared" si="540"/>
        <v>0</v>
      </c>
      <c r="AW308" s="218">
        <f t="shared" si="540"/>
        <v>0</v>
      </c>
      <c r="AX308" s="218">
        <f t="shared" si="540"/>
        <v>0</v>
      </c>
      <c r="AY308" s="218">
        <f t="shared" si="540"/>
        <v>0</v>
      </c>
      <c r="AZ308" s="218">
        <f t="shared" si="540"/>
        <v>0</v>
      </c>
      <c r="BA308" s="218">
        <f t="shared" si="540"/>
        <v>0</v>
      </c>
      <c r="BB308" s="218">
        <f t="shared" si="540"/>
        <v>0</v>
      </c>
      <c r="BC308" s="218">
        <f t="shared" si="540"/>
        <v>0</v>
      </c>
      <c r="BD308" s="218">
        <f t="shared" si="540"/>
        <v>0</v>
      </c>
      <c r="BE308" s="218">
        <f t="shared" si="540"/>
        <v>0</v>
      </c>
      <c r="BF308" s="218">
        <f t="shared" si="540"/>
        <v>0</v>
      </c>
      <c r="BG308" s="218">
        <f t="shared" si="540"/>
        <v>0</v>
      </c>
      <c r="BH308" s="218">
        <f t="shared" ref="BH308" si="548">SUM(BH309:BH310)</f>
        <v>0</v>
      </c>
      <c r="BI308" s="218">
        <f t="shared" si="540"/>
        <v>0</v>
      </c>
      <c r="BJ308" s="218">
        <f t="shared" si="540"/>
        <v>0</v>
      </c>
      <c r="BK308" s="218">
        <f t="shared" si="540"/>
        <v>0</v>
      </c>
      <c r="BL308" s="218">
        <f t="shared" si="540"/>
        <v>0</v>
      </c>
      <c r="BM308" s="218">
        <f t="shared" si="540"/>
        <v>0</v>
      </c>
      <c r="BN308" s="218">
        <f t="shared" si="540"/>
        <v>0</v>
      </c>
      <c r="BO308" s="218">
        <f t="shared" si="540"/>
        <v>0</v>
      </c>
      <c r="BP308" s="218">
        <f t="shared" si="540"/>
        <v>0</v>
      </c>
      <c r="BQ308" s="218">
        <f t="shared" si="540"/>
        <v>0</v>
      </c>
      <c r="BR308" s="218">
        <f t="shared" si="540"/>
        <v>0</v>
      </c>
      <c r="BS308" s="218">
        <f t="shared" si="540"/>
        <v>0</v>
      </c>
      <c r="BT308" s="218">
        <f t="shared" si="540"/>
        <v>0</v>
      </c>
      <c r="BU308" s="218">
        <f t="shared" si="540"/>
        <v>0</v>
      </c>
      <c r="BV308" s="218">
        <f t="shared" si="540"/>
        <v>0</v>
      </c>
      <c r="BW308" s="218">
        <f t="shared" si="540"/>
        <v>0</v>
      </c>
      <c r="BX308" s="218">
        <f t="shared" si="540"/>
        <v>0</v>
      </c>
      <c r="BY308" s="218">
        <f t="shared" si="540"/>
        <v>0</v>
      </c>
      <c r="BZ308" s="218">
        <f t="shared" si="540"/>
        <v>0</v>
      </c>
      <c r="CA308" s="218">
        <f t="shared" si="540"/>
        <v>0</v>
      </c>
      <c r="CB308" s="218">
        <f t="shared" si="540"/>
        <v>0</v>
      </c>
      <c r="CC308" s="218">
        <f t="shared" si="540"/>
        <v>0</v>
      </c>
      <c r="CD308" s="218">
        <f t="shared" si="540"/>
        <v>0</v>
      </c>
      <c r="CE308" s="218">
        <f t="shared" si="540"/>
        <v>0</v>
      </c>
      <c r="CF308" s="218">
        <f t="shared" ref="CF308" si="549">SUM(CF309:CF310)</f>
        <v>0</v>
      </c>
      <c r="CG308" s="218">
        <f t="shared" si="540"/>
        <v>0</v>
      </c>
      <c r="CH308" s="218">
        <f t="shared" si="540"/>
        <v>0</v>
      </c>
      <c r="CI308" s="277">
        <f t="shared" si="540"/>
        <v>0</v>
      </c>
      <c r="CJ308" s="154"/>
      <c r="CK308" s="155"/>
      <c r="CQ308" s="10" t="e">
        <f>D308-#REF!-AM308</f>
        <v>#REF!</v>
      </c>
      <c r="CR308" s="10" t="e">
        <f>D308-#REF!</f>
        <v>#REF!</v>
      </c>
      <c r="CS308" s="130" t="e">
        <f>F308-#REF!</f>
        <v>#REF!</v>
      </c>
    </row>
    <row r="309" spans="1:97" s="127" customFormat="1" ht="27" customHeight="1" x14ac:dyDescent="0.2">
      <c r="A309" s="75"/>
      <c r="B309" s="433" t="s">
        <v>560</v>
      </c>
      <c r="C309" s="434"/>
      <c r="D309" s="220">
        <f>F309+AM309+BA309+BO309+BV309</f>
        <v>241889</v>
      </c>
      <c r="E309" s="208">
        <f>G309+AN309+BB309+BP309+BW309</f>
        <v>241889</v>
      </c>
      <c r="F309" s="208">
        <v>241889</v>
      </c>
      <c r="G309" s="208">
        <f t="shared" ref="G309:G310" si="550">F309+H309</f>
        <v>241889</v>
      </c>
      <c r="H309" s="208">
        <f>SUM(I309:AL309)</f>
        <v>0</v>
      </c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>
        <f t="shared" ref="AN309:AN310" si="551">AM309+AO309</f>
        <v>0</v>
      </c>
      <c r="AO309" s="208">
        <f t="shared" ref="AO309:AO310" si="552">SUM(AP309:AZ309)</f>
        <v>0</v>
      </c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>
        <f t="shared" ref="BB309:BB310" si="553">BA309+BC309</f>
        <v>0</v>
      </c>
      <c r="BC309" s="208">
        <f t="shared" ref="BC309:BC310" si="554">SUM(BD309:BN309)</f>
        <v>0</v>
      </c>
      <c r="BD309" s="208"/>
      <c r="BE309" s="208"/>
      <c r="BF309" s="208"/>
      <c r="BG309" s="208"/>
      <c r="BH309" s="208"/>
      <c r="BI309" s="208"/>
      <c r="BJ309" s="208"/>
      <c r="BK309" s="208"/>
      <c r="BL309" s="208"/>
      <c r="BM309" s="208"/>
      <c r="BN309" s="208"/>
      <c r="BO309" s="208"/>
      <c r="BP309" s="208">
        <f t="shared" ref="BP309:BP310" si="555">BO309+BQ309</f>
        <v>0</v>
      </c>
      <c r="BQ309" s="208">
        <f t="shared" ref="BQ309:BQ310" si="556">SUM(BR309:BU309)</f>
        <v>0</v>
      </c>
      <c r="BR309" s="208"/>
      <c r="BS309" s="208"/>
      <c r="BT309" s="208"/>
      <c r="BU309" s="208"/>
      <c r="BV309" s="208"/>
      <c r="BW309" s="208">
        <f t="shared" ref="BW309:BW310" si="557">BV309+BX309</f>
        <v>0</v>
      </c>
      <c r="BX309" s="208">
        <f>SUM(BY309:CI309)</f>
        <v>0</v>
      </c>
      <c r="BY309" s="208"/>
      <c r="BZ309" s="208"/>
      <c r="CA309" s="208"/>
      <c r="CB309" s="208"/>
      <c r="CC309" s="208"/>
      <c r="CD309" s="208"/>
      <c r="CE309" s="208"/>
      <c r="CF309" s="208"/>
      <c r="CG309" s="208"/>
      <c r="CH309" s="208"/>
      <c r="CI309" s="259"/>
      <c r="CJ309" s="54"/>
      <c r="CK309" s="57"/>
      <c r="CQ309" s="10" t="e">
        <f>D309-#REF!-AM309</f>
        <v>#REF!</v>
      </c>
      <c r="CR309" s="10" t="e">
        <f>D309-#REF!</f>
        <v>#REF!</v>
      </c>
      <c r="CS309" s="127" t="e">
        <f>F309-#REF!</f>
        <v>#REF!</v>
      </c>
    </row>
    <row r="310" spans="1:97" s="127" customFormat="1" ht="23.25" customHeight="1" x14ac:dyDescent="0.2">
      <c r="A310" s="75"/>
      <c r="B310" s="433" t="s">
        <v>561</v>
      </c>
      <c r="C310" s="434"/>
      <c r="D310" s="220">
        <f>F310+AM310+BA310+BO310+BV310</f>
        <v>101456</v>
      </c>
      <c r="E310" s="208">
        <f>G310+AN310+BB310+BP310+BW310</f>
        <v>101456</v>
      </c>
      <c r="F310" s="208">
        <v>101456</v>
      </c>
      <c r="G310" s="208">
        <f t="shared" si="550"/>
        <v>101456</v>
      </c>
      <c r="H310" s="208">
        <f>SUM(I310:AL310)</f>
        <v>0</v>
      </c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>
        <f t="shared" si="551"/>
        <v>0</v>
      </c>
      <c r="AO310" s="208">
        <f t="shared" si="552"/>
        <v>0</v>
      </c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>
        <f t="shared" si="553"/>
        <v>0</v>
      </c>
      <c r="BC310" s="208">
        <f t="shared" si="554"/>
        <v>0</v>
      </c>
      <c r="BD310" s="208"/>
      <c r="BE310" s="208"/>
      <c r="BF310" s="208"/>
      <c r="BG310" s="208"/>
      <c r="BH310" s="208"/>
      <c r="BI310" s="208"/>
      <c r="BJ310" s="208"/>
      <c r="BK310" s="208"/>
      <c r="BL310" s="208"/>
      <c r="BM310" s="208"/>
      <c r="BN310" s="208"/>
      <c r="BO310" s="208"/>
      <c r="BP310" s="208">
        <f t="shared" si="555"/>
        <v>0</v>
      </c>
      <c r="BQ310" s="208">
        <f t="shared" si="556"/>
        <v>0</v>
      </c>
      <c r="BR310" s="208"/>
      <c r="BS310" s="208"/>
      <c r="BT310" s="208"/>
      <c r="BU310" s="208"/>
      <c r="BV310" s="208"/>
      <c r="BW310" s="208">
        <f t="shared" si="557"/>
        <v>0</v>
      </c>
      <c r="BX310" s="208">
        <f>SUM(BY310:CI310)</f>
        <v>0</v>
      </c>
      <c r="BY310" s="208"/>
      <c r="BZ310" s="208"/>
      <c r="CA310" s="208"/>
      <c r="CB310" s="208"/>
      <c r="CC310" s="208"/>
      <c r="CD310" s="208"/>
      <c r="CE310" s="208"/>
      <c r="CF310" s="208"/>
      <c r="CG310" s="208"/>
      <c r="CH310" s="208"/>
      <c r="CI310" s="259"/>
      <c r="CJ310" s="54"/>
      <c r="CK310" s="57"/>
      <c r="CQ310" s="10" t="e">
        <f>D310-#REF!-AM310</f>
        <v>#REF!</v>
      </c>
      <c r="CR310" s="10" t="e">
        <f>D310-#REF!</f>
        <v>#REF!</v>
      </c>
      <c r="CS310" s="127" t="e">
        <f>F310-#REF!</f>
        <v>#REF!</v>
      </c>
    </row>
    <row r="311" spans="1:97" s="127" customFormat="1" ht="15.75" customHeight="1" thickBot="1" x14ac:dyDescent="0.25">
      <c r="A311" s="69"/>
      <c r="B311" s="179"/>
      <c r="C311" s="190"/>
      <c r="D311" s="224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  <c r="BI311" s="211"/>
      <c r="BJ311" s="211"/>
      <c r="BK311" s="211"/>
      <c r="BL311" s="211"/>
      <c r="BM311" s="211"/>
      <c r="BN311" s="211"/>
      <c r="BO311" s="211"/>
      <c r="BP311" s="211"/>
      <c r="BQ311" s="211"/>
      <c r="BR311" s="211"/>
      <c r="BS311" s="211"/>
      <c r="BT311" s="211"/>
      <c r="BU311" s="211"/>
      <c r="BV311" s="211"/>
      <c r="BW311" s="211"/>
      <c r="BX311" s="211"/>
      <c r="BY311" s="211"/>
      <c r="BZ311" s="211"/>
      <c r="CA311" s="211"/>
      <c r="CB311" s="211"/>
      <c r="CC311" s="211"/>
      <c r="CD311" s="211"/>
      <c r="CE311" s="211"/>
      <c r="CF311" s="211"/>
      <c r="CG311" s="211"/>
      <c r="CH311" s="211"/>
      <c r="CI311" s="278"/>
      <c r="CJ311" s="134"/>
      <c r="CK311" s="60"/>
      <c r="CQ311" s="10" t="e">
        <f>D311-#REF!-AM311</f>
        <v>#REF!</v>
      </c>
      <c r="CR311" s="10" t="e">
        <f>D311-#REF!</f>
        <v>#REF!</v>
      </c>
      <c r="CS311" s="127" t="e">
        <f>F311-#REF!</f>
        <v>#REF!</v>
      </c>
    </row>
    <row r="312" spans="1:97" s="127" customFormat="1" ht="12.75" thickTop="1" x14ac:dyDescent="0.2">
      <c r="A312" s="92" t="s">
        <v>569</v>
      </c>
      <c r="B312" s="137" t="s">
        <v>437</v>
      </c>
      <c r="C312" s="189"/>
      <c r="D312" s="227">
        <f>SUM(D313:D316)</f>
        <v>692000</v>
      </c>
      <c r="E312" s="216">
        <f t="shared" ref="E312:CI312" si="558">SUM(E313:E316)</f>
        <v>1151219</v>
      </c>
      <c r="F312" s="216">
        <f t="shared" si="558"/>
        <v>692000</v>
      </c>
      <c r="G312" s="216">
        <f t="shared" si="558"/>
        <v>1151219</v>
      </c>
      <c r="H312" s="216">
        <f t="shared" si="558"/>
        <v>459219</v>
      </c>
      <c r="I312" s="216">
        <f t="shared" si="558"/>
        <v>0</v>
      </c>
      <c r="J312" s="216">
        <f t="shared" si="558"/>
        <v>0</v>
      </c>
      <c r="K312" s="216">
        <f t="shared" si="558"/>
        <v>0</v>
      </c>
      <c r="L312" s="216">
        <f t="shared" si="558"/>
        <v>0</v>
      </c>
      <c r="M312" s="216">
        <f t="shared" si="558"/>
        <v>0</v>
      </c>
      <c r="N312" s="216">
        <f t="shared" si="558"/>
        <v>0</v>
      </c>
      <c r="O312" s="216">
        <f t="shared" si="558"/>
        <v>0</v>
      </c>
      <c r="P312" s="216">
        <f t="shared" si="558"/>
        <v>0</v>
      </c>
      <c r="Q312" s="216">
        <f t="shared" si="558"/>
        <v>0</v>
      </c>
      <c r="R312" s="216">
        <f t="shared" si="558"/>
        <v>501115</v>
      </c>
      <c r="S312" s="216">
        <f t="shared" si="558"/>
        <v>0</v>
      </c>
      <c r="T312" s="216">
        <f t="shared" ref="T312:AK312" si="559">SUM(T313:T316)</f>
        <v>0</v>
      </c>
      <c r="U312" s="216">
        <f t="shared" si="559"/>
        <v>0</v>
      </c>
      <c r="V312" s="216">
        <f t="shared" si="559"/>
        <v>0</v>
      </c>
      <c r="W312" s="216">
        <f t="shared" si="559"/>
        <v>0</v>
      </c>
      <c r="X312" s="216">
        <f t="shared" si="559"/>
        <v>-15711</v>
      </c>
      <c r="Y312" s="216">
        <f t="shared" si="559"/>
        <v>0</v>
      </c>
      <c r="Z312" s="216">
        <f t="shared" si="559"/>
        <v>0</v>
      </c>
      <c r="AA312" s="216">
        <f t="shared" si="559"/>
        <v>-26185</v>
      </c>
      <c r="AB312" s="216">
        <f t="shared" si="559"/>
        <v>0</v>
      </c>
      <c r="AC312" s="216">
        <f t="shared" si="559"/>
        <v>0</v>
      </c>
      <c r="AD312" s="216">
        <f t="shared" si="559"/>
        <v>0</v>
      </c>
      <c r="AE312" s="216">
        <f t="shared" ref="AE312:AI312" si="560">SUM(AE313:AE316)</f>
        <v>0</v>
      </c>
      <c r="AF312" s="216">
        <f t="shared" ref="AF312:AG312" si="561">SUM(AF313:AF316)</f>
        <v>0</v>
      </c>
      <c r="AG312" s="216">
        <f t="shared" si="561"/>
        <v>0</v>
      </c>
      <c r="AH312" s="216">
        <f t="shared" si="560"/>
        <v>0</v>
      </c>
      <c r="AI312" s="216">
        <f t="shared" si="560"/>
        <v>0</v>
      </c>
      <c r="AJ312" s="216">
        <f t="shared" si="559"/>
        <v>0</v>
      </c>
      <c r="AK312" s="216">
        <f t="shared" si="559"/>
        <v>0</v>
      </c>
      <c r="AL312" s="216">
        <f t="shared" si="558"/>
        <v>0</v>
      </c>
      <c r="AM312" s="216">
        <f t="shared" si="558"/>
        <v>0</v>
      </c>
      <c r="AN312" s="216">
        <f t="shared" si="558"/>
        <v>0</v>
      </c>
      <c r="AO312" s="216">
        <f t="shared" si="558"/>
        <v>0</v>
      </c>
      <c r="AP312" s="216">
        <f t="shared" si="558"/>
        <v>0</v>
      </c>
      <c r="AQ312" s="216">
        <f t="shared" si="558"/>
        <v>0</v>
      </c>
      <c r="AR312" s="216">
        <f t="shared" si="558"/>
        <v>0</v>
      </c>
      <c r="AS312" s="216">
        <f t="shared" si="558"/>
        <v>0</v>
      </c>
      <c r="AT312" s="216">
        <f t="shared" si="558"/>
        <v>0</v>
      </c>
      <c r="AU312" s="216">
        <f t="shared" ref="AU312" si="562">SUM(AU313:AU316)</f>
        <v>0</v>
      </c>
      <c r="AV312" s="216">
        <f t="shared" si="558"/>
        <v>0</v>
      </c>
      <c r="AW312" s="216">
        <f t="shared" si="558"/>
        <v>0</v>
      </c>
      <c r="AX312" s="216">
        <f t="shared" si="558"/>
        <v>0</v>
      </c>
      <c r="AY312" s="216">
        <f t="shared" si="558"/>
        <v>0</v>
      </c>
      <c r="AZ312" s="216">
        <f t="shared" si="558"/>
        <v>0</v>
      </c>
      <c r="BA312" s="216">
        <f t="shared" si="558"/>
        <v>0</v>
      </c>
      <c r="BB312" s="216">
        <f t="shared" si="558"/>
        <v>0</v>
      </c>
      <c r="BC312" s="216">
        <f t="shared" si="558"/>
        <v>0</v>
      </c>
      <c r="BD312" s="216">
        <f t="shared" si="558"/>
        <v>0</v>
      </c>
      <c r="BE312" s="216">
        <f t="shared" si="558"/>
        <v>0</v>
      </c>
      <c r="BF312" s="216">
        <f t="shared" si="558"/>
        <v>0</v>
      </c>
      <c r="BG312" s="216">
        <f t="shared" si="558"/>
        <v>0</v>
      </c>
      <c r="BH312" s="216">
        <f t="shared" ref="BH312" si="563">SUM(BH313:BH316)</f>
        <v>0</v>
      </c>
      <c r="BI312" s="216">
        <f t="shared" si="558"/>
        <v>0</v>
      </c>
      <c r="BJ312" s="216">
        <f t="shared" si="558"/>
        <v>0</v>
      </c>
      <c r="BK312" s="216">
        <f t="shared" si="558"/>
        <v>0</v>
      </c>
      <c r="BL312" s="216">
        <f t="shared" si="558"/>
        <v>0</v>
      </c>
      <c r="BM312" s="216">
        <f t="shared" si="558"/>
        <v>0</v>
      </c>
      <c r="BN312" s="216">
        <f t="shared" si="558"/>
        <v>0</v>
      </c>
      <c r="BO312" s="216">
        <f t="shared" si="558"/>
        <v>0</v>
      </c>
      <c r="BP312" s="216">
        <f t="shared" si="558"/>
        <v>0</v>
      </c>
      <c r="BQ312" s="216">
        <f t="shared" si="558"/>
        <v>0</v>
      </c>
      <c r="BR312" s="216">
        <f t="shared" si="558"/>
        <v>0</v>
      </c>
      <c r="BS312" s="216">
        <f t="shared" si="558"/>
        <v>0</v>
      </c>
      <c r="BT312" s="216">
        <f t="shared" si="558"/>
        <v>0</v>
      </c>
      <c r="BU312" s="216">
        <f t="shared" si="558"/>
        <v>0</v>
      </c>
      <c r="BV312" s="216">
        <f t="shared" si="558"/>
        <v>0</v>
      </c>
      <c r="BW312" s="216">
        <f t="shared" si="558"/>
        <v>0</v>
      </c>
      <c r="BX312" s="216">
        <f t="shared" si="558"/>
        <v>0</v>
      </c>
      <c r="BY312" s="216">
        <f t="shared" si="558"/>
        <v>0</v>
      </c>
      <c r="BZ312" s="216">
        <f t="shared" si="558"/>
        <v>0</v>
      </c>
      <c r="CA312" s="216">
        <f t="shared" si="558"/>
        <v>0</v>
      </c>
      <c r="CB312" s="216">
        <f t="shared" si="558"/>
        <v>0</v>
      </c>
      <c r="CC312" s="216">
        <f t="shared" si="558"/>
        <v>0</v>
      </c>
      <c r="CD312" s="216">
        <f t="shared" si="558"/>
        <v>0</v>
      </c>
      <c r="CE312" s="216">
        <f t="shared" si="558"/>
        <v>0</v>
      </c>
      <c r="CF312" s="216">
        <f t="shared" ref="CF312" si="564">SUM(CF313:CF316)</f>
        <v>0</v>
      </c>
      <c r="CG312" s="216">
        <f t="shared" si="558"/>
        <v>0</v>
      </c>
      <c r="CH312" s="216">
        <f t="shared" si="558"/>
        <v>0</v>
      </c>
      <c r="CI312" s="275">
        <f t="shared" si="558"/>
        <v>0</v>
      </c>
      <c r="CJ312" s="135"/>
      <c r="CK312" s="136"/>
      <c r="CQ312" s="10" t="e">
        <f>D312-#REF!-AM312</f>
        <v>#REF!</v>
      </c>
      <c r="CR312" s="10" t="e">
        <f>D312-#REF!</f>
        <v>#REF!</v>
      </c>
      <c r="CS312" s="127" t="e">
        <f>F312-#REF!</f>
        <v>#REF!</v>
      </c>
    </row>
    <row r="313" spans="1:97" s="127" customFormat="1" ht="27" customHeight="1" x14ac:dyDescent="0.2">
      <c r="A313" s="69">
        <v>50003220021</v>
      </c>
      <c r="B313" s="440" t="s">
        <v>482</v>
      </c>
      <c r="C313" s="439"/>
      <c r="D313" s="220">
        <f t="shared" ref="D313:E316" si="565">F313+AM313+BA313+BO313+BV313</f>
        <v>142000</v>
      </c>
      <c r="E313" s="208">
        <f t="shared" si="565"/>
        <v>142000</v>
      </c>
      <c r="F313" s="208">
        <v>142000</v>
      </c>
      <c r="G313" s="208">
        <f t="shared" ref="G313:G315" si="566">F313+H313</f>
        <v>142000</v>
      </c>
      <c r="H313" s="208">
        <f>SUM(I313:AL313)</f>
        <v>0</v>
      </c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>
        <f t="shared" ref="AN313:AN314" si="567">AM313+AO313</f>
        <v>0</v>
      </c>
      <c r="AO313" s="208">
        <f t="shared" ref="AO313:AO314" si="568">SUM(AP313:AZ313)</f>
        <v>0</v>
      </c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>
        <f t="shared" ref="BB313:BB314" si="569">BA313+BC313</f>
        <v>0</v>
      </c>
      <c r="BC313" s="208">
        <f t="shared" ref="BC313:BC314" si="570">SUM(BD313:BN313)</f>
        <v>0</v>
      </c>
      <c r="BD313" s="208"/>
      <c r="BE313" s="208"/>
      <c r="BF313" s="208"/>
      <c r="BG313" s="208"/>
      <c r="BH313" s="208"/>
      <c r="BI313" s="208"/>
      <c r="BJ313" s="208"/>
      <c r="BK313" s="208"/>
      <c r="BL313" s="208"/>
      <c r="BM313" s="208"/>
      <c r="BN313" s="208"/>
      <c r="BO313" s="208">
        <v>0</v>
      </c>
      <c r="BP313" s="208">
        <f t="shared" ref="BP313:BP314" si="571">BO313+BQ313</f>
        <v>0</v>
      </c>
      <c r="BQ313" s="208">
        <f t="shared" ref="BQ313:BQ314" si="572">SUM(BR313:BU313)</f>
        <v>0</v>
      </c>
      <c r="BR313" s="208"/>
      <c r="BS313" s="208"/>
      <c r="BT313" s="208"/>
      <c r="BU313" s="208"/>
      <c r="BV313" s="208"/>
      <c r="BW313" s="208">
        <f t="shared" ref="BW313:BW314" si="573">BV313+BX313</f>
        <v>0</v>
      </c>
      <c r="BX313" s="208">
        <f>SUM(BY313:CI313)</f>
        <v>0</v>
      </c>
      <c r="BY313" s="208"/>
      <c r="BZ313" s="208"/>
      <c r="CA313" s="208"/>
      <c r="CB313" s="208"/>
      <c r="CC313" s="208"/>
      <c r="CD313" s="208"/>
      <c r="CE313" s="208"/>
      <c r="CF313" s="208"/>
      <c r="CG313" s="208"/>
      <c r="CH313" s="208"/>
      <c r="CI313" s="259"/>
      <c r="CJ313" s="54" t="s">
        <v>481</v>
      </c>
      <c r="CK313" s="131"/>
      <c r="CQ313" s="10" t="e">
        <f>D313-#REF!-AM313</f>
        <v>#REF!</v>
      </c>
      <c r="CR313" s="10" t="e">
        <f>D313-#REF!</f>
        <v>#REF!</v>
      </c>
      <c r="CS313" s="127" t="e">
        <f>F313-#REF!</f>
        <v>#REF!</v>
      </c>
    </row>
    <row r="314" spans="1:97" s="130" customFormat="1" ht="17.25" customHeight="1" x14ac:dyDescent="0.2">
      <c r="A314" s="75">
        <v>40003220000</v>
      </c>
      <c r="B314" s="438" t="s">
        <v>753</v>
      </c>
      <c r="C314" s="439"/>
      <c r="D314" s="220">
        <f t="shared" si="565"/>
        <v>550000</v>
      </c>
      <c r="E314" s="208">
        <f t="shared" si="565"/>
        <v>550000</v>
      </c>
      <c r="F314" s="208">
        <v>550000</v>
      </c>
      <c r="G314" s="208">
        <f t="shared" si="566"/>
        <v>550000</v>
      </c>
      <c r="H314" s="208">
        <f>SUM(I314:AL314)</f>
        <v>0</v>
      </c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>
        <f t="shared" si="567"/>
        <v>0</v>
      </c>
      <c r="AO314" s="208">
        <f t="shared" si="568"/>
        <v>0</v>
      </c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>
        <f t="shared" si="569"/>
        <v>0</v>
      </c>
      <c r="BC314" s="208">
        <f t="shared" si="570"/>
        <v>0</v>
      </c>
      <c r="BD314" s="208"/>
      <c r="BE314" s="208"/>
      <c r="BF314" s="208"/>
      <c r="BG314" s="208"/>
      <c r="BH314" s="208"/>
      <c r="BI314" s="208"/>
      <c r="BJ314" s="208"/>
      <c r="BK314" s="208"/>
      <c r="BL314" s="208"/>
      <c r="BM314" s="208"/>
      <c r="BN314" s="208"/>
      <c r="BO314" s="208">
        <v>0</v>
      </c>
      <c r="BP314" s="208">
        <f t="shared" si="571"/>
        <v>0</v>
      </c>
      <c r="BQ314" s="208">
        <f t="shared" si="572"/>
        <v>0</v>
      </c>
      <c r="BR314" s="208"/>
      <c r="BS314" s="208"/>
      <c r="BT314" s="208"/>
      <c r="BU314" s="208"/>
      <c r="BV314" s="208"/>
      <c r="BW314" s="208">
        <f t="shared" si="573"/>
        <v>0</v>
      </c>
      <c r="BX314" s="208">
        <f>SUM(BY314:CI314)</f>
        <v>0</v>
      </c>
      <c r="BY314" s="208"/>
      <c r="BZ314" s="208"/>
      <c r="CA314" s="208"/>
      <c r="CB314" s="208"/>
      <c r="CC314" s="208"/>
      <c r="CD314" s="208"/>
      <c r="CE314" s="208"/>
      <c r="CF314" s="208"/>
      <c r="CG314" s="208"/>
      <c r="CH314" s="208"/>
      <c r="CI314" s="259"/>
      <c r="CJ314" s="54" t="s">
        <v>743</v>
      </c>
      <c r="CK314" s="57"/>
      <c r="CQ314" s="10" t="e">
        <f>D314-#REF!-AM314</f>
        <v>#REF!</v>
      </c>
      <c r="CR314" s="10" t="e">
        <f>D314-#REF!</f>
        <v>#REF!</v>
      </c>
      <c r="CS314" s="130" t="e">
        <f>F314-#REF!</f>
        <v>#REF!</v>
      </c>
    </row>
    <row r="315" spans="1:97" s="130" customFormat="1" ht="12.75" x14ac:dyDescent="0.2">
      <c r="A315" s="91">
        <v>40003275333</v>
      </c>
      <c r="B315" s="438" t="s">
        <v>295</v>
      </c>
      <c r="C315" s="439"/>
      <c r="D315" s="220">
        <f t="shared" si="565"/>
        <v>0</v>
      </c>
      <c r="E315" s="208">
        <f t="shared" si="565"/>
        <v>176158</v>
      </c>
      <c r="F315" s="210"/>
      <c r="G315" s="208">
        <f t="shared" si="566"/>
        <v>176158</v>
      </c>
      <c r="H315" s="208">
        <f>SUM(I315:AL315)</f>
        <v>176158</v>
      </c>
      <c r="I315" s="210"/>
      <c r="J315" s="210"/>
      <c r="K315" s="210"/>
      <c r="L315" s="210"/>
      <c r="M315" s="210"/>
      <c r="N315" s="210"/>
      <c r="O315" s="210"/>
      <c r="P315" s="210"/>
      <c r="Q315" s="210"/>
      <c r="R315" s="210">
        <v>176158</v>
      </c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08">
        <f t="shared" ref="AN315" si="574">AM315+AO315</f>
        <v>0</v>
      </c>
      <c r="AO315" s="208">
        <f t="shared" ref="AO315" si="575">SUM(AP315:AZ315)</f>
        <v>0</v>
      </c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08">
        <f t="shared" ref="BB315" si="576">BA315+BC315</f>
        <v>0</v>
      </c>
      <c r="BC315" s="208">
        <f t="shared" ref="BC315" si="577">SUM(BD315:BN315)</f>
        <v>0</v>
      </c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08">
        <f t="shared" ref="BP315" si="578">BO315+BQ315</f>
        <v>0</v>
      </c>
      <c r="BQ315" s="208">
        <f t="shared" ref="BQ315" si="579">SUM(BR315:BU315)</f>
        <v>0</v>
      </c>
      <c r="BR315" s="210"/>
      <c r="BS315" s="210"/>
      <c r="BT315" s="210"/>
      <c r="BU315" s="210"/>
      <c r="BV315" s="210"/>
      <c r="BW315" s="208">
        <f t="shared" ref="BW315" si="580">BV315+BX315</f>
        <v>0</v>
      </c>
      <c r="BX315" s="208">
        <f>SUM(BY315:CI315)</f>
        <v>0</v>
      </c>
      <c r="BY315" s="208"/>
      <c r="BZ315" s="208"/>
      <c r="CA315" s="208"/>
      <c r="CB315" s="208"/>
      <c r="CC315" s="208"/>
      <c r="CD315" s="208"/>
      <c r="CE315" s="208"/>
      <c r="CF315" s="208"/>
      <c r="CG315" s="208"/>
      <c r="CH315" s="208"/>
      <c r="CI315" s="259"/>
      <c r="CJ315" s="54" t="s">
        <v>829</v>
      </c>
      <c r="CK315" s="57"/>
      <c r="CQ315" s="10"/>
      <c r="CR315" s="10"/>
    </row>
    <row r="316" spans="1:97" s="130" customFormat="1" x14ac:dyDescent="0.2">
      <c r="A316" s="75">
        <v>40003378932</v>
      </c>
      <c r="B316" s="437" t="s">
        <v>292</v>
      </c>
      <c r="C316" s="434"/>
      <c r="D316" s="220">
        <f t="shared" si="565"/>
        <v>0</v>
      </c>
      <c r="E316" s="208">
        <f t="shared" si="565"/>
        <v>283061</v>
      </c>
      <c r="F316" s="210"/>
      <c r="G316" s="208">
        <f t="shared" ref="G316" si="581">F316+H316</f>
        <v>283061</v>
      </c>
      <c r="H316" s="208">
        <f>SUM(I316:AL316)</f>
        <v>283061</v>
      </c>
      <c r="I316" s="210"/>
      <c r="J316" s="210"/>
      <c r="K316" s="210"/>
      <c r="L316" s="210"/>
      <c r="M316" s="210"/>
      <c r="N316" s="210"/>
      <c r="O316" s="210"/>
      <c r="P316" s="210"/>
      <c r="Q316" s="210"/>
      <c r="R316" s="210">
        <v>324957</v>
      </c>
      <c r="S316" s="210"/>
      <c r="T316" s="210"/>
      <c r="U316" s="210"/>
      <c r="V316" s="210"/>
      <c r="W316" s="210"/>
      <c r="X316" s="210">
        <v>-15711</v>
      </c>
      <c r="Y316" s="210"/>
      <c r="Z316" s="210"/>
      <c r="AA316" s="210">
        <v>-26185</v>
      </c>
      <c r="AB316" s="210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08">
        <f t="shared" ref="AN316" si="582">AM316+AO316</f>
        <v>0</v>
      </c>
      <c r="AO316" s="208">
        <f t="shared" ref="AO316" si="583">SUM(AP316:AZ316)</f>
        <v>0</v>
      </c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08">
        <f t="shared" ref="BB316" si="584">BA316+BC316</f>
        <v>0</v>
      </c>
      <c r="BC316" s="208">
        <f t="shared" ref="BC316" si="585">SUM(BD316:BN316)</f>
        <v>0</v>
      </c>
      <c r="BD316" s="210"/>
      <c r="BE316" s="210"/>
      <c r="BF316" s="210"/>
      <c r="BG316" s="210"/>
      <c r="BH316" s="210"/>
      <c r="BI316" s="210"/>
      <c r="BJ316" s="210"/>
      <c r="BK316" s="210"/>
      <c r="BL316" s="210"/>
      <c r="BM316" s="210"/>
      <c r="BN316" s="210"/>
      <c r="BO316" s="210"/>
      <c r="BP316" s="208">
        <f t="shared" ref="BP316" si="586">BO316+BQ316</f>
        <v>0</v>
      </c>
      <c r="BQ316" s="208">
        <f t="shared" ref="BQ316" si="587">SUM(BR316:BU316)</f>
        <v>0</v>
      </c>
      <c r="BR316" s="210"/>
      <c r="BS316" s="210"/>
      <c r="BT316" s="210"/>
      <c r="BU316" s="210"/>
      <c r="BV316" s="210"/>
      <c r="BW316" s="208">
        <f t="shared" ref="BW316" si="588">BV316+BX316</f>
        <v>0</v>
      </c>
      <c r="BX316" s="208">
        <f>SUM(BY316:CI316)</f>
        <v>0</v>
      </c>
      <c r="BY316" s="208"/>
      <c r="BZ316" s="208"/>
      <c r="CA316" s="208"/>
      <c r="CB316" s="208"/>
      <c r="CC316" s="208"/>
      <c r="CD316" s="208"/>
      <c r="CE316" s="208"/>
      <c r="CF316" s="208"/>
      <c r="CG316" s="208"/>
      <c r="CH316" s="208"/>
      <c r="CI316" s="259"/>
      <c r="CJ316" s="54" t="s">
        <v>832</v>
      </c>
      <c r="CK316" s="57"/>
      <c r="CQ316" s="10"/>
      <c r="CR316" s="10"/>
    </row>
    <row r="317" spans="1:97" s="130" customFormat="1" ht="16.5" customHeight="1" x14ac:dyDescent="0.2">
      <c r="A317" s="91" t="s">
        <v>569</v>
      </c>
      <c r="B317" s="380" t="s">
        <v>594</v>
      </c>
      <c r="C317" s="381"/>
      <c r="D317" s="382">
        <f t="shared" ref="D317:CI317" si="589">SUM(D318,D319)</f>
        <v>310562</v>
      </c>
      <c r="E317" s="383">
        <f t="shared" si="589"/>
        <v>122953</v>
      </c>
      <c r="F317" s="383">
        <f t="shared" si="589"/>
        <v>310562</v>
      </c>
      <c r="G317" s="383">
        <f t="shared" si="589"/>
        <v>122953</v>
      </c>
      <c r="H317" s="383">
        <f t="shared" si="589"/>
        <v>-187609</v>
      </c>
      <c r="I317" s="383">
        <f t="shared" si="589"/>
        <v>0</v>
      </c>
      <c r="J317" s="383">
        <f t="shared" si="589"/>
        <v>0</v>
      </c>
      <c r="K317" s="383">
        <f t="shared" si="589"/>
        <v>0</v>
      </c>
      <c r="L317" s="383">
        <f t="shared" si="589"/>
        <v>0</v>
      </c>
      <c r="M317" s="383">
        <f t="shared" si="589"/>
        <v>-187609</v>
      </c>
      <c r="N317" s="383">
        <f t="shared" si="589"/>
        <v>0</v>
      </c>
      <c r="O317" s="383">
        <f t="shared" si="589"/>
        <v>0</v>
      </c>
      <c r="P317" s="383">
        <f t="shared" si="589"/>
        <v>0</v>
      </c>
      <c r="Q317" s="383">
        <f t="shared" si="589"/>
        <v>0</v>
      </c>
      <c r="R317" s="383">
        <f t="shared" ref="R317:AK317" si="590">SUM(R318,R319)</f>
        <v>0</v>
      </c>
      <c r="S317" s="383">
        <f t="shared" si="590"/>
        <v>0</v>
      </c>
      <c r="T317" s="383">
        <f t="shared" si="590"/>
        <v>0</v>
      </c>
      <c r="U317" s="383">
        <f t="shared" si="590"/>
        <v>0</v>
      </c>
      <c r="V317" s="383">
        <f t="shared" si="590"/>
        <v>0</v>
      </c>
      <c r="W317" s="383">
        <f t="shared" si="590"/>
        <v>0</v>
      </c>
      <c r="X317" s="383">
        <f t="shared" si="590"/>
        <v>0</v>
      </c>
      <c r="Y317" s="383">
        <f t="shared" si="590"/>
        <v>0</v>
      </c>
      <c r="Z317" s="383">
        <f t="shared" si="590"/>
        <v>0</v>
      </c>
      <c r="AA317" s="383">
        <f t="shared" si="590"/>
        <v>0</v>
      </c>
      <c r="AB317" s="383">
        <f t="shared" si="590"/>
        <v>0</v>
      </c>
      <c r="AC317" s="383">
        <f t="shared" si="590"/>
        <v>0</v>
      </c>
      <c r="AD317" s="383">
        <f t="shared" si="590"/>
        <v>0</v>
      </c>
      <c r="AE317" s="383">
        <f t="shared" ref="AE317:AI317" si="591">SUM(AE318,AE319)</f>
        <v>0</v>
      </c>
      <c r="AF317" s="383">
        <f t="shared" ref="AF317:AG317" si="592">SUM(AF318,AF319)</f>
        <v>0</v>
      </c>
      <c r="AG317" s="383">
        <f t="shared" si="592"/>
        <v>0</v>
      </c>
      <c r="AH317" s="383">
        <f t="shared" si="591"/>
        <v>0</v>
      </c>
      <c r="AI317" s="383">
        <f t="shared" si="591"/>
        <v>0</v>
      </c>
      <c r="AJ317" s="383">
        <f t="shared" si="590"/>
        <v>0</v>
      </c>
      <c r="AK317" s="383">
        <f t="shared" si="590"/>
        <v>0</v>
      </c>
      <c r="AL317" s="383">
        <f t="shared" si="589"/>
        <v>0</v>
      </c>
      <c r="AM317" s="383">
        <f t="shared" si="589"/>
        <v>0</v>
      </c>
      <c r="AN317" s="383">
        <f t="shared" si="589"/>
        <v>0</v>
      </c>
      <c r="AO317" s="383">
        <f t="shared" si="589"/>
        <v>0</v>
      </c>
      <c r="AP317" s="383">
        <f t="shared" si="589"/>
        <v>0</v>
      </c>
      <c r="AQ317" s="383">
        <f t="shared" si="589"/>
        <v>0</v>
      </c>
      <c r="AR317" s="383">
        <f t="shared" si="589"/>
        <v>0</v>
      </c>
      <c r="AS317" s="383">
        <f t="shared" si="589"/>
        <v>0</v>
      </c>
      <c r="AT317" s="383">
        <f t="shared" si="589"/>
        <v>0</v>
      </c>
      <c r="AU317" s="383">
        <f t="shared" ref="AU317" si="593">SUM(AU318,AU319)</f>
        <v>0</v>
      </c>
      <c r="AV317" s="383">
        <f t="shared" si="589"/>
        <v>0</v>
      </c>
      <c r="AW317" s="383">
        <f t="shared" si="589"/>
        <v>0</v>
      </c>
      <c r="AX317" s="383">
        <f t="shared" si="589"/>
        <v>0</v>
      </c>
      <c r="AY317" s="383">
        <f t="shared" si="589"/>
        <v>0</v>
      </c>
      <c r="AZ317" s="383">
        <f t="shared" si="589"/>
        <v>0</v>
      </c>
      <c r="BA317" s="383">
        <f t="shared" si="589"/>
        <v>0</v>
      </c>
      <c r="BB317" s="383">
        <f t="shared" si="589"/>
        <v>0</v>
      </c>
      <c r="BC317" s="383">
        <f t="shared" si="589"/>
        <v>0</v>
      </c>
      <c r="BD317" s="383">
        <f t="shared" si="589"/>
        <v>0</v>
      </c>
      <c r="BE317" s="383">
        <f t="shared" si="589"/>
        <v>0</v>
      </c>
      <c r="BF317" s="383">
        <f t="shared" si="589"/>
        <v>0</v>
      </c>
      <c r="BG317" s="383">
        <f t="shared" si="589"/>
        <v>0</v>
      </c>
      <c r="BH317" s="383">
        <f t="shared" ref="BH317" si="594">SUM(BH318,BH319)</f>
        <v>0</v>
      </c>
      <c r="BI317" s="383">
        <f t="shared" si="589"/>
        <v>0</v>
      </c>
      <c r="BJ317" s="383">
        <f t="shared" si="589"/>
        <v>0</v>
      </c>
      <c r="BK317" s="383">
        <f t="shared" si="589"/>
        <v>0</v>
      </c>
      <c r="BL317" s="383">
        <f t="shared" si="589"/>
        <v>0</v>
      </c>
      <c r="BM317" s="383">
        <f t="shared" si="589"/>
        <v>0</v>
      </c>
      <c r="BN317" s="383">
        <f t="shared" si="589"/>
        <v>0</v>
      </c>
      <c r="BO317" s="383">
        <f t="shared" si="589"/>
        <v>0</v>
      </c>
      <c r="BP317" s="383">
        <f t="shared" si="589"/>
        <v>0</v>
      </c>
      <c r="BQ317" s="383">
        <f t="shared" si="589"/>
        <v>0</v>
      </c>
      <c r="BR317" s="383">
        <f t="shared" si="589"/>
        <v>0</v>
      </c>
      <c r="BS317" s="383">
        <f t="shared" si="589"/>
        <v>0</v>
      </c>
      <c r="BT317" s="383">
        <f t="shared" si="589"/>
        <v>0</v>
      </c>
      <c r="BU317" s="383">
        <f t="shared" si="589"/>
        <v>0</v>
      </c>
      <c r="BV317" s="383">
        <f t="shared" si="589"/>
        <v>0</v>
      </c>
      <c r="BW317" s="388">
        <f t="shared" si="589"/>
        <v>0</v>
      </c>
      <c r="BX317" s="388">
        <f t="shared" si="589"/>
        <v>0</v>
      </c>
      <c r="BY317" s="388">
        <f t="shared" si="589"/>
        <v>0</v>
      </c>
      <c r="BZ317" s="388">
        <f t="shared" si="589"/>
        <v>0</v>
      </c>
      <c r="CA317" s="388">
        <f t="shared" si="589"/>
        <v>0</v>
      </c>
      <c r="CB317" s="388">
        <f t="shared" si="589"/>
        <v>0</v>
      </c>
      <c r="CC317" s="388">
        <f t="shared" si="589"/>
        <v>0</v>
      </c>
      <c r="CD317" s="388">
        <f t="shared" si="589"/>
        <v>0</v>
      </c>
      <c r="CE317" s="388">
        <f t="shared" si="589"/>
        <v>0</v>
      </c>
      <c r="CF317" s="388">
        <f t="shared" ref="CF317" si="595">SUM(CF318,CF319)</f>
        <v>0</v>
      </c>
      <c r="CG317" s="388">
        <f t="shared" si="589"/>
        <v>0</v>
      </c>
      <c r="CH317" s="388">
        <f t="shared" si="589"/>
        <v>0</v>
      </c>
      <c r="CI317" s="389">
        <f t="shared" si="589"/>
        <v>0</v>
      </c>
      <c r="CJ317" s="54"/>
      <c r="CK317" s="57"/>
      <c r="CQ317" s="10" t="e">
        <f>D317-#REF!-AM317</f>
        <v>#REF!</v>
      </c>
      <c r="CR317" s="10" t="e">
        <f>D317-#REF!</f>
        <v>#REF!</v>
      </c>
      <c r="CS317" s="130" t="e">
        <f>F317-#REF!</f>
        <v>#REF!</v>
      </c>
    </row>
    <row r="318" spans="1:97" s="130" customFormat="1" ht="24.75" customHeight="1" x14ac:dyDescent="0.2">
      <c r="A318" s="69">
        <v>50003220021</v>
      </c>
      <c r="B318" s="440" t="s">
        <v>482</v>
      </c>
      <c r="C318" s="439"/>
      <c r="D318" s="220">
        <f>F318+AM318+BA318+BO318+BV318</f>
        <v>46505</v>
      </c>
      <c r="E318" s="208">
        <f>G318+AN318+BB318+BP318+BW318</f>
        <v>46505</v>
      </c>
      <c r="F318" s="208">
        <v>46505</v>
      </c>
      <c r="G318" s="208">
        <f t="shared" ref="G318:G319" si="596">F318+H318</f>
        <v>46505</v>
      </c>
      <c r="H318" s="208">
        <f>SUM(I318:AL318)</f>
        <v>0</v>
      </c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>
        <f t="shared" ref="AN318:AN319" si="597">AM318+AO318</f>
        <v>0</v>
      </c>
      <c r="AO318" s="208">
        <f t="shared" ref="AO318:AO319" si="598">SUM(AP318:AZ318)</f>
        <v>0</v>
      </c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>
        <f t="shared" ref="BB318:BB319" si="599">BA318+BC318</f>
        <v>0</v>
      </c>
      <c r="BC318" s="208">
        <f t="shared" ref="BC318:BC319" si="600">SUM(BD318:BN318)</f>
        <v>0</v>
      </c>
      <c r="BD318" s="208"/>
      <c r="BE318" s="208"/>
      <c r="BF318" s="208"/>
      <c r="BG318" s="208"/>
      <c r="BH318" s="208"/>
      <c r="BI318" s="208"/>
      <c r="BJ318" s="208"/>
      <c r="BK318" s="208"/>
      <c r="BL318" s="208"/>
      <c r="BM318" s="208"/>
      <c r="BN318" s="208"/>
      <c r="BO318" s="208"/>
      <c r="BP318" s="208">
        <f t="shared" ref="BP318:BP319" si="601">BO318+BQ318</f>
        <v>0</v>
      </c>
      <c r="BQ318" s="208">
        <f t="shared" ref="BQ318:BQ319" si="602">SUM(BR318:BU318)</f>
        <v>0</v>
      </c>
      <c r="BR318" s="208"/>
      <c r="BS318" s="208"/>
      <c r="BT318" s="208"/>
      <c r="BU318" s="208"/>
      <c r="BV318" s="208"/>
      <c r="BW318" s="208">
        <f t="shared" ref="BW318:BW319" si="603">BV318+BX318</f>
        <v>0</v>
      </c>
      <c r="BX318" s="208">
        <f>SUM(BY318:CI318)</f>
        <v>0</v>
      </c>
      <c r="BY318" s="208"/>
      <c r="BZ318" s="208"/>
      <c r="CA318" s="208"/>
      <c r="CB318" s="208"/>
      <c r="CC318" s="208"/>
      <c r="CD318" s="208"/>
      <c r="CE318" s="208"/>
      <c r="CF318" s="208"/>
      <c r="CG318" s="208"/>
      <c r="CH318" s="208"/>
      <c r="CI318" s="259"/>
      <c r="CJ318" s="54" t="s">
        <v>626</v>
      </c>
      <c r="CK318" s="57"/>
      <c r="CQ318" s="10" t="e">
        <f>D318-#REF!-AM318</f>
        <v>#REF!</v>
      </c>
      <c r="CR318" s="10" t="e">
        <f>D318-#REF!</f>
        <v>#REF!</v>
      </c>
      <c r="CS318" s="130" t="e">
        <f>F318-#REF!</f>
        <v>#REF!</v>
      </c>
    </row>
    <row r="319" spans="1:97" s="130" customFormat="1" ht="12.75" x14ac:dyDescent="0.2">
      <c r="A319" s="69">
        <v>40003275333</v>
      </c>
      <c r="B319" s="438" t="s">
        <v>295</v>
      </c>
      <c r="C319" s="439"/>
      <c r="D319" s="220">
        <f>F319+AM319+BA319+BO319+BV319</f>
        <v>264057</v>
      </c>
      <c r="E319" s="211">
        <f>G319+AN319+BB319+BP319+BW319</f>
        <v>76448</v>
      </c>
      <c r="F319" s="211">
        <v>264057</v>
      </c>
      <c r="G319" s="211">
        <f t="shared" si="596"/>
        <v>76448</v>
      </c>
      <c r="H319" s="211">
        <f>SUM(I319:AL319)</f>
        <v>-187609</v>
      </c>
      <c r="I319" s="211"/>
      <c r="J319" s="211"/>
      <c r="K319" s="211"/>
      <c r="L319" s="211"/>
      <c r="M319" s="211">
        <v>-187609</v>
      </c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>
        <f t="shared" si="597"/>
        <v>0</v>
      </c>
      <c r="AO319" s="211">
        <f t="shared" si="598"/>
        <v>0</v>
      </c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>
        <f t="shared" si="599"/>
        <v>0</v>
      </c>
      <c r="BC319" s="211">
        <f t="shared" si="600"/>
        <v>0</v>
      </c>
      <c r="BD319" s="211"/>
      <c r="BE319" s="211"/>
      <c r="BF319" s="211"/>
      <c r="BG319" s="211"/>
      <c r="BH319" s="211"/>
      <c r="BI319" s="211"/>
      <c r="BJ319" s="211"/>
      <c r="BK319" s="211"/>
      <c r="BL319" s="211"/>
      <c r="BM319" s="211"/>
      <c r="BN319" s="211"/>
      <c r="BO319" s="211"/>
      <c r="BP319" s="211">
        <f t="shared" si="601"/>
        <v>0</v>
      </c>
      <c r="BQ319" s="211">
        <f t="shared" si="602"/>
        <v>0</v>
      </c>
      <c r="BR319" s="211"/>
      <c r="BS319" s="211"/>
      <c r="BT319" s="211"/>
      <c r="BU319" s="211"/>
      <c r="BV319" s="211"/>
      <c r="BW319" s="211">
        <f t="shared" si="603"/>
        <v>0</v>
      </c>
      <c r="BX319" s="211">
        <f>SUM(BY319:CI319)</f>
        <v>0</v>
      </c>
      <c r="BY319" s="211"/>
      <c r="BZ319" s="211"/>
      <c r="CA319" s="211"/>
      <c r="CB319" s="211"/>
      <c r="CC319" s="211"/>
      <c r="CD319" s="211"/>
      <c r="CE319" s="211"/>
      <c r="CF319" s="211"/>
      <c r="CG319" s="211"/>
      <c r="CH319" s="211"/>
      <c r="CI319" s="278"/>
      <c r="CJ319" s="134" t="s">
        <v>745</v>
      </c>
      <c r="CK319" s="60"/>
      <c r="CQ319" s="10" t="e">
        <f>D319-#REF!-AM319</f>
        <v>#REF!</v>
      </c>
      <c r="CR319" s="10" t="e">
        <f>D319-#REF!</f>
        <v>#REF!</v>
      </c>
      <c r="CS319" s="130" t="e">
        <f>F319-#REF!</f>
        <v>#REF!</v>
      </c>
    </row>
    <row r="320" spans="1:97" s="127" customFormat="1" ht="9" customHeight="1" thickBot="1" x14ac:dyDescent="0.25">
      <c r="A320" s="75"/>
      <c r="B320" s="132"/>
      <c r="C320" s="190"/>
      <c r="D320" s="224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  <c r="BE320" s="211"/>
      <c r="BF320" s="211"/>
      <c r="BG320" s="211"/>
      <c r="BH320" s="211"/>
      <c r="BI320" s="211"/>
      <c r="BJ320" s="211"/>
      <c r="BK320" s="211"/>
      <c r="BL320" s="211"/>
      <c r="BM320" s="211"/>
      <c r="BN320" s="211"/>
      <c r="BO320" s="211"/>
      <c r="BP320" s="211"/>
      <c r="BQ320" s="211"/>
      <c r="BR320" s="211"/>
      <c r="BS320" s="211"/>
      <c r="BT320" s="211"/>
      <c r="BU320" s="211"/>
      <c r="BV320" s="211"/>
      <c r="BW320" s="211"/>
      <c r="BX320" s="211"/>
      <c r="BY320" s="211"/>
      <c r="BZ320" s="211"/>
      <c r="CA320" s="211"/>
      <c r="CB320" s="211"/>
      <c r="CC320" s="211"/>
      <c r="CD320" s="211"/>
      <c r="CE320" s="211"/>
      <c r="CF320" s="211"/>
      <c r="CG320" s="211"/>
      <c r="CH320" s="211"/>
      <c r="CI320" s="278"/>
      <c r="CJ320" s="134"/>
      <c r="CK320" s="60"/>
      <c r="CQ320" s="10" t="e">
        <f>D320-#REF!-AM320</f>
        <v>#REF!</v>
      </c>
      <c r="CR320" s="10" t="e">
        <f>D320-#REF!</f>
        <v>#REF!</v>
      </c>
      <c r="CS320" s="127" t="e">
        <f>F320-#REF!</f>
        <v>#REF!</v>
      </c>
    </row>
    <row r="321" spans="1:97" ht="13.5" thickTop="1" thickBot="1" x14ac:dyDescent="0.25">
      <c r="A321" s="144"/>
      <c r="B321" s="157" t="s">
        <v>568</v>
      </c>
      <c r="C321" s="193"/>
      <c r="D321" s="226">
        <f t="shared" ref="D321:BD321" si="604">D258+D259+D291+D312+D317</f>
        <v>115898306</v>
      </c>
      <c r="E321" s="215">
        <f t="shared" si="604"/>
        <v>120191363</v>
      </c>
      <c r="F321" s="215">
        <f t="shared" si="604"/>
        <v>103816514</v>
      </c>
      <c r="G321" s="215">
        <f t="shared" si="604"/>
        <v>108223486</v>
      </c>
      <c r="H321" s="215">
        <f t="shared" si="604"/>
        <v>4406972</v>
      </c>
      <c r="I321" s="215">
        <f t="shared" si="604"/>
        <v>0</v>
      </c>
      <c r="J321" s="215">
        <f t="shared" si="604"/>
        <v>0</v>
      </c>
      <c r="K321" s="215">
        <f t="shared" si="604"/>
        <v>0</v>
      </c>
      <c r="L321" s="215">
        <f t="shared" si="604"/>
        <v>0</v>
      </c>
      <c r="M321" s="215">
        <f t="shared" si="604"/>
        <v>2008499</v>
      </c>
      <c r="N321" s="215">
        <f t="shared" si="604"/>
        <v>0</v>
      </c>
      <c r="O321" s="215">
        <f t="shared" si="604"/>
        <v>0</v>
      </c>
      <c r="P321" s="215">
        <f t="shared" si="604"/>
        <v>641366</v>
      </c>
      <c r="Q321" s="215">
        <f t="shared" si="604"/>
        <v>-33140</v>
      </c>
      <c r="R321" s="215">
        <f t="shared" ref="R321:AK321" si="605">R258+R259+R291+R312+R317</f>
        <v>14354</v>
      </c>
      <c r="S321" s="215">
        <f t="shared" si="605"/>
        <v>0</v>
      </c>
      <c r="T321" s="215">
        <f t="shared" si="605"/>
        <v>0</v>
      </c>
      <c r="U321" s="215">
        <f t="shared" si="605"/>
        <v>2100</v>
      </c>
      <c r="V321" s="215">
        <f t="shared" si="605"/>
        <v>0</v>
      </c>
      <c r="W321" s="215">
        <f t="shared" si="605"/>
        <v>0</v>
      </c>
      <c r="X321" s="215">
        <f t="shared" si="605"/>
        <v>1733917</v>
      </c>
      <c r="Y321" s="215">
        <f t="shared" si="605"/>
        <v>0</v>
      </c>
      <c r="Z321" s="215">
        <f t="shared" si="605"/>
        <v>0</v>
      </c>
      <c r="AA321" s="215">
        <f t="shared" si="605"/>
        <v>-296502</v>
      </c>
      <c r="AB321" s="215">
        <f t="shared" si="605"/>
        <v>0</v>
      </c>
      <c r="AC321" s="215">
        <f t="shared" si="605"/>
        <v>0</v>
      </c>
      <c r="AD321" s="215">
        <f t="shared" si="605"/>
        <v>396814</v>
      </c>
      <c r="AE321" s="215">
        <f t="shared" ref="AE321:AI321" si="606">AE258+AE259+AE291+AE312+AE317</f>
        <v>0</v>
      </c>
      <c r="AF321" s="215">
        <f t="shared" ref="AF321:AG321" si="607">AF258+AF259+AF291+AF312+AF317</f>
        <v>0</v>
      </c>
      <c r="AG321" s="215">
        <f t="shared" si="607"/>
        <v>-60436</v>
      </c>
      <c r="AH321" s="215">
        <f t="shared" si="606"/>
        <v>0</v>
      </c>
      <c r="AI321" s="215">
        <f t="shared" si="606"/>
        <v>0</v>
      </c>
      <c r="AJ321" s="215">
        <f t="shared" si="605"/>
        <v>0</v>
      </c>
      <c r="AK321" s="215">
        <f t="shared" si="605"/>
        <v>0</v>
      </c>
      <c r="AL321" s="215">
        <f t="shared" si="604"/>
        <v>0</v>
      </c>
      <c r="AM321" s="215">
        <f t="shared" si="604"/>
        <v>11586653</v>
      </c>
      <c r="AN321" s="215">
        <f t="shared" si="604"/>
        <v>11659046</v>
      </c>
      <c r="AO321" s="215">
        <f t="shared" si="604"/>
        <v>72393</v>
      </c>
      <c r="AP321" s="215">
        <f t="shared" si="604"/>
        <v>96379</v>
      </c>
      <c r="AQ321" s="215">
        <f t="shared" si="604"/>
        <v>0</v>
      </c>
      <c r="AR321" s="215">
        <f t="shared" si="604"/>
        <v>-24835</v>
      </c>
      <c r="AS321" s="215">
        <f t="shared" si="604"/>
        <v>0</v>
      </c>
      <c r="AT321" s="215">
        <f t="shared" si="604"/>
        <v>-47057</v>
      </c>
      <c r="AU321" s="215">
        <f t="shared" ref="AU321" si="608">AU258+AU259+AU291+AU312+AU317</f>
        <v>0</v>
      </c>
      <c r="AV321" s="215">
        <f t="shared" si="604"/>
        <v>47906</v>
      </c>
      <c r="AW321" s="215">
        <f t="shared" si="604"/>
        <v>0</v>
      </c>
      <c r="AX321" s="215">
        <f t="shared" si="604"/>
        <v>0</v>
      </c>
      <c r="AY321" s="215">
        <f t="shared" si="604"/>
        <v>0</v>
      </c>
      <c r="AZ321" s="215">
        <f t="shared" si="604"/>
        <v>0</v>
      </c>
      <c r="BA321" s="215">
        <f t="shared" si="604"/>
        <v>1830115</v>
      </c>
      <c r="BB321" s="215">
        <f t="shared" si="604"/>
        <v>1753066</v>
      </c>
      <c r="BC321" s="215">
        <f t="shared" si="604"/>
        <v>-77049</v>
      </c>
      <c r="BD321" s="215">
        <f t="shared" si="604"/>
        <v>180914</v>
      </c>
      <c r="BE321" s="215">
        <f t="shared" ref="BE321:CI321" si="609">BE258+BE259+BE291+BE312+BE317</f>
        <v>1304</v>
      </c>
      <c r="BF321" s="215">
        <f t="shared" si="609"/>
        <v>12581</v>
      </c>
      <c r="BG321" s="215">
        <f t="shared" si="609"/>
        <v>-85691</v>
      </c>
      <c r="BH321" s="215">
        <f t="shared" ref="BH321" si="610">BH258+BH259+BH291+BH312+BH317</f>
        <v>0</v>
      </c>
      <c r="BI321" s="215">
        <f t="shared" si="609"/>
        <v>6265</v>
      </c>
      <c r="BJ321" s="215">
        <f t="shared" si="609"/>
        <v>-192422</v>
      </c>
      <c r="BK321" s="215">
        <f t="shared" si="609"/>
        <v>0</v>
      </c>
      <c r="BL321" s="215">
        <f t="shared" si="609"/>
        <v>0</v>
      </c>
      <c r="BM321" s="215">
        <f t="shared" si="609"/>
        <v>0</v>
      </c>
      <c r="BN321" s="215">
        <f t="shared" si="609"/>
        <v>0</v>
      </c>
      <c r="BO321" s="215">
        <f t="shared" si="609"/>
        <v>1091</v>
      </c>
      <c r="BP321" s="215">
        <f t="shared" si="609"/>
        <v>1838</v>
      </c>
      <c r="BQ321" s="215">
        <f t="shared" si="609"/>
        <v>747</v>
      </c>
      <c r="BR321" s="215">
        <f t="shared" si="609"/>
        <v>747</v>
      </c>
      <c r="BS321" s="215">
        <f t="shared" si="609"/>
        <v>0</v>
      </c>
      <c r="BT321" s="215">
        <f t="shared" si="609"/>
        <v>0</v>
      </c>
      <c r="BU321" s="215">
        <f t="shared" si="609"/>
        <v>0</v>
      </c>
      <c r="BV321" s="215">
        <f t="shared" si="609"/>
        <v>-1336067</v>
      </c>
      <c r="BW321" s="215">
        <f t="shared" si="609"/>
        <v>-1446073</v>
      </c>
      <c r="BX321" s="215">
        <f t="shared" si="609"/>
        <v>-110006</v>
      </c>
      <c r="BY321" s="215">
        <f t="shared" si="609"/>
        <v>-145423</v>
      </c>
      <c r="BZ321" s="215">
        <f t="shared" si="609"/>
        <v>0</v>
      </c>
      <c r="CA321" s="215">
        <f t="shared" si="609"/>
        <v>868</v>
      </c>
      <c r="CB321" s="215">
        <f t="shared" si="609"/>
        <v>-812</v>
      </c>
      <c r="CC321" s="215">
        <f t="shared" si="609"/>
        <v>45448</v>
      </c>
      <c r="CD321" s="215">
        <f t="shared" si="609"/>
        <v>-1429</v>
      </c>
      <c r="CE321" s="215">
        <f t="shared" si="609"/>
        <v>60514</v>
      </c>
      <c r="CF321" s="215">
        <f t="shared" ref="CF321" si="611">CF258+CF259+CF291+CF312+CF317</f>
        <v>3040</v>
      </c>
      <c r="CG321" s="215">
        <f t="shared" si="609"/>
        <v>-72212</v>
      </c>
      <c r="CH321" s="215">
        <f t="shared" si="609"/>
        <v>0</v>
      </c>
      <c r="CI321" s="215">
        <f t="shared" si="609"/>
        <v>0</v>
      </c>
      <c r="CJ321" s="9"/>
      <c r="CK321" s="61"/>
      <c r="CQ321" s="10" t="e">
        <f>D321-#REF!-AM321</f>
        <v>#REF!</v>
      </c>
      <c r="CR321" s="10" t="e">
        <f>D321-#REF!</f>
        <v>#REF!</v>
      </c>
      <c r="CS321" s="1" t="e">
        <f>F321-#REF!</f>
        <v>#REF!</v>
      </c>
    </row>
    <row r="322" spans="1:97" ht="12.75" hidden="1" outlineLevel="1" thickTop="1" x14ac:dyDescent="0.2">
      <c r="B322" s="263" t="s">
        <v>709</v>
      </c>
      <c r="C322" s="8"/>
      <c r="D322" s="265">
        <f t="shared" ref="D322:BB322" si="612">SUM(D12:D25,D27:D33,D35:D60,D62:D69,D71:D81,D83:D90,D92:D131,D133:D234,D236:D257,D260:D290,D293,D295:D298,D300:D302,D309:D311,D313:D316,D318:D320,D304:D307)</f>
        <v>115898306</v>
      </c>
      <c r="E322" s="265">
        <f t="shared" si="612"/>
        <v>120191363</v>
      </c>
      <c r="F322" s="265">
        <f t="shared" si="612"/>
        <v>103816514</v>
      </c>
      <c r="G322" s="265">
        <f t="shared" si="612"/>
        <v>108223486</v>
      </c>
      <c r="H322" s="265">
        <f t="shared" si="612"/>
        <v>4406972</v>
      </c>
      <c r="I322" s="265">
        <f t="shared" si="612"/>
        <v>0</v>
      </c>
      <c r="J322" s="265">
        <f t="shared" si="612"/>
        <v>0</v>
      </c>
      <c r="K322" s="265">
        <f t="shared" si="612"/>
        <v>0</v>
      </c>
      <c r="L322" s="265">
        <f t="shared" si="612"/>
        <v>0</v>
      </c>
      <c r="M322" s="265">
        <f t="shared" si="612"/>
        <v>2008499</v>
      </c>
      <c r="N322" s="265">
        <f t="shared" si="612"/>
        <v>0</v>
      </c>
      <c r="O322" s="265">
        <f t="shared" si="612"/>
        <v>0</v>
      </c>
      <c r="P322" s="265">
        <f t="shared" si="612"/>
        <v>641366</v>
      </c>
      <c r="Q322" s="265">
        <f t="shared" si="612"/>
        <v>-33140</v>
      </c>
      <c r="R322" s="265">
        <f t="shared" si="612"/>
        <v>14354</v>
      </c>
      <c r="S322" s="265">
        <f t="shared" si="612"/>
        <v>0</v>
      </c>
      <c r="T322" s="265">
        <f t="shared" ref="T322:AK322" si="613">SUM(T12:T25,T27:T33,T35:T60,T62:T69,T71:T81,T83:T90,T92:T131,T133:T234,T236:T257,T260:T290,T293,T295:T298,T300:T302,T309:T311,T313:T316,T318:T320,T304:T307)</f>
        <v>0</v>
      </c>
      <c r="U322" s="265">
        <f t="shared" si="613"/>
        <v>2100</v>
      </c>
      <c r="V322" s="265">
        <f t="shared" si="613"/>
        <v>0</v>
      </c>
      <c r="W322" s="265">
        <f t="shared" si="613"/>
        <v>0</v>
      </c>
      <c r="X322" s="265">
        <f t="shared" si="613"/>
        <v>1733917</v>
      </c>
      <c r="Y322" s="265">
        <f t="shared" si="613"/>
        <v>0</v>
      </c>
      <c r="Z322" s="265">
        <f t="shared" si="613"/>
        <v>0</v>
      </c>
      <c r="AA322" s="265">
        <f t="shared" si="613"/>
        <v>-296502</v>
      </c>
      <c r="AB322" s="265">
        <f t="shared" si="613"/>
        <v>0</v>
      </c>
      <c r="AC322" s="265">
        <f t="shared" si="613"/>
        <v>0</v>
      </c>
      <c r="AD322" s="265">
        <f t="shared" si="613"/>
        <v>396814</v>
      </c>
      <c r="AE322" s="265">
        <f t="shared" ref="AE322:AI322" si="614">SUM(AE12:AE25,AE27:AE33,AE35:AE60,AE62:AE69,AE71:AE81,AE83:AE90,AE92:AE131,AE133:AE234,AE236:AE257,AE260:AE290,AE293,AE295:AE298,AE300:AE302,AE309:AE311,AE313:AE316,AE318:AE320,AE304:AE307)</f>
        <v>0</v>
      </c>
      <c r="AF322" s="265">
        <f t="shared" ref="AF322:AG322" si="615">SUM(AF12:AF25,AF27:AF33,AF35:AF60,AF62:AF69,AF71:AF81,AF83:AF90,AF92:AF131,AF133:AF234,AF236:AF257,AF260:AF290,AF293,AF295:AF298,AF300:AF302,AF309:AF311,AF313:AF316,AF318:AF320,AF304:AF307)</f>
        <v>0</v>
      </c>
      <c r="AG322" s="265">
        <f t="shared" si="615"/>
        <v>-60436</v>
      </c>
      <c r="AH322" s="265">
        <f t="shared" si="614"/>
        <v>0</v>
      </c>
      <c r="AI322" s="265">
        <f t="shared" si="614"/>
        <v>0</v>
      </c>
      <c r="AJ322" s="265">
        <f t="shared" si="613"/>
        <v>0</v>
      </c>
      <c r="AK322" s="265">
        <f t="shared" si="613"/>
        <v>0</v>
      </c>
      <c r="AL322" s="265">
        <f t="shared" si="612"/>
        <v>0</v>
      </c>
      <c r="AM322" s="265">
        <f t="shared" si="612"/>
        <v>11586653</v>
      </c>
      <c r="AN322" s="265">
        <f t="shared" si="612"/>
        <v>11659046</v>
      </c>
      <c r="AO322" s="265">
        <f t="shared" si="612"/>
        <v>72393</v>
      </c>
      <c r="AP322" s="265">
        <f t="shared" si="612"/>
        <v>96379</v>
      </c>
      <c r="AQ322" s="265">
        <f t="shared" si="612"/>
        <v>0</v>
      </c>
      <c r="AR322" s="265">
        <f t="shared" si="612"/>
        <v>-24835</v>
      </c>
      <c r="AS322" s="265">
        <f t="shared" si="612"/>
        <v>0</v>
      </c>
      <c r="AT322" s="265">
        <f t="shared" si="612"/>
        <v>-47057</v>
      </c>
      <c r="AU322" s="265">
        <f t="shared" ref="AU322" si="616">SUM(AU12:AU25,AU27:AU33,AU35:AU60,AU62:AU69,AU71:AU81,AU83:AU90,AU92:AU131,AU133:AU234,AU236:AU257,AU260:AU290,AU293,AU295:AU298,AU300:AU302,AU309:AU311,AU313:AU316,AU318:AU320,AU304:AU307)</f>
        <v>0</v>
      </c>
      <c r="AV322" s="265">
        <f t="shared" si="612"/>
        <v>47906</v>
      </c>
      <c r="AW322" s="265">
        <f t="shared" si="612"/>
        <v>0</v>
      </c>
      <c r="AX322" s="265">
        <f t="shared" si="612"/>
        <v>0</v>
      </c>
      <c r="AY322" s="265">
        <f t="shared" si="612"/>
        <v>0</v>
      </c>
      <c r="AZ322" s="265">
        <f t="shared" si="612"/>
        <v>0</v>
      </c>
      <c r="BA322" s="265">
        <f t="shared" si="612"/>
        <v>1830115</v>
      </c>
      <c r="BB322" s="265">
        <f t="shared" si="612"/>
        <v>1753066</v>
      </c>
      <c r="BC322" s="265">
        <f t="shared" ref="BC322:CI322" si="617">SUM(BC12:BC25,BC27:BC33,BC35:BC60,BC62:BC69,BC71:BC81,BC83:BC90,BC92:BC131,BC133:BC234,BC236:BC257,BC260:BC290,BC293,BC295:BC298,BC300:BC302,BC309:BC311,BC313:BC316,BC318:BC320,BC304:BC307)</f>
        <v>-77049</v>
      </c>
      <c r="BD322" s="265">
        <f t="shared" si="617"/>
        <v>180914</v>
      </c>
      <c r="BE322" s="265">
        <f t="shared" si="617"/>
        <v>1304</v>
      </c>
      <c r="BF322" s="265">
        <f t="shared" si="617"/>
        <v>12581</v>
      </c>
      <c r="BG322" s="265">
        <f t="shared" si="617"/>
        <v>-85691</v>
      </c>
      <c r="BH322" s="265">
        <f t="shared" ref="BH322" si="618">SUM(BH12:BH25,BH27:BH33,BH35:BH60,BH62:BH69,BH71:BH81,BH83:BH90,BH92:BH131,BH133:BH234,BH236:BH257,BH260:BH290,BH293,BH295:BH298,BH300:BH302,BH309:BH311,BH313:BH316,BH318:BH320,BH304:BH307)</f>
        <v>0</v>
      </c>
      <c r="BI322" s="265">
        <f t="shared" si="617"/>
        <v>6265</v>
      </c>
      <c r="BJ322" s="265">
        <f t="shared" si="617"/>
        <v>-192422</v>
      </c>
      <c r="BK322" s="265">
        <f t="shared" si="617"/>
        <v>0</v>
      </c>
      <c r="BL322" s="265">
        <f t="shared" si="617"/>
        <v>0</v>
      </c>
      <c r="BM322" s="265">
        <f t="shared" si="617"/>
        <v>0</v>
      </c>
      <c r="BN322" s="265">
        <f t="shared" si="617"/>
        <v>0</v>
      </c>
      <c r="BO322" s="265">
        <f t="shared" si="617"/>
        <v>1091</v>
      </c>
      <c r="BP322" s="265">
        <f t="shared" si="617"/>
        <v>1838</v>
      </c>
      <c r="BQ322" s="265">
        <f t="shared" si="617"/>
        <v>747</v>
      </c>
      <c r="BR322" s="265">
        <f t="shared" si="617"/>
        <v>747</v>
      </c>
      <c r="BS322" s="265">
        <f t="shared" si="617"/>
        <v>0</v>
      </c>
      <c r="BT322" s="265">
        <f t="shared" si="617"/>
        <v>0</v>
      </c>
      <c r="BU322" s="265">
        <f t="shared" si="617"/>
        <v>0</v>
      </c>
      <c r="BV322" s="265">
        <f t="shared" si="617"/>
        <v>-1336067</v>
      </c>
      <c r="BW322" s="265">
        <f t="shared" si="617"/>
        <v>-1446073</v>
      </c>
      <c r="BX322" s="265">
        <f t="shared" si="617"/>
        <v>-110006</v>
      </c>
      <c r="BY322" s="265">
        <f t="shared" si="617"/>
        <v>-145423</v>
      </c>
      <c r="BZ322" s="265">
        <f t="shared" si="617"/>
        <v>0</v>
      </c>
      <c r="CA322" s="265">
        <f t="shared" si="617"/>
        <v>868</v>
      </c>
      <c r="CB322" s="265">
        <f t="shared" si="617"/>
        <v>-812</v>
      </c>
      <c r="CC322" s="265">
        <f t="shared" si="617"/>
        <v>45448</v>
      </c>
      <c r="CD322" s="265">
        <f t="shared" si="617"/>
        <v>-1429</v>
      </c>
      <c r="CE322" s="265">
        <f t="shared" si="617"/>
        <v>60514</v>
      </c>
      <c r="CF322" s="265">
        <f t="shared" ref="CF322" si="619">SUM(CF12:CF25,CF27:CF33,CF35:CF60,CF62:CF69,CF71:CF81,CF83:CF90,CF92:CF131,CF133:CF234,CF236:CF257,CF260:CF290,CF293,CF295:CF298,CF300:CF302,CF309:CF311,CF313:CF316,CF318:CF320,CF304:CF307)</f>
        <v>3040</v>
      </c>
      <c r="CG322" s="265">
        <f t="shared" si="617"/>
        <v>-72212</v>
      </c>
      <c r="CH322" s="265">
        <f t="shared" si="617"/>
        <v>0</v>
      </c>
      <c r="CI322" s="265">
        <f t="shared" si="617"/>
        <v>0</v>
      </c>
      <c r="CK322" s="130"/>
      <c r="CL322" s="130"/>
      <c r="CM322" s="130"/>
      <c r="CQ322" s="10" t="e">
        <f>D322-#REF!-AM322</f>
        <v>#REF!</v>
      </c>
      <c r="CR322" s="10" t="e">
        <f>D322-#REF!</f>
        <v>#REF!</v>
      </c>
      <c r="CS322" s="1" t="e">
        <f>F322-#REF!</f>
        <v>#REF!</v>
      </c>
    </row>
    <row r="323" spans="1:97" ht="11.25" hidden="1" customHeight="1" outlineLevel="1" x14ac:dyDescent="0.2">
      <c r="B323" s="263" t="s">
        <v>710</v>
      </c>
      <c r="C323" s="8"/>
      <c r="D323" s="265">
        <f t="shared" ref="D323:BB323" si="620">SUM(D11,D26,D34,D61,D70,D82,D91,D132,D235,D259,D291,D312,D317)</f>
        <v>115898306</v>
      </c>
      <c r="E323" s="265">
        <f t="shared" si="620"/>
        <v>120191363</v>
      </c>
      <c r="F323" s="265">
        <f t="shared" si="620"/>
        <v>103816514</v>
      </c>
      <c r="G323" s="265">
        <f t="shared" si="620"/>
        <v>108223486</v>
      </c>
      <c r="H323" s="265">
        <f t="shared" si="620"/>
        <v>4406972</v>
      </c>
      <c r="I323" s="265">
        <f t="shared" si="620"/>
        <v>0</v>
      </c>
      <c r="J323" s="265">
        <f t="shared" si="620"/>
        <v>0</v>
      </c>
      <c r="K323" s="265">
        <f t="shared" si="620"/>
        <v>0</v>
      </c>
      <c r="L323" s="265">
        <f t="shared" si="620"/>
        <v>0</v>
      </c>
      <c r="M323" s="265">
        <f t="shared" si="620"/>
        <v>2008499</v>
      </c>
      <c r="N323" s="265">
        <f t="shared" si="620"/>
        <v>0</v>
      </c>
      <c r="O323" s="265">
        <f t="shared" si="620"/>
        <v>0</v>
      </c>
      <c r="P323" s="265">
        <f t="shared" si="620"/>
        <v>641366</v>
      </c>
      <c r="Q323" s="265">
        <f t="shared" si="620"/>
        <v>-33140</v>
      </c>
      <c r="R323" s="265">
        <f t="shared" si="620"/>
        <v>14354</v>
      </c>
      <c r="S323" s="265">
        <f t="shared" si="620"/>
        <v>0</v>
      </c>
      <c r="T323" s="265">
        <f t="shared" ref="T323:AK323" si="621">SUM(T11,T26,T34,T61,T70,T82,T91,T132,T235,T259,T291,T312,T317)</f>
        <v>0</v>
      </c>
      <c r="U323" s="265">
        <f t="shared" si="621"/>
        <v>2100</v>
      </c>
      <c r="V323" s="265">
        <f t="shared" si="621"/>
        <v>0</v>
      </c>
      <c r="W323" s="265">
        <f t="shared" si="621"/>
        <v>0</v>
      </c>
      <c r="X323" s="265">
        <f t="shared" si="621"/>
        <v>1733917</v>
      </c>
      <c r="Y323" s="265">
        <f t="shared" si="621"/>
        <v>0</v>
      </c>
      <c r="Z323" s="265">
        <f t="shared" si="621"/>
        <v>0</v>
      </c>
      <c r="AA323" s="265">
        <f t="shared" si="621"/>
        <v>-296502</v>
      </c>
      <c r="AB323" s="265">
        <f t="shared" si="621"/>
        <v>0</v>
      </c>
      <c r="AC323" s="265">
        <f t="shared" si="621"/>
        <v>0</v>
      </c>
      <c r="AD323" s="265">
        <f t="shared" si="621"/>
        <v>396814</v>
      </c>
      <c r="AE323" s="265">
        <f t="shared" ref="AE323:AI323" si="622">SUM(AE11,AE26,AE34,AE61,AE70,AE82,AE91,AE132,AE235,AE259,AE291,AE312,AE317)</f>
        <v>0</v>
      </c>
      <c r="AF323" s="265">
        <f t="shared" ref="AF323:AG323" si="623">SUM(AF11,AF26,AF34,AF61,AF70,AF82,AF91,AF132,AF235,AF259,AF291,AF312,AF317)</f>
        <v>0</v>
      </c>
      <c r="AG323" s="265">
        <f t="shared" si="623"/>
        <v>-60436</v>
      </c>
      <c r="AH323" s="265">
        <f t="shared" si="622"/>
        <v>0</v>
      </c>
      <c r="AI323" s="265">
        <f t="shared" si="622"/>
        <v>0</v>
      </c>
      <c r="AJ323" s="265">
        <f t="shared" si="621"/>
        <v>0</v>
      </c>
      <c r="AK323" s="265">
        <f t="shared" si="621"/>
        <v>0</v>
      </c>
      <c r="AL323" s="265">
        <f t="shared" si="620"/>
        <v>0</v>
      </c>
      <c r="AM323" s="265">
        <f t="shared" si="620"/>
        <v>11586653</v>
      </c>
      <c r="AN323" s="265">
        <f t="shared" si="620"/>
        <v>11659046</v>
      </c>
      <c r="AO323" s="265">
        <f t="shared" si="620"/>
        <v>72393</v>
      </c>
      <c r="AP323" s="265">
        <f t="shared" si="620"/>
        <v>96379</v>
      </c>
      <c r="AQ323" s="265">
        <f t="shared" si="620"/>
        <v>0</v>
      </c>
      <c r="AR323" s="265">
        <f t="shared" si="620"/>
        <v>-24835</v>
      </c>
      <c r="AS323" s="265">
        <f t="shared" si="620"/>
        <v>0</v>
      </c>
      <c r="AT323" s="265">
        <f t="shared" si="620"/>
        <v>-47057</v>
      </c>
      <c r="AU323" s="265">
        <f t="shared" ref="AU323" si="624">SUM(AU11,AU26,AU34,AU61,AU70,AU82,AU91,AU132,AU235,AU259,AU291,AU312,AU317)</f>
        <v>0</v>
      </c>
      <c r="AV323" s="265">
        <f t="shared" si="620"/>
        <v>47906</v>
      </c>
      <c r="AW323" s="265">
        <f t="shared" si="620"/>
        <v>0</v>
      </c>
      <c r="AX323" s="265">
        <f t="shared" si="620"/>
        <v>0</v>
      </c>
      <c r="AY323" s="265">
        <f t="shared" si="620"/>
        <v>0</v>
      </c>
      <c r="AZ323" s="265">
        <f t="shared" si="620"/>
        <v>0</v>
      </c>
      <c r="BA323" s="265">
        <f t="shared" si="620"/>
        <v>1830115</v>
      </c>
      <c r="BB323" s="265">
        <f t="shared" si="620"/>
        <v>1753066</v>
      </c>
      <c r="BC323" s="265">
        <f t="shared" ref="BC323:CI323" si="625">SUM(BC11,BC26,BC34,BC61,BC70,BC82,BC91,BC132,BC235,BC259,BC291,BC312,BC317)</f>
        <v>-77049</v>
      </c>
      <c r="BD323" s="265">
        <f t="shared" si="625"/>
        <v>180914</v>
      </c>
      <c r="BE323" s="265">
        <f t="shared" si="625"/>
        <v>1304</v>
      </c>
      <c r="BF323" s="265">
        <f t="shared" si="625"/>
        <v>12581</v>
      </c>
      <c r="BG323" s="265">
        <f t="shared" si="625"/>
        <v>-85691</v>
      </c>
      <c r="BH323" s="265">
        <f t="shared" ref="BH323" si="626">SUM(BH11,BH26,BH34,BH61,BH70,BH82,BH91,BH132,BH235,BH259,BH291,BH312,BH317)</f>
        <v>0</v>
      </c>
      <c r="BI323" s="265">
        <f t="shared" si="625"/>
        <v>6265</v>
      </c>
      <c r="BJ323" s="265">
        <f t="shared" si="625"/>
        <v>-192422</v>
      </c>
      <c r="BK323" s="265">
        <f t="shared" si="625"/>
        <v>0</v>
      </c>
      <c r="BL323" s="265">
        <f t="shared" si="625"/>
        <v>0</v>
      </c>
      <c r="BM323" s="265">
        <f t="shared" si="625"/>
        <v>0</v>
      </c>
      <c r="BN323" s="265">
        <f t="shared" si="625"/>
        <v>0</v>
      </c>
      <c r="BO323" s="265">
        <f t="shared" si="625"/>
        <v>1091</v>
      </c>
      <c r="BP323" s="265">
        <f t="shared" si="625"/>
        <v>1838</v>
      </c>
      <c r="BQ323" s="265">
        <f t="shared" si="625"/>
        <v>747</v>
      </c>
      <c r="BR323" s="265">
        <f t="shared" si="625"/>
        <v>747</v>
      </c>
      <c r="BS323" s="265">
        <f t="shared" si="625"/>
        <v>0</v>
      </c>
      <c r="BT323" s="265">
        <f t="shared" si="625"/>
        <v>0</v>
      </c>
      <c r="BU323" s="265">
        <f t="shared" si="625"/>
        <v>0</v>
      </c>
      <c r="BV323" s="265">
        <f t="shared" si="625"/>
        <v>-1336067</v>
      </c>
      <c r="BW323" s="265">
        <f t="shared" si="625"/>
        <v>-1446073</v>
      </c>
      <c r="BX323" s="265">
        <f t="shared" si="625"/>
        <v>-110006</v>
      </c>
      <c r="BY323" s="265">
        <f t="shared" si="625"/>
        <v>-145423</v>
      </c>
      <c r="BZ323" s="265">
        <f t="shared" si="625"/>
        <v>0</v>
      </c>
      <c r="CA323" s="265">
        <f t="shared" si="625"/>
        <v>868</v>
      </c>
      <c r="CB323" s="265">
        <f t="shared" si="625"/>
        <v>-812</v>
      </c>
      <c r="CC323" s="265">
        <f t="shared" si="625"/>
        <v>45448</v>
      </c>
      <c r="CD323" s="265">
        <f t="shared" si="625"/>
        <v>-1429</v>
      </c>
      <c r="CE323" s="265">
        <f t="shared" si="625"/>
        <v>60514</v>
      </c>
      <c r="CF323" s="265">
        <f t="shared" ref="CF323" si="627">SUM(CF11,CF26,CF34,CF61,CF70,CF82,CF91,CF132,CF235,CF259,CF291,CF312,CF317)</f>
        <v>3040</v>
      </c>
      <c r="CG323" s="265">
        <f t="shared" si="625"/>
        <v>-72212</v>
      </c>
      <c r="CH323" s="265">
        <f t="shared" si="625"/>
        <v>0</v>
      </c>
      <c r="CI323" s="265">
        <f t="shared" si="625"/>
        <v>0</v>
      </c>
      <c r="CK323" s="130"/>
      <c r="CL323" s="130"/>
      <c r="CM323" s="130"/>
      <c r="CQ323" s="10" t="e">
        <f>D323-#REF!-AM323</f>
        <v>#REF!</v>
      </c>
      <c r="CR323" s="10" t="e">
        <f>D323-#REF!</f>
        <v>#REF!</v>
      </c>
      <c r="CS323" s="1" t="e">
        <f>F323-#REF!</f>
        <v>#REF!</v>
      </c>
    </row>
    <row r="324" spans="1:97" ht="10.5" hidden="1" customHeight="1" outlineLevel="1" x14ac:dyDescent="0.2">
      <c r="B324" s="263" t="s">
        <v>711</v>
      </c>
      <c r="C324" s="8"/>
      <c r="D324" s="279" t="str">
        <f>IF(AND(D321=D322,D321=D323),"","PROBLEM")</f>
        <v/>
      </c>
      <c r="E324" s="279" t="str">
        <f t="shared" ref="E324:CI324" si="628">IF(AND(E321=E322,E321=E323),"","PROBLEM")</f>
        <v/>
      </c>
      <c r="F324" s="279" t="str">
        <f t="shared" si="628"/>
        <v/>
      </c>
      <c r="G324" s="279" t="str">
        <f t="shared" si="628"/>
        <v/>
      </c>
      <c r="H324" s="279" t="str">
        <f t="shared" si="628"/>
        <v/>
      </c>
      <c r="I324" s="279" t="str">
        <f t="shared" si="628"/>
        <v/>
      </c>
      <c r="J324" s="279" t="str">
        <f t="shared" si="628"/>
        <v/>
      </c>
      <c r="K324" s="279" t="str">
        <f t="shared" si="628"/>
        <v/>
      </c>
      <c r="L324" s="279" t="str">
        <f t="shared" si="628"/>
        <v/>
      </c>
      <c r="M324" s="279" t="str">
        <f t="shared" si="628"/>
        <v/>
      </c>
      <c r="N324" s="279" t="str">
        <f t="shared" si="628"/>
        <v/>
      </c>
      <c r="O324" s="279" t="str">
        <f t="shared" si="628"/>
        <v/>
      </c>
      <c r="P324" s="279" t="str">
        <f t="shared" si="628"/>
        <v/>
      </c>
      <c r="Q324" s="279" t="str">
        <f t="shared" si="628"/>
        <v/>
      </c>
      <c r="R324" s="279" t="str">
        <f t="shared" ref="R324:AK324" si="629">IF(AND(R321=R322,R321=R323),"","PROBLEM")</f>
        <v/>
      </c>
      <c r="S324" s="279" t="str">
        <f t="shared" si="629"/>
        <v/>
      </c>
      <c r="T324" s="279" t="str">
        <f t="shared" si="629"/>
        <v/>
      </c>
      <c r="U324" s="279" t="str">
        <f t="shared" si="629"/>
        <v/>
      </c>
      <c r="V324" s="279" t="str">
        <f t="shared" si="629"/>
        <v/>
      </c>
      <c r="W324" s="279" t="str">
        <f t="shared" si="629"/>
        <v/>
      </c>
      <c r="X324" s="279" t="str">
        <f t="shared" si="629"/>
        <v/>
      </c>
      <c r="Y324" s="279" t="str">
        <f t="shared" si="629"/>
        <v/>
      </c>
      <c r="Z324" s="279" t="str">
        <f t="shared" si="629"/>
        <v/>
      </c>
      <c r="AA324" s="279" t="str">
        <f t="shared" si="629"/>
        <v/>
      </c>
      <c r="AB324" s="279" t="str">
        <f t="shared" si="629"/>
        <v/>
      </c>
      <c r="AC324" s="279" t="str">
        <f t="shared" si="629"/>
        <v/>
      </c>
      <c r="AD324" s="279" t="str">
        <f t="shared" si="629"/>
        <v/>
      </c>
      <c r="AE324" s="279" t="str">
        <f t="shared" ref="AE324:AI324" si="630">IF(AND(AE321=AE322,AE321=AE323),"","PROBLEM")</f>
        <v/>
      </c>
      <c r="AF324" s="279" t="str">
        <f t="shared" ref="AF324:AG324" si="631">IF(AND(AF321=AF322,AF321=AF323),"","PROBLEM")</f>
        <v/>
      </c>
      <c r="AG324" s="279" t="str">
        <f t="shared" si="631"/>
        <v/>
      </c>
      <c r="AH324" s="279" t="str">
        <f t="shared" si="630"/>
        <v/>
      </c>
      <c r="AI324" s="279" t="str">
        <f t="shared" si="630"/>
        <v/>
      </c>
      <c r="AJ324" s="279" t="str">
        <f t="shared" si="629"/>
        <v/>
      </c>
      <c r="AK324" s="279" t="str">
        <f t="shared" si="629"/>
        <v/>
      </c>
      <c r="AL324" s="279" t="str">
        <f t="shared" si="628"/>
        <v/>
      </c>
      <c r="AM324" s="279" t="str">
        <f t="shared" si="628"/>
        <v/>
      </c>
      <c r="AN324" s="279" t="str">
        <f t="shared" si="628"/>
        <v/>
      </c>
      <c r="AO324" s="279" t="str">
        <f t="shared" si="628"/>
        <v/>
      </c>
      <c r="AP324" s="279" t="str">
        <f t="shared" si="628"/>
        <v/>
      </c>
      <c r="AQ324" s="279" t="str">
        <f t="shared" si="628"/>
        <v/>
      </c>
      <c r="AR324" s="279" t="str">
        <f t="shared" si="628"/>
        <v/>
      </c>
      <c r="AS324" s="279" t="str">
        <f t="shared" si="628"/>
        <v/>
      </c>
      <c r="AT324" s="279" t="str">
        <f t="shared" si="628"/>
        <v/>
      </c>
      <c r="AU324" s="279" t="str">
        <f t="shared" ref="AU324" si="632">IF(AND(AU321=AU322,AU321=AU323),"","PROBLEM")</f>
        <v/>
      </c>
      <c r="AV324" s="279" t="str">
        <f t="shared" si="628"/>
        <v/>
      </c>
      <c r="AW324" s="279" t="str">
        <f t="shared" si="628"/>
        <v/>
      </c>
      <c r="AX324" s="279" t="str">
        <f t="shared" si="628"/>
        <v/>
      </c>
      <c r="AY324" s="279" t="str">
        <f t="shared" si="628"/>
        <v/>
      </c>
      <c r="AZ324" s="279" t="str">
        <f t="shared" si="628"/>
        <v/>
      </c>
      <c r="BA324" s="279" t="str">
        <f t="shared" si="628"/>
        <v/>
      </c>
      <c r="BB324" s="279" t="str">
        <f t="shared" si="628"/>
        <v/>
      </c>
      <c r="BC324" s="279" t="str">
        <f t="shared" si="628"/>
        <v/>
      </c>
      <c r="BD324" s="279" t="str">
        <f t="shared" si="628"/>
        <v/>
      </c>
      <c r="BE324" s="279" t="str">
        <f t="shared" si="628"/>
        <v/>
      </c>
      <c r="BF324" s="279" t="str">
        <f t="shared" si="628"/>
        <v/>
      </c>
      <c r="BG324" s="279" t="str">
        <f t="shared" si="628"/>
        <v/>
      </c>
      <c r="BH324" s="279" t="str">
        <f t="shared" ref="BH324" si="633">IF(AND(BH321=BH322,BH321=BH323),"","PROBLEM")</f>
        <v/>
      </c>
      <c r="BI324" s="279" t="str">
        <f t="shared" si="628"/>
        <v/>
      </c>
      <c r="BJ324" s="279" t="str">
        <f t="shared" si="628"/>
        <v/>
      </c>
      <c r="BK324" s="279" t="str">
        <f t="shared" si="628"/>
        <v/>
      </c>
      <c r="BL324" s="279" t="str">
        <f t="shared" si="628"/>
        <v/>
      </c>
      <c r="BM324" s="279" t="str">
        <f t="shared" si="628"/>
        <v/>
      </c>
      <c r="BN324" s="279" t="str">
        <f t="shared" si="628"/>
        <v/>
      </c>
      <c r="BO324" s="279" t="str">
        <f t="shared" si="628"/>
        <v/>
      </c>
      <c r="BP324" s="279" t="str">
        <f t="shared" si="628"/>
        <v/>
      </c>
      <c r="BQ324" s="279" t="str">
        <f t="shared" si="628"/>
        <v/>
      </c>
      <c r="BR324" s="279" t="str">
        <f t="shared" si="628"/>
        <v/>
      </c>
      <c r="BS324" s="279" t="str">
        <f t="shared" si="628"/>
        <v/>
      </c>
      <c r="BT324" s="279" t="str">
        <f t="shared" si="628"/>
        <v/>
      </c>
      <c r="BU324" s="279" t="str">
        <f t="shared" si="628"/>
        <v/>
      </c>
      <c r="BV324" s="279" t="str">
        <f t="shared" si="628"/>
        <v/>
      </c>
      <c r="BW324" s="279" t="str">
        <f t="shared" si="628"/>
        <v/>
      </c>
      <c r="BX324" s="279" t="str">
        <f t="shared" si="628"/>
        <v/>
      </c>
      <c r="BY324" s="279" t="str">
        <f t="shared" si="628"/>
        <v/>
      </c>
      <c r="BZ324" s="279" t="str">
        <f t="shared" si="628"/>
        <v/>
      </c>
      <c r="CA324" s="279" t="str">
        <f t="shared" si="628"/>
        <v/>
      </c>
      <c r="CB324" s="279" t="str">
        <f t="shared" si="628"/>
        <v/>
      </c>
      <c r="CC324" s="279" t="str">
        <f t="shared" si="628"/>
        <v/>
      </c>
      <c r="CD324" s="279" t="str">
        <f t="shared" si="628"/>
        <v/>
      </c>
      <c r="CE324" s="279" t="str">
        <f t="shared" si="628"/>
        <v/>
      </c>
      <c r="CF324" s="279" t="str">
        <f t="shared" ref="CF324" si="634">IF(AND(CF321=CF322,CF321=CF323),"","PROBLEM")</f>
        <v/>
      </c>
      <c r="CG324" s="279" t="str">
        <f t="shared" si="628"/>
        <v/>
      </c>
      <c r="CH324" s="279" t="str">
        <f t="shared" si="628"/>
        <v/>
      </c>
      <c r="CI324" s="279" t="str">
        <f t="shared" si="628"/>
        <v/>
      </c>
      <c r="CK324" s="130"/>
      <c r="CL324" s="130"/>
      <c r="CM324" s="130"/>
    </row>
    <row r="325" spans="1:97" hidden="1" outlineLevel="1" x14ac:dyDescent="0.2">
      <c r="B325" s="8"/>
      <c r="C325" s="8"/>
      <c r="D325" s="267"/>
      <c r="E325" s="267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K325" s="130"/>
      <c r="CL325" s="130"/>
      <c r="CM325" s="130"/>
    </row>
    <row r="326" spans="1:97" hidden="1" outlineLevel="1" x14ac:dyDescent="0.2">
      <c r="B326" s="8"/>
      <c r="C326" s="264" t="s">
        <v>712</v>
      </c>
      <c r="D326" s="267">
        <f>Ienemumi!AJ165-E321</f>
        <v>0</v>
      </c>
      <c r="E326" s="267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K326" s="130"/>
      <c r="CL326" s="130"/>
      <c r="CM326" s="130"/>
    </row>
    <row r="327" spans="1:97" ht="12.75" collapsed="1" thickTop="1" x14ac:dyDescent="0.2">
      <c r="B327" s="8"/>
      <c r="C327" s="8"/>
      <c r="D327" s="267"/>
      <c r="E327" s="267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K327" s="130"/>
      <c r="CL327" s="130"/>
      <c r="CM327" s="130"/>
    </row>
    <row r="328" spans="1:97" x14ac:dyDescent="0.2">
      <c r="B328" s="8"/>
      <c r="C328" s="8"/>
      <c r="D328" s="267"/>
      <c r="E328" s="26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K328" s="130"/>
      <c r="CL328" s="130"/>
      <c r="CM328" s="130"/>
    </row>
    <row r="329" spans="1:97" x14ac:dyDescent="0.2">
      <c r="B329" s="8"/>
      <c r="C329" s="8"/>
      <c r="CK329" s="130"/>
      <c r="CL329" s="130"/>
      <c r="CM329" s="130"/>
    </row>
    <row r="330" spans="1:97" x14ac:dyDescent="0.2">
      <c r="B330" s="8"/>
      <c r="C330" s="8"/>
      <c r="CK330" s="130"/>
      <c r="CL330" s="130"/>
      <c r="CM330" s="130"/>
    </row>
    <row r="331" spans="1:97" x14ac:dyDescent="0.2">
      <c r="B331" s="8"/>
      <c r="C331" s="8"/>
      <c r="CK331" s="130"/>
      <c r="CL331" s="130"/>
      <c r="CM331" s="130"/>
    </row>
    <row r="332" spans="1:97" x14ac:dyDescent="0.2">
      <c r="B332" s="8"/>
      <c r="C332" s="8"/>
      <c r="CK332" s="130"/>
      <c r="CL332" s="130"/>
      <c r="CM332" s="130"/>
    </row>
    <row r="333" spans="1:97" x14ac:dyDescent="0.2">
      <c r="B333" s="8"/>
      <c r="C333" s="8"/>
      <c r="CK333" s="130"/>
      <c r="CL333" s="130"/>
      <c r="CM333" s="130"/>
    </row>
    <row r="334" spans="1:97" x14ac:dyDescent="0.2">
      <c r="B334" s="8"/>
      <c r="C334" s="8"/>
      <c r="CK334" s="130"/>
      <c r="CL334" s="130"/>
      <c r="CM334" s="130"/>
    </row>
    <row r="335" spans="1:97" x14ac:dyDescent="0.2">
      <c r="B335" s="8"/>
      <c r="C335" s="8"/>
      <c r="CK335" s="130"/>
      <c r="CL335" s="130"/>
      <c r="CM335" s="130"/>
    </row>
    <row r="336" spans="1:97" x14ac:dyDescent="0.2">
      <c r="B336" s="8"/>
      <c r="C336" s="8"/>
      <c r="CK336" s="130"/>
      <c r="CL336" s="130"/>
      <c r="CM336" s="130"/>
    </row>
    <row r="337" spans="2:91" x14ac:dyDescent="0.2">
      <c r="B337" s="8"/>
      <c r="C337" s="8"/>
      <c r="CK337" s="130"/>
      <c r="CL337" s="130"/>
      <c r="CM337" s="130"/>
    </row>
    <row r="338" spans="2:91" x14ac:dyDescent="0.2">
      <c r="B338" s="8"/>
      <c r="C338" s="8"/>
      <c r="CK338" s="130"/>
      <c r="CL338" s="130"/>
      <c r="CM338" s="130"/>
    </row>
    <row r="339" spans="2:91" x14ac:dyDescent="0.2">
      <c r="B339" s="8"/>
      <c r="C339" s="8"/>
      <c r="CK339" s="130"/>
      <c r="CL339" s="130"/>
      <c r="CM339" s="130"/>
    </row>
    <row r="340" spans="2:91" x14ac:dyDescent="0.2">
      <c r="B340" s="8"/>
      <c r="C340" s="8"/>
    </row>
    <row r="341" spans="2:91" x14ac:dyDescent="0.2">
      <c r="B341" s="8"/>
      <c r="C341" s="8"/>
    </row>
    <row r="342" spans="2:91" x14ac:dyDescent="0.2">
      <c r="B342" s="8"/>
      <c r="C342" s="8"/>
    </row>
    <row r="343" spans="2:91" x14ac:dyDescent="0.2">
      <c r="B343" s="8"/>
      <c r="C343" s="8"/>
    </row>
    <row r="344" spans="2:91" x14ac:dyDescent="0.2">
      <c r="B344" s="8"/>
      <c r="C344" s="8"/>
    </row>
    <row r="345" spans="2:91" x14ac:dyDescent="0.2">
      <c r="B345" s="8"/>
      <c r="C345" s="8"/>
    </row>
    <row r="346" spans="2:91" x14ac:dyDescent="0.2">
      <c r="B346" s="8"/>
      <c r="C346" s="8"/>
    </row>
    <row r="347" spans="2:91" x14ac:dyDescent="0.2">
      <c r="B347" s="8"/>
      <c r="C347" s="8"/>
    </row>
    <row r="348" spans="2:91" x14ac:dyDescent="0.2">
      <c r="B348" s="8"/>
      <c r="C348" s="8"/>
    </row>
    <row r="349" spans="2:91" x14ac:dyDescent="0.2">
      <c r="B349" s="8"/>
      <c r="C349" s="8"/>
    </row>
    <row r="350" spans="2:91" x14ac:dyDescent="0.2">
      <c r="B350" s="8"/>
      <c r="C350" s="8"/>
    </row>
    <row r="351" spans="2:91" x14ac:dyDescent="0.2">
      <c r="B351" s="8"/>
      <c r="C351" s="8"/>
    </row>
    <row r="352" spans="2:91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2:3" x14ac:dyDescent="0.2">
      <c r="B449" s="8"/>
      <c r="C449" s="8"/>
    </row>
    <row r="450" spans="2:3" x14ac:dyDescent="0.2">
      <c r="B450" s="8"/>
      <c r="C450" s="8"/>
    </row>
    <row r="451" spans="2:3" x14ac:dyDescent="0.2">
      <c r="B451" s="8"/>
      <c r="C451" s="8"/>
    </row>
    <row r="452" spans="2:3" x14ac:dyDescent="0.2">
      <c r="B452" s="8"/>
      <c r="C452" s="8"/>
    </row>
    <row r="453" spans="2:3" x14ac:dyDescent="0.2">
      <c r="B453" s="8"/>
      <c r="C453" s="8"/>
    </row>
    <row r="454" spans="2:3" x14ac:dyDescent="0.2">
      <c r="B454" s="8"/>
      <c r="C454" s="8"/>
    </row>
    <row r="455" spans="2:3" x14ac:dyDescent="0.2">
      <c r="B455" s="8"/>
      <c r="C455" s="8"/>
    </row>
    <row r="456" spans="2:3" x14ac:dyDescent="0.2">
      <c r="B456" s="8"/>
      <c r="C456" s="8"/>
    </row>
    <row r="457" spans="2:3" x14ac:dyDescent="0.2">
      <c r="B457" s="8"/>
      <c r="C457" s="8"/>
    </row>
    <row r="458" spans="2:3" x14ac:dyDescent="0.2">
      <c r="B458" s="8"/>
      <c r="C458" s="8"/>
    </row>
    <row r="459" spans="2:3" x14ac:dyDescent="0.2">
      <c r="B459" s="8"/>
      <c r="C459" s="8"/>
    </row>
    <row r="460" spans="2:3" x14ac:dyDescent="0.2">
      <c r="B460" s="8"/>
      <c r="C460" s="8"/>
    </row>
    <row r="461" spans="2:3" x14ac:dyDescent="0.2">
      <c r="B461" s="8"/>
      <c r="C461" s="8"/>
    </row>
    <row r="462" spans="2:3" x14ac:dyDescent="0.2">
      <c r="B462" s="8"/>
      <c r="C462" s="8"/>
    </row>
    <row r="463" spans="2:3" x14ac:dyDescent="0.2">
      <c r="B463" s="8"/>
      <c r="C463" s="8"/>
    </row>
    <row r="464" spans="2:3" x14ac:dyDescent="0.2">
      <c r="B464" s="8"/>
      <c r="C464" s="8"/>
    </row>
    <row r="465" spans="2:3" x14ac:dyDescent="0.2">
      <c r="B465" s="8"/>
      <c r="C465" s="8"/>
    </row>
    <row r="466" spans="2:3" x14ac:dyDescent="0.2">
      <c r="B466" s="8"/>
      <c r="C466" s="8"/>
    </row>
    <row r="467" spans="2:3" x14ac:dyDescent="0.2">
      <c r="B467" s="8"/>
      <c r="C467" s="8"/>
    </row>
    <row r="468" spans="2:3" x14ac:dyDescent="0.2">
      <c r="B468" s="8"/>
      <c r="C468" s="8"/>
    </row>
    <row r="469" spans="2:3" x14ac:dyDescent="0.2">
      <c r="B469" s="8"/>
      <c r="C469" s="8"/>
    </row>
    <row r="470" spans="2:3" x14ac:dyDescent="0.2">
      <c r="B470" s="8"/>
      <c r="C470" s="8"/>
    </row>
    <row r="471" spans="2:3" x14ac:dyDescent="0.2">
      <c r="B471" s="8"/>
      <c r="C471" s="8"/>
    </row>
    <row r="472" spans="2:3" x14ac:dyDescent="0.2">
      <c r="B472" s="8"/>
      <c r="C472" s="8"/>
    </row>
    <row r="473" spans="2:3" x14ac:dyDescent="0.2">
      <c r="B473" s="8"/>
      <c r="C473" s="8"/>
    </row>
    <row r="474" spans="2:3" x14ac:dyDescent="0.2">
      <c r="B474" s="8"/>
      <c r="C474" s="8"/>
    </row>
    <row r="475" spans="2:3" x14ac:dyDescent="0.2">
      <c r="B475" s="8"/>
      <c r="C475" s="8"/>
    </row>
    <row r="476" spans="2:3" x14ac:dyDescent="0.2">
      <c r="B476" s="8"/>
      <c r="C476" s="8"/>
    </row>
    <row r="477" spans="2:3" x14ac:dyDescent="0.2">
      <c r="B477" s="8"/>
      <c r="C477" s="8"/>
    </row>
    <row r="478" spans="2:3" x14ac:dyDescent="0.2">
      <c r="B478" s="8"/>
      <c r="C478" s="8"/>
    </row>
    <row r="479" spans="2:3" x14ac:dyDescent="0.2">
      <c r="B479" s="8"/>
      <c r="C479" s="8"/>
    </row>
    <row r="480" spans="2:3" x14ac:dyDescent="0.2">
      <c r="B480" s="8"/>
      <c r="C480" s="8"/>
    </row>
    <row r="481" spans="2:3" x14ac:dyDescent="0.2">
      <c r="B481" s="8"/>
      <c r="C481" s="8"/>
    </row>
    <row r="482" spans="2:3" x14ac:dyDescent="0.2">
      <c r="B482" s="8"/>
      <c r="C482" s="8"/>
    </row>
    <row r="483" spans="2:3" x14ac:dyDescent="0.2">
      <c r="B483" s="8"/>
      <c r="C483" s="8"/>
    </row>
    <row r="484" spans="2:3" x14ac:dyDescent="0.2">
      <c r="B484" s="8"/>
      <c r="C484" s="8"/>
    </row>
    <row r="485" spans="2:3" x14ac:dyDescent="0.2">
      <c r="B485" s="8"/>
      <c r="C485" s="8"/>
    </row>
    <row r="486" spans="2:3" x14ac:dyDescent="0.2">
      <c r="B486" s="8"/>
      <c r="C486" s="8"/>
    </row>
    <row r="487" spans="2:3" x14ac:dyDescent="0.2">
      <c r="B487" s="8"/>
      <c r="C487" s="8"/>
    </row>
    <row r="488" spans="2:3" x14ac:dyDescent="0.2">
      <c r="B488" s="8"/>
      <c r="C488" s="8"/>
    </row>
    <row r="489" spans="2:3" x14ac:dyDescent="0.2">
      <c r="B489" s="8"/>
      <c r="C489" s="8"/>
    </row>
    <row r="490" spans="2:3" x14ac:dyDescent="0.2">
      <c r="B490" s="8"/>
      <c r="C490" s="8"/>
    </row>
    <row r="491" spans="2:3" x14ac:dyDescent="0.2">
      <c r="B491" s="8"/>
      <c r="C491" s="8"/>
    </row>
    <row r="492" spans="2:3" x14ac:dyDescent="0.2">
      <c r="B492" s="8"/>
      <c r="C492" s="8"/>
    </row>
    <row r="493" spans="2:3" x14ac:dyDescent="0.2">
      <c r="B493" s="8"/>
      <c r="C493" s="8"/>
    </row>
    <row r="494" spans="2:3" x14ac:dyDescent="0.2">
      <c r="B494" s="8"/>
      <c r="C494" s="8"/>
    </row>
    <row r="495" spans="2:3" x14ac:dyDescent="0.2">
      <c r="B495" s="8"/>
      <c r="C495" s="8"/>
    </row>
    <row r="496" spans="2:3" x14ac:dyDescent="0.2">
      <c r="B496" s="8"/>
      <c r="C496" s="8"/>
    </row>
    <row r="497" spans="2:3" x14ac:dyDescent="0.2">
      <c r="B497" s="8"/>
      <c r="C497" s="8"/>
    </row>
    <row r="498" spans="2:3" x14ac:dyDescent="0.2">
      <c r="B498" s="8"/>
      <c r="C498" s="8"/>
    </row>
    <row r="499" spans="2:3" x14ac:dyDescent="0.2">
      <c r="B499" s="8"/>
      <c r="C499" s="8"/>
    </row>
    <row r="500" spans="2:3" x14ac:dyDescent="0.2">
      <c r="B500" s="8"/>
      <c r="C500" s="8"/>
    </row>
    <row r="501" spans="2:3" x14ac:dyDescent="0.2">
      <c r="B501" s="8"/>
      <c r="C501" s="8"/>
    </row>
    <row r="502" spans="2:3" x14ac:dyDescent="0.2">
      <c r="B502" s="8"/>
      <c r="C502" s="8"/>
    </row>
    <row r="503" spans="2:3" x14ac:dyDescent="0.2">
      <c r="B503" s="8"/>
      <c r="C503" s="8"/>
    </row>
    <row r="504" spans="2:3" x14ac:dyDescent="0.2">
      <c r="B504" s="8"/>
      <c r="C504" s="8"/>
    </row>
    <row r="505" spans="2:3" x14ac:dyDescent="0.2">
      <c r="B505" s="8"/>
      <c r="C505" s="8"/>
    </row>
    <row r="506" spans="2:3" x14ac:dyDescent="0.2">
      <c r="B506" s="8"/>
      <c r="C506" s="8"/>
    </row>
    <row r="507" spans="2:3" x14ac:dyDescent="0.2">
      <c r="B507" s="8"/>
      <c r="C507" s="8"/>
    </row>
    <row r="508" spans="2:3" x14ac:dyDescent="0.2">
      <c r="B508" s="8"/>
      <c r="C508" s="8"/>
    </row>
    <row r="509" spans="2:3" x14ac:dyDescent="0.2">
      <c r="B509" s="8"/>
      <c r="C509" s="8"/>
    </row>
    <row r="510" spans="2:3" x14ac:dyDescent="0.2">
      <c r="B510" s="8"/>
      <c r="C510" s="8"/>
    </row>
    <row r="511" spans="2:3" x14ac:dyDescent="0.2">
      <c r="B511" s="8"/>
      <c r="C511" s="8"/>
    </row>
    <row r="512" spans="2:3" x14ac:dyDescent="0.2">
      <c r="B512" s="8"/>
      <c r="C512" s="8"/>
    </row>
    <row r="513" spans="2:3" x14ac:dyDescent="0.2">
      <c r="B513" s="8"/>
      <c r="C513" s="8"/>
    </row>
    <row r="514" spans="2:3" x14ac:dyDescent="0.2">
      <c r="B514" s="8"/>
      <c r="C514" s="8"/>
    </row>
    <row r="515" spans="2:3" x14ac:dyDescent="0.2">
      <c r="B515" s="8"/>
      <c r="C515" s="8"/>
    </row>
    <row r="516" spans="2:3" x14ac:dyDescent="0.2">
      <c r="B516" s="8"/>
      <c r="C516" s="8"/>
    </row>
    <row r="517" spans="2:3" x14ac:dyDescent="0.2">
      <c r="B517" s="8"/>
      <c r="C517" s="8"/>
    </row>
    <row r="518" spans="2:3" x14ac:dyDescent="0.2">
      <c r="B518" s="8"/>
      <c r="C518" s="8"/>
    </row>
    <row r="519" spans="2:3" x14ac:dyDescent="0.2">
      <c r="B519" s="8"/>
      <c r="C519" s="8"/>
    </row>
    <row r="520" spans="2:3" x14ac:dyDescent="0.2">
      <c r="B520" s="8"/>
      <c r="C520" s="8"/>
    </row>
    <row r="521" spans="2:3" x14ac:dyDescent="0.2">
      <c r="B521" s="8"/>
      <c r="C521" s="8"/>
    </row>
    <row r="522" spans="2:3" x14ac:dyDescent="0.2">
      <c r="B522" s="8"/>
      <c r="C522" s="8"/>
    </row>
    <row r="523" spans="2:3" x14ac:dyDescent="0.2">
      <c r="B523" s="8"/>
      <c r="C523" s="8"/>
    </row>
    <row r="524" spans="2:3" x14ac:dyDescent="0.2">
      <c r="B524" s="8"/>
      <c r="C524" s="8"/>
    </row>
    <row r="525" spans="2:3" x14ac:dyDescent="0.2">
      <c r="B525" s="8"/>
      <c r="C525" s="8"/>
    </row>
    <row r="526" spans="2:3" x14ac:dyDescent="0.2">
      <c r="B526" s="8"/>
      <c r="C526" s="8"/>
    </row>
    <row r="527" spans="2:3" x14ac:dyDescent="0.2">
      <c r="B527" s="8"/>
      <c r="C527" s="8"/>
    </row>
    <row r="528" spans="2:3" x14ac:dyDescent="0.2">
      <c r="B528" s="8"/>
      <c r="C528" s="8"/>
    </row>
    <row r="529" spans="2:3" x14ac:dyDescent="0.2">
      <c r="B529" s="8"/>
      <c r="C529" s="8"/>
    </row>
    <row r="530" spans="2:3" x14ac:dyDescent="0.2">
      <c r="B530" s="8"/>
      <c r="C530" s="8"/>
    </row>
    <row r="531" spans="2:3" x14ac:dyDescent="0.2">
      <c r="B531" s="8"/>
      <c r="C531" s="8"/>
    </row>
    <row r="532" spans="2:3" x14ac:dyDescent="0.2">
      <c r="B532" s="8"/>
      <c r="C532" s="8"/>
    </row>
    <row r="533" spans="2:3" x14ac:dyDescent="0.2">
      <c r="B533" s="8"/>
      <c r="C533" s="8"/>
    </row>
    <row r="534" spans="2:3" x14ac:dyDescent="0.2">
      <c r="B534" s="8"/>
      <c r="C534" s="8"/>
    </row>
    <row r="535" spans="2:3" x14ac:dyDescent="0.2">
      <c r="B535" s="8"/>
      <c r="C535" s="8"/>
    </row>
    <row r="536" spans="2:3" x14ac:dyDescent="0.2">
      <c r="B536" s="8"/>
      <c r="C536" s="8"/>
    </row>
    <row r="537" spans="2:3" x14ac:dyDescent="0.2">
      <c r="B537" s="8"/>
      <c r="C537" s="8"/>
    </row>
    <row r="538" spans="2:3" x14ac:dyDescent="0.2">
      <c r="B538" s="8"/>
      <c r="C538" s="8"/>
    </row>
    <row r="539" spans="2:3" x14ac:dyDescent="0.2">
      <c r="B539" s="8"/>
      <c r="C539" s="8"/>
    </row>
    <row r="540" spans="2:3" x14ac:dyDescent="0.2">
      <c r="B540" s="8"/>
      <c r="C540" s="8"/>
    </row>
    <row r="541" spans="2:3" x14ac:dyDescent="0.2">
      <c r="B541" s="8"/>
      <c r="C541" s="8"/>
    </row>
    <row r="542" spans="2:3" x14ac:dyDescent="0.2">
      <c r="B542" s="8"/>
      <c r="C542" s="8"/>
    </row>
    <row r="543" spans="2:3" x14ac:dyDescent="0.2">
      <c r="B543" s="8"/>
      <c r="C543" s="8"/>
    </row>
    <row r="544" spans="2:3" x14ac:dyDescent="0.2">
      <c r="B544" s="8"/>
      <c r="C544" s="8"/>
    </row>
    <row r="545" spans="2:3" x14ac:dyDescent="0.2">
      <c r="B545" s="8"/>
      <c r="C545" s="8"/>
    </row>
    <row r="546" spans="2:3" x14ac:dyDescent="0.2">
      <c r="B546" s="8"/>
      <c r="C546" s="8"/>
    </row>
    <row r="547" spans="2:3" x14ac:dyDescent="0.2">
      <c r="B547" s="8"/>
      <c r="C547" s="8"/>
    </row>
    <row r="548" spans="2:3" x14ac:dyDescent="0.2">
      <c r="B548" s="8"/>
      <c r="C548" s="8"/>
    </row>
    <row r="549" spans="2:3" x14ac:dyDescent="0.2">
      <c r="B549" s="8"/>
      <c r="C549" s="8"/>
    </row>
    <row r="550" spans="2:3" x14ac:dyDescent="0.2">
      <c r="B550" s="8"/>
      <c r="C550" s="8"/>
    </row>
    <row r="551" spans="2:3" x14ac:dyDescent="0.2">
      <c r="B551" s="8"/>
      <c r="C551" s="8"/>
    </row>
    <row r="552" spans="2:3" x14ac:dyDescent="0.2">
      <c r="B552" s="8"/>
      <c r="C552" s="8"/>
    </row>
    <row r="553" spans="2:3" x14ac:dyDescent="0.2">
      <c r="B553" s="8"/>
      <c r="C553" s="8"/>
    </row>
    <row r="554" spans="2:3" x14ac:dyDescent="0.2">
      <c r="B554" s="8"/>
      <c r="C554" s="8"/>
    </row>
    <row r="555" spans="2:3" x14ac:dyDescent="0.2">
      <c r="B555" s="8"/>
      <c r="C555" s="8"/>
    </row>
    <row r="556" spans="2:3" x14ac:dyDescent="0.2">
      <c r="B556" s="8"/>
      <c r="C556" s="8"/>
    </row>
    <row r="557" spans="2:3" x14ac:dyDescent="0.2">
      <c r="B557" s="8"/>
      <c r="C557" s="8"/>
    </row>
    <row r="558" spans="2:3" x14ac:dyDescent="0.2">
      <c r="B558" s="8"/>
      <c r="C558" s="8"/>
    </row>
    <row r="559" spans="2:3" x14ac:dyDescent="0.2">
      <c r="B559" s="8"/>
      <c r="C559" s="8"/>
    </row>
    <row r="560" spans="2:3" x14ac:dyDescent="0.2">
      <c r="B560" s="8"/>
      <c r="C560" s="8"/>
    </row>
    <row r="561" spans="2:3" x14ac:dyDescent="0.2">
      <c r="B561" s="8"/>
      <c r="C561" s="8"/>
    </row>
    <row r="562" spans="2:3" x14ac:dyDescent="0.2">
      <c r="B562" s="8"/>
      <c r="C562" s="8"/>
    </row>
    <row r="563" spans="2:3" x14ac:dyDescent="0.2">
      <c r="B563" s="8"/>
      <c r="C563" s="8"/>
    </row>
    <row r="564" spans="2:3" x14ac:dyDescent="0.2">
      <c r="B564" s="8"/>
      <c r="C564" s="8"/>
    </row>
    <row r="565" spans="2:3" x14ac:dyDescent="0.2">
      <c r="B565" s="8"/>
      <c r="C565" s="8"/>
    </row>
    <row r="566" spans="2:3" x14ac:dyDescent="0.2">
      <c r="B566" s="8"/>
      <c r="C566" s="8"/>
    </row>
    <row r="567" spans="2:3" x14ac:dyDescent="0.2">
      <c r="B567" s="8"/>
      <c r="C567" s="8"/>
    </row>
    <row r="568" spans="2:3" x14ac:dyDescent="0.2">
      <c r="B568" s="8"/>
      <c r="C568" s="8"/>
    </row>
    <row r="569" spans="2:3" x14ac:dyDescent="0.2">
      <c r="B569" s="8"/>
      <c r="C569" s="8"/>
    </row>
    <row r="570" spans="2:3" x14ac:dyDescent="0.2">
      <c r="B570" s="8"/>
      <c r="C570" s="8"/>
    </row>
    <row r="571" spans="2:3" x14ac:dyDescent="0.2">
      <c r="B571" s="8"/>
      <c r="C571" s="8"/>
    </row>
    <row r="572" spans="2:3" x14ac:dyDescent="0.2">
      <c r="B572" s="8"/>
      <c r="C572" s="8"/>
    </row>
    <row r="573" spans="2:3" x14ac:dyDescent="0.2">
      <c r="B573" s="8"/>
      <c r="C573" s="8"/>
    </row>
    <row r="574" spans="2:3" x14ac:dyDescent="0.2">
      <c r="B574" s="8"/>
      <c r="C574" s="8"/>
    </row>
    <row r="575" spans="2:3" x14ac:dyDescent="0.2">
      <c r="B575" s="8"/>
      <c r="C575" s="8"/>
    </row>
    <row r="576" spans="2:3" x14ac:dyDescent="0.2">
      <c r="B576" s="8"/>
      <c r="C576" s="8"/>
    </row>
    <row r="577" spans="2:3" x14ac:dyDescent="0.2">
      <c r="B577" s="8"/>
      <c r="C577" s="8"/>
    </row>
    <row r="578" spans="2:3" x14ac:dyDescent="0.2">
      <c r="B578" s="8"/>
      <c r="C578" s="8"/>
    </row>
    <row r="579" spans="2:3" x14ac:dyDescent="0.2">
      <c r="B579" s="8"/>
      <c r="C579" s="8"/>
    </row>
    <row r="580" spans="2:3" x14ac:dyDescent="0.2">
      <c r="B580" s="8"/>
      <c r="C580" s="8"/>
    </row>
    <row r="581" spans="2:3" x14ac:dyDescent="0.2">
      <c r="B581" s="8"/>
      <c r="C581" s="8"/>
    </row>
    <row r="582" spans="2:3" x14ac:dyDescent="0.2">
      <c r="B582" s="8"/>
      <c r="C582" s="8"/>
    </row>
    <row r="583" spans="2:3" x14ac:dyDescent="0.2">
      <c r="B583" s="8"/>
      <c r="C583" s="8"/>
    </row>
    <row r="584" spans="2:3" x14ac:dyDescent="0.2">
      <c r="B584" s="8"/>
      <c r="C584" s="8"/>
    </row>
    <row r="585" spans="2:3" x14ac:dyDescent="0.2">
      <c r="B585" s="8"/>
      <c r="C585" s="8"/>
    </row>
    <row r="586" spans="2:3" x14ac:dyDescent="0.2">
      <c r="B586" s="8"/>
      <c r="C586" s="8"/>
    </row>
    <row r="587" spans="2:3" x14ac:dyDescent="0.2">
      <c r="B587" s="8"/>
      <c r="C587" s="8"/>
    </row>
    <row r="588" spans="2:3" x14ac:dyDescent="0.2">
      <c r="B588" s="8"/>
      <c r="C588" s="8"/>
    </row>
    <row r="589" spans="2:3" x14ac:dyDescent="0.2">
      <c r="B589" s="8"/>
      <c r="C589" s="8"/>
    </row>
    <row r="590" spans="2:3" x14ac:dyDescent="0.2">
      <c r="B590" s="8"/>
      <c r="C590" s="8"/>
    </row>
    <row r="591" spans="2:3" x14ac:dyDescent="0.2">
      <c r="B591" s="8"/>
      <c r="C591" s="8"/>
    </row>
    <row r="592" spans="2:3" x14ac:dyDescent="0.2">
      <c r="B592" s="8"/>
      <c r="C592" s="8"/>
    </row>
    <row r="593" spans="2:3" x14ac:dyDescent="0.2">
      <c r="B593" s="8"/>
      <c r="C593" s="8"/>
    </row>
    <row r="594" spans="2:3" x14ac:dyDescent="0.2">
      <c r="B594" s="8"/>
      <c r="C594" s="8"/>
    </row>
    <row r="595" spans="2:3" x14ac:dyDescent="0.2">
      <c r="B595" s="8"/>
      <c r="C595" s="8"/>
    </row>
    <row r="596" spans="2:3" x14ac:dyDescent="0.2">
      <c r="B596" s="8"/>
      <c r="C596" s="8"/>
    </row>
    <row r="597" spans="2:3" x14ac:dyDescent="0.2">
      <c r="B597" s="8"/>
      <c r="C597" s="8"/>
    </row>
    <row r="598" spans="2:3" x14ac:dyDescent="0.2">
      <c r="B598" s="8"/>
      <c r="C598" s="8"/>
    </row>
    <row r="599" spans="2:3" x14ac:dyDescent="0.2">
      <c r="B599" s="8"/>
      <c r="C599" s="8"/>
    </row>
    <row r="600" spans="2:3" x14ac:dyDescent="0.2">
      <c r="B600" s="8"/>
      <c r="C600" s="8"/>
    </row>
    <row r="601" spans="2:3" x14ac:dyDescent="0.2">
      <c r="B601" s="8"/>
      <c r="C601" s="8"/>
    </row>
    <row r="602" spans="2:3" x14ac:dyDescent="0.2">
      <c r="B602" s="8"/>
      <c r="C602" s="8"/>
    </row>
    <row r="603" spans="2:3" x14ac:dyDescent="0.2">
      <c r="B603" s="8"/>
      <c r="C603" s="8"/>
    </row>
    <row r="604" spans="2:3" x14ac:dyDescent="0.2">
      <c r="B604" s="8"/>
      <c r="C604" s="8"/>
    </row>
    <row r="605" spans="2:3" x14ac:dyDescent="0.2">
      <c r="B605" s="8"/>
      <c r="C605" s="8"/>
    </row>
    <row r="606" spans="2:3" x14ac:dyDescent="0.2">
      <c r="B606" s="8"/>
      <c r="C606" s="8"/>
    </row>
    <row r="607" spans="2:3" x14ac:dyDescent="0.2">
      <c r="B607" s="8"/>
      <c r="C607" s="8"/>
    </row>
    <row r="608" spans="2:3" x14ac:dyDescent="0.2">
      <c r="B608" s="8"/>
      <c r="C608" s="8"/>
    </row>
    <row r="609" spans="2:3" x14ac:dyDescent="0.2">
      <c r="B609" s="8"/>
      <c r="C609" s="8"/>
    </row>
    <row r="610" spans="2:3" x14ac:dyDescent="0.2">
      <c r="B610" s="8"/>
      <c r="C610" s="8"/>
    </row>
    <row r="611" spans="2:3" x14ac:dyDescent="0.2">
      <c r="B611" s="8"/>
      <c r="C611" s="8"/>
    </row>
    <row r="612" spans="2:3" x14ac:dyDescent="0.2">
      <c r="B612" s="8"/>
      <c r="C612" s="8"/>
    </row>
    <row r="613" spans="2:3" x14ac:dyDescent="0.2">
      <c r="B613" s="8"/>
      <c r="C613" s="8"/>
    </row>
    <row r="614" spans="2:3" x14ac:dyDescent="0.2">
      <c r="B614" s="8"/>
      <c r="C614" s="8"/>
    </row>
    <row r="615" spans="2:3" x14ac:dyDescent="0.2">
      <c r="B615" s="8"/>
      <c r="C615" s="8"/>
    </row>
    <row r="616" spans="2:3" x14ac:dyDescent="0.2">
      <c r="B616" s="8"/>
      <c r="C616" s="8"/>
    </row>
    <row r="617" spans="2:3" x14ac:dyDescent="0.2">
      <c r="B617" s="8"/>
      <c r="C617" s="8"/>
    </row>
    <row r="618" spans="2:3" x14ac:dyDescent="0.2">
      <c r="B618" s="8"/>
      <c r="C618" s="8"/>
    </row>
    <row r="619" spans="2:3" x14ac:dyDescent="0.2">
      <c r="B619" s="8"/>
      <c r="C619" s="8"/>
    </row>
    <row r="620" spans="2:3" x14ac:dyDescent="0.2">
      <c r="B620" s="8"/>
      <c r="C620" s="8"/>
    </row>
    <row r="621" spans="2:3" x14ac:dyDescent="0.2">
      <c r="B621" s="8"/>
      <c r="C621" s="8"/>
    </row>
    <row r="622" spans="2:3" x14ac:dyDescent="0.2">
      <c r="B622" s="8"/>
      <c r="C622" s="8"/>
    </row>
    <row r="623" spans="2:3" x14ac:dyDescent="0.2">
      <c r="B623" s="8"/>
      <c r="C623" s="8"/>
    </row>
    <row r="624" spans="2:3" x14ac:dyDescent="0.2">
      <c r="B624" s="8"/>
      <c r="C624" s="8"/>
    </row>
    <row r="625" spans="2:3" x14ac:dyDescent="0.2">
      <c r="B625" s="8"/>
      <c r="C625" s="8"/>
    </row>
    <row r="626" spans="2:3" x14ac:dyDescent="0.2">
      <c r="B626" s="8"/>
      <c r="C626" s="8"/>
    </row>
    <row r="627" spans="2:3" x14ac:dyDescent="0.2">
      <c r="B627" s="8"/>
      <c r="C627" s="8"/>
    </row>
    <row r="628" spans="2:3" x14ac:dyDescent="0.2">
      <c r="B628" s="8"/>
      <c r="C628" s="8"/>
    </row>
    <row r="629" spans="2:3" x14ac:dyDescent="0.2">
      <c r="B629" s="8"/>
      <c r="C629" s="8"/>
    </row>
    <row r="630" spans="2:3" x14ac:dyDescent="0.2">
      <c r="B630" s="8"/>
      <c r="C630" s="8"/>
    </row>
    <row r="631" spans="2:3" x14ac:dyDescent="0.2">
      <c r="B631" s="8"/>
      <c r="C631" s="8"/>
    </row>
    <row r="632" spans="2:3" x14ac:dyDescent="0.2">
      <c r="B632" s="8"/>
      <c r="C632" s="8"/>
    </row>
    <row r="633" spans="2:3" x14ac:dyDescent="0.2">
      <c r="B633" s="8"/>
      <c r="C633" s="8"/>
    </row>
    <row r="634" spans="2:3" x14ac:dyDescent="0.2">
      <c r="B634" s="8"/>
      <c r="C634" s="8"/>
    </row>
    <row r="635" spans="2:3" x14ac:dyDescent="0.2">
      <c r="B635" s="8"/>
      <c r="C635" s="8"/>
    </row>
    <row r="636" spans="2:3" x14ac:dyDescent="0.2">
      <c r="B636" s="8"/>
      <c r="C636" s="8"/>
    </row>
    <row r="637" spans="2:3" x14ac:dyDescent="0.2">
      <c r="B637" s="8"/>
      <c r="C637" s="8"/>
    </row>
    <row r="638" spans="2:3" x14ac:dyDescent="0.2">
      <c r="B638" s="8"/>
      <c r="C638" s="8"/>
    </row>
    <row r="639" spans="2:3" x14ac:dyDescent="0.2">
      <c r="B639" s="8"/>
      <c r="C639" s="8"/>
    </row>
    <row r="640" spans="2:3" x14ac:dyDescent="0.2">
      <c r="B640" s="8"/>
      <c r="C640" s="8"/>
    </row>
    <row r="641" spans="2:3" x14ac:dyDescent="0.2">
      <c r="B641" s="8"/>
      <c r="C641" s="8"/>
    </row>
    <row r="642" spans="2:3" x14ac:dyDescent="0.2">
      <c r="B642" s="8"/>
      <c r="C642" s="8"/>
    </row>
    <row r="643" spans="2:3" x14ac:dyDescent="0.2">
      <c r="B643" s="8"/>
      <c r="C643" s="8"/>
    </row>
    <row r="644" spans="2:3" x14ac:dyDescent="0.2">
      <c r="B644" s="8"/>
      <c r="C644" s="8"/>
    </row>
    <row r="645" spans="2:3" x14ac:dyDescent="0.2">
      <c r="B645" s="8"/>
      <c r="C645" s="8"/>
    </row>
    <row r="646" spans="2:3" x14ac:dyDescent="0.2">
      <c r="B646" s="8"/>
      <c r="C646" s="8"/>
    </row>
    <row r="647" spans="2:3" x14ac:dyDescent="0.2">
      <c r="B647" s="8"/>
      <c r="C647" s="8"/>
    </row>
    <row r="648" spans="2:3" x14ac:dyDescent="0.2">
      <c r="B648" s="8"/>
      <c r="C648" s="8"/>
    </row>
    <row r="649" spans="2:3" x14ac:dyDescent="0.2">
      <c r="B649" s="8"/>
      <c r="C649" s="8"/>
    </row>
    <row r="650" spans="2:3" x14ac:dyDescent="0.2">
      <c r="B650" s="8"/>
      <c r="C650" s="8"/>
    </row>
    <row r="651" spans="2:3" x14ac:dyDescent="0.2">
      <c r="B651" s="8"/>
      <c r="C651" s="8"/>
    </row>
    <row r="652" spans="2:3" x14ac:dyDescent="0.2">
      <c r="B652" s="8"/>
      <c r="C652" s="8"/>
    </row>
    <row r="653" spans="2:3" x14ac:dyDescent="0.2">
      <c r="B653" s="8"/>
      <c r="C653" s="8"/>
    </row>
    <row r="654" spans="2:3" x14ac:dyDescent="0.2">
      <c r="B654" s="8"/>
      <c r="C654" s="8"/>
    </row>
    <row r="655" spans="2:3" x14ac:dyDescent="0.2">
      <c r="B655" s="8"/>
      <c r="C655" s="8"/>
    </row>
    <row r="656" spans="2:3" x14ac:dyDescent="0.2">
      <c r="B656" s="8"/>
      <c r="C656" s="8"/>
    </row>
    <row r="657" spans="2:3" x14ac:dyDescent="0.2">
      <c r="B657" s="8"/>
      <c r="C657" s="8"/>
    </row>
    <row r="658" spans="2:3" x14ac:dyDescent="0.2">
      <c r="B658" s="8"/>
      <c r="C658" s="8"/>
    </row>
    <row r="659" spans="2:3" x14ac:dyDescent="0.2">
      <c r="B659" s="8"/>
      <c r="C659" s="8"/>
    </row>
    <row r="660" spans="2:3" x14ac:dyDescent="0.2">
      <c r="B660" s="8"/>
      <c r="C660" s="8"/>
    </row>
    <row r="661" spans="2:3" x14ac:dyDescent="0.2">
      <c r="B661" s="8"/>
      <c r="C661" s="8"/>
    </row>
    <row r="662" spans="2:3" x14ac:dyDescent="0.2">
      <c r="B662" s="8"/>
      <c r="C662" s="8"/>
    </row>
    <row r="663" spans="2:3" x14ac:dyDescent="0.2">
      <c r="B663" s="8"/>
      <c r="C663" s="8"/>
    </row>
    <row r="664" spans="2:3" x14ac:dyDescent="0.2">
      <c r="B664" s="8"/>
      <c r="C664" s="8"/>
    </row>
    <row r="665" spans="2:3" x14ac:dyDescent="0.2">
      <c r="B665" s="8"/>
      <c r="C665" s="8"/>
    </row>
    <row r="666" spans="2:3" x14ac:dyDescent="0.2">
      <c r="B666" s="8"/>
      <c r="C666" s="8"/>
    </row>
    <row r="667" spans="2:3" x14ac:dyDescent="0.2">
      <c r="B667" s="8"/>
      <c r="C667" s="8"/>
    </row>
    <row r="668" spans="2:3" x14ac:dyDescent="0.2">
      <c r="B668" s="8"/>
      <c r="C668" s="8"/>
    </row>
    <row r="669" spans="2:3" x14ac:dyDescent="0.2">
      <c r="B669" s="8"/>
      <c r="C669" s="8"/>
    </row>
    <row r="670" spans="2:3" x14ac:dyDescent="0.2">
      <c r="B670" s="8"/>
      <c r="C670" s="8"/>
    </row>
    <row r="671" spans="2:3" x14ac:dyDescent="0.2">
      <c r="B671" s="8"/>
      <c r="C671" s="8"/>
    </row>
    <row r="672" spans="2:3" x14ac:dyDescent="0.2">
      <c r="B672" s="8"/>
      <c r="C672" s="8"/>
    </row>
    <row r="673" spans="2:3" x14ac:dyDescent="0.2">
      <c r="B673" s="8"/>
      <c r="C673" s="8"/>
    </row>
    <row r="674" spans="2:3" x14ac:dyDescent="0.2">
      <c r="B674" s="8"/>
      <c r="C674" s="8"/>
    </row>
    <row r="675" spans="2:3" x14ac:dyDescent="0.2">
      <c r="B675" s="8"/>
      <c r="C675" s="8"/>
    </row>
    <row r="676" spans="2:3" x14ac:dyDescent="0.2">
      <c r="B676" s="8"/>
      <c r="C676" s="8"/>
    </row>
    <row r="677" spans="2:3" x14ac:dyDescent="0.2">
      <c r="B677" s="8"/>
      <c r="C677" s="8"/>
    </row>
    <row r="678" spans="2:3" x14ac:dyDescent="0.2">
      <c r="B678" s="8"/>
      <c r="C678" s="8"/>
    </row>
    <row r="679" spans="2:3" x14ac:dyDescent="0.2">
      <c r="B679" s="8"/>
      <c r="C679" s="8"/>
    </row>
    <row r="680" spans="2:3" x14ac:dyDescent="0.2">
      <c r="B680" s="8"/>
      <c r="C680" s="8"/>
    </row>
    <row r="681" spans="2:3" x14ac:dyDescent="0.2">
      <c r="B681" s="8"/>
      <c r="C681" s="8"/>
    </row>
    <row r="682" spans="2:3" x14ac:dyDescent="0.2">
      <c r="B682" s="8"/>
      <c r="C682" s="8"/>
    </row>
    <row r="683" spans="2:3" x14ac:dyDescent="0.2">
      <c r="B683" s="8"/>
      <c r="C683" s="8"/>
    </row>
    <row r="684" spans="2:3" x14ac:dyDescent="0.2">
      <c r="B684" s="8"/>
      <c r="C684" s="8"/>
    </row>
    <row r="685" spans="2:3" x14ac:dyDescent="0.2">
      <c r="B685" s="8"/>
      <c r="C685" s="8"/>
    </row>
    <row r="686" spans="2:3" x14ac:dyDescent="0.2">
      <c r="B686" s="8"/>
      <c r="C686" s="8"/>
    </row>
    <row r="687" spans="2:3" x14ac:dyDescent="0.2">
      <c r="B687" s="8"/>
      <c r="C687" s="8"/>
    </row>
    <row r="688" spans="2:3" x14ac:dyDescent="0.2">
      <c r="B688" s="8"/>
      <c r="C688" s="8"/>
    </row>
    <row r="689" spans="2:3" x14ac:dyDescent="0.2">
      <c r="B689" s="8"/>
      <c r="C689" s="8"/>
    </row>
    <row r="690" spans="2:3" x14ac:dyDescent="0.2">
      <c r="B690" s="8"/>
      <c r="C690" s="8"/>
    </row>
    <row r="691" spans="2:3" x14ac:dyDescent="0.2">
      <c r="B691" s="8"/>
      <c r="C691" s="8"/>
    </row>
    <row r="692" spans="2:3" x14ac:dyDescent="0.2">
      <c r="B692" s="8"/>
      <c r="C692" s="8"/>
    </row>
    <row r="693" spans="2:3" x14ac:dyDescent="0.2">
      <c r="B693" s="8"/>
      <c r="C693" s="8"/>
    </row>
    <row r="694" spans="2:3" x14ac:dyDescent="0.2">
      <c r="B694" s="8"/>
      <c r="C694" s="8"/>
    </row>
    <row r="695" spans="2:3" x14ac:dyDescent="0.2">
      <c r="B695" s="8"/>
      <c r="C695" s="8"/>
    </row>
    <row r="696" spans="2:3" x14ac:dyDescent="0.2">
      <c r="B696" s="8"/>
      <c r="C696" s="8"/>
    </row>
    <row r="697" spans="2:3" x14ac:dyDescent="0.2">
      <c r="B697" s="8"/>
      <c r="C697" s="8"/>
    </row>
    <row r="698" spans="2:3" x14ac:dyDescent="0.2">
      <c r="B698" s="8"/>
      <c r="C698" s="8"/>
    </row>
    <row r="699" spans="2:3" x14ac:dyDescent="0.2">
      <c r="B699" s="8"/>
      <c r="C699" s="8"/>
    </row>
    <row r="700" spans="2:3" x14ac:dyDescent="0.2">
      <c r="B700" s="8"/>
      <c r="C700" s="8"/>
    </row>
    <row r="701" spans="2:3" x14ac:dyDescent="0.2">
      <c r="B701" s="8"/>
      <c r="C701" s="8"/>
    </row>
    <row r="702" spans="2:3" x14ac:dyDescent="0.2">
      <c r="B702" s="8"/>
      <c r="C702" s="8"/>
    </row>
    <row r="703" spans="2:3" x14ac:dyDescent="0.2">
      <c r="B703" s="8"/>
      <c r="C703" s="8"/>
    </row>
    <row r="704" spans="2:3" x14ac:dyDescent="0.2">
      <c r="B704" s="8"/>
      <c r="C704" s="8"/>
    </row>
    <row r="705" spans="2:3" x14ac:dyDescent="0.2">
      <c r="B705" s="8"/>
      <c r="C705" s="8"/>
    </row>
    <row r="706" spans="2:3" x14ac:dyDescent="0.2">
      <c r="B706" s="8"/>
      <c r="C706" s="8"/>
    </row>
    <row r="707" spans="2:3" x14ac:dyDescent="0.2">
      <c r="B707" s="8"/>
      <c r="C707" s="8"/>
    </row>
    <row r="708" spans="2:3" x14ac:dyDescent="0.2">
      <c r="B708" s="8"/>
      <c r="C708" s="8"/>
    </row>
    <row r="709" spans="2:3" x14ac:dyDescent="0.2">
      <c r="B709" s="8"/>
      <c r="C709" s="8"/>
    </row>
    <row r="710" spans="2:3" x14ac:dyDescent="0.2">
      <c r="B710" s="8"/>
      <c r="C710" s="8"/>
    </row>
    <row r="711" spans="2:3" x14ac:dyDescent="0.2">
      <c r="B711" s="8"/>
      <c r="C711" s="8"/>
    </row>
    <row r="712" spans="2:3" x14ac:dyDescent="0.2">
      <c r="B712" s="8"/>
      <c r="C712" s="8"/>
    </row>
    <row r="713" spans="2:3" x14ac:dyDescent="0.2">
      <c r="B713" s="8"/>
      <c r="C713" s="8"/>
    </row>
    <row r="714" spans="2:3" x14ac:dyDescent="0.2">
      <c r="B714" s="8"/>
      <c r="C714" s="8"/>
    </row>
    <row r="715" spans="2:3" x14ac:dyDescent="0.2">
      <c r="B715" s="8"/>
      <c r="C715" s="8"/>
    </row>
    <row r="716" spans="2:3" x14ac:dyDescent="0.2">
      <c r="B716" s="8"/>
      <c r="C716" s="8"/>
    </row>
    <row r="717" spans="2:3" x14ac:dyDescent="0.2">
      <c r="B717" s="8"/>
      <c r="C717" s="8"/>
    </row>
    <row r="718" spans="2:3" x14ac:dyDescent="0.2">
      <c r="B718" s="8"/>
      <c r="C718" s="8"/>
    </row>
    <row r="719" spans="2:3" x14ac:dyDescent="0.2">
      <c r="B719" s="8"/>
      <c r="C719" s="8"/>
    </row>
    <row r="720" spans="2:3" x14ac:dyDescent="0.2">
      <c r="B720" s="8"/>
      <c r="C720" s="8"/>
    </row>
    <row r="721" spans="2:3" x14ac:dyDescent="0.2">
      <c r="B721" s="8"/>
      <c r="C721" s="8"/>
    </row>
    <row r="722" spans="2:3" x14ac:dyDescent="0.2">
      <c r="B722" s="8"/>
      <c r="C722" s="8"/>
    </row>
    <row r="723" spans="2:3" x14ac:dyDescent="0.2">
      <c r="B723" s="8"/>
      <c r="C723" s="8"/>
    </row>
    <row r="724" spans="2:3" x14ac:dyDescent="0.2">
      <c r="B724" s="8"/>
      <c r="C724" s="8"/>
    </row>
    <row r="725" spans="2:3" x14ac:dyDescent="0.2">
      <c r="B725" s="8"/>
      <c r="C725" s="8"/>
    </row>
    <row r="726" spans="2:3" x14ac:dyDescent="0.2">
      <c r="B726" s="8"/>
      <c r="C726" s="8"/>
    </row>
    <row r="727" spans="2:3" x14ac:dyDescent="0.2">
      <c r="B727" s="8"/>
      <c r="C727" s="8"/>
    </row>
    <row r="728" spans="2:3" x14ac:dyDescent="0.2">
      <c r="B728" s="8"/>
      <c r="C728" s="8"/>
    </row>
    <row r="729" spans="2:3" x14ac:dyDescent="0.2">
      <c r="B729" s="8"/>
      <c r="C729" s="8"/>
    </row>
    <row r="730" spans="2:3" x14ac:dyDescent="0.2">
      <c r="B730" s="8"/>
      <c r="C730" s="8"/>
    </row>
    <row r="731" spans="2:3" x14ac:dyDescent="0.2">
      <c r="B731" s="8"/>
      <c r="C731" s="8"/>
    </row>
    <row r="732" spans="2:3" x14ac:dyDescent="0.2">
      <c r="B732" s="8"/>
      <c r="C732" s="8"/>
    </row>
    <row r="733" spans="2:3" x14ac:dyDescent="0.2">
      <c r="B733" s="8"/>
      <c r="C733" s="8"/>
    </row>
    <row r="734" spans="2:3" x14ac:dyDescent="0.2">
      <c r="B734" s="8"/>
      <c r="C734" s="8"/>
    </row>
    <row r="735" spans="2:3" x14ac:dyDescent="0.2">
      <c r="B735" s="8"/>
      <c r="C735" s="8"/>
    </row>
    <row r="736" spans="2:3" x14ac:dyDescent="0.2">
      <c r="B736" s="8"/>
      <c r="C736" s="8"/>
    </row>
    <row r="737" spans="2:3" x14ac:dyDescent="0.2">
      <c r="B737" s="8"/>
      <c r="C737" s="8"/>
    </row>
    <row r="738" spans="2:3" x14ac:dyDescent="0.2">
      <c r="B738" s="8"/>
      <c r="C738" s="8"/>
    </row>
    <row r="739" spans="2:3" x14ac:dyDescent="0.2">
      <c r="B739" s="8"/>
      <c r="C739" s="8"/>
    </row>
    <row r="740" spans="2:3" x14ac:dyDescent="0.2">
      <c r="B740" s="8"/>
      <c r="C740" s="8"/>
    </row>
    <row r="741" spans="2:3" x14ac:dyDescent="0.2">
      <c r="B741" s="8"/>
      <c r="C741" s="8"/>
    </row>
    <row r="742" spans="2:3" x14ac:dyDescent="0.2">
      <c r="B742" s="8"/>
      <c r="C742" s="8"/>
    </row>
    <row r="743" spans="2:3" x14ac:dyDescent="0.2">
      <c r="B743" s="8"/>
      <c r="C743" s="8"/>
    </row>
    <row r="744" spans="2:3" x14ac:dyDescent="0.2">
      <c r="B744" s="8"/>
      <c r="C744" s="8"/>
    </row>
    <row r="745" spans="2:3" x14ac:dyDescent="0.2">
      <c r="B745" s="8"/>
      <c r="C745" s="8"/>
    </row>
    <row r="746" spans="2:3" x14ac:dyDescent="0.2">
      <c r="B746" s="8"/>
      <c r="C746" s="8"/>
    </row>
    <row r="747" spans="2:3" x14ac:dyDescent="0.2">
      <c r="B747" s="8"/>
      <c r="C747" s="8"/>
    </row>
    <row r="748" spans="2:3" x14ac:dyDescent="0.2">
      <c r="B748" s="8"/>
      <c r="C748" s="8"/>
    </row>
    <row r="749" spans="2:3" x14ac:dyDescent="0.2">
      <c r="B749" s="8"/>
      <c r="C749" s="8"/>
    </row>
    <row r="750" spans="2:3" x14ac:dyDescent="0.2">
      <c r="B750" s="8"/>
      <c r="C750" s="8"/>
    </row>
    <row r="751" spans="2:3" x14ac:dyDescent="0.2">
      <c r="B751" s="8"/>
      <c r="C751" s="8"/>
    </row>
    <row r="752" spans="2:3" x14ac:dyDescent="0.2">
      <c r="B752" s="8"/>
      <c r="C752" s="8"/>
    </row>
    <row r="753" spans="2:3" x14ac:dyDescent="0.2">
      <c r="B753" s="8"/>
      <c r="C753" s="8"/>
    </row>
    <row r="754" spans="2:3" x14ac:dyDescent="0.2">
      <c r="B754" s="8"/>
      <c r="C754" s="8"/>
    </row>
    <row r="755" spans="2:3" x14ac:dyDescent="0.2">
      <c r="B755" s="8"/>
      <c r="C755" s="8"/>
    </row>
    <row r="756" spans="2:3" x14ac:dyDescent="0.2">
      <c r="B756" s="8"/>
      <c r="C756" s="8"/>
    </row>
    <row r="757" spans="2:3" x14ac:dyDescent="0.2">
      <c r="B757" s="8"/>
      <c r="C757" s="8"/>
    </row>
    <row r="758" spans="2:3" x14ac:dyDescent="0.2">
      <c r="B758" s="8"/>
      <c r="C758" s="8"/>
    </row>
    <row r="759" spans="2:3" x14ac:dyDescent="0.2">
      <c r="B759" s="8"/>
      <c r="C759" s="8"/>
    </row>
    <row r="760" spans="2:3" x14ac:dyDescent="0.2">
      <c r="B760" s="8"/>
      <c r="C760" s="8"/>
    </row>
    <row r="761" spans="2:3" x14ac:dyDescent="0.2">
      <c r="B761" s="8"/>
      <c r="C761" s="8"/>
    </row>
    <row r="762" spans="2:3" x14ac:dyDescent="0.2">
      <c r="B762" s="8"/>
      <c r="C762" s="8"/>
    </row>
    <row r="763" spans="2:3" x14ac:dyDescent="0.2">
      <c r="B763" s="8"/>
      <c r="C763" s="8"/>
    </row>
    <row r="764" spans="2:3" x14ac:dyDescent="0.2">
      <c r="B764" s="8"/>
      <c r="C764" s="8"/>
    </row>
    <row r="765" spans="2:3" x14ac:dyDescent="0.2">
      <c r="B765" s="8"/>
      <c r="C765" s="8"/>
    </row>
    <row r="766" spans="2:3" x14ac:dyDescent="0.2">
      <c r="B766" s="8"/>
      <c r="C766" s="8"/>
    </row>
    <row r="767" spans="2:3" x14ac:dyDescent="0.2">
      <c r="B767" s="8"/>
      <c r="C767" s="8"/>
    </row>
    <row r="768" spans="2:3" x14ac:dyDescent="0.2">
      <c r="B768" s="8"/>
      <c r="C768" s="8"/>
    </row>
    <row r="769" spans="2:3" x14ac:dyDescent="0.2">
      <c r="B769" s="8"/>
      <c r="C769" s="8"/>
    </row>
    <row r="770" spans="2:3" x14ac:dyDescent="0.2">
      <c r="B770" s="8"/>
      <c r="C770" s="8"/>
    </row>
    <row r="771" spans="2:3" x14ac:dyDescent="0.2">
      <c r="B771" s="8"/>
      <c r="C771" s="8"/>
    </row>
    <row r="772" spans="2:3" x14ac:dyDescent="0.2">
      <c r="B772" s="8"/>
      <c r="C772" s="8"/>
    </row>
    <row r="773" spans="2:3" x14ac:dyDescent="0.2">
      <c r="B773" s="8"/>
      <c r="C773" s="8"/>
    </row>
    <row r="774" spans="2:3" x14ac:dyDescent="0.2">
      <c r="B774" s="8"/>
      <c r="C774" s="8"/>
    </row>
    <row r="775" spans="2:3" x14ac:dyDescent="0.2">
      <c r="B775" s="8"/>
      <c r="C775" s="8"/>
    </row>
    <row r="776" spans="2:3" x14ac:dyDescent="0.2">
      <c r="B776" s="8"/>
      <c r="C776" s="8"/>
    </row>
    <row r="777" spans="2:3" x14ac:dyDescent="0.2">
      <c r="B777" s="8"/>
      <c r="C777" s="8"/>
    </row>
    <row r="778" spans="2:3" x14ac:dyDescent="0.2">
      <c r="B778" s="8"/>
      <c r="C778" s="8"/>
    </row>
    <row r="779" spans="2:3" x14ac:dyDescent="0.2">
      <c r="B779" s="8"/>
      <c r="C779" s="8"/>
    </row>
    <row r="780" spans="2:3" x14ac:dyDescent="0.2">
      <c r="B780" s="8"/>
      <c r="C780" s="8"/>
    </row>
    <row r="781" spans="2:3" x14ac:dyDescent="0.2">
      <c r="B781" s="8"/>
      <c r="C781" s="8"/>
    </row>
    <row r="782" spans="2:3" x14ac:dyDescent="0.2">
      <c r="B782" s="8"/>
      <c r="C782" s="8"/>
    </row>
    <row r="783" spans="2:3" x14ac:dyDescent="0.2">
      <c r="B783" s="8"/>
      <c r="C783" s="8"/>
    </row>
    <row r="784" spans="2:3" x14ac:dyDescent="0.2">
      <c r="B784" s="8"/>
      <c r="C784" s="8"/>
    </row>
    <row r="785" spans="2:3" x14ac:dyDescent="0.2">
      <c r="B785" s="8"/>
      <c r="C785" s="8"/>
    </row>
    <row r="786" spans="2:3" x14ac:dyDescent="0.2">
      <c r="B786" s="8"/>
      <c r="C786" s="8"/>
    </row>
    <row r="787" spans="2:3" x14ac:dyDescent="0.2">
      <c r="B787" s="8"/>
      <c r="C787" s="8"/>
    </row>
    <row r="788" spans="2:3" x14ac:dyDescent="0.2">
      <c r="B788" s="8"/>
      <c r="C788" s="8"/>
    </row>
    <row r="789" spans="2:3" x14ac:dyDescent="0.2">
      <c r="B789" s="8"/>
      <c r="C789" s="8"/>
    </row>
    <row r="790" spans="2:3" x14ac:dyDescent="0.2">
      <c r="B790" s="8"/>
      <c r="C790" s="8"/>
    </row>
    <row r="791" spans="2:3" x14ac:dyDescent="0.2">
      <c r="B791" s="8"/>
      <c r="C791" s="8"/>
    </row>
    <row r="792" spans="2:3" x14ac:dyDescent="0.2">
      <c r="B792" s="8"/>
      <c r="C792" s="8"/>
    </row>
    <row r="793" spans="2:3" x14ac:dyDescent="0.2">
      <c r="B793" s="8"/>
      <c r="C793" s="8"/>
    </row>
    <row r="794" spans="2:3" x14ac:dyDescent="0.2">
      <c r="B794" s="8"/>
      <c r="C794" s="8"/>
    </row>
    <row r="795" spans="2:3" x14ac:dyDescent="0.2">
      <c r="B795" s="8"/>
      <c r="C795" s="8"/>
    </row>
    <row r="796" spans="2:3" x14ac:dyDescent="0.2">
      <c r="B796" s="8"/>
      <c r="C796" s="8"/>
    </row>
    <row r="797" spans="2:3" x14ac:dyDescent="0.2">
      <c r="B797" s="8"/>
      <c r="C797" s="8"/>
    </row>
    <row r="798" spans="2:3" x14ac:dyDescent="0.2">
      <c r="B798" s="8"/>
      <c r="C798" s="8"/>
    </row>
    <row r="799" spans="2:3" x14ac:dyDescent="0.2">
      <c r="B799" s="8"/>
      <c r="C799" s="8"/>
    </row>
    <row r="800" spans="2:3" x14ac:dyDescent="0.2">
      <c r="B800" s="8"/>
      <c r="C800" s="8"/>
    </row>
    <row r="801" spans="2:3" x14ac:dyDescent="0.2">
      <c r="B801" s="8"/>
      <c r="C801" s="8"/>
    </row>
    <row r="802" spans="2:3" x14ac:dyDescent="0.2">
      <c r="B802" s="8"/>
      <c r="C802" s="8"/>
    </row>
    <row r="803" spans="2:3" x14ac:dyDescent="0.2">
      <c r="B803" s="8"/>
      <c r="C803" s="8"/>
    </row>
    <row r="804" spans="2:3" x14ac:dyDescent="0.2">
      <c r="B804" s="8"/>
      <c r="C804" s="8"/>
    </row>
    <row r="805" spans="2:3" x14ac:dyDescent="0.2">
      <c r="B805" s="8"/>
      <c r="C805" s="8"/>
    </row>
    <row r="806" spans="2:3" x14ac:dyDescent="0.2">
      <c r="B806" s="8"/>
      <c r="C806" s="8"/>
    </row>
    <row r="807" spans="2:3" x14ac:dyDescent="0.2">
      <c r="B807" s="8"/>
      <c r="C807" s="8"/>
    </row>
    <row r="808" spans="2:3" x14ac:dyDescent="0.2">
      <c r="B808" s="8"/>
      <c r="C808" s="8"/>
    </row>
    <row r="809" spans="2:3" x14ac:dyDescent="0.2">
      <c r="B809" s="8"/>
      <c r="C809" s="8"/>
    </row>
    <row r="810" spans="2:3" x14ac:dyDescent="0.2">
      <c r="B810" s="8"/>
      <c r="C810" s="8"/>
    </row>
    <row r="811" spans="2:3" x14ac:dyDescent="0.2">
      <c r="B811" s="8"/>
      <c r="C811" s="8"/>
    </row>
    <row r="812" spans="2:3" x14ac:dyDescent="0.2">
      <c r="B812" s="8"/>
      <c r="C812" s="8"/>
    </row>
    <row r="813" spans="2:3" x14ac:dyDescent="0.2">
      <c r="B813" s="8"/>
      <c r="C813" s="8"/>
    </row>
    <row r="814" spans="2:3" x14ac:dyDescent="0.2">
      <c r="B814" s="8"/>
      <c r="C814" s="8"/>
    </row>
    <row r="815" spans="2:3" x14ac:dyDescent="0.2">
      <c r="B815" s="8"/>
      <c r="C815" s="8"/>
    </row>
    <row r="816" spans="2:3" x14ac:dyDescent="0.2">
      <c r="B816" s="8"/>
      <c r="C816" s="8"/>
    </row>
    <row r="817" spans="2:3" x14ac:dyDescent="0.2">
      <c r="B817" s="8"/>
      <c r="C817" s="8"/>
    </row>
    <row r="818" spans="2:3" x14ac:dyDescent="0.2">
      <c r="B818" s="8"/>
      <c r="C818" s="8"/>
    </row>
    <row r="819" spans="2:3" x14ac:dyDescent="0.2">
      <c r="B819" s="8"/>
      <c r="C819" s="8"/>
    </row>
    <row r="820" spans="2:3" x14ac:dyDescent="0.2">
      <c r="B820" s="8"/>
      <c r="C820" s="8"/>
    </row>
    <row r="821" spans="2:3" x14ac:dyDescent="0.2">
      <c r="B821" s="8"/>
      <c r="C821" s="8"/>
    </row>
    <row r="822" spans="2:3" x14ac:dyDescent="0.2">
      <c r="B822" s="8"/>
      <c r="C822" s="8"/>
    </row>
    <row r="823" spans="2:3" x14ac:dyDescent="0.2">
      <c r="B823" s="8"/>
      <c r="C823" s="8"/>
    </row>
    <row r="824" spans="2:3" x14ac:dyDescent="0.2">
      <c r="B824" s="8"/>
      <c r="C824" s="8"/>
    </row>
    <row r="825" spans="2:3" x14ac:dyDescent="0.2">
      <c r="B825" s="8"/>
      <c r="C825" s="8"/>
    </row>
    <row r="826" spans="2:3" x14ac:dyDescent="0.2">
      <c r="B826" s="8"/>
      <c r="C826" s="8"/>
    </row>
    <row r="827" spans="2:3" x14ac:dyDescent="0.2">
      <c r="B827" s="8"/>
      <c r="C827" s="8"/>
    </row>
    <row r="828" spans="2:3" x14ac:dyDescent="0.2">
      <c r="B828" s="8"/>
      <c r="C828" s="8"/>
    </row>
    <row r="829" spans="2:3" x14ac:dyDescent="0.2">
      <c r="B829" s="8"/>
      <c r="C829" s="8"/>
    </row>
    <row r="830" spans="2:3" x14ac:dyDescent="0.2">
      <c r="B830" s="8"/>
      <c r="C830" s="8"/>
    </row>
    <row r="831" spans="2:3" x14ac:dyDescent="0.2">
      <c r="B831" s="8"/>
      <c r="C831" s="8"/>
    </row>
    <row r="832" spans="2:3" x14ac:dyDescent="0.2">
      <c r="B832" s="8"/>
      <c r="C832" s="8"/>
    </row>
    <row r="833" spans="2:3" x14ac:dyDescent="0.2">
      <c r="B833" s="8"/>
      <c r="C833" s="8"/>
    </row>
    <row r="834" spans="2:3" x14ac:dyDescent="0.2">
      <c r="B834" s="8"/>
      <c r="C834" s="8"/>
    </row>
    <row r="835" spans="2:3" x14ac:dyDescent="0.2">
      <c r="B835" s="8"/>
      <c r="C835" s="8"/>
    </row>
    <row r="836" spans="2:3" x14ac:dyDescent="0.2">
      <c r="B836" s="8"/>
      <c r="C836" s="8"/>
    </row>
    <row r="837" spans="2:3" x14ac:dyDescent="0.2">
      <c r="B837" s="8"/>
      <c r="C837" s="8"/>
    </row>
    <row r="838" spans="2:3" x14ac:dyDescent="0.2">
      <c r="B838" s="8"/>
      <c r="C838" s="8"/>
    </row>
    <row r="839" spans="2:3" x14ac:dyDescent="0.2">
      <c r="B839" s="8"/>
      <c r="C839" s="8"/>
    </row>
    <row r="840" spans="2:3" x14ac:dyDescent="0.2">
      <c r="B840" s="8"/>
      <c r="C840" s="8"/>
    </row>
    <row r="841" spans="2:3" x14ac:dyDescent="0.2">
      <c r="B841" s="8"/>
      <c r="C841" s="8"/>
    </row>
    <row r="842" spans="2:3" x14ac:dyDescent="0.2">
      <c r="B842" s="8"/>
      <c r="C842" s="8"/>
    </row>
    <row r="843" spans="2:3" x14ac:dyDescent="0.2">
      <c r="B843" s="8"/>
      <c r="C843" s="8"/>
    </row>
    <row r="844" spans="2:3" x14ac:dyDescent="0.2">
      <c r="B844" s="8"/>
      <c r="C844" s="8"/>
    </row>
    <row r="845" spans="2:3" x14ac:dyDescent="0.2">
      <c r="B845" s="8"/>
      <c r="C845" s="8"/>
    </row>
    <row r="846" spans="2:3" x14ac:dyDescent="0.2">
      <c r="B846" s="8"/>
      <c r="C846" s="8"/>
    </row>
    <row r="847" spans="2:3" x14ac:dyDescent="0.2">
      <c r="B847" s="8"/>
      <c r="C847" s="8"/>
    </row>
    <row r="848" spans="2:3" x14ac:dyDescent="0.2">
      <c r="B848" s="8"/>
      <c r="C848" s="8"/>
    </row>
    <row r="849" spans="2:3" x14ac:dyDescent="0.2">
      <c r="B849" s="8"/>
      <c r="C849" s="8"/>
    </row>
    <row r="850" spans="2:3" x14ac:dyDescent="0.2">
      <c r="B850" s="8"/>
      <c r="C850" s="8"/>
    </row>
    <row r="851" spans="2:3" x14ac:dyDescent="0.2">
      <c r="B851" s="8"/>
      <c r="C851" s="8"/>
    </row>
    <row r="852" spans="2:3" x14ac:dyDescent="0.2">
      <c r="B852" s="8"/>
      <c r="C852" s="8"/>
    </row>
    <row r="853" spans="2:3" x14ac:dyDescent="0.2">
      <c r="B853" s="8"/>
      <c r="C853" s="8"/>
    </row>
    <row r="854" spans="2:3" x14ac:dyDescent="0.2">
      <c r="B854" s="8"/>
      <c r="C854" s="8"/>
    </row>
    <row r="855" spans="2:3" x14ac:dyDescent="0.2">
      <c r="B855" s="8"/>
      <c r="C855" s="8"/>
    </row>
    <row r="856" spans="2:3" x14ac:dyDescent="0.2">
      <c r="B856" s="8"/>
      <c r="C856" s="8"/>
    </row>
    <row r="857" spans="2:3" x14ac:dyDescent="0.2">
      <c r="B857" s="8"/>
      <c r="C857" s="8"/>
    </row>
    <row r="858" spans="2:3" x14ac:dyDescent="0.2">
      <c r="B858" s="8"/>
      <c r="C858" s="8"/>
    </row>
    <row r="859" spans="2:3" x14ac:dyDescent="0.2">
      <c r="B859" s="8"/>
      <c r="C859" s="8"/>
    </row>
    <row r="860" spans="2:3" x14ac:dyDescent="0.2">
      <c r="B860" s="8"/>
      <c r="C860" s="8"/>
    </row>
    <row r="861" spans="2:3" x14ac:dyDescent="0.2">
      <c r="B861" s="8"/>
      <c r="C861" s="8"/>
    </row>
    <row r="862" spans="2:3" x14ac:dyDescent="0.2">
      <c r="B862" s="8"/>
      <c r="C862" s="8"/>
    </row>
    <row r="863" spans="2:3" x14ac:dyDescent="0.2">
      <c r="B863" s="8"/>
      <c r="C863" s="8"/>
    </row>
    <row r="864" spans="2:3" x14ac:dyDescent="0.2">
      <c r="B864" s="8"/>
      <c r="C864" s="8"/>
    </row>
    <row r="865" spans="2:3" x14ac:dyDescent="0.2">
      <c r="B865" s="8"/>
      <c r="C865" s="8"/>
    </row>
    <row r="866" spans="2:3" x14ac:dyDescent="0.2">
      <c r="B866" s="8"/>
      <c r="C866" s="8"/>
    </row>
    <row r="867" spans="2:3" x14ac:dyDescent="0.2">
      <c r="B867" s="8"/>
      <c r="C867" s="8"/>
    </row>
    <row r="868" spans="2:3" x14ac:dyDescent="0.2">
      <c r="B868" s="8"/>
      <c r="C868" s="8"/>
    </row>
    <row r="869" spans="2:3" x14ac:dyDescent="0.2">
      <c r="B869" s="8"/>
      <c r="C869" s="8"/>
    </row>
    <row r="870" spans="2:3" x14ac:dyDescent="0.2">
      <c r="B870" s="8"/>
      <c r="C870" s="8"/>
    </row>
    <row r="871" spans="2:3" x14ac:dyDescent="0.2">
      <c r="B871" s="8"/>
      <c r="C871" s="8"/>
    </row>
    <row r="872" spans="2:3" x14ac:dyDescent="0.2">
      <c r="B872" s="8"/>
      <c r="C872" s="8"/>
    </row>
    <row r="873" spans="2:3" x14ac:dyDescent="0.2">
      <c r="B873" s="8"/>
      <c r="C873" s="8"/>
    </row>
    <row r="874" spans="2:3" x14ac:dyDescent="0.2">
      <c r="B874" s="8"/>
      <c r="C874" s="8"/>
    </row>
    <row r="875" spans="2:3" x14ac:dyDescent="0.2">
      <c r="B875" s="8"/>
      <c r="C875" s="8"/>
    </row>
    <row r="876" spans="2:3" x14ac:dyDescent="0.2">
      <c r="B876" s="8"/>
      <c r="C876" s="8"/>
    </row>
    <row r="877" spans="2:3" x14ac:dyDescent="0.2">
      <c r="B877" s="8"/>
      <c r="C877" s="8"/>
    </row>
    <row r="878" spans="2:3" x14ac:dyDescent="0.2">
      <c r="B878" s="8"/>
      <c r="C878" s="8"/>
    </row>
    <row r="879" spans="2:3" x14ac:dyDescent="0.2">
      <c r="B879" s="8"/>
      <c r="C879" s="8"/>
    </row>
    <row r="880" spans="2:3" x14ac:dyDescent="0.2">
      <c r="B880" s="8"/>
      <c r="C880" s="8"/>
    </row>
    <row r="881" spans="2:3" x14ac:dyDescent="0.2">
      <c r="B881" s="8"/>
      <c r="C881" s="8"/>
    </row>
    <row r="882" spans="2:3" x14ac:dyDescent="0.2">
      <c r="B882" s="8"/>
      <c r="C882" s="8"/>
    </row>
    <row r="883" spans="2:3" x14ac:dyDescent="0.2">
      <c r="B883" s="8"/>
      <c r="C883" s="8"/>
    </row>
    <row r="884" spans="2:3" x14ac:dyDescent="0.2">
      <c r="B884" s="8"/>
      <c r="C884" s="8"/>
    </row>
    <row r="885" spans="2:3" x14ac:dyDescent="0.2">
      <c r="B885" s="8"/>
      <c r="C885" s="8"/>
    </row>
    <row r="886" spans="2:3" x14ac:dyDescent="0.2">
      <c r="B886" s="8"/>
      <c r="C886" s="8"/>
    </row>
    <row r="887" spans="2:3" x14ac:dyDescent="0.2">
      <c r="B887" s="8"/>
      <c r="C887" s="8"/>
    </row>
    <row r="888" spans="2:3" x14ac:dyDescent="0.2">
      <c r="B888" s="8"/>
      <c r="C888" s="8"/>
    </row>
    <row r="889" spans="2:3" x14ac:dyDescent="0.2">
      <c r="B889" s="8"/>
      <c r="C889" s="8"/>
    </row>
    <row r="890" spans="2:3" x14ac:dyDescent="0.2">
      <c r="B890" s="8"/>
      <c r="C890" s="8"/>
    </row>
    <row r="891" spans="2:3" x14ac:dyDescent="0.2">
      <c r="B891" s="8"/>
      <c r="C891" s="8"/>
    </row>
    <row r="892" spans="2:3" x14ac:dyDescent="0.2">
      <c r="B892" s="8"/>
      <c r="C892" s="8"/>
    </row>
    <row r="893" spans="2:3" x14ac:dyDescent="0.2">
      <c r="B893" s="8"/>
      <c r="C893" s="8"/>
    </row>
    <row r="894" spans="2:3" x14ac:dyDescent="0.2">
      <c r="B894" s="8"/>
      <c r="C894" s="8"/>
    </row>
    <row r="895" spans="2:3" x14ac:dyDescent="0.2">
      <c r="B895" s="8"/>
      <c r="C895" s="8"/>
    </row>
    <row r="896" spans="2:3" x14ac:dyDescent="0.2">
      <c r="B896" s="8"/>
      <c r="C896" s="8"/>
    </row>
    <row r="897" spans="2:3" x14ac:dyDescent="0.2">
      <c r="B897" s="8"/>
      <c r="C897" s="8"/>
    </row>
    <row r="898" spans="2:3" x14ac:dyDescent="0.2">
      <c r="B898" s="8"/>
      <c r="C898" s="8"/>
    </row>
    <row r="899" spans="2:3" x14ac:dyDescent="0.2">
      <c r="B899" s="8"/>
      <c r="C899" s="8"/>
    </row>
    <row r="900" spans="2:3" x14ac:dyDescent="0.2">
      <c r="B900" s="8"/>
      <c r="C900" s="8"/>
    </row>
    <row r="901" spans="2:3" x14ac:dyDescent="0.2">
      <c r="B901" s="8"/>
      <c r="C901" s="8"/>
    </row>
    <row r="902" spans="2:3" x14ac:dyDescent="0.2">
      <c r="B902" s="8"/>
      <c r="C902" s="8"/>
    </row>
    <row r="903" spans="2:3" x14ac:dyDescent="0.2">
      <c r="B903" s="8"/>
      <c r="C903" s="8"/>
    </row>
    <row r="904" spans="2:3" x14ac:dyDescent="0.2">
      <c r="B904" s="8"/>
      <c r="C904" s="8"/>
    </row>
    <row r="905" spans="2:3" x14ac:dyDescent="0.2">
      <c r="B905" s="8"/>
      <c r="C905" s="8"/>
    </row>
    <row r="906" spans="2:3" x14ac:dyDescent="0.2">
      <c r="B906" s="8"/>
      <c r="C906" s="8"/>
    </row>
    <row r="907" spans="2:3" x14ac:dyDescent="0.2">
      <c r="B907" s="8"/>
      <c r="C907" s="8"/>
    </row>
    <row r="908" spans="2:3" x14ac:dyDescent="0.2">
      <c r="B908" s="8"/>
      <c r="C908" s="8"/>
    </row>
    <row r="909" spans="2:3" x14ac:dyDescent="0.2">
      <c r="B909" s="8"/>
      <c r="C909" s="8"/>
    </row>
    <row r="910" spans="2:3" x14ac:dyDescent="0.2">
      <c r="B910" s="8"/>
      <c r="C910" s="8"/>
    </row>
    <row r="911" spans="2:3" x14ac:dyDescent="0.2">
      <c r="B911" s="8"/>
      <c r="C911" s="8"/>
    </row>
    <row r="912" spans="2:3" x14ac:dyDescent="0.2">
      <c r="B912" s="8"/>
      <c r="C912" s="8"/>
    </row>
    <row r="913" spans="2:3" x14ac:dyDescent="0.2">
      <c r="B913" s="8"/>
      <c r="C913" s="8"/>
    </row>
    <row r="914" spans="2:3" x14ac:dyDescent="0.2">
      <c r="B914" s="8"/>
      <c r="C914" s="8"/>
    </row>
    <row r="915" spans="2:3" x14ac:dyDescent="0.2">
      <c r="B915" s="8"/>
      <c r="C915" s="8"/>
    </row>
    <row r="916" spans="2:3" x14ac:dyDescent="0.2">
      <c r="B916" s="8"/>
      <c r="C916" s="8"/>
    </row>
    <row r="917" spans="2:3" x14ac:dyDescent="0.2">
      <c r="B917" s="8"/>
      <c r="C917" s="8"/>
    </row>
    <row r="918" spans="2:3" x14ac:dyDescent="0.2">
      <c r="B918" s="8"/>
      <c r="C918" s="8"/>
    </row>
    <row r="919" spans="2:3" x14ac:dyDescent="0.2">
      <c r="B919" s="8"/>
      <c r="C919" s="8"/>
    </row>
    <row r="920" spans="2:3" x14ac:dyDescent="0.2">
      <c r="B920" s="8"/>
      <c r="C920" s="8"/>
    </row>
    <row r="921" spans="2:3" x14ac:dyDescent="0.2">
      <c r="B921" s="8"/>
      <c r="C921" s="8"/>
    </row>
    <row r="922" spans="2:3" x14ac:dyDescent="0.2">
      <c r="B922" s="8"/>
      <c r="C922" s="8"/>
    </row>
    <row r="923" spans="2:3" x14ac:dyDescent="0.2">
      <c r="B923" s="8"/>
      <c r="C923" s="8"/>
    </row>
    <row r="924" spans="2:3" x14ac:dyDescent="0.2">
      <c r="B924" s="8"/>
      <c r="C924" s="8"/>
    </row>
    <row r="925" spans="2:3" x14ac:dyDescent="0.2">
      <c r="B925" s="8"/>
      <c r="C925" s="8"/>
    </row>
    <row r="926" spans="2:3" x14ac:dyDescent="0.2">
      <c r="B926" s="8"/>
      <c r="C926" s="8"/>
    </row>
    <row r="927" spans="2:3" x14ac:dyDescent="0.2">
      <c r="B927" s="8"/>
      <c r="C927" s="8"/>
    </row>
    <row r="928" spans="2:3" x14ac:dyDescent="0.2">
      <c r="B928" s="8"/>
      <c r="C928" s="8"/>
    </row>
    <row r="929" spans="2:3" x14ac:dyDescent="0.2">
      <c r="B929" s="8"/>
      <c r="C929" s="8"/>
    </row>
    <row r="930" spans="2:3" x14ac:dyDescent="0.2">
      <c r="B930" s="8"/>
      <c r="C930" s="8"/>
    </row>
    <row r="931" spans="2:3" x14ac:dyDescent="0.2">
      <c r="B931" s="8"/>
      <c r="C931" s="8"/>
    </row>
    <row r="932" spans="2:3" x14ac:dyDescent="0.2">
      <c r="B932" s="8"/>
      <c r="C932" s="8"/>
    </row>
    <row r="933" spans="2:3" x14ac:dyDescent="0.2">
      <c r="B933" s="8"/>
      <c r="C933" s="8"/>
    </row>
    <row r="934" spans="2:3" x14ac:dyDescent="0.2">
      <c r="B934" s="8"/>
      <c r="C934" s="8"/>
    </row>
    <row r="935" spans="2:3" x14ac:dyDescent="0.2">
      <c r="B935" s="8"/>
      <c r="C935" s="8"/>
    </row>
    <row r="936" spans="2:3" x14ac:dyDescent="0.2">
      <c r="B936" s="8"/>
      <c r="C936" s="8"/>
    </row>
    <row r="937" spans="2:3" x14ac:dyDescent="0.2">
      <c r="B937" s="8"/>
      <c r="C937" s="8"/>
    </row>
    <row r="938" spans="2:3" x14ac:dyDescent="0.2">
      <c r="B938" s="8"/>
      <c r="C938" s="8"/>
    </row>
    <row r="939" spans="2:3" x14ac:dyDescent="0.2">
      <c r="B939" s="8"/>
      <c r="C939" s="8"/>
    </row>
    <row r="940" spans="2:3" x14ac:dyDescent="0.2">
      <c r="B940" s="8"/>
      <c r="C940" s="8"/>
    </row>
    <row r="941" spans="2:3" x14ac:dyDescent="0.2">
      <c r="B941" s="8"/>
      <c r="C941" s="8"/>
    </row>
    <row r="942" spans="2:3" x14ac:dyDescent="0.2">
      <c r="B942" s="8"/>
      <c r="C942" s="8"/>
    </row>
    <row r="943" spans="2:3" x14ac:dyDescent="0.2">
      <c r="B943" s="8"/>
      <c r="C943" s="8"/>
    </row>
    <row r="944" spans="2:3" x14ac:dyDescent="0.2">
      <c r="B944" s="8"/>
      <c r="C944" s="8"/>
    </row>
    <row r="945" spans="2:3" x14ac:dyDescent="0.2">
      <c r="B945" s="8"/>
      <c r="C945" s="8"/>
    </row>
    <row r="946" spans="2:3" x14ac:dyDescent="0.2">
      <c r="B946" s="8"/>
      <c r="C946" s="8"/>
    </row>
    <row r="947" spans="2:3" x14ac:dyDescent="0.2">
      <c r="B947" s="8"/>
      <c r="C947" s="8"/>
    </row>
    <row r="948" spans="2:3" x14ac:dyDescent="0.2">
      <c r="B948" s="8"/>
      <c r="C948" s="8"/>
    </row>
    <row r="949" spans="2:3" x14ac:dyDescent="0.2">
      <c r="B949" s="8"/>
      <c r="C949" s="8"/>
    </row>
    <row r="950" spans="2:3" x14ac:dyDescent="0.2">
      <c r="B950" s="8"/>
      <c r="C950" s="8"/>
    </row>
    <row r="951" spans="2:3" x14ac:dyDescent="0.2">
      <c r="B951" s="8"/>
      <c r="C951" s="8"/>
    </row>
    <row r="952" spans="2:3" x14ac:dyDescent="0.2">
      <c r="B952" s="8"/>
      <c r="C952" s="8"/>
    </row>
    <row r="953" spans="2:3" x14ac:dyDescent="0.2">
      <c r="B953" s="8"/>
      <c r="C953" s="8"/>
    </row>
    <row r="954" spans="2:3" x14ac:dyDescent="0.2">
      <c r="B954" s="8"/>
      <c r="C954" s="8"/>
    </row>
    <row r="955" spans="2:3" x14ac:dyDescent="0.2">
      <c r="B955" s="8"/>
      <c r="C955" s="8"/>
    </row>
    <row r="956" spans="2:3" x14ac:dyDescent="0.2">
      <c r="B956" s="8"/>
      <c r="C956" s="8"/>
    </row>
    <row r="957" spans="2:3" x14ac:dyDescent="0.2">
      <c r="B957" s="8"/>
      <c r="C957" s="8"/>
    </row>
    <row r="958" spans="2:3" x14ac:dyDescent="0.2">
      <c r="B958" s="8"/>
      <c r="C958" s="8"/>
    </row>
    <row r="959" spans="2:3" x14ac:dyDescent="0.2">
      <c r="B959" s="8"/>
      <c r="C959" s="8"/>
    </row>
    <row r="960" spans="2:3" x14ac:dyDescent="0.2">
      <c r="B960" s="8"/>
      <c r="C960" s="8"/>
    </row>
    <row r="961" spans="2:3" x14ac:dyDescent="0.2">
      <c r="B961" s="8"/>
      <c r="C961" s="8"/>
    </row>
    <row r="962" spans="2:3" x14ac:dyDescent="0.2">
      <c r="B962" s="8"/>
      <c r="C962" s="8"/>
    </row>
    <row r="963" spans="2:3" x14ac:dyDescent="0.2">
      <c r="B963" s="8"/>
      <c r="C963" s="8"/>
    </row>
    <row r="964" spans="2:3" x14ac:dyDescent="0.2">
      <c r="B964" s="8"/>
      <c r="C964" s="8"/>
    </row>
    <row r="965" spans="2:3" x14ac:dyDescent="0.2">
      <c r="B965" s="8"/>
      <c r="C965" s="8"/>
    </row>
    <row r="966" spans="2:3" x14ac:dyDescent="0.2">
      <c r="B966" s="8"/>
      <c r="C966" s="8"/>
    </row>
    <row r="967" spans="2:3" x14ac:dyDescent="0.2">
      <c r="B967" s="8"/>
      <c r="C967" s="8"/>
    </row>
    <row r="968" spans="2:3" x14ac:dyDescent="0.2">
      <c r="B968" s="8"/>
      <c r="C968" s="8"/>
    </row>
    <row r="969" spans="2:3" x14ac:dyDescent="0.2">
      <c r="B969" s="8"/>
      <c r="C969" s="8"/>
    </row>
    <row r="970" spans="2:3" x14ac:dyDescent="0.2">
      <c r="B970" s="8"/>
      <c r="C970" s="8"/>
    </row>
    <row r="971" spans="2:3" x14ac:dyDescent="0.2">
      <c r="B971" s="8"/>
      <c r="C971" s="8"/>
    </row>
    <row r="972" spans="2:3" x14ac:dyDescent="0.2">
      <c r="B972" s="8"/>
      <c r="C972" s="8"/>
    </row>
    <row r="973" spans="2:3" x14ac:dyDescent="0.2">
      <c r="B973" s="8"/>
      <c r="C973" s="8"/>
    </row>
    <row r="974" spans="2:3" x14ac:dyDescent="0.2">
      <c r="B974" s="8"/>
      <c r="C974" s="8"/>
    </row>
    <row r="975" spans="2:3" x14ac:dyDescent="0.2">
      <c r="B975" s="8"/>
      <c r="C975" s="8"/>
    </row>
    <row r="976" spans="2:3" x14ac:dyDescent="0.2">
      <c r="B976" s="8"/>
      <c r="C976" s="8"/>
    </row>
    <row r="977" spans="2:3" x14ac:dyDescent="0.2">
      <c r="B977" s="8"/>
      <c r="C977" s="8"/>
    </row>
    <row r="978" spans="2:3" x14ac:dyDescent="0.2">
      <c r="B978" s="8"/>
      <c r="C978" s="8"/>
    </row>
    <row r="979" spans="2:3" x14ac:dyDescent="0.2">
      <c r="B979" s="8"/>
      <c r="C979" s="8"/>
    </row>
    <row r="980" spans="2:3" x14ac:dyDescent="0.2">
      <c r="B980" s="8"/>
      <c r="C980" s="8"/>
    </row>
    <row r="981" spans="2:3" x14ac:dyDescent="0.2">
      <c r="B981" s="8"/>
      <c r="C981" s="8"/>
    </row>
    <row r="982" spans="2:3" x14ac:dyDescent="0.2">
      <c r="B982" s="8"/>
      <c r="C982" s="8"/>
    </row>
    <row r="983" spans="2:3" x14ac:dyDescent="0.2">
      <c r="B983" s="8"/>
      <c r="C983" s="8"/>
    </row>
    <row r="984" spans="2:3" x14ac:dyDescent="0.2">
      <c r="B984" s="8"/>
      <c r="C984" s="8"/>
    </row>
    <row r="985" spans="2:3" x14ac:dyDescent="0.2">
      <c r="B985" s="8"/>
      <c r="C985" s="8"/>
    </row>
    <row r="986" spans="2:3" x14ac:dyDescent="0.2">
      <c r="B986" s="8"/>
      <c r="C986" s="8"/>
    </row>
    <row r="987" spans="2:3" x14ac:dyDescent="0.2">
      <c r="B987" s="8"/>
      <c r="C987" s="8"/>
    </row>
    <row r="988" spans="2:3" x14ac:dyDescent="0.2">
      <c r="B988" s="8"/>
      <c r="C988" s="8"/>
    </row>
    <row r="989" spans="2:3" x14ac:dyDescent="0.2">
      <c r="B989" s="8"/>
      <c r="C989" s="8"/>
    </row>
    <row r="990" spans="2:3" x14ac:dyDescent="0.2">
      <c r="B990" s="8"/>
      <c r="C990" s="8"/>
    </row>
    <row r="991" spans="2:3" x14ac:dyDescent="0.2">
      <c r="B991" s="8"/>
      <c r="C991" s="8"/>
    </row>
    <row r="992" spans="2:3" x14ac:dyDescent="0.2">
      <c r="B992" s="8"/>
      <c r="C992" s="8"/>
    </row>
    <row r="993" spans="2:3" x14ac:dyDescent="0.2">
      <c r="B993" s="8"/>
      <c r="C993" s="8"/>
    </row>
    <row r="994" spans="2:3" x14ac:dyDescent="0.2">
      <c r="B994" s="8"/>
      <c r="C994" s="8"/>
    </row>
    <row r="995" spans="2:3" x14ac:dyDescent="0.2">
      <c r="B995" s="8"/>
      <c r="C995" s="8"/>
    </row>
    <row r="996" spans="2:3" x14ac:dyDescent="0.2">
      <c r="B996" s="8"/>
      <c r="C996" s="8"/>
    </row>
    <row r="997" spans="2:3" x14ac:dyDescent="0.2">
      <c r="B997" s="8"/>
      <c r="C997" s="8"/>
    </row>
    <row r="998" spans="2:3" x14ac:dyDescent="0.2">
      <c r="B998" s="8"/>
      <c r="C998" s="8"/>
    </row>
    <row r="999" spans="2:3" x14ac:dyDescent="0.2">
      <c r="B999" s="8"/>
      <c r="C999" s="8"/>
    </row>
    <row r="1000" spans="2:3" x14ac:dyDescent="0.2">
      <c r="B1000" s="8"/>
      <c r="C1000" s="8"/>
    </row>
    <row r="1001" spans="2:3" x14ac:dyDescent="0.2">
      <c r="B1001" s="8"/>
      <c r="C1001" s="8"/>
    </row>
    <row r="1002" spans="2:3" x14ac:dyDescent="0.2">
      <c r="B1002" s="8"/>
      <c r="C1002" s="8"/>
    </row>
    <row r="1003" spans="2:3" x14ac:dyDescent="0.2">
      <c r="B1003" s="8"/>
      <c r="C1003" s="8"/>
    </row>
    <row r="1004" spans="2:3" x14ac:dyDescent="0.2">
      <c r="B1004" s="8"/>
      <c r="C1004" s="8"/>
    </row>
    <row r="1005" spans="2:3" x14ac:dyDescent="0.2">
      <c r="B1005" s="8"/>
      <c r="C1005" s="8"/>
    </row>
    <row r="1006" spans="2:3" x14ac:dyDescent="0.2">
      <c r="B1006" s="8"/>
      <c r="C1006" s="8"/>
    </row>
    <row r="1007" spans="2:3" x14ac:dyDescent="0.2">
      <c r="B1007" s="8"/>
      <c r="C1007" s="8"/>
    </row>
    <row r="1008" spans="2:3" x14ac:dyDescent="0.2">
      <c r="B1008" s="8"/>
      <c r="C1008" s="8"/>
    </row>
    <row r="1009" spans="2:3" x14ac:dyDescent="0.2">
      <c r="B1009" s="8"/>
      <c r="C1009" s="8"/>
    </row>
    <row r="1010" spans="2:3" x14ac:dyDescent="0.2">
      <c r="B1010" s="8"/>
      <c r="C1010" s="8"/>
    </row>
    <row r="1011" spans="2:3" x14ac:dyDescent="0.2">
      <c r="B1011" s="8"/>
      <c r="C1011" s="8"/>
    </row>
    <row r="1012" spans="2:3" x14ac:dyDescent="0.2">
      <c r="B1012" s="8"/>
      <c r="C1012" s="8"/>
    </row>
    <row r="1013" spans="2:3" x14ac:dyDescent="0.2">
      <c r="B1013" s="8"/>
      <c r="C1013" s="8"/>
    </row>
    <row r="1014" spans="2:3" x14ac:dyDescent="0.2">
      <c r="B1014" s="8"/>
      <c r="C1014" s="8"/>
    </row>
    <row r="1015" spans="2:3" x14ac:dyDescent="0.2">
      <c r="B1015" s="8"/>
      <c r="C1015" s="8"/>
    </row>
    <row r="1016" spans="2:3" x14ac:dyDescent="0.2">
      <c r="B1016" s="8"/>
      <c r="C1016" s="8"/>
    </row>
    <row r="1017" spans="2:3" x14ac:dyDescent="0.2">
      <c r="B1017" s="8"/>
      <c r="C1017" s="8"/>
    </row>
    <row r="1018" spans="2:3" x14ac:dyDescent="0.2">
      <c r="B1018" s="8"/>
      <c r="C1018" s="8"/>
    </row>
    <row r="1019" spans="2:3" x14ac:dyDescent="0.2">
      <c r="B1019" s="8"/>
      <c r="C1019" s="8"/>
    </row>
    <row r="1020" spans="2:3" x14ac:dyDescent="0.2">
      <c r="B1020" s="8"/>
      <c r="C1020" s="8"/>
    </row>
    <row r="1021" spans="2:3" x14ac:dyDescent="0.2">
      <c r="B1021" s="8"/>
      <c r="C1021" s="8"/>
    </row>
    <row r="1022" spans="2:3" x14ac:dyDescent="0.2">
      <c r="B1022" s="8"/>
      <c r="C1022" s="8"/>
    </row>
    <row r="1023" spans="2:3" x14ac:dyDescent="0.2">
      <c r="B1023" s="8"/>
      <c r="C1023" s="8"/>
    </row>
    <row r="1024" spans="2:3" x14ac:dyDescent="0.2">
      <c r="B1024" s="8"/>
      <c r="C1024" s="8"/>
    </row>
    <row r="1025" spans="2:3" x14ac:dyDescent="0.2">
      <c r="B1025" s="8"/>
      <c r="C1025" s="8"/>
    </row>
    <row r="1026" spans="2:3" x14ac:dyDescent="0.2">
      <c r="B1026" s="8"/>
      <c r="C1026" s="8"/>
    </row>
    <row r="1027" spans="2:3" x14ac:dyDescent="0.2">
      <c r="B1027" s="8"/>
      <c r="C1027" s="8"/>
    </row>
    <row r="1028" spans="2:3" x14ac:dyDescent="0.2">
      <c r="B1028" s="8"/>
      <c r="C1028" s="8"/>
    </row>
    <row r="1029" spans="2:3" x14ac:dyDescent="0.2">
      <c r="B1029" s="8"/>
      <c r="C1029" s="8"/>
    </row>
    <row r="1030" spans="2:3" x14ac:dyDescent="0.2">
      <c r="B1030" s="8"/>
      <c r="C1030" s="8"/>
    </row>
    <row r="1031" spans="2:3" x14ac:dyDescent="0.2">
      <c r="B1031" s="8"/>
      <c r="C1031" s="8"/>
    </row>
    <row r="1032" spans="2:3" x14ac:dyDescent="0.2">
      <c r="B1032" s="8"/>
      <c r="C1032" s="8"/>
    </row>
    <row r="1033" spans="2:3" x14ac:dyDescent="0.2">
      <c r="B1033" s="8"/>
      <c r="C1033" s="8"/>
    </row>
    <row r="1034" spans="2:3" x14ac:dyDescent="0.2">
      <c r="B1034" s="8"/>
      <c r="C1034" s="8"/>
    </row>
    <row r="1035" spans="2:3" x14ac:dyDescent="0.2">
      <c r="B1035" s="8"/>
      <c r="C1035" s="8"/>
    </row>
    <row r="1036" spans="2:3" x14ac:dyDescent="0.2">
      <c r="B1036" s="8"/>
      <c r="C1036" s="8"/>
    </row>
    <row r="1037" spans="2:3" x14ac:dyDescent="0.2">
      <c r="B1037" s="8"/>
      <c r="C1037" s="8"/>
    </row>
    <row r="1038" spans="2:3" x14ac:dyDescent="0.2">
      <c r="B1038" s="8"/>
      <c r="C1038" s="8"/>
    </row>
    <row r="1039" spans="2:3" x14ac:dyDescent="0.2">
      <c r="B1039" s="8"/>
      <c r="C1039" s="8"/>
    </row>
    <row r="1040" spans="2:3" x14ac:dyDescent="0.2">
      <c r="B1040" s="8"/>
      <c r="C1040" s="8"/>
    </row>
    <row r="1041" spans="2:3" x14ac:dyDescent="0.2">
      <c r="B1041" s="8"/>
      <c r="C1041" s="8"/>
    </row>
    <row r="1042" spans="2:3" x14ac:dyDescent="0.2">
      <c r="B1042" s="8"/>
      <c r="C1042" s="8"/>
    </row>
    <row r="1043" spans="2:3" x14ac:dyDescent="0.2">
      <c r="B1043" s="8"/>
      <c r="C1043" s="8"/>
    </row>
    <row r="1044" spans="2:3" x14ac:dyDescent="0.2">
      <c r="B1044" s="8"/>
      <c r="C1044" s="8"/>
    </row>
    <row r="1045" spans="2:3" x14ac:dyDescent="0.2">
      <c r="B1045" s="8"/>
      <c r="C1045" s="8"/>
    </row>
    <row r="1046" spans="2:3" x14ac:dyDescent="0.2">
      <c r="B1046" s="8"/>
      <c r="C1046" s="8"/>
    </row>
    <row r="1047" spans="2:3" x14ac:dyDescent="0.2">
      <c r="B1047" s="8"/>
      <c r="C1047" s="8"/>
    </row>
    <row r="1048" spans="2:3" x14ac:dyDescent="0.2">
      <c r="B1048" s="8"/>
      <c r="C1048" s="8"/>
    </row>
    <row r="1049" spans="2:3" x14ac:dyDescent="0.2">
      <c r="B1049" s="8"/>
      <c r="C1049" s="8"/>
    </row>
    <row r="1050" spans="2:3" x14ac:dyDescent="0.2">
      <c r="B1050" s="8"/>
      <c r="C1050" s="8"/>
    </row>
    <row r="1051" spans="2:3" x14ac:dyDescent="0.2">
      <c r="B1051" s="8"/>
      <c r="C1051" s="8"/>
    </row>
    <row r="1052" spans="2:3" x14ac:dyDescent="0.2">
      <c r="B1052" s="8"/>
      <c r="C1052" s="8"/>
    </row>
    <row r="1053" spans="2:3" x14ac:dyDescent="0.2">
      <c r="B1053" s="8"/>
      <c r="C1053" s="8"/>
    </row>
    <row r="1054" spans="2:3" x14ac:dyDescent="0.2">
      <c r="B1054" s="8"/>
      <c r="C1054" s="8"/>
    </row>
    <row r="1055" spans="2:3" x14ac:dyDescent="0.2">
      <c r="B1055" s="8"/>
      <c r="C1055" s="8"/>
    </row>
    <row r="1056" spans="2:3" x14ac:dyDescent="0.2">
      <c r="B1056" s="8"/>
      <c r="C1056" s="8"/>
    </row>
    <row r="1057" spans="2:3" x14ac:dyDescent="0.2">
      <c r="B1057" s="8"/>
      <c r="C1057" s="8"/>
    </row>
    <row r="1058" spans="2:3" x14ac:dyDescent="0.2">
      <c r="B1058" s="8"/>
      <c r="C1058" s="8"/>
    </row>
    <row r="1059" spans="2:3" x14ac:dyDescent="0.2">
      <c r="B1059" s="8"/>
      <c r="C1059" s="8"/>
    </row>
    <row r="1060" spans="2:3" x14ac:dyDescent="0.2">
      <c r="B1060" s="8"/>
      <c r="C1060" s="8"/>
    </row>
    <row r="1061" spans="2:3" x14ac:dyDescent="0.2">
      <c r="B1061" s="8"/>
      <c r="C1061" s="8"/>
    </row>
    <row r="1062" spans="2:3" x14ac:dyDescent="0.2">
      <c r="B1062" s="8"/>
      <c r="C1062" s="8"/>
    </row>
    <row r="1063" spans="2:3" x14ac:dyDescent="0.2">
      <c r="B1063" s="8"/>
      <c r="C1063" s="8"/>
    </row>
    <row r="1064" spans="2:3" x14ac:dyDescent="0.2">
      <c r="B1064" s="8"/>
      <c r="C1064" s="8"/>
    </row>
    <row r="1065" spans="2:3" x14ac:dyDescent="0.2">
      <c r="B1065" s="8"/>
      <c r="C1065" s="8"/>
    </row>
    <row r="1066" spans="2:3" x14ac:dyDescent="0.2">
      <c r="B1066" s="8"/>
      <c r="C1066" s="8"/>
    </row>
    <row r="1067" spans="2:3" x14ac:dyDescent="0.2">
      <c r="B1067" s="8"/>
      <c r="C1067" s="8"/>
    </row>
    <row r="1068" spans="2:3" x14ac:dyDescent="0.2">
      <c r="B1068" s="8"/>
      <c r="C1068" s="8"/>
    </row>
    <row r="1069" spans="2:3" x14ac:dyDescent="0.2">
      <c r="B1069" s="8"/>
      <c r="C1069" s="8"/>
    </row>
    <row r="1070" spans="2:3" x14ac:dyDescent="0.2">
      <c r="B1070" s="8"/>
      <c r="C1070" s="8"/>
    </row>
    <row r="1071" spans="2:3" x14ac:dyDescent="0.2">
      <c r="B1071" s="8"/>
      <c r="C1071" s="8"/>
    </row>
    <row r="1072" spans="2:3" x14ac:dyDescent="0.2">
      <c r="B1072" s="8"/>
      <c r="C1072" s="8"/>
    </row>
    <row r="1073" spans="2:3" x14ac:dyDescent="0.2">
      <c r="B1073" s="8"/>
      <c r="C1073" s="8"/>
    </row>
    <row r="1074" spans="2:3" x14ac:dyDescent="0.2">
      <c r="B1074" s="8"/>
      <c r="C1074" s="8"/>
    </row>
    <row r="1075" spans="2:3" x14ac:dyDescent="0.2">
      <c r="B1075" s="8"/>
      <c r="C1075" s="8"/>
    </row>
    <row r="1076" spans="2:3" x14ac:dyDescent="0.2">
      <c r="B1076" s="8"/>
      <c r="C1076" s="8"/>
    </row>
    <row r="1077" spans="2:3" x14ac:dyDescent="0.2">
      <c r="B1077" s="8"/>
      <c r="C1077" s="8"/>
    </row>
    <row r="1078" spans="2:3" x14ac:dyDescent="0.2">
      <c r="B1078" s="8"/>
      <c r="C1078" s="8"/>
    </row>
    <row r="1079" spans="2:3" x14ac:dyDescent="0.2">
      <c r="B1079" s="8"/>
      <c r="C1079" s="8"/>
    </row>
    <row r="1080" spans="2:3" x14ac:dyDescent="0.2">
      <c r="B1080" s="8"/>
      <c r="C1080" s="8"/>
    </row>
    <row r="1081" spans="2:3" x14ac:dyDescent="0.2">
      <c r="B1081" s="8"/>
      <c r="C1081" s="8"/>
    </row>
    <row r="1082" spans="2:3" x14ac:dyDescent="0.2">
      <c r="B1082" s="8"/>
      <c r="C1082" s="8"/>
    </row>
    <row r="1083" spans="2:3" x14ac:dyDescent="0.2">
      <c r="B1083" s="8"/>
      <c r="C1083" s="8"/>
    </row>
    <row r="1084" spans="2:3" x14ac:dyDescent="0.2">
      <c r="B1084" s="8"/>
      <c r="C1084" s="8"/>
    </row>
    <row r="1085" spans="2:3" x14ac:dyDescent="0.2">
      <c r="B1085" s="8"/>
      <c r="C1085" s="8"/>
    </row>
    <row r="1086" spans="2:3" x14ac:dyDescent="0.2">
      <c r="B1086" s="8"/>
      <c r="C1086" s="8"/>
    </row>
    <row r="1087" spans="2:3" x14ac:dyDescent="0.2">
      <c r="B1087" s="8"/>
      <c r="C1087" s="8"/>
    </row>
    <row r="1088" spans="2:3" x14ac:dyDescent="0.2">
      <c r="B1088" s="8"/>
      <c r="C1088" s="8"/>
    </row>
    <row r="1089" spans="2:3" x14ac:dyDescent="0.2">
      <c r="B1089" s="8"/>
      <c r="C1089" s="8"/>
    </row>
    <row r="1090" spans="2:3" x14ac:dyDescent="0.2">
      <c r="B1090" s="8"/>
      <c r="C1090" s="8"/>
    </row>
    <row r="1091" spans="2:3" x14ac:dyDescent="0.2">
      <c r="B1091" s="8"/>
      <c r="C1091" s="8"/>
    </row>
    <row r="1092" spans="2:3" x14ac:dyDescent="0.2">
      <c r="B1092" s="8"/>
      <c r="C1092" s="8"/>
    </row>
    <row r="1093" spans="2:3" x14ac:dyDescent="0.2">
      <c r="B1093" s="8"/>
      <c r="C1093" s="8"/>
    </row>
    <row r="1094" spans="2:3" x14ac:dyDescent="0.2">
      <c r="B1094" s="8"/>
      <c r="C1094" s="8"/>
    </row>
    <row r="1095" spans="2:3" x14ac:dyDescent="0.2">
      <c r="B1095" s="8"/>
      <c r="C1095" s="8"/>
    </row>
    <row r="1096" spans="2:3" x14ac:dyDescent="0.2">
      <c r="B1096" s="8"/>
      <c r="C1096" s="8"/>
    </row>
    <row r="1097" spans="2:3" x14ac:dyDescent="0.2">
      <c r="B1097" s="8"/>
      <c r="C1097" s="8"/>
    </row>
    <row r="1098" spans="2:3" x14ac:dyDescent="0.2">
      <c r="B1098" s="8"/>
      <c r="C1098" s="8"/>
    </row>
    <row r="1099" spans="2:3" x14ac:dyDescent="0.2">
      <c r="B1099" s="8"/>
      <c r="C1099" s="8"/>
    </row>
    <row r="1100" spans="2:3" x14ac:dyDescent="0.2">
      <c r="B1100" s="8"/>
      <c r="C1100" s="8"/>
    </row>
    <row r="1101" spans="2:3" x14ac:dyDescent="0.2">
      <c r="B1101" s="8"/>
      <c r="C1101" s="8"/>
    </row>
    <row r="1102" spans="2:3" x14ac:dyDescent="0.2">
      <c r="B1102" s="8"/>
      <c r="C1102" s="8"/>
    </row>
    <row r="1103" spans="2:3" x14ac:dyDescent="0.2">
      <c r="B1103" s="8"/>
      <c r="C1103" s="8"/>
    </row>
    <row r="1104" spans="2:3" x14ac:dyDescent="0.2">
      <c r="B1104" s="8"/>
      <c r="C1104" s="8"/>
    </row>
    <row r="1105" spans="2:3" x14ac:dyDescent="0.2">
      <c r="B1105" s="8"/>
      <c r="C1105" s="8"/>
    </row>
    <row r="1106" spans="2:3" x14ac:dyDescent="0.2">
      <c r="B1106" s="8"/>
      <c r="C1106" s="8"/>
    </row>
    <row r="1107" spans="2:3" x14ac:dyDescent="0.2">
      <c r="B1107" s="8"/>
      <c r="C1107" s="8"/>
    </row>
    <row r="1108" spans="2:3" x14ac:dyDescent="0.2">
      <c r="B1108" s="8"/>
      <c r="C1108" s="8"/>
    </row>
    <row r="1109" spans="2:3" x14ac:dyDescent="0.2">
      <c r="B1109" s="8"/>
      <c r="C1109" s="8"/>
    </row>
    <row r="1110" spans="2:3" x14ac:dyDescent="0.2">
      <c r="B1110" s="8"/>
      <c r="C1110" s="8"/>
    </row>
    <row r="1111" spans="2:3" x14ac:dyDescent="0.2">
      <c r="B1111" s="8"/>
      <c r="C1111" s="8"/>
    </row>
    <row r="1112" spans="2:3" x14ac:dyDescent="0.2">
      <c r="B1112" s="8"/>
      <c r="C1112" s="8"/>
    </row>
    <row r="1113" spans="2:3" x14ac:dyDescent="0.2">
      <c r="B1113" s="8"/>
      <c r="C1113" s="8"/>
    </row>
    <row r="1114" spans="2:3" x14ac:dyDescent="0.2">
      <c r="B1114" s="8"/>
      <c r="C1114" s="8"/>
    </row>
    <row r="1115" spans="2:3" x14ac:dyDescent="0.2">
      <c r="B1115" s="8"/>
      <c r="C1115" s="8"/>
    </row>
    <row r="1116" spans="2:3" x14ac:dyDescent="0.2">
      <c r="B1116" s="8"/>
      <c r="C1116" s="8"/>
    </row>
    <row r="1117" spans="2:3" x14ac:dyDescent="0.2">
      <c r="B1117" s="8"/>
      <c r="C1117" s="8"/>
    </row>
    <row r="1118" spans="2:3" x14ac:dyDescent="0.2">
      <c r="B1118" s="8"/>
      <c r="C1118" s="8"/>
    </row>
    <row r="1119" spans="2:3" x14ac:dyDescent="0.2">
      <c r="B1119" s="8"/>
      <c r="C1119" s="8"/>
    </row>
    <row r="1120" spans="2:3" x14ac:dyDescent="0.2">
      <c r="B1120" s="8"/>
      <c r="C1120" s="8"/>
    </row>
    <row r="1121" spans="2:3" x14ac:dyDescent="0.2">
      <c r="B1121" s="8"/>
      <c r="C1121" s="8"/>
    </row>
    <row r="1122" spans="2:3" x14ac:dyDescent="0.2">
      <c r="B1122" s="8"/>
      <c r="C1122" s="8"/>
    </row>
    <row r="1123" spans="2:3" x14ac:dyDescent="0.2">
      <c r="B1123" s="8"/>
      <c r="C1123" s="8"/>
    </row>
    <row r="1124" spans="2:3" x14ac:dyDescent="0.2">
      <c r="B1124" s="8"/>
      <c r="C1124" s="8"/>
    </row>
    <row r="1125" spans="2:3" x14ac:dyDescent="0.2">
      <c r="B1125" s="8"/>
      <c r="C1125" s="8"/>
    </row>
    <row r="1126" spans="2:3" x14ac:dyDescent="0.2">
      <c r="B1126" s="8"/>
      <c r="C1126" s="8"/>
    </row>
    <row r="1127" spans="2:3" x14ac:dyDescent="0.2">
      <c r="B1127" s="8"/>
      <c r="C1127" s="8"/>
    </row>
    <row r="1128" spans="2:3" x14ac:dyDescent="0.2">
      <c r="B1128" s="8"/>
      <c r="C1128" s="8"/>
    </row>
    <row r="1129" spans="2:3" x14ac:dyDescent="0.2">
      <c r="B1129" s="8"/>
      <c r="C1129" s="8"/>
    </row>
    <row r="1130" spans="2:3" x14ac:dyDescent="0.2">
      <c r="B1130" s="8"/>
      <c r="C1130" s="8"/>
    </row>
    <row r="1131" spans="2:3" x14ac:dyDescent="0.2">
      <c r="B1131" s="8"/>
      <c r="C1131" s="8"/>
    </row>
    <row r="1132" spans="2:3" x14ac:dyDescent="0.2">
      <c r="B1132" s="8"/>
      <c r="C1132" s="8"/>
    </row>
    <row r="1133" spans="2:3" x14ac:dyDescent="0.2">
      <c r="B1133" s="8"/>
      <c r="C1133" s="8"/>
    </row>
    <row r="1134" spans="2:3" x14ac:dyDescent="0.2">
      <c r="B1134" s="8"/>
      <c r="C1134" s="8"/>
    </row>
    <row r="1135" spans="2:3" x14ac:dyDescent="0.2">
      <c r="B1135" s="8"/>
      <c r="C1135" s="8"/>
    </row>
    <row r="1136" spans="2:3" x14ac:dyDescent="0.2">
      <c r="B1136" s="8"/>
      <c r="C1136" s="8"/>
    </row>
    <row r="1137" spans="2:3" x14ac:dyDescent="0.2">
      <c r="B1137" s="8"/>
      <c r="C1137" s="8"/>
    </row>
    <row r="1138" spans="2:3" x14ac:dyDescent="0.2">
      <c r="B1138" s="8"/>
      <c r="C1138" s="8"/>
    </row>
    <row r="1139" spans="2:3" x14ac:dyDescent="0.2">
      <c r="B1139" s="8"/>
      <c r="C1139" s="8"/>
    </row>
    <row r="1140" spans="2:3" x14ac:dyDescent="0.2">
      <c r="B1140" s="8"/>
      <c r="C1140" s="8"/>
    </row>
    <row r="1141" spans="2:3" x14ac:dyDescent="0.2">
      <c r="B1141" s="8"/>
      <c r="C1141" s="8"/>
    </row>
    <row r="1142" spans="2:3" x14ac:dyDescent="0.2">
      <c r="B1142" s="8"/>
      <c r="C1142" s="8"/>
    </row>
    <row r="1143" spans="2:3" x14ac:dyDescent="0.2">
      <c r="B1143" s="8"/>
      <c r="C1143" s="8"/>
    </row>
    <row r="1144" spans="2:3" x14ac:dyDescent="0.2">
      <c r="B1144" s="8"/>
      <c r="C1144" s="8"/>
    </row>
    <row r="1145" spans="2:3" x14ac:dyDescent="0.2">
      <c r="B1145" s="8"/>
      <c r="C1145" s="8"/>
    </row>
    <row r="1146" spans="2:3" x14ac:dyDescent="0.2">
      <c r="B1146" s="8"/>
      <c r="C1146" s="8"/>
    </row>
    <row r="1147" spans="2:3" x14ac:dyDescent="0.2">
      <c r="B1147" s="8"/>
      <c r="C1147" s="8"/>
    </row>
    <row r="1148" spans="2:3" x14ac:dyDescent="0.2">
      <c r="B1148" s="8"/>
      <c r="C1148" s="8"/>
    </row>
    <row r="1149" spans="2:3" x14ac:dyDescent="0.2">
      <c r="B1149" s="8"/>
      <c r="C1149" s="8"/>
    </row>
    <row r="1150" spans="2:3" x14ac:dyDescent="0.2">
      <c r="B1150" s="8"/>
      <c r="C1150" s="8"/>
    </row>
    <row r="1151" spans="2:3" x14ac:dyDescent="0.2">
      <c r="B1151" s="8"/>
      <c r="C1151" s="8"/>
    </row>
    <row r="1152" spans="2:3" x14ac:dyDescent="0.2">
      <c r="B1152" s="8"/>
      <c r="C1152" s="8"/>
    </row>
    <row r="1153" spans="2:3" x14ac:dyDescent="0.2">
      <c r="B1153" s="8"/>
      <c r="C1153" s="8"/>
    </row>
    <row r="1154" spans="2:3" x14ac:dyDescent="0.2">
      <c r="B1154" s="8"/>
      <c r="C1154" s="8"/>
    </row>
    <row r="1155" spans="2:3" x14ac:dyDescent="0.2">
      <c r="B1155" s="8"/>
      <c r="C1155" s="8"/>
    </row>
    <row r="1156" spans="2:3" x14ac:dyDescent="0.2">
      <c r="B1156" s="8"/>
      <c r="C1156" s="8"/>
    </row>
    <row r="1157" spans="2:3" x14ac:dyDescent="0.2">
      <c r="B1157" s="8"/>
      <c r="C1157" s="8"/>
    </row>
    <row r="1158" spans="2:3" x14ac:dyDescent="0.2">
      <c r="B1158" s="8"/>
      <c r="C1158" s="8"/>
    </row>
    <row r="1159" spans="2:3" x14ac:dyDescent="0.2">
      <c r="B1159" s="8"/>
      <c r="C1159" s="8"/>
    </row>
    <row r="1160" spans="2:3" x14ac:dyDescent="0.2">
      <c r="B1160" s="8"/>
      <c r="C1160" s="8"/>
    </row>
    <row r="1161" spans="2:3" x14ac:dyDescent="0.2">
      <c r="B1161" s="8"/>
      <c r="C1161" s="8"/>
    </row>
    <row r="1162" spans="2:3" x14ac:dyDescent="0.2">
      <c r="B1162" s="8"/>
      <c r="C1162" s="8"/>
    </row>
    <row r="1163" spans="2:3" x14ac:dyDescent="0.2">
      <c r="B1163" s="8"/>
      <c r="C1163" s="8"/>
    </row>
    <row r="1164" spans="2:3" x14ac:dyDescent="0.2">
      <c r="B1164" s="8"/>
      <c r="C1164" s="8"/>
    </row>
    <row r="1165" spans="2:3" x14ac:dyDescent="0.2">
      <c r="B1165" s="8"/>
      <c r="C1165" s="8"/>
    </row>
    <row r="1166" spans="2:3" x14ac:dyDescent="0.2">
      <c r="B1166" s="8"/>
      <c r="C1166" s="8"/>
    </row>
    <row r="1167" spans="2:3" x14ac:dyDescent="0.2">
      <c r="B1167" s="8"/>
      <c r="C1167" s="8"/>
    </row>
    <row r="1168" spans="2:3" x14ac:dyDescent="0.2">
      <c r="B1168" s="8"/>
      <c r="C1168" s="8"/>
    </row>
    <row r="1169" spans="2:3" x14ac:dyDescent="0.2">
      <c r="B1169" s="8"/>
      <c r="C1169" s="8"/>
    </row>
    <row r="1170" spans="2:3" x14ac:dyDescent="0.2">
      <c r="B1170" s="8"/>
      <c r="C1170" s="8"/>
    </row>
    <row r="1171" spans="2:3" x14ac:dyDescent="0.2">
      <c r="B1171" s="8"/>
      <c r="C1171" s="8"/>
    </row>
    <row r="1172" spans="2:3" x14ac:dyDescent="0.2">
      <c r="B1172" s="8"/>
      <c r="C1172" s="8"/>
    </row>
    <row r="1173" spans="2:3" x14ac:dyDescent="0.2">
      <c r="B1173" s="8"/>
      <c r="C1173" s="8"/>
    </row>
    <row r="1174" spans="2:3" x14ac:dyDescent="0.2">
      <c r="B1174" s="8"/>
      <c r="C1174" s="8"/>
    </row>
    <row r="1175" spans="2:3" x14ac:dyDescent="0.2">
      <c r="B1175" s="8"/>
      <c r="C1175" s="8"/>
    </row>
    <row r="1176" spans="2:3" x14ac:dyDescent="0.2">
      <c r="B1176" s="8"/>
      <c r="C1176" s="8"/>
    </row>
    <row r="1177" spans="2:3" x14ac:dyDescent="0.2">
      <c r="B1177" s="8"/>
      <c r="C1177" s="8"/>
    </row>
    <row r="1178" spans="2:3" x14ac:dyDescent="0.2">
      <c r="B1178" s="8"/>
      <c r="C1178" s="8"/>
    </row>
    <row r="1179" spans="2:3" x14ac:dyDescent="0.2">
      <c r="B1179" s="8"/>
      <c r="C1179" s="8"/>
    </row>
    <row r="1180" spans="2:3" x14ac:dyDescent="0.2">
      <c r="B1180" s="8"/>
      <c r="C1180" s="8"/>
    </row>
    <row r="1181" spans="2:3" x14ac:dyDescent="0.2">
      <c r="B1181" s="8"/>
      <c r="C1181" s="8"/>
    </row>
    <row r="1182" spans="2:3" x14ac:dyDescent="0.2">
      <c r="B1182" s="8"/>
      <c r="C1182" s="8"/>
    </row>
    <row r="1183" spans="2:3" x14ac:dyDescent="0.2">
      <c r="B1183" s="8"/>
      <c r="C1183" s="8"/>
    </row>
    <row r="1184" spans="2:3" x14ac:dyDescent="0.2">
      <c r="B1184" s="8"/>
      <c r="C1184" s="8"/>
    </row>
    <row r="1185" spans="2:3" x14ac:dyDescent="0.2">
      <c r="B1185" s="8"/>
      <c r="C1185" s="8"/>
    </row>
    <row r="1186" spans="2:3" x14ac:dyDescent="0.2">
      <c r="B1186" s="8"/>
      <c r="C1186" s="8"/>
    </row>
    <row r="1187" spans="2:3" x14ac:dyDescent="0.2">
      <c r="B1187" s="8"/>
      <c r="C1187" s="8"/>
    </row>
    <row r="1188" spans="2:3" x14ac:dyDescent="0.2">
      <c r="B1188" s="8"/>
      <c r="C1188" s="8"/>
    </row>
    <row r="1189" spans="2:3" x14ac:dyDescent="0.2">
      <c r="B1189" s="8"/>
      <c r="C1189" s="8"/>
    </row>
    <row r="1190" spans="2:3" x14ac:dyDescent="0.2">
      <c r="B1190" s="8"/>
      <c r="C1190" s="8"/>
    </row>
    <row r="1191" spans="2:3" x14ac:dyDescent="0.2">
      <c r="B1191" s="8"/>
      <c r="C1191" s="8"/>
    </row>
    <row r="1192" spans="2:3" x14ac:dyDescent="0.2">
      <c r="B1192" s="8"/>
      <c r="C1192" s="8"/>
    </row>
    <row r="1193" spans="2:3" x14ac:dyDescent="0.2">
      <c r="B1193" s="8"/>
      <c r="C1193" s="8"/>
    </row>
    <row r="1194" spans="2:3" x14ac:dyDescent="0.2">
      <c r="B1194" s="8"/>
      <c r="C1194" s="8"/>
    </row>
    <row r="1195" spans="2:3" x14ac:dyDescent="0.2">
      <c r="B1195" s="8"/>
      <c r="C1195" s="8"/>
    </row>
    <row r="1196" spans="2:3" x14ac:dyDescent="0.2">
      <c r="B1196" s="8"/>
      <c r="C1196" s="8"/>
    </row>
    <row r="1197" spans="2:3" x14ac:dyDescent="0.2">
      <c r="B1197" s="8"/>
      <c r="C1197" s="8"/>
    </row>
    <row r="1198" spans="2:3" x14ac:dyDescent="0.2">
      <c r="B1198" s="8"/>
      <c r="C1198" s="8"/>
    </row>
    <row r="1199" spans="2:3" x14ac:dyDescent="0.2">
      <c r="B1199" s="8"/>
      <c r="C1199" s="8"/>
    </row>
    <row r="1200" spans="2:3" x14ac:dyDescent="0.2">
      <c r="B1200" s="8"/>
      <c r="C1200" s="8"/>
    </row>
    <row r="1201" spans="2:3" x14ac:dyDescent="0.2">
      <c r="B1201" s="8"/>
      <c r="C1201" s="8"/>
    </row>
    <row r="1202" spans="2:3" x14ac:dyDescent="0.2">
      <c r="B1202" s="8"/>
      <c r="C1202" s="8"/>
    </row>
    <row r="1203" spans="2:3" x14ac:dyDescent="0.2">
      <c r="B1203" s="8"/>
      <c r="C1203" s="8"/>
    </row>
    <row r="1204" spans="2:3" x14ac:dyDescent="0.2">
      <c r="B1204" s="8"/>
      <c r="C1204" s="8"/>
    </row>
    <row r="1205" spans="2:3" x14ac:dyDescent="0.2">
      <c r="B1205" s="8"/>
      <c r="C1205" s="8"/>
    </row>
    <row r="1206" spans="2:3" x14ac:dyDescent="0.2">
      <c r="B1206" s="8"/>
      <c r="C1206" s="8"/>
    </row>
    <row r="1207" spans="2:3" x14ac:dyDescent="0.2">
      <c r="B1207" s="8"/>
      <c r="C1207" s="8"/>
    </row>
    <row r="1208" spans="2:3" x14ac:dyDescent="0.2">
      <c r="B1208" s="8"/>
      <c r="C1208" s="8"/>
    </row>
    <row r="1209" spans="2:3" x14ac:dyDescent="0.2">
      <c r="B1209" s="8"/>
      <c r="C1209" s="8"/>
    </row>
    <row r="1210" spans="2:3" x14ac:dyDescent="0.2">
      <c r="B1210" s="8"/>
      <c r="C1210" s="8"/>
    </row>
    <row r="1211" spans="2:3" x14ac:dyDescent="0.2">
      <c r="B1211" s="8"/>
      <c r="C1211" s="8"/>
    </row>
    <row r="1212" spans="2:3" x14ac:dyDescent="0.2">
      <c r="B1212" s="8"/>
      <c r="C1212" s="8"/>
    </row>
    <row r="1213" spans="2:3" x14ac:dyDescent="0.2">
      <c r="B1213" s="8"/>
      <c r="C1213" s="8"/>
    </row>
    <row r="1214" spans="2:3" x14ac:dyDescent="0.2">
      <c r="B1214" s="8"/>
      <c r="C1214" s="8"/>
    </row>
    <row r="1215" spans="2:3" x14ac:dyDescent="0.2">
      <c r="B1215" s="8"/>
      <c r="C1215" s="8"/>
    </row>
    <row r="1216" spans="2:3" x14ac:dyDescent="0.2">
      <c r="B1216" s="8"/>
      <c r="C1216" s="8"/>
    </row>
    <row r="1217" spans="2:3" x14ac:dyDescent="0.2">
      <c r="B1217" s="8"/>
      <c r="C1217" s="8"/>
    </row>
    <row r="1218" spans="2:3" x14ac:dyDescent="0.2">
      <c r="B1218" s="8"/>
      <c r="C1218" s="8"/>
    </row>
    <row r="1219" spans="2:3" x14ac:dyDescent="0.2">
      <c r="B1219" s="8"/>
      <c r="C1219" s="8"/>
    </row>
    <row r="1220" spans="2:3" x14ac:dyDescent="0.2">
      <c r="B1220" s="8"/>
      <c r="C1220" s="8"/>
    </row>
    <row r="1221" spans="2:3" x14ac:dyDescent="0.2">
      <c r="B1221" s="8"/>
      <c r="C1221" s="8"/>
    </row>
    <row r="1222" spans="2:3" x14ac:dyDescent="0.2">
      <c r="B1222" s="8"/>
      <c r="C1222" s="8"/>
    </row>
    <row r="1223" spans="2:3" x14ac:dyDescent="0.2">
      <c r="B1223" s="8"/>
      <c r="C1223" s="8"/>
    </row>
    <row r="1224" spans="2:3" x14ac:dyDescent="0.2">
      <c r="B1224" s="8"/>
      <c r="C1224" s="8"/>
    </row>
    <row r="1225" spans="2:3" x14ac:dyDescent="0.2">
      <c r="B1225" s="8"/>
      <c r="C1225" s="8"/>
    </row>
    <row r="1226" spans="2:3" x14ac:dyDescent="0.2">
      <c r="B1226" s="8"/>
      <c r="C1226" s="8"/>
    </row>
    <row r="1227" spans="2:3" x14ac:dyDescent="0.2">
      <c r="B1227" s="8"/>
      <c r="C1227" s="8"/>
    </row>
    <row r="1228" spans="2:3" x14ac:dyDescent="0.2">
      <c r="B1228" s="8"/>
      <c r="C1228" s="8"/>
    </row>
    <row r="1229" spans="2:3" x14ac:dyDescent="0.2">
      <c r="B1229" s="8"/>
      <c r="C1229" s="8"/>
    </row>
    <row r="1230" spans="2:3" x14ac:dyDescent="0.2">
      <c r="B1230" s="8"/>
      <c r="C1230" s="8"/>
    </row>
    <row r="1231" spans="2:3" x14ac:dyDescent="0.2">
      <c r="B1231" s="8"/>
      <c r="C1231" s="8"/>
    </row>
    <row r="1232" spans="2:3" x14ac:dyDescent="0.2">
      <c r="B1232" s="8"/>
      <c r="C1232" s="8"/>
    </row>
    <row r="1233" spans="2:3" x14ac:dyDescent="0.2">
      <c r="B1233" s="8"/>
      <c r="C1233" s="8"/>
    </row>
    <row r="1234" spans="2:3" x14ac:dyDescent="0.2">
      <c r="B1234" s="8"/>
      <c r="C1234" s="8"/>
    </row>
    <row r="1235" spans="2:3" x14ac:dyDescent="0.2">
      <c r="B1235" s="8"/>
      <c r="C1235" s="8"/>
    </row>
    <row r="1236" spans="2:3" x14ac:dyDescent="0.2">
      <c r="B1236" s="8"/>
      <c r="C1236" s="8"/>
    </row>
    <row r="1237" spans="2:3" x14ac:dyDescent="0.2">
      <c r="B1237" s="8"/>
      <c r="C1237" s="8"/>
    </row>
    <row r="1238" spans="2:3" x14ac:dyDescent="0.2">
      <c r="B1238" s="8"/>
      <c r="C1238" s="8"/>
    </row>
    <row r="1239" spans="2:3" x14ac:dyDescent="0.2">
      <c r="B1239" s="8"/>
      <c r="C1239" s="8"/>
    </row>
    <row r="1240" spans="2:3" x14ac:dyDescent="0.2">
      <c r="B1240" s="8"/>
      <c r="C1240" s="8"/>
    </row>
    <row r="1241" spans="2:3" x14ac:dyDescent="0.2">
      <c r="B1241" s="8"/>
      <c r="C1241" s="8"/>
    </row>
    <row r="1242" spans="2:3" x14ac:dyDescent="0.2">
      <c r="B1242" s="8"/>
      <c r="C1242" s="8"/>
    </row>
    <row r="1243" spans="2:3" x14ac:dyDescent="0.2">
      <c r="B1243" s="8"/>
      <c r="C1243" s="8"/>
    </row>
    <row r="1244" spans="2:3" x14ac:dyDescent="0.2">
      <c r="B1244" s="8"/>
      <c r="C1244" s="8"/>
    </row>
    <row r="1245" spans="2:3" x14ac:dyDescent="0.2">
      <c r="B1245" s="8"/>
      <c r="C1245" s="8"/>
    </row>
    <row r="1246" spans="2:3" x14ac:dyDescent="0.2">
      <c r="B1246" s="8"/>
      <c r="C1246" s="8"/>
    </row>
    <row r="1247" spans="2:3" x14ac:dyDescent="0.2">
      <c r="B1247" s="8"/>
      <c r="C1247" s="8"/>
    </row>
    <row r="1248" spans="2:3" x14ac:dyDescent="0.2">
      <c r="B1248" s="8"/>
      <c r="C1248" s="8"/>
    </row>
    <row r="1249" spans="2:3" x14ac:dyDescent="0.2">
      <c r="B1249" s="8"/>
      <c r="C1249" s="8"/>
    </row>
    <row r="1250" spans="2:3" x14ac:dyDescent="0.2">
      <c r="B1250" s="8"/>
      <c r="C1250" s="8"/>
    </row>
    <row r="1251" spans="2:3" x14ac:dyDescent="0.2">
      <c r="B1251" s="8"/>
      <c r="C1251" s="8"/>
    </row>
    <row r="1252" spans="2:3" x14ac:dyDescent="0.2">
      <c r="B1252" s="8"/>
      <c r="C1252" s="8"/>
    </row>
    <row r="1253" spans="2:3" x14ac:dyDescent="0.2">
      <c r="B1253" s="8"/>
      <c r="C1253" s="8"/>
    </row>
    <row r="1254" spans="2:3" x14ac:dyDescent="0.2">
      <c r="B1254" s="8"/>
      <c r="C1254" s="8"/>
    </row>
    <row r="1255" spans="2:3" x14ac:dyDescent="0.2">
      <c r="B1255" s="8"/>
      <c r="C1255" s="8"/>
    </row>
    <row r="1256" spans="2:3" x14ac:dyDescent="0.2">
      <c r="B1256" s="8"/>
      <c r="C1256" s="8"/>
    </row>
    <row r="1257" spans="2:3" x14ac:dyDescent="0.2">
      <c r="B1257" s="8"/>
      <c r="C1257" s="8"/>
    </row>
    <row r="1258" spans="2:3" x14ac:dyDescent="0.2">
      <c r="B1258" s="8"/>
      <c r="C1258" s="8"/>
    </row>
    <row r="1259" spans="2:3" x14ac:dyDescent="0.2">
      <c r="B1259" s="8"/>
      <c r="C1259" s="8"/>
    </row>
    <row r="1260" spans="2:3" x14ac:dyDescent="0.2">
      <c r="B1260" s="8"/>
      <c r="C1260" s="8"/>
    </row>
    <row r="1261" spans="2:3" x14ac:dyDescent="0.2">
      <c r="B1261" s="8"/>
      <c r="C1261" s="8"/>
    </row>
    <row r="1262" spans="2:3" x14ac:dyDescent="0.2">
      <c r="B1262" s="8"/>
      <c r="C1262" s="8"/>
    </row>
    <row r="1263" spans="2:3" x14ac:dyDescent="0.2">
      <c r="B1263" s="8"/>
      <c r="C1263" s="8"/>
    </row>
    <row r="1264" spans="2:3" x14ac:dyDescent="0.2">
      <c r="B1264" s="8"/>
      <c r="C1264" s="8"/>
    </row>
    <row r="1265" spans="2:3" x14ac:dyDescent="0.2">
      <c r="B1265" s="8"/>
      <c r="C1265" s="8"/>
    </row>
    <row r="1266" spans="2:3" x14ac:dyDescent="0.2">
      <c r="B1266" s="8"/>
      <c r="C1266" s="8"/>
    </row>
    <row r="1267" spans="2:3" x14ac:dyDescent="0.2">
      <c r="B1267" s="8"/>
      <c r="C1267" s="8"/>
    </row>
    <row r="1268" spans="2:3" x14ac:dyDescent="0.2">
      <c r="B1268" s="8"/>
      <c r="C1268" s="8"/>
    </row>
    <row r="1269" spans="2:3" x14ac:dyDescent="0.2">
      <c r="B1269" s="8"/>
      <c r="C1269" s="8"/>
    </row>
    <row r="1270" spans="2:3" x14ac:dyDescent="0.2">
      <c r="B1270" s="8"/>
      <c r="C1270" s="8"/>
    </row>
    <row r="1271" spans="2:3" x14ac:dyDescent="0.2">
      <c r="B1271" s="8"/>
      <c r="C1271" s="8"/>
    </row>
    <row r="1272" spans="2:3" x14ac:dyDescent="0.2">
      <c r="B1272" s="8"/>
      <c r="C1272" s="8"/>
    </row>
    <row r="1273" spans="2:3" x14ac:dyDescent="0.2">
      <c r="B1273" s="8"/>
      <c r="C1273" s="8"/>
    </row>
    <row r="1274" spans="2:3" x14ac:dyDescent="0.2">
      <c r="B1274" s="8"/>
      <c r="C1274" s="8"/>
    </row>
    <row r="1275" spans="2:3" x14ac:dyDescent="0.2">
      <c r="B1275" s="8"/>
      <c r="C1275" s="8"/>
    </row>
    <row r="1276" spans="2:3" x14ac:dyDescent="0.2">
      <c r="B1276" s="8"/>
      <c r="C1276" s="8"/>
    </row>
    <row r="1277" spans="2:3" x14ac:dyDescent="0.2">
      <c r="B1277" s="8"/>
      <c r="C1277" s="8"/>
    </row>
    <row r="1278" spans="2:3" x14ac:dyDescent="0.2">
      <c r="B1278" s="8"/>
      <c r="C1278" s="8"/>
    </row>
    <row r="1279" spans="2:3" x14ac:dyDescent="0.2">
      <c r="B1279" s="8"/>
      <c r="C1279" s="8"/>
    </row>
    <row r="1280" spans="2:3" x14ac:dyDescent="0.2">
      <c r="B1280" s="8"/>
      <c r="C1280" s="8"/>
    </row>
    <row r="1281" spans="2:3" x14ac:dyDescent="0.2">
      <c r="B1281" s="8"/>
      <c r="C1281" s="8"/>
    </row>
    <row r="1282" spans="2:3" x14ac:dyDescent="0.2">
      <c r="B1282" s="8"/>
      <c r="C1282" s="8"/>
    </row>
    <row r="1283" spans="2:3" x14ac:dyDescent="0.2">
      <c r="B1283" s="8"/>
      <c r="C1283" s="8"/>
    </row>
    <row r="1284" spans="2:3" x14ac:dyDescent="0.2">
      <c r="B1284" s="8"/>
      <c r="C1284" s="8"/>
    </row>
    <row r="1285" spans="2:3" x14ac:dyDescent="0.2">
      <c r="B1285" s="8"/>
      <c r="C1285" s="8"/>
    </row>
    <row r="1286" spans="2:3" x14ac:dyDescent="0.2">
      <c r="B1286" s="8"/>
      <c r="C1286" s="8"/>
    </row>
    <row r="1287" spans="2:3" x14ac:dyDescent="0.2">
      <c r="B1287" s="8"/>
      <c r="C1287" s="8"/>
    </row>
    <row r="1288" spans="2:3" x14ac:dyDescent="0.2">
      <c r="B1288" s="8"/>
      <c r="C1288" s="8"/>
    </row>
    <row r="1289" spans="2:3" x14ac:dyDescent="0.2">
      <c r="B1289" s="8"/>
      <c r="C1289" s="8"/>
    </row>
    <row r="1290" spans="2:3" x14ac:dyDescent="0.2">
      <c r="B1290" s="8"/>
      <c r="C1290" s="8"/>
    </row>
    <row r="1291" spans="2:3" x14ac:dyDescent="0.2">
      <c r="B1291" s="8"/>
      <c r="C1291" s="8"/>
    </row>
    <row r="1292" spans="2:3" x14ac:dyDescent="0.2">
      <c r="B1292" s="8"/>
      <c r="C1292" s="8"/>
    </row>
    <row r="1293" spans="2:3" x14ac:dyDescent="0.2">
      <c r="B1293" s="8"/>
      <c r="C1293" s="8"/>
    </row>
    <row r="1294" spans="2:3" x14ac:dyDescent="0.2">
      <c r="B1294" s="8"/>
      <c r="C1294" s="8"/>
    </row>
    <row r="1295" spans="2:3" x14ac:dyDescent="0.2">
      <c r="B1295" s="8"/>
      <c r="C1295" s="8"/>
    </row>
    <row r="1296" spans="2:3" x14ac:dyDescent="0.2">
      <c r="B1296" s="8"/>
      <c r="C1296" s="8"/>
    </row>
    <row r="1297" spans="2:3" x14ac:dyDescent="0.2">
      <c r="B1297" s="8"/>
      <c r="C1297" s="8"/>
    </row>
    <row r="1298" spans="2:3" x14ac:dyDescent="0.2">
      <c r="B1298" s="8"/>
      <c r="C1298" s="8"/>
    </row>
    <row r="1299" spans="2:3" x14ac:dyDescent="0.2">
      <c r="B1299" s="8"/>
      <c r="C1299" s="8"/>
    </row>
    <row r="1300" spans="2:3" x14ac:dyDescent="0.2">
      <c r="B1300" s="8"/>
      <c r="C1300" s="8"/>
    </row>
    <row r="1301" spans="2:3" x14ac:dyDescent="0.2">
      <c r="B1301" s="8"/>
      <c r="C1301" s="8"/>
    </row>
    <row r="1302" spans="2:3" x14ac:dyDescent="0.2">
      <c r="B1302" s="8"/>
      <c r="C1302" s="8"/>
    </row>
    <row r="1303" spans="2:3" x14ac:dyDescent="0.2">
      <c r="B1303" s="8"/>
      <c r="C1303" s="8"/>
    </row>
    <row r="1304" spans="2:3" x14ac:dyDescent="0.2">
      <c r="B1304" s="8"/>
      <c r="C1304" s="8"/>
    </row>
    <row r="1305" spans="2:3" x14ac:dyDescent="0.2">
      <c r="B1305" s="8"/>
      <c r="C1305" s="8"/>
    </row>
    <row r="1306" spans="2:3" x14ac:dyDescent="0.2">
      <c r="B1306" s="8"/>
      <c r="C1306" s="8"/>
    </row>
    <row r="1307" spans="2:3" x14ac:dyDescent="0.2">
      <c r="B1307" s="8"/>
      <c r="C1307" s="8"/>
    </row>
    <row r="1308" spans="2:3" x14ac:dyDescent="0.2">
      <c r="B1308" s="8"/>
      <c r="C1308" s="8"/>
    </row>
    <row r="1309" spans="2:3" x14ac:dyDescent="0.2">
      <c r="B1309" s="8"/>
      <c r="C1309" s="8"/>
    </row>
    <row r="1310" spans="2:3" x14ac:dyDescent="0.2">
      <c r="B1310" s="8"/>
      <c r="C1310" s="8"/>
    </row>
    <row r="1311" spans="2:3" x14ac:dyDescent="0.2">
      <c r="B1311" s="8"/>
      <c r="C1311" s="8"/>
    </row>
    <row r="1312" spans="2:3" x14ac:dyDescent="0.2">
      <c r="B1312" s="8"/>
      <c r="C1312" s="8"/>
    </row>
    <row r="1313" spans="2:3" x14ac:dyDescent="0.2">
      <c r="B1313" s="8"/>
      <c r="C1313" s="8"/>
    </row>
    <row r="1314" spans="2:3" x14ac:dyDescent="0.2">
      <c r="B1314" s="8"/>
      <c r="C1314" s="8"/>
    </row>
    <row r="1315" spans="2:3" x14ac:dyDescent="0.2">
      <c r="B1315" s="8"/>
      <c r="C1315" s="8"/>
    </row>
    <row r="1316" spans="2:3" x14ac:dyDescent="0.2">
      <c r="B1316" s="8"/>
      <c r="C1316" s="8"/>
    </row>
    <row r="1317" spans="2:3" x14ac:dyDescent="0.2">
      <c r="B1317" s="8"/>
      <c r="C1317" s="8"/>
    </row>
    <row r="1318" spans="2:3" x14ac:dyDescent="0.2">
      <c r="B1318" s="8"/>
      <c r="C1318" s="8"/>
    </row>
    <row r="1319" spans="2:3" x14ac:dyDescent="0.2">
      <c r="B1319" s="8"/>
      <c r="C1319" s="8"/>
    </row>
    <row r="1320" spans="2:3" x14ac:dyDescent="0.2">
      <c r="B1320" s="8"/>
      <c r="C1320" s="8"/>
    </row>
    <row r="1321" spans="2:3" x14ac:dyDescent="0.2">
      <c r="B1321" s="8"/>
      <c r="C1321" s="8"/>
    </row>
    <row r="1322" spans="2:3" x14ac:dyDescent="0.2">
      <c r="B1322" s="8"/>
      <c r="C1322" s="8"/>
    </row>
    <row r="1323" spans="2:3" x14ac:dyDescent="0.2">
      <c r="B1323" s="8"/>
      <c r="C1323" s="8"/>
    </row>
    <row r="1324" spans="2:3" x14ac:dyDescent="0.2">
      <c r="B1324" s="8"/>
      <c r="C1324" s="8"/>
    </row>
    <row r="1325" spans="2:3" x14ac:dyDescent="0.2">
      <c r="B1325" s="8"/>
      <c r="C1325" s="8"/>
    </row>
    <row r="1326" spans="2:3" x14ac:dyDescent="0.2">
      <c r="B1326" s="8"/>
      <c r="C1326" s="8"/>
    </row>
    <row r="1327" spans="2:3" x14ac:dyDescent="0.2">
      <c r="B1327" s="8"/>
      <c r="C1327" s="8"/>
    </row>
    <row r="1328" spans="2:3" x14ac:dyDescent="0.2">
      <c r="B1328" s="8"/>
      <c r="C1328" s="8"/>
    </row>
    <row r="1329" spans="2:3" x14ac:dyDescent="0.2">
      <c r="B1329" s="8"/>
      <c r="C1329" s="8"/>
    </row>
    <row r="1330" spans="2:3" x14ac:dyDescent="0.2">
      <c r="B1330" s="8"/>
      <c r="C1330" s="8"/>
    </row>
    <row r="1331" spans="2:3" x14ac:dyDescent="0.2">
      <c r="B1331" s="8"/>
      <c r="C1331" s="8"/>
    </row>
    <row r="1332" spans="2:3" x14ac:dyDescent="0.2">
      <c r="B1332" s="8"/>
      <c r="C1332" s="8"/>
    </row>
    <row r="1333" spans="2:3" x14ac:dyDescent="0.2">
      <c r="B1333" s="8"/>
      <c r="C1333" s="8"/>
    </row>
    <row r="1334" spans="2:3" x14ac:dyDescent="0.2">
      <c r="B1334" s="8"/>
      <c r="C1334" s="8"/>
    </row>
    <row r="1335" spans="2:3" x14ac:dyDescent="0.2">
      <c r="B1335" s="8"/>
      <c r="C1335" s="8"/>
    </row>
    <row r="1336" spans="2:3" x14ac:dyDescent="0.2">
      <c r="B1336" s="8"/>
      <c r="C1336" s="8"/>
    </row>
    <row r="1337" spans="2:3" x14ac:dyDescent="0.2">
      <c r="B1337" s="8"/>
      <c r="C1337" s="8"/>
    </row>
    <row r="1338" spans="2:3" x14ac:dyDescent="0.2">
      <c r="B1338" s="8"/>
      <c r="C1338" s="8"/>
    </row>
    <row r="1339" spans="2:3" x14ac:dyDescent="0.2">
      <c r="B1339" s="8"/>
      <c r="C1339" s="8"/>
    </row>
    <row r="1340" spans="2:3" x14ac:dyDescent="0.2">
      <c r="B1340" s="8"/>
      <c r="C1340" s="8"/>
    </row>
    <row r="1341" spans="2:3" x14ac:dyDescent="0.2">
      <c r="B1341" s="8"/>
      <c r="C1341" s="8"/>
    </row>
    <row r="1342" spans="2:3" x14ac:dyDescent="0.2">
      <c r="B1342" s="8"/>
      <c r="C1342" s="8"/>
    </row>
    <row r="1343" spans="2:3" x14ac:dyDescent="0.2">
      <c r="B1343" s="8"/>
      <c r="C1343" s="8"/>
    </row>
    <row r="1344" spans="2:3" x14ac:dyDescent="0.2">
      <c r="B1344" s="8"/>
      <c r="C1344" s="8"/>
    </row>
    <row r="1345" spans="2:3" x14ac:dyDescent="0.2">
      <c r="B1345" s="8"/>
      <c r="C1345" s="8"/>
    </row>
    <row r="1346" spans="2:3" x14ac:dyDescent="0.2">
      <c r="B1346" s="8"/>
      <c r="C1346" s="8"/>
    </row>
    <row r="1347" spans="2:3" x14ac:dyDescent="0.2">
      <c r="B1347" s="8"/>
      <c r="C1347" s="8"/>
    </row>
    <row r="1348" spans="2:3" x14ac:dyDescent="0.2">
      <c r="B1348" s="8"/>
      <c r="C1348" s="8"/>
    </row>
    <row r="1349" spans="2:3" x14ac:dyDescent="0.2">
      <c r="B1349" s="8"/>
      <c r="C1349" s="8"/>
    </row>
    <row r="1350" spans="2:3" x14ac:dyDescent="0.2">
      <c r="B1350" s="8"/>
      <c r="C1350" s="8"/>
    </row>
    <row r="1351" spans="2:3" x14ac:dyDescent="0.2">
      <c r="B1351" s="8"/>
      <c r="C1351" s="8"/>
    </row>
    <row r="1352" spans="2:3" x14ac:dyDescent="0.2">
      <c r="B1352" s="8"/>
      <c r="C1352" s="8"/>
    </row>
    <row r="1353" spans="2:3" x14ac:dyDescent="0.2">
      <c r="B1353" s="8"/>
      <c r="C1353" s="8"/>
    </row>
    <row r="1354" spans="2:3" x14ac:dyDescent="0.2">
      <c r="B1354" s="8"/>
      <c r="C1354" s="8"/>
    </row>
    <row r="1355" spans="2:3" x14ac:dyDescent="0.2">
      <c r="B1355" s="8"/>
      <c r="C1355" s="8"/>
    </row>
    <row r="1356" spans="2:3" x14ac:dyDescent="0.2">
      <c r="B1356" s="8"/>
      <c r="C1356" s="8"/>
    </row>
    <row r="1357" spans="2:3" x14ac:dyDescent="0.2">
      <c r="B1357" s="8"/>
      <c r="C1357" s="8"/>
    </row>
    <row r="1358" spans="2:3" x14ac:dyDescent="0.2">
      <c r="B1358" s="8"/>
      <c r="C1358" s="8"/>
    </row>
    <row r="1359" spans="2:3" x14ac:dyDescent="0.2">
      <c r="B1359" s="8"/>
      <c r="C1359" s="8"/>
    </row>
    <row r="1360" spans="2:3" x14ac:dyDescent="0.2">
      <c r="B1360" s="8"/>
      <c r="C1360" s="8"/>
    </row>
    <row r="1361" spans="2:3" x14ac:dyDescent="0.2">
      <c r="B1361" s="8"/>
      <c r="C1361" s="8"/>
    </row>
    <row r="1362" spans="2:3" x14ac:dyDescent="0.2">
      <c r="B1362" s="8"/>
      <c r="C1362" s="8"/>
    </row>
    <row r="1363" spans="2:3" x14ac:dyDescent="0.2">
      <c r="B1363" s="8"/>
      <c r="C1363" s="8"/>
    </row>
    <row r="1364" spans="2:3" x14ac:dyDescent="0.2">
      <c r="B1364" s="8"/>
      <c r="C1364" s="8"/>
    </row>
    <row r="1365" spans="2:3" x14ac:dyDescent="0.2">
      <c r="B1365" s="8"/>
      <c r="C1365" s="8"/>
    </row>
    <row r="1366" spans="2:3" x14ac:dyDescent="0.2">
      <c r="B1366" s="8"/>
      <c r="C1366" s="8"/>
    </row>
    <row r="1367" spans="2:3" x14ac:dyDescent="0.2">
      <c r="B1367" s="8"/>
      <c r="C1367" s="8"/>
    </row>
    <row r="1368" spans="2:3" x14ac:dyDescent="0.2">
      <c r="B1368" s="8"/>
      <c r="C1368" s="8"/>
    </row>
    <row r="1369" spans="2:3" x14ac:dyDescent="0.2">
      <c r="B1369" s="8"/>
      <c r="C1369" s="8"/>
    </row>
    <row r="1370" spans="2:3" x14ac:dyDescent="0.2">
      <c r="B1370" s="8"/>
      <c r="C1370" s="8"/>
    </row>
    <row r="1371" spans="2:3" x14ac:dyDescent="0.2">
      <c r="B1371" s="8"/>
      <c r="C1371" s="8"/>
    </row>
    <row r="1372" spans="2:3" x14ac:dyDescent="0.2">
      <c r="B1372" s="8"/>
      <c r="C1372" s="8"/>
    </row>
    <row r="1373" spans="2:3" x14ac:dyDescent="0.2">
      <c r="B1373" s="8"/>
      <c r="C1373" s="8"/>
    </row>
    <row r="1374" spans="2:3" x14ac:dyDescent="0.2">
      <c r="B1374" s="8"/>
      <c r="C1374" s="8"/>
    </row>
    <row r="1375" spans="2:3" x14ac:dyDescent="0.2">
      <c r="B1375" s="8"/>
      <c r="C1375" s="8"/>
    </row>
    <row r="1376" spans="2:3" x14ac:dyDescent="0.2">
      <c r="B1376" s="8"/>
      <c r="C1376" s="8"/>
    </row>
    <row r="1377" spans="2:3" x14ac:dyDescent="0.2">
      <c r="B1377" s="8"/>
      <c r="C1377" s="8"/>
    </row>
    <row r="1378" spans="2:3" x14ac:dyDescent="0.2">
      <c r="B1378" s="8"/>
      <c r="C1378" s="8"/>
    </row>
    <row r="1379" spans="2:3" x14ac:dyDescent="0.2">
      <c r="B1379" s="8"/>
      <c r="C1379" s="8"/>
    </row>
    <row r="1380" spans="2:3" x14ac:dyDescent="0.2">
      <c r="B1380" s="8"/>
      <c r="C1380" s="8"/>
    </row>
    <row r="1381" spans="2:3" x14ac:dyDescent="0.2">
      <c r="B1381" s="8"/>
      <c r="C1381" s="8"/>
    </row>
    <row r="1382" spans="2:3" x14ac:dyDescent="0.2">
      <c r="B1382" s="8"/>
      <c r="C1382" s="8"/>
    </row>
    <row r="1383" spans="2:3" x14ac:dyDescent="0.2">
      <c r="B1383" s="8"/>
      <c r="C1383" s="8"/>
    </row>
    <row r="1384" spans="2:3" x14ac:dyDescent="0.2">
      <c r="B1384" s="8"/>
      <c r="C1384" s="8"/>
    </row>
    <row r="1385" spans="2:3" x14ac:dyDescent="0.2">
      <c r="B1385" s="8"/>
      <c r="C1385" s="8"/>
    </row>
    <row r="1386" spans="2:3" x14ac:dyDescent="0.2">
      <c r="B1386" s="8"/>
      <c r="C1386" s="8"/>
    </row>
    <row r="1387" spans="2:3" x14ac:dyDescent="0.2">
      <c r="B1387" s="8"/>
      <c r="C1387" s="8"/>
    </row>
    <row r="1388" spans="2:3" x14ac:dyDescent="0.2">
      <c r="B1388" s="8"/>
      <c r="C1388" s="8"/>
    </row>
    <row r="1389" spans="2:3" x14ac:dyDescent="0.2">
      <c r="B1389" s="8"/>
      <c r="C1389" s="8"/>
    </row>
    <row r="1390" spans="2:3" x14ac:dyDescent="0.2">
      <c r="B1390" s="8"/>
      <c r="C1390" s="8"/>
    </row>
    <row r="1391" spans="2:3" x14ac:dyDescent="0.2">
      <c r="B1391" s="8"/>
      <c r="C1391" s="8"/>
    </row>
    <row r="1392" spans="2:3" x14ac:dyDescent="0.2">
      <c r="B1392" s="8"/>
      <c r="C1392" s="8"/>
    </row>
    <row r="1393" spans="2:3" x14ac:dyDescent="0.2">
      <c r="B1393" s="8"/>
      <c r="C1393" s="8"/>
    </row>
    <row r="1394" spans="2:3" x14ac:dyDescent="0.2">
      <c r="B1394" s="8"/>
      <c r="C1394" s="8"/>
    </row>
    <row r="1395" spans="2:3" x14ac:dyDescent="0.2">
      <c r="B1395" s="8"/>
      <c r="C1395" s="8"/>
    </row>
    <row r="1396" spans="2:3" x14ac:dyDescent="0.2">
      <c r="B1396" s="8"/>
      <c r="C1396" s="8"/>
    </row>
    <row r="1397" spans="2:3" x14ac:dyDescent="0.2">
      <c r="B1397" s="8"/>
      <c r="C1397" s="8"/>
    </row>
    <row r="1398" spans="2:3" x14ac:dyDescent="0.2">
      <c r="B1398" s="8"/>
      <c r="C1398" s="8"/>
    </row>
    <row r="1399" spans="2:3" x14ac:dyDescent="0.2">
      <c r="B1399" s="8"/>
      <c r="C1399" s="8"/>
    </row>
    <row r="1400" spans="2:3" x14ac:dyDescent="0.2">
      <c r="B1400" s="8"/>
      <c r="C1400" s="8"/>
    </row>
    <row r="1401" spans="2:3" x14ac:dyDescent="0.2">
      <c r="B1401" s="8"/>
      <c r="C1401" s="8"/>
    </row>
    <row r="1402" spans="2:3" x14ac:dyDescent="0.2">
      <c r="B1402" s="8"/>
      <c r="C1402" s="8"/>
    </row>
    <row r="1403" spans="2:3" x14ac:dyDescent="0.2">
      <c r="B1403" s="8"/>
      <c r="C1403" s="8"/>
    </row>
    <row r="1404" spans="2:3" x14ac:dyDescent="0.2">
      <c r="B1404" s="8"/>
      <c r="C1404" s="8"/>
    </row>
    <row r="1405" spans="2:3" x14ac:dyDescent="0.2">
      <c r="B1405" s="8"/>
      <c r="C1405" s="8"/>
    </row>
    <row r="1406" spans="2:3" x14ac:dyDescent="0.2">
      <c r="B1406" s="8"/>
      <c r="C1406" s="8"/>
    </row>
    <row r="1407" spans="2:3" x14ac:dyDescent="0.2">
      <c r="B1407" s="8"/>
      <c r="C1407" s="8"/>
    </row>
    <row r="1408" spans="2:3" x14ac:dyDescent="0.2">
      <c r="B1408" s="8"/>
      <c r="C1408" s="8"/>
    </row>
    <row r="1409" spans="2:3" x14ac:dyDescent="0.2">
      <c r="B1409" s="8"/>
      <c r="C1409" s="8"/>
    </row>
    <row r="1410" spans="2:3" x14ac:dyDescent="0.2">
      <c r="B1410" s="8"/>
      <c r="C1410" s="8"/>
    </row>
    <row r="1411" spans="2:3" x14ac:dyDescent="0.2">
      <c r="B1411" s="8"/>
      <c r="C1411" s="8"/>
    </row>
    <row r="1412" spans="2:3" x14ac:dyDescent="0.2">
      <c r="B1412" s="8"/>
      <c r="C1412" s="8"/>
    </row>
    <row r="1413" spans="2:3" x14ac:dyDescent="0.2">
      <c r="B1413" s="8"/>
      <c r="C1413" s="8"/>
    </row>
    <row r="1414" spans="2:3" x14ac:dyDescent="0.2">
      <c r="B1414" s="8"/>
      <c r="C1414" s="8"/>
    </row>
    <row r="1415" spans="2:3" x14ac:dyDescent="0.2">
      <c r="B1415" s="8"/>
      <c r="C1415" s="8"/>
    </row>
    <row r="1416" spans="2:3" x14ac:dyDescent="0.2">
      <c r="B1416" s="8"/>
      <c r="C1416" s="8"/>
    </row>
    <row r="1417" spans="2:3" x14ac:dyDescent="0.2">
      <c r="B1417" s="8"/>
      <c r="C1417" s="8"/>
    </row>
    <row r="1418" spans="2:3" x14ac:dyDescent="0.2">
      <c r="B1418" s="8"/>
      <c r="C1418" s="8"/>
    </row>
    <row r="1419" spans="2:3" x14ac:dyDescent="0.2">
      <c r="B1419" s="8"/>
      <c r="C1419" s="8"/>
    </row>
    <row r="1420" spans="2:3" x14ac:dyDescent="0.2">
      <c r="B1420" s="8"/>
      <c r="C1420" s="8"/>
    </row>
    <row r="1421" spans="2:3" x14ac:dyDescent="0.2">
      <c r="B1421" s="8"/>
      <c r="C1421" s="8"/>
    </row>
    <row r="1422" spans="2:3" x14ac:dyDescent="0.2">
      <c r="B1422" s="8"/>
      <c r="C1422" s="8"/>
    </row>
    <row r="1423" spans="2:3" x14ac:dyDescent="0.2">
      <c r="B1423" s="8"/>
      <c r="C1423" s="8"/>
    </row>
    <row r="1424" spans="2:3" x14ac:dyDescent="0.2">
      <c r="B1424" s="8"/>
      <c r="C1424" s="8"/>
    </row>
    <row r="1425" spans="2:3" x14ac:dyDescent="0.2">
      <c r="B1425" s="8"/>
      <c r="C1425" s="8"/>
    </row>
    <row r="1426" spans="2:3" x14ac:dyDescent="0.2">
      <c r="B1426" s="8"/>
      <c r="C1426" s="8"/>
    </row>
    <row r="1427" spans="2:3" x14ac:dyDescent="0.2">
      <c r="B1427" s="8"/>
      <c r="C1427" s="8"/>
    </row>
    <row r="1428" spans="2:3" x14ac:dyDescent="0.2">
      <c r="B1428" s="8"/>
      <c r="C1428" s="8"/>
    </row>
    <row r="1429" spans="2:3" x14ac:dyDescent="0.2">
      <c r="B1429" s="8"/>
      <c r="C1429" s="8"/>
    </row>
    <row r="1430" spans="2:3" x14ac:dyDescent="0.2">
      <c r="B1430" s="8"/>
      <c r="C1430" s="8"/>
    </row>
    <row r="1431" spans="2:3" x14ac:dyDescent="0.2">
      <c r="B1431" s="8"/>
      <c r="C1431" s="8"/>
    </row>
    <row r="1432" spans="2:3" x14ac:dyDescent="0.2">
      <c r="B1432" s="8"/>
      <c r="C1432" s="8"/>
    </row>
    <row r="1433" spans="2:3" x14ac:dyDescent="0.2">
      <c r="B1433" s="8"/>
      <c r="C1433" s="8"/>
    </row>
    <row r="1434" spans="2:3" x14ac:dyDescent="0.2">
      <c r="B1434" s="8"/>
      <c r="C1434" s="8"/>
    </row>
    <row r="1435" spans="2:3" x14ac:dyDescent="0.2">
      <c r="B1435" s="8"/>
      <c r="C1435" s="8"/>
    </row>
    <row r="1436" spans="2:3" x14ac:dyDescent="0.2">
      <c r="B1436" s="8"/>
      <c r="C1436" s="8"/>
    </row>
  </sheetData>
  <sheetProtection algorithmName="SHA-512" hashValue="cQaFLBpTreyvBt/LBTg6GnEugiYAe4lRMpsjJROkRcvi4cBqu8LrGpRrNSUsRYq5fYbOH7sfFrFJVBVjrLq/WQ==" saltValue="GApANObaeqdtpZG5nZxvFg==" spinCount="100000" sheet="1" objects="1" scenarios="1"/>
  <autoFilter ref="A9:CM324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81">
    <mergeCell ref="B319:C319"/>
    <mergeCell ref="B277:C277"/>
    <mergeCell ref="BV7:BV8"/>
    <mergeCell ref="B262:C262"/>
    <mergeCell ref="B280:C280"/>
    <mergeCell ref="E7:E8"/>
    <mergeCell ref="B6:B8"/>
    <mergeCell ref="B263:C263"/>
    <mergeCell ref="B264:C264"/>
    <mergeCell ref="D7:D8"/>
    <mergeCell ref="AM7:AM8"/>
    <mergeCell ref="B275:C275"/>
    <mergeCell ref="B269:C269"/>
    <mergeCell ref="G7:G8"/>
    <mergeCell ref="B318:C318"/>
    <mergeCell ref="BA7:BA8"/>
    <mergeCell ref="AN7:AN8"/>
    <mergeCell ref="A4:CK4"/>
    <mergeCell ref="B261:C261"/>
    <mergeCell ref="B267:C267"/>
    <mergeCell ref="BD7:BN7"/>
    <mergeCell ref="BC7:BC8"/>
    <mergeCell ref="AP7:AZ7"/>
    <mergeCell ref="AO7:AO8"/>
    <mergeCell ref="H7:H8"/>
    <mergeCell ref="I7:AL7"/>
    <mergeCell ref="BP7:BP8"/>
    <mergeCell ref="C6:C8"/>
    <mergeCell ref="B265:C265"/>
    <mergeCell ref="B268:C268"/>
    <mergeCell ref="A6:A8"/>
    <mergeCell ref="CK6:CK8"/>
    <mergeCell ref="CJ6:CJ8"/>
    <mergeCell ref="F7:F8"/>
    <mergeCell ref="B260:C260"/>
    <mergeCell ref="B266:C266"/>
    <mergeCell ref="BO7:BO8"/>
    <mergeCell ref="B258:C258"/>
    <mergeCell ref="BB7:BB8"/>
    <mergeCell ref="D6:CI6"/>
    <mergeCell ref="BW7:BW8"/>
    <mergeCell ref="BX7:BX8"/>
    <mergeCell ref="BY7:CI7"/>
    <mergeCell ref="BQ7:BQ8"/>
    <mergeCell ref="BR7:BU7"/>
    <mergeCell ref="B305:C305"/>
    <mergeCell ref="B307:C307"/>
    <mergeCell ref="B301:C301"/>
    <mergeCell ref="B289:C289"/>
    <mergeCell ref="B304:C304"/>
    <mergeCell ref="B297:C297"/>
    <mergeCell ref="B316:C316"/>
    <mergeCell ref="B315:C315"/>
    <mergeCell ref="B288:C288"/>
    <mergeCell ref="B284:C284"/>
    <mergeCell ref="B285:C285"/>
    <mergeCell ref="B286:C286"/>
    <mergeCell ref="B295:C295"/>
    <mergeCell ref="B287:C287"/>
    <mergeCell ref="B293:C293"/>
    <mergeCell ref="B314:C314"/>
    <mergeCell ref="B309:C309"/>
    <mergeCell ref="B306:C306"/>
    <mergeCell ref="B300:C300"/>
    <mergeCell ref="B302:C302"/>
    <mergeCell ref="B313:C313"/>
    <mergeCell ref="B310:C310"/>
    <mergeCell ref="B282:C282"/>
    <mergeCell ref="B270:C270"/>
    <mergeCell ref="B274:C274"/>
    <mergeCell ref="B298:C298"/>
    <mergeCell ref="B296:C296"/>
    <mergeCell ref="B290:C290"/>
    <mergeCell ref="B283:C283"/>
    <mergeCell ref="B271:C271"/>
    <mergeCell ref="B273:C273"/>
    <mergeCell ref="B276:C276"/>
    <mergeCell ref="B281:C281"/>
    <mergeCell ref="B278:C278"/>
    <mergeCell ref="B272:C272"/>
    <mergeCell ref="B279:C279"/>
  </mergeCells>
  <phoneticPr fontId="1" type="noConversion"/>
  <printOptions horizontalCentered="1" gridLines="1"/>
  <pageMargins left="0.39370078740157483" right="0.19685039370078741" top="0.59055118110236227" bottom="0.35433070866141736" header="0.11811023622047245" footer="0.15748031496062992"/>
  <pageSetup paperSize="9" scale="65" orientation="portrait" r:id="rId3"/>
  <headerFooter differentFirst="1">
    <oddFooter>&amp;L&amp;"Times New Roman,Regular"&amp;8&amp;D; &amp;T&amp;R&amp;"Times New Roman,Regular"&amp;8&amp;P (&amp;N)</oddFooter>
    <firstHeader>&amp;R &amp;"Times New Roman,Regular"&amp;9 1.pielikums Jūrmalas pilsētas domes
2020.gada 12.novembra saistošajiem noteikumiem Nr.29
(protokols Nr.20, 3.punkts)</firstHeader>
  </headerFooter>
  <ignoredErrors>
    <ignoredError sqref="H12:H23 H27:H32 H67:H68 H71:H80 H88 H129:H130 H233 H238:H256 H293 H313:H314 AO12:AO23 AO27:AO32 AO67:AO68 AO71:AO80 AO88 AO129:AO130 AO233 AO238:AO256 BC12:BC23 BC27:BC32 BC67:BC68 BC71:BC80 BC88 BC129:BC130 BC233 BC238:BC256 BQ71:BQ80 BC236 AO236 H236 BC217:BC229 AO217:AO229 H217:H229 H133:H150 AO133:AO150 BC133:BC150 H210:H213 AO210:AO213 BC210:BC213 BC62:BC65 AO62:AO65 H62:H65 BC180:BC183 AO180:AO183 H180:H183 BC104:BC111 AO104:AO111 H104:H111 BC123:BC125 AO123:AO125 H123:H125 H169:H178 AO169:AO178 BC169:BC178 BC83:BC86 AO83:AO86 H83:H86 H53:H58 AO53:AO58 BC53:BC58 H92:H102 AO92:AO102 BC92:BC102 BC35:BC50 AO35:AO50 H35:H50 BC155:BC162 AO155:AO162 H155:H162 BC164:BC167 AO164:AO167 H164:H167 H114:H121 AO114:AO121 BC114:BC121 BC185:BC206 AO185:AO207 H185:H207" formulaRange="1"/>
    <ignoredError sqref="A132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showGridLines="0" zoomScaleNormal="100" workbookViewId="0">
      <pane xSplit="4" ySplit="7" topLeftCell="F8" activePane="bottomRight" state="frozen"/>
      <selection pane="topRight" activeCell="E1" sqref="E1"/>
      <selection pane="bottomLeft" activeCell="A8" sqref="A8"/>
      <selection pane="bottomRight" activeCell="AM14" sqref="AM14"/>
    </sheetView>
  </sheetViews>
  <sheetFormatPr defaultColWidth="9.140625" defaultRowHeight="12" outlineLevelRow="1" outlineLevelCol="1" x14ac:dyDescent="0.2"/>
  <cols>
    <col min="1" max="1" width="1.42578125" style="49" customWidth="1"/>
    <col min="2" max="2" width="3" style="49" customWidth="1"/>
    <col min="3" max="3" width="9.42578125" style="49" customWidth="1"/>
    <col min="4" max="4" width="38.42578125" style="49" customWidth="1"/>
    <col min="5" max="5" width="9.85546875" style="49" hidden="1" customWidth="1" outlineLevel="1"/>
    <col min="6" max="6" width="9.85546875" style="49" customWidth="1" collapsed="1"/>
    <col min="7" max="7" width="8.85546875" style="49" hidden="1" customWidth="1" outlineLevel="1"/>
    <col min="8" max="8" width="7.85546875" style="49" hidden="1" customWidth="1" outlineLevel="1"/>
    <col min="9" max="9" width="7.42578125" style="49" hidden="1" customWidth="1" outlineLevel="1"/>
    <col min="10" max="10" width="6.42578125" style="49" hidden="1" customWidth="1" outlineLevel="1"/>
    <col min="11" max="11" width="6.28515625" style="49" hidden="1" customWidth="1" outlineLevel="1"/>
    <col min="12" max="12" width="5.42578125" style="49" hidden="1" customWidth="1" outlineLevel="1"/>
    <col min="13" max="13" width="7.85546875" style="49" hidden="1" customWidth="1" outlineLevel="1"/>
    <col min="14" max="14" width="8" style="49" hidden="1" customWidth="1" outlineLevel="1"/>
    <col min="15" max="16" width="7.42578125" style="49" hidden="1" customWidth="1" outlineLevel="1"/>
    <col min="17" max="19" width="8.140625" style="49" hidden="1" customWidth="1" outlineLevel="1"/>
    <col min="20" max="20" width="9.7109375" style="49" hidden="1" customWidth="1" outlineLevel="1"/>
    <col min="21" max="21" width="9.28515625" style="49" customWidth="1" collapsed="1"/>
    <col min="22" max="22" width="9.7109375" style="49" hidden="1" customWidth="1" outlineLevel="1"/>
    <col min="23" max="23" width="8" style="49" hidden="1" customWidth="1" outlineLevel="1"/>
    <col min="24" max="24" width="5.85546875" style="49" hidden="1" customWidth="1" outlineLevel="1"/>
    <col min="25" max="25" width="5.42578125" style="49" hidden="1" customWidth="1" outlineLevel="1"/>
    <col min="26" max="26" width="6.5703125" style="49" hidden="1" customWidth="1" outlineLevel="1"/>
    <col min="27" max="27" width="6.42578125" style="49" hidden="1" customWidth="1" outlineLevel="1"/>
    <col min="28" max="28" width="6" style="49" hidden="1" customWidth="1" outlineLevel="1"/>
    <col min="29" max="29" width="6.42578125" style="49" hidden="1" customWidth="1" outlineLevel="1"/>
    <col min="30" max="30" width="5.42578125" style="49" hidden="1" customWidth="1" outlineLevel="1"/>
    <col min="31" max="31" width="7" style="49" hidden="1" customWidth="1" outlineLevel="1"/>
    <col min="32" max="34" width="9.7109375" style="49" hidden="1" customWidth="1" outlineLevel="1"/>
    <col min="35" max="35" width="10" style="49" hidden="1" customWidth="1" outlineLevel="1"/>
    <col min="36" max="36" width="9.7109375" style="49" customWidth="1" collapsed="1"/>
    <col min="37" max="16384" width="9.140625" style="11"/>
  </cols>
  <sheetData>
    <row r="1" spans="1:36" x14ac:dyDescent="0.2">
      <c r="AJ1" s="329" t="s">
        <v>767</v>
      </c>
    </row>
    <row r="2" spans="1:36" x14ac:dyDescent="0.2">
      <c r="AJ2" s="329" t="s">
        <v>768</v>
      </c>
    </row>
    <row r="3" spans="1:36" x14ac:dyDescent="0.2">
      <c r="AJ3" s="329" t="s">
        <v>769</v>
      </c>
    </row>
    <row r="4" spans="1:36" ht="18" customHeight="1" x14ac:dyDescent="0.35">
      <c r="A4" s="499" t="s">
        <v>681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</row>
    <row r="5" spans="1:36" ht="12.7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60" customHeight="1" thickBot="1" x14ac:dyDescent="0.25">
      <c r="A6" s="505" t="s">
        <v>22</v>
      </c>
      <c r="B6" s="506"/>
      <c r="C6" s="506"/>
      <c r="D6" s="78" t="s">
        <v>23</v>
      </c>
      <c r="E6" s="85" t="s">
        <v>770</v>
      </c>
      <c r="F6" s="100" t="s">
        <v>754</v>
      </c>
      <c r="G6" s="100" t="s">
        <v>771</v>
      </c>
      <c r="H6" s="372" t="s">
        <v>813</v>
      </c>
      <c r="I6" s="372" t="s">
        <v>826</v>
      </c>
      <c r="J6" s="372" t="s">
        <v>828</v>
      </c>
      <c r="K6" s="372" t="s">
        <v>833</v>
      </c>
      <c r="L6" s="372" t="s">
        <v>836</v>
      </c>
      <c r="M6" s="372" t="s">
        <v>844</v>
      </c>
      <c r="N6" s="372" t="s">
        <v>861</v>
      </c>
      <c r="O6" s="372" t="s">
        <v>871</v>
      </c>
      <c r="P6" s="372" t="s">
        <v>884</v>
      </c>
      <c r="Q6" s="359" t="s">
        <v>783</v>
      </c>
      <c r="R6" s="100"/>
      <c r="S6" s="100"/>
      <c r="T6" s="100" t="s">
        <v>772</v>
      </c>
      <c r="U6" s="100" t="s">
        <v>440</v>
      </c>
      <c r="V6" s="100" t="s">
        <v>773</v>
      </c>
      <c r="W6" s="372" t="s">
        <v>813</v>
      </c>
      <c r="X6" s="372" t="s">
        <v>826</v>
      </c>
      <c r="Y6" s="372" t="s">
        <v>828</v>
      </c>
      <c r="Z6" s="372" t="s">
        <v>833</v>
      </c>
      <c r="AA6" s="372" t="s">
        <v>844</v>
      </c>
      <c r="AB6" s="372" t="s">
        <v>861</v>
      </c>
      <c r="AC6" s="372" t="s">
        <v>871</v>
      </c>
      <c r="AD6" s="424" t="s">
        <v>874</v>
      </c>
      <c r="AE6" s="372" t="s">
        <v>884</v>
      </c>
      <c r="AF6" s="359" t="s">
        <v>783</v>
      </c>
      <c r="AG6" s="100"/>
      <c r="AH6" s="100"/>
      <c r="AI6" s="331" t="s">
        <v>774</v>
      </c>
      <c r="AJ6" s="370" t="s">
        <v>775</v>
      </c>
    </row>
    <row r="7" spans="1:36" ht="10.5" customHeight="1" thickTop="1" thickBot="1" x14ac:dyDescent="0.25">
      <c r="A7" s="507">
        <v>1</v>
      </c>
      <c r="B7" s="508"/>
      <c r="C7" s="509"/>
      <c r="D7" s="51">
        <v>2</v>
      </c>
      <c r="E7" s="202">
        <v>7</v>
      </c>
      <c r="F7" s="202">
        <v>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>
        <v>8</v>
      </c>
      <c r="U7" s="202">
        <v>4</v>
      </c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>
        <v>5</v>
      </c>
    </row>
    <row r="8" spans="1:36" s="79" customFormat="1" ht="14.25" customHeight="1" thickTop="1" x14ac:dyDescent="0.2">
      <c r="A8" s="510" t="s">
        <v>111</v>
      </c>
      <c r="B8" s="511"/>
      <c r="C8" s="511"/>
      <c r="D8" s="512"/>
      <c r="E8" s="345">
        <f t="shared" ref="E8:AJ8" si="0">SUM(E97,E131,E99)</f>
        <v>117229232</v>
      </c>
      <c r="F8" s="345">
        <f t="shared" si="0"/>
        <v>121635598</v>
      </c>
      <c r="G8" s="345">
        <f t="shared" si="0"/>
        <v>4406366</v>
      </c>
      <c r="H8" s="345">
        <f t="shared" si="0"/>
        <v>2289842</v>
      </c>
      <c r="I8" s="345">
        <f t="shared" si="0"/>
        <v>641366</v>
      </c>
      <c r="J8" s="345">
        <f t="shared" si="0"/>
        <v>-31836</v>
      </c>
      <c r="K8" s="345">
        <f t="shared" si="0"/>
        <v>2100</v>
      </c>
      <c r="L8" s="345">
        <f t="shared" si="0"/>
        <v>2100</v>
      </c>
      <c r="M8" s="345">
        <f t="shared" si="0"/>
        <v>1733917</v>
      </c>
      <c r="N8" s="345">
        <f t="shared" si="0"/>
        <v>-429250</v>
      </c>
      <c r="O8" s="345">
        <f t="shared" si="0"/>
        <v>403079</v>
      </c>
      <c r="P8" s="345">
        <f t="shared" si="0"/>
        <v>-204952</v>
      </c>
      <c r="Q8" s="345">
        <f t="shared" si="0"/>
        <v>0</v>
      </c>
      <c r="R8" s="345">
        <f t="shared" si="0"/>
        <v>0</v>
      </c>
      <c r="S8" s="345">
        <f t="shared" si="0"/>
        <v>0</v>
      </c>
      <c r="T8" s="345">
        <f t="shared" si="0"/>
        <v>-1336267</v>
      </c>
      <c r="U8" s="344">
        <f t="shared" si="0"/>
        <v>-1446073</v>
      </c>
      <c r="V8" s="344">
        <f t="shared" si="0"/>
        <v>-109806</v>
      </c>
      <c r="W8" s="344">
        <f t="shared" si="0"/>
        <v>-145223</v>
      </c>
      <c r="X8" s="344">
        <f t="shared" si="0"/>
        <v>0</v>
      </c>
      <c r="Y8" s="344">
        <f t="shared" si="0"/>
        <v>868</v>
      </c>
      <c r="Z8" s="344">
        <f t="shared" si="0"/>
        <v>-812</v>
      </c>
      <c r="AA8" s="344">
        <f t="shared" si="0"/>
        <v>45448</v>
      </c>
      <c r="AB8" s="344">
        <f t="shared" si="0"/>
        <v>-1429</v>
      </c>
      <c r="AC8" s="344">
        <f t="shared" si="0"/>
        <v>60514</v>
      </c>
      <c r="AD8" s="344">
        <f t="shared" si="0"/>
        <v>3040</v>
      </c>
      <c r="AE8" s="344">
        <f t="shared" si="0"/>
        <v>-72212</v>
      </c>
      <c r="AF8" s="344">
        <f t="shared" si="0"/>
        <v>0</v>
      </c>
      <c r="AG8" s="344">
        <f t="shared" si="0"/>
        <v>0</v>
      </c>
      <c r="AH8" s="344">
        <f t="shared" si="0"/>
        <v>0</v>
      </c>
      <c r="AI8" s="344">
        <f t="shared" si="0"/>
        <v>115892965</v>
      </c>
      <c r="AJ8" s="300">
        <f t="shared" si="0"/>
        <v>120189525</v>
      </c>
    </row>
    <row r="9" spans="1:36" s="79" customFormat="1" x14ac:dyDescent="0.2">
      <c r="A9" s="12"/>
      <c r="B9" s="13"/>
      <c r="C9" s="14"/>
      <c r="D9" s="1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204"/>
    </row>
    <row r="10" spans="1:36" s="80" customFormat="1" x14ac:dyDescent="0.2">
      <c r="A10" s="480" t="s">
        <v>24</v>
      </c>
      <c r="B10" s="481"/>
      <c r="C10" s="481"/>
      <c r="D10" s="16" t="s">
        <v>25</v>
      </c>
      <c r="E10" s="17">
        <f t="shared" ref="E10:U11" si="1">E11</f>
        <v>52522567</v>
      </c>
      <c r="F10" s="17">
        <f t="shared" si="1"/>
        <v>53158451</v>
      </c>
      <c r="G10" s="17">
        <f t="shared" si="1"/>
        <v>635884</v>
      </c>
      <c r="H10" s="17">
        <f t="shared" si="1"/>
        <v>0</v>
      </c>
      <c r="I10" s="17">
        <f t="shared" si="1"/>
        <v>635884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332">
        <f t="shared" si="1"/>
        <v>0</v>
      </c>
      <c r="V10" s="332">
        <f t="shared" ref="U10:AI11" si="2">V11</f>
        <v>0</v>
      </c>
      <c r="W10" s="332">
        <f t="shared" si="2"/>
        <v>0</v>
      </c>
      <c r="X10" s="332">
        <f t="shared" si="2"/>
        <v>0</v>
      </c>
      <c r="Y10" s="332">
        <f t="shared" si="2"/>
        <v>0</v>
      </c>
      <c r="Z10" s="332">
        <f t="shared" si="2"/>
        <v>0</v>
      </c>
      <c r="AA10" s="332">
        <f t="shared" si="2"/>
        <v>0</v>
      </c>
      <c r="AB10" s="332">
        <f t="shared" si="2"/>
        <v>0</v>
      </c>
      <c r="AC10" s="332">
        <f t="shared" si="2"/>
        <v>0</v>
      </c>
      <c r="AD10" s="332">
        <f t="shared" si="2"/>
        <v>0</v>
      </c>
      <c r="AE10" s="332">
        <f t="shared" si="2"/>
        <v>0</v>
      </c>
      <c r="AF10" s="332">
        <f t="shared" si="2"/>
        <v>0</v>
      </c>
      <c r="AG10" s="332">
        <f t="shared" si="2"/>
        <v>0</v>
      </c>
      <c r="AH10" s="332">
        <f t="shared" si="2"/>
        <v>0</v>
      </c>
      <c r="AI10" s="332">
        <f t="shared" si="2"/>
        <v>52522567</v>
      </c>
      <c r="AJ10" s="301">
        <f t="shared" ref="AJ10:AJ11" si="3">AJ11</f>
        <v>53158451</v>
      </c>
    </row>
    <row r="11" spans="1:36" s="79" customFormat="1" x14ac:dyDescent="0.2">
      <c r="A11" s="18"/>
      <c r="B11" s="482" t="s">
        <v>26</v>
      </c>
      <c r="C11" s="482"/>
      <c r="D11" s="19" t="s">
        <v>27</v>
      </c>
      <c r="E11" s="124">
        <f t="shared" si="1"/>
        <v>52522567</v>
      </c>
      <c r="F11" s="124">
        <f t="shared" si="1"/>
        <v>53158451</v>
      </c>
      <c r="G11" s="124">
        <f t="shared" si="1"/>
        <v>635884</v>
      </c>
      <c r="H11" s="124">
        <f t="shared" si="1"/>
        <v>0</v>
      </c>
      <c r="I11" s="124">
        <f t="shared" si="1"/>
        <v>635884</v>
      </c>
      <c r="J11" s="124">
        <f t="shared" si="1"/>
        <v>0</v>
      </c>
      <c r="K11" s="124">
        <f t="shared" si="1"/>
        <v>0</v>
      </c>
      <c r="L11" s="124">
        <f t="shared" si="1"/>
        <v>0</v>
      </c>
      <c r="M11" s="124">
        <f t="shared" si="1"/>
        <v>0</v>
      </c>
      <c r="N11" s="124">
        <f t="shared" si="1"/>
        <v>0</v>
      </c>
      <c r="O11" s="124">
        <f t="shared" si="1"/>
        <v>0</v>
      </c>
      <c r="P11" s="124">
        <f t="shared" si="1"/>
        <v>0</v>
      </c>
      <c r="Q11" s="124">
        <f t="shared" si="1"/>
        <v>0</v>
      </c>
      <c r="R11" s="124">
        <f t="shared" si="1"/>
        <v>0</v>
      </c>
      <c r="S11" s="124">
        <f t="shared" si="1"/>
        <v>0</v>
      </c>
      <c r="T11" s="124">
        <f t="shared" si="1"/>
        <v>0</v>
      </c>
      <c r="U11" s="333">
        <f t="shared" si="2"/>
        <v>0</v>
      </c>
      <c r="V11" s="333">
        <f t="shared" si="2"/>
        <v>0</v>
      </c>
      <c r="W11" s="333">
        <f t="shared" si="2"/>
        <v>0</v>
      </c>
      <c r="X11" s="333">
        <f t="shared" si="2"/>
        <v>0</v>
      </c>
      <c r="Y11" s="333">
        <f t="shared" si="2"/>
        <v>0</v>
      </c>
      <c r="Z11" s="333">
        <f t="shared" si="2"/>
        <v>0</v>
      </c>
      <c r="AA11" s="333">
        <f t="shared" si="2"/>
        <v>0</v>
      </c>
      <c r="AB11" s="333">
        <f t="shared" si="2"/>
        <v>0</v>
      </c>
      <c r="AC11" s="333">
        <f t="shared" si="2"/>
        <v>0</v>
      </c>
      <c r="AD11" s="333">
        <f t="shared" si="2"/>
        <v>0</v>
      </c>
      <c r="AE11" s="333">
        <f t="shared" si="2"/>
        <v>0</v>
      </c>
      <c r="AF11" s="333">
        <f t="shared" si="2"/>
        <v>0</v>
      </c>
      <c r="AG11" s="333">
        <f t="shared" si="2"/>
        <v>0</v>
      </c>
      <c r="AH11" s="333">
        <f t="shared" si="2"/>
        <v>0</v>
      </c>
      <c r="AI11" s="333">
        <f t="shared" si="2"/>
        <v>52522567</v>
      </c>
      <c r="AJ11" s="302">
        <f t="shared" si="3"/>
        <v>53158451</v>
      </c>
    </row>
    <row r="12" spans="1:36" x14ac:dyDescent="0.2">
      <c r="A12" s="20"/>
      <c r="B12" s="484" t="s">
        <v>28</v>
      </c>
      <c r="C12" s="484"/>
      <c r="D12" s="21" t="s">
        <v>29</v>
      </c>
      <c r="E12" s="236">
        <f t="shared" ref="E12:T12" si="4">SUM(E13:E14)</f>
        <v>52522567</v>
      </c>
      <c r="F12" s="236">
        <f t="shared" si="4"/>
        <v>53158451</v>
      </c>
      <c r="G12" s="236">
        <f t="shared" si="4"/>
        <v>635884</v>
      </c>
      <c r="H12" s="236">
        <f t="shared" ref="H12:R12" si="5">SUM(H13:H14)</f>
        <v>0</v>
      </c>
      <c r="I12" s="236">
        <f t="shared" si="5"/>
        <v>635884</v>
      </c>
      <c r="J12" s="236">
        <f t="shared" si="5"/>
        <v>0</v>
      </c>
      <c r="K12" s="236">
        <f t="shared" si="5"/>
        <v>0</v>
      </c>
      <c r="L12" s="236">
        <f t="shared" si="5"/>
        <v>0</v>
      </c>
      <c r="M12" s="236">
        <f t="shared" si="5"/>
        <v>0</v>
      </c>
      <c r="N12" s="236">
        <f t="shared" si="5"/>
        <v>0</v>
      </c>
      <c r="O12" s="236">
        <f t="shared" si="5"/>
        <v>0</v>
      </c>
      <c r="P12" s="236">
        <f t="shared" si="5"/>
        <v>0</v>
      </c>
      <c r="Q12" s="236">
        <f t="shared" si="5"/>
        <v>0</v>
      </c>
      <c r="R12" s="236">
        <f t="shared" si="5"/>
        <v>0</v>
      </c>
      <c r="S12" s="236">
        <f t="shared" ref="S12:AH12" si="6">SUM(S13:S14)</f>
        <v>0</v>
      </c>
      <c r="T12" s="236">
        <f t="shared" si="4"/>
        <v>0</v>
      </c>
      <c r="U12" s="334">
        <f t="shared" si="6"/>
        <v>0</v>
      </c>
      <c r="V12" s="334">
        <f t="shared" si="6"/>
        <v>0</v>
      </c>
      <c r="W12" s="334">
        <f t="shared" ref="W12:AG12" si="7">SUM(W13:W14)</f>
        <v>0</v>
      </c>
      <c r="X12" s="334">
        <f t="shared" si="7"/>
        <v>0</v>
      </c>
      <c r="Y12" s="334">
        <f t="shared" si="7"/>
        <v>0</v>
      </c>
      <c r="Z12" s="334">
        <f t="shared" si="7"/>
        <v>0</v>
      </c>
      <c r="AA12" s="334">
        <f t="shared" si="7"/>
        <v>0</v>
      </c>
      <c r="AB12" s="334">
        <f t="shared" si="7"/>
        <v>0</v>
      </c>
      <c r="AC12" s="334">
        <f t="shared" si="7"/>
        <v>0</v>
      </c>
      <c r="AD12" s="334">
        <f t="shared" si="7"/>
        <v>0</v>
      </c>
      <c r="AE12" s="334">
        <f t="shared" si="7"/>
        <v>0</v>
      </c>
      <c r="AF12" s="334">
        <f t="shared" si="7"/>
        <v>0</v>
      </c>
      <c r="AG12" s="334">
        <f t="shared" si="7"/>
        <v>0</v>
      </c>
      <c r="AH12" s="334">
        <f t="shared" si="6"/>
        <v>0</v>
      </c>
      <c r="AI12" s="334">
        <f t="shared" ref="AI12" si="8">SUM(AI13:AI14)</f>
        <v>52522567</v>
      </c>
      <c r="AJ12" s="303">
        <f>SUM(AJ13:AJ14)</f>
        <v>53158451</v>
      </c>
    </row>
    <row r="13" spans="1:36" ht="36" x14ac:dyDescent="0.2">
      <c r="A13" s="22"/>
      <c r="B13" s="496" t="s">
        <v>30</v>
      </c>
      <c r="C13" s="496"/>
      <c r="D13" s="174" t="s">
        <v>135</v>
      </c>
      <c r="E13" s="237">
        <v>228732</v>
      </c>
      <c r="F13" s="237">
        <f>E13+G13</f>
        <v>864616</v>
      </c>
      <c r="G13" s="237">
        <f>SUBTOTAL(9,H13:S13)</f>
        <v>635884</v>
      </c>
      <c r="H13" s="237"/>
      <c r="I13" s="237">
        <v>635884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335">
        <f>T13+V13</f>
        <v>0</v>
      </c>
      <c r="V13" s="335">
        <f>SUBTOTAL(9,W13:AH13)</f>
        <v>0</v>
      </c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>
        <f>E13+T13</f>
        <v>228732</v>
      </c>
      <c r="AJ13" s="304">
        <f>F13+U13</f>
        <v>864616</v>
      </c>
    </row>
    <row r="14" spans="1:36" ht="24" x14ac:dyDescent="0.2">
      <c r="A14" s="28"/>
      <c r="B14" s="513" t="s">
        <v>642</v>
      </c>
      <c r="C14" s="513"/>
      <c r="D14" s="24" t="s">
        <v>643</v>
      </c>
      <c r="E14" s="238">
        <v>52293835</v>
      </c>
      <c r="F14" s="238">
        <f>E14+G14</f>
        <v>52293835</v>
      </c>
      <c r="G14" s="238">
        <f>SUBTOTAL(9,H14:S14)</f>
        <v>0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53">
        <f>T14+V14</f>
        <v>0</v>
      </c>
      <c r="V14" s="253">
        <f>SUBTOTAL(9,W14:AH14)</f>
        <v>0</v>
      </c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>
        <f>E14+T14</f>
        <v>52293835</v>
      </c>
      <c r="AJ14" s="304">
        <f>F14+U14</f>
        <v>52293835</v>
      </c>
    </row>
    <row r="15" spans="1:36" s="80" customFormat="1" x14ac:dyDescent="0.2">
      <c r="A15" s="480" t="s">
        <v>31</v>
      </c>
      <c r="B15" s="481"/>
      <c r="C15" s="481"/>
      <c r="D15" s="16" t="s">
        <v>32</v>
      </c>
      <c r="E15" s="17">
        <f t="shared" ref="E15:AI15" si="9">SUM(E16)</f>
        <v>9167213</v>
      </c>
      <c r="F15" s="17">
        <f t="shared" si="9"/>
        <v>8862113</v>
      </c>
      <c r="G15" s="17">
        <f t="shared" si="9"/>
        <v>-305100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9"/>
        <v>-105100</v>
      </c>
      <c r="O15" s="17">
        <f t="shared" si="9"/>
        <v>0</v>
      </c>
      <c r="P15" s="17">
        <f t="shared" si="9"/>
        <v>-200000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332">
        <f t="shared" si="9"/>
        <v>0</v>
      </c>
      <c r="V15" s="332">
        <f t="shared" si="9"/>
        <v>0</v>
      </c>
      <c r="W15" s="332">
        <f t="shared" si="9"/>
        <v>0</v>
      </c>
      <c r="X15" s="332">
        <f t="shared" si="9"/>
        <v>0</v>
      </c>
      <c r="Y15" s="332">
        <f t="shared" si="9"/>
        <v>0</v>
      </c>
      <c r="Z15" s="332">
        <f t="shared" si="9"/>
        <v>0</v>
      </c>
      <c r="AA15" s="332">
        <f t="shared" si="9"/>
        <v>0</v>
      </c>
      <c r="AB15" s="332">
        <f t="shared" si="9"/>
        <v>0</v>
      </c>
      <c r="AC15" s="332">
        <f t="shared" si="9"/>
        <v>0</v>
      </c>
      <c r="AD15" s="332">
        <f t="shared" si="9"/>
        <v>0</v>
      </c>
      <c r="AE15" s="332">
        <f t="shared" si="9"/>
        <v>0</v>
      </c>
      <c r="AF15" s="332">
        <f t="shared" si="9"/>
        <v>0</v>
      </c>
      <c r="AG15" s="332">
        <f t="shared" si="9"/>
        <v>0</v>
      </c>
      <c r="AH15" s="332">
        <f t="shared" si="9"/>
        <v>0</v>
      </c>
      <c r="AI15" s="332">
        <f t="shared" si="9"/>
        <v>9167213</v>
      </c>
      <c r="AJ15" s="305">
        <f t="shared" ref="AJ15" si="10">SUM(AJ16)</f>
        <v>8862113</v>
      </c>
    </row>
    <row r="16" spans="1:36" s="79" customFormat="1" x14ac:dyDescent="0.2">
      <c r="A16" s="18"/>
      <c r="B16" s="482" t="s">
        <v>33</v>
      </c>
      <c r="C16" s="482"/>
      <c r="D16" s="19" t="s">
        <v>34</v>
      </c>
      <c r="E16" s="124">
        <f t="shared" ref="E16:G16" si="11">SUM(E17,E20,E23)</f>
        <v>9167213</v>
      </c>
      <c r="F16" s="124">
        <f t="shared" si="11"/>
        <v>8862113</v>
      </c>
      <c r="G16" s="124">
        <f t="shared" si="11"/>
        <v>-305100</v>
      </c>
      <c r="H16" s="124">
        <f t="shared" ref="H16:R16" si="12">SUM(H17,H20,H23)</f>
        <v>0</v>
      </c>
      <c r="I16" s="124">
        <f t="shared" si="12"/>
        <v>0</v>
      </c>
      <c r="J16" s="124">
        <f t="shared" si="12"/>
        <v>0</v>
      </c>
      <c r="K16" s="124">
        <f t="shared" si="12"/>
        <v>0</v>
      </c>
      <c r="L16" s="124">
        <f t="shared" si="12"/>
        <v>0</v>
      </c>
      <c r="M16" s="124">
        <f t="shared" si="12"/>
        <v>0</v>
      </c>
      <c r="N16" s="124">
        <f t="shared" si="12"/>
        <v>-105100</v>
      </c>
      <c r="O16" s="124">
        <f t="shared" si="12"/>
        <v>0</v>
      </c>
      <c r="P16" s="124">
        <f t="shared" si="12"/>
        <v>-200000</v>
      </c>
      <c r="Q16" s="124">
        <f t="shared" si="12"/>
        <v>0</v>
      </c>
      <c r="R16" s="124">
        <f t="shared" si="12"/>
        <v>0</v>
      </c>
      <c r="S16" s="124">
        <f t="shared" ref="S16:T16" si="13">SUM(S17,S20,S23)</f>
        <v>0</v>
      </c>
      <c r="T16" s="124">
        <f t="shared" si="13"/>
        <v>0</v>
      </c>
      <c r="U16" s="333">
        <f t="shared" ref="U16:AH16" si="14">SUM(U17,U20,U23)</f>
        <v>0</v>
      </c>
      <c r="V16" s="333">
        <f t="shared" si="14"/>
        <v>0</v>
      </c>
      <c r="W16" s="333">
        <f t="shared" ref="W16:AG16" si="15">SUM(W17,W20,W23)</f>
        <v>0</v>
      </c>
      <c r="X16" s="333">
        <f t="shared" si="15"/>
        <v>0</v>
      </c>
      <c r="Y16" s="333">
        <f t="shared" si="15"/>
        <v>0</v>
      </c>
      <c r="Z16" s="333">
        <f t="shared" si="15"/>
        <v>0</v>
      </c>
      <c r="AA16" s="333">
        <f t="shared" si="15"/>
        <v>0</v>
      </c>
      <c r="AB16" s="333">
        <f t="shared" si="15"/>
        <v>0</v>
      </c>
      <c r="AC16" s="333">
        <f t="shared" si="15"/>
        <v>0</v>
      </c>
      <c r="AD16" s="333">
        <f t="shared" si="15"/>
        <v>0</v>
      </c>
      <c r="AE16" s="333">
        <f t="shared" si="15"/>
        <v>0</v>
      </c>
      <c r="AF16" s="333">
        <f t="shared" si="15"/>
        <v>0</v>
      </c>
      <c r="AG16" s="333">
        <f t="shared" si="15"/>
        <v>0</v>
      </c>
      <c r="AH16" s="333">
        <f t="shared" si="14"/>
        <v>0</v>
      </c>
      <c r="AI16" s="333">
        <f t="shared" ref="AI16" si="16">SUM(AI17,AI20,AI23)</f>
        <v>9167213</v>
      </c>
      <c r="AJ16" s="306">
        <f t="shared" ref="AJ16" si="17">SUM(AJ17,AJ20,AJ23)</f>
        <v>8862113</v>
      </c>
    </row>
    <row r="17" spans="1:36" x14ac:dyDescent="0.2">
      <c r="A17" s="25"/>
      <c r="B17" s="479" t="s">
        <v>166</v>
      </c>
      <c r="C17" s="479"/>
      <c r="D17" s="26" t="s">
        <v>165</v>
      </c>
      <c r="E17" s="239">
        <f t="shared" ref="E17:T17" si="18">SUM(E18:E19)</f>
        <v>4108267</v>
      </c>
      <c r="F17" s="239">
        <f t="shared" si="18"/>
        <v>3865167</v>
      </c>
      <c r="G17" s="239">
        <f t="shared" si="18"/>
        <v>-243100</v>
      </c>
      <c r="H17" s="239">
        <f t="shared" ref="H17:R17" si="19">SUM(H18:H19)</f>
        <v>0</v>
      </c>
      <c r="I17" s="239">
        <f t="shared" si="19"/>
        <v>0</v>
      </c>
      <c r="J17" s="239">
        <f t="shared" si="19"/>
        <v>0</v>
      </c>
      <c r="K17" s="239">
        <f t="shared" si="19"/>
        <v>0</v>
      </c>
      <c r="L17" s="239">
        <f t="shared" si="19"/>
        <v>0</v>
      </c>
      <c r="M17" s="239">
        <f t="shared" si="19"/>
        <v>0</v>
      </c>
      <c r="N17" s="239">
        <f t="shared" si="19"/>
        <v>-105100</v>
      </c>
      <c r="O17" s="239">
        <f t="shared" si="19"/>
        <v>0</v>
      </c>
      <c r="P17" s="239">
        <f t="shared" si="19"/>
        <v>-138000</v>
      </c>
      <c r="Q17" s="239">
        <f t="shared" si="19"/>
        <v>0</v>
      </c>
      <c r="R17" s="239">
        <f t="shared" si="19"/>
        <v>0</v>
      </c>
      <c r="S17" s="239">
        <f t="shared" ref="S17:AH17" si="20">SUM(S18:S19)</f>
        <v>0</v>
      </c>
      <c r="T17" s="239">
        <f t="shared" si="18"/>
        <v>0</v>
      </c>
      <c r="U17" s="336">
        <f t="shared" si="20"/>
        <v>0</v>
      </c>
      <c r="V17" s="336">
        <f t="shared" si="20"/>
        <v>0</v>
      </c>
      <c r="W17" s="336">
        <f t="shared" ref="W17:AG17" si="21">SUM(W18:W19)</f>
        <v>0</v>
      </c>
      <c r="X17" s="336">
        <f t="shared" si="21"/>
        <v>0</v>
      </c>
      <c r="Y17" s="336">
        <f t="shared" si="21"/>
        <v>0</v>
      </c>
      <c r="Z17" s="336">
        <f t="shared" si="21"/>
        <v>0</v>
      </c>
      <c r="AA17" s="336">
        <f t="shared" si="21"/>
        <v>0</v>
      </c>
      <c r="AB17" s="336">
        <f t="shared" si="21"/>
        <v>0</v>
      </c>
      <c r="AC17" s="336">
        <f t="shared" si="21"/>
        <v>0</v>
      </c>
      <c r="AD17" s="336">
        <f t="shared" si="21"/>
        <v>0</v>
      </c>
      <c r="AE17" s="336">
        <f t="shared" si="21"/>
        <v>0</v>
      </c>
      <c r="AF17" s="336">
        <f t="shared" si="21"/>
        <v>0</v>
      </c>
      <c r="AG17" s="336">
        <f t="shared" si="21"/>
        <v>0</v>
      </c>
      <c r="AH17" s="336">
        <f t="shared" si="20"/>
        <v>0</v>
      </c>
      <c r="AI17" s="336">
        <f t="shared" ref="AI17" si="22">SUM(AI18:AI19)</f>
        <v>4108267</v>
      </c>
      <c r="AJ17" s="205">
        <f>SUM(AJ18:AJ19)</f>
        <v>3865167</v>
      </c>
    </row>
    <row r="18" spans="1:36" ht="24" x14ac:dyDescent="0.2">
      <c r="A18" s="22"/>
      <c r="B18" s="496" t="s">
        <v>35</v>
      </c>
      <c r="C18" s="496"/>
      <c r="D18" s="174" t="s">
        <v>36</v>
      </c>
      <c r="E18" s="237">
        <v>3632367</v>
      </c>
      <c r="F18" s="237">
        <f t="shared" ref="F18:F19" si="23">E18+G18</f>
        <v>3527267</v>
      </c>
      <c r="G18" s="237">
        <f t="shared" ref="G18:G19" si="24">SUBTOTAL(9,H18:S18)</f>
        <v>-105100</v>
      </c>
      <c r="H18" s="237"/>
      <c r="I18" s="237"/>
      <c r="J18" s="237"/>
      <c r="K18" s="237"/>
      <c r="L18" s="237"/>
      <c r="M18" s="237"/>
      <c r="N18" s="237">
        <v>-105100</v>
      </c>
      <c r="O18" s="237"/>
      <c r="P18" s="237"/>
      <c r="Q18" s="237"/>
      <c r="R18" s="237"/>
      <c r="S18" s="237"/>
      <c r="T18" s="237"/>
      <c r="U18" s="335">
        <f t="shared" ref="U18:U19" si="25">T18+V18</f>
        <v>0</v>
      </c>
      <c r="V18" s="335">
        <f t="shared" ref="V18:V19" si="26">SUBTOTAL(9,W18:AH18)</f>
        <v>0</v>
      </c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>
        <f t="shared" ref="AI18:AI19" si="27">E18+T18</f>
        <v>3632367</v>
      </c>
      <c r="AJ18" s="304">
        <f t="shared" ref="AJ18:AJ19" si="28">F18+U18</f>
        <v>3527267</v>
      </c>
    </row>
    <row r="19" spans="1:36" ht="24" x14ac:dyDescent="0.2">
      <c r="A19" s="23"/>
      <c r="B19" s="494" t="s">
        <v>37</v>
      </c>
      <c r="C19" s="494"/>
      <c r="D19" s="24" t="s">
        <v>38</v>
      </c>
      <c r="E19" s="240">
        <f>391400+84500</f>
        <v>475900</v>
      </c>
      <c r="F19" s="240">
        <f t="shared" si="23"/>
        <v>337900</v>
      </c>
      <c r="G19" s="240">
        <f t="shared" si="24"/>
        <v>-138000</v>
      </c>
      <c r="H19" s="240"/>
      <c r="I19" s="240"/>
      <c r="J19" s="240"/>
      <c r="K19" s="240"/>
      <c r="L19" s="240"/>
      <c r="M19" s="240"/>
      <c r="N19" s="240"/>
      <c r="O19" s="240"/>
      <c r="P19" s="240">
        <v>-138000</v>
      </c>
      <c r="Q19" s="240"/>
      <c r="R19" s="240"/>
      <c r="S19" s="240"/>
      <c r="T19" s="240"/>
      <c r="U19" s="253">
        <f t="shared" si="25"/>
        <v>0</v>
      </c>
      <c r="V19" s="253">
        <f t="shared" si="26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>
        <f t="shared" si="27"/>
        <v>475900</v>
      </c>
      <c r="AJ19" s="307">
        <f t="shared" si="28"/>
        <v>337900</v>
      </c>
    </row>
    <row r="20" spans="1:36" x14ac:dyDescent="0.2">
      <c r="A20" s="25"/>
      <c r="B20" s="479" t="s">
        <v>39</v>
      </c>
      <c r="C20" s="479"/>
      <c r="D20" s="26" t="s">
        <v>136</v>
      </c>
      <c r="E20" s="239">
        <f t="shared" ref="E20:T20" si="29">SUM(E21:E22)</f>
        <v>3229900</v>
      </c>
      <c r="F20" s="239">
        <f t="shared" ref="F20:G20" si="30">SUM(F21:F22)</f>
        <v>3167900</v>
      </c>
      <c r="G20" s="239">
        <f t="shared" si="30"/>
        <v>-62000</v>
      </c>
      <c r="H20" s="239">
        <f t="shared" ref="H20:R20" si="31">SUM(H21:H22)</f>
        <v>0</v>
      </c>
      <c r="I20" s="239">
        <f t="shared" si="31"/>
        <v>0</v>
      </c>
      <c r="J20" s="239">
        <f t="shared" si="31"/>
        <v>0</v>
      </c>
      <c r="K20" s="239">
        <f t="shared" si="31"/>
        <v>0</v>
      </c>
      <c r="L20" s="239">
        <f t="shared" si="31"/>
        <v>0</v>
      </c>
      <c r="M20" s="239">
        <f t="shared" si="31"/>
        <v>0</v>
      </c>
      <c r="N20" s="239">
        <f t="shared" si="31"/>
        <v>0</v>
      </c>
      <c r="O20" s="239">
        <f t="shared" si="31"/>
        <v>0</v>
      </c>
      <c r="P20" s="239">
        <f t="shared" si="31"/>
        <v>-62000</v>
      </c>
      <c r="Q20" s="239">
        <f t="shared" si="31"/>
        <v>0</v>
      </c>
      <c r="R20" s="239">
        <f t="shared" si="31"/>
        <v>0</v>
      </c>
      <c r="S20" s="239">
        <f t="shared" ref="S20:AH20" si="32">SUM(S21:S22)</f>
        <v>0</v>
      </c>
      <c r="T20" s="239">
        <f t="shared" si="29"/>
        <v>0</v>
      </c>
      <c r="U20" s="336">
        <f t="shared" si="32"/>
        <v>0</v>
      </c>
      <c r="V20" s="336">
        <f t="shared" si="32"/>
        <v>0</v>
      </c>
      <c r="W20" s="336">
        <f t="shared" ref="W20:AG20" si="33">SUM(W21:W22)</f>
        <v>0</v>
      </c>
      <c r="X20" s="336">
        <f t="shared" si="33"/>
        <v>0</v>
      </c>
      <c r="Y20" s="336">
        <f t="shared" si="33"/>
        <v>0</v>
      </c>
      <c r="Z20" s="336">
        <f t="shared" si="33"/>
        <v>0</v>
      </c>
      <c r="AA20" s="336">
        <f t="shared" si="33"/>
        <v>0</v>
      </c>
      <c r="AB20" s="336">
        <f t="shared" si="33"/>
        <v>0</v>
      </c>
      <c r="AC20" s="336">
        <f t="shared" si="33"/>
        <v>0</v>
      </c>
      <c r="AD20" s="336">
        <f t="shared" si="33"/>
        <v>0</v>
      </c>
      <c r="AE20" s="336">
        <f t="shared" si="33"/>
        <v>0</v>
      </c>
      <c r="AF20" s="336">
        <f t="shared" si="33"/>
        <v>0</v>
      </c>
      <c r="AG20" s="336">
        <f t="shared" si="33"/>
        <v>0</v>
      </c>
      <c r="AH20" s="336">
        <f t="shared" si="32"/>
        <v>0</v>
      </c>
      <c r="AI20" s="336">
        <f t="shared" ref="AI20" si="34">SUM(AI21:AI22)</f>
        <v>3229900</v>
      </c>
      <c r="AJ20" s="205">
        <f>SUM(AJ21:AJ22)</f>
        <v>3167900</v>
      </c>
    </row>
    <row r="21" spans="1:36" ht="24" x14ac:dyDescent="0.2">
      <c r="A21" s="22"/>
      <c r="B21" s="495" t="s">
        <v>40</v>
      </c>
      <c r="C21" s="495"/>
      <c r="D21" s="174" t="s">
        <v>145</v>
      </c>
      <c r="E21" s="237">
        <v>2866300</v>
      </c>
      <c r="F21" s="237">
        <f t="shared" ref="F21:F22" si="35">E21+G21</f>
        <v>2666300</v>
      </c>
      <c r="G21" s="237">
        <f t="shared" ref="G21:G22" si="36">SUBTOTAL(9,H21:S21)</f>
        <v>-200000</v>
      </c>
      <c r="H21" s="237"/>
      <c r="I21" s="237"/>
      <c r="J21" s="237"/>
      <c r="K21" s="237"/>
      <c r="L21" s="237"/>
      <c r="M21" s="237"/>
      <c r="N21" s="237"/>
      <c r="O21" s="237"/>
      <c r="P21" s="237">
        <v>-200000</v>
      </c>
      <c r="Q21" s="237"/>
      <c r="R21" s="237"/>
      <c r="S21" s="237"/>
      <c r="T21" s="237"/>
      <c r="U21" s="335">
        <f t="shared" ref="U21:U22" si="37">T21+V21</f>
        <v>0</v>
      </c>
      <c r="V21" s="335">
        <f t="shared" ref="V21:V22" si="38">SUBTOTAL(9,W21:AH21)</f>
        <v>0</v>
      </c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>
        <f t="shared" ref="AI21:AI22" si="39">E21+T21</f>
        <v>2866300</v>
      </c>
      <c r="AJ21" s="304">
        <f t="shared" ref="AJ21:AJ22" si="40">F21+U21</f>
        <v>2666300</v>
      </c>
    </row>
    <row r="22" spans="1:36" ht="24" x14ac:dyDescent="0.2">
      <c r="A22" s="23"/>
      <c r="B22" s="494" t="s">
        <v>41</v>
      </c>
      <c r="C22" s="494"/>
      <c r="D22" s="24" t="s">
        <v>146</v>
      </c>
      <c r="E22" s="240">
        <v>363600</v>
      </c>
      <c r="F22" s="240">
        <f t="shared" si="35"/>
        <v>501600</v>
      </c>
      <c r="G22" s="240">
        <f t="shared" si="36"/>
        <v>138000</v>
      </c>
      <c r="H22" s="240"/>
      <c r="I22" s="240"/>
      <c r="J22" s="240"/>
      <c r="K22" s="240"/>
      <c r="L22" s="240"/>
      <c r="M22" s="240"/>
      <c r="N22" s="240"/>
      <c r="O22" s="240"/>
      <c r="P22" s="240">
        <v>138000</v>
      </c>
      <c r="Q22" s="240"/>
      <c r="R22" s="240"/>
      <c r="S22" s="240"/>
      <c r="T22" s="240"/>
      <c r="U22" s="253">
        <f t="shared" si="37"/>
        <v>0</v>
      </c>
      <c r="V22" s="253">
        <f t="shared" si="38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>
        <f t="shared" si="39"/>
        <v>363600</v>
      </c>
      <c r="AJ22" s="307">
        <f t="shared" si="40"/>
        <v>501600</v>
      </c>
    </row>
    <row r="23" spans="1:36" x14ac:dyDescent="0.2">
      <c r="A23" s="28"/>
      <c r="B23" s="479" t="s">
        <v>281</v>
      </c>
      <c r="C23" s="479"/>
      <c r="D23" s="26" t="s">
        <v>284</v>
      </c>
      <c r="E23" s="239">
        <f t="shared" ref="E23:T23" si="41">SUM(E24:E25)</f>
        <v>1829046</v>
      </c>
      <c r="F23" s="239">
        <f t="shared" si="41"/>
        <v>1829046</v>
      </c>
      <c r="G23" s="239">
        <f t="shared" si="41"/>
        <v>0</v>
      </c>
      <c r="H23" s="239">
        <f t="shared" ref="H23:R23" si="42">SUM(H24:H25)</f>
        <v>0</v>
      </c>
      <c r="I23" s="239">
        <f t="shared" si="42"/>
        <v>0</v>
      </c>
      <c r="J23" s="239">
        <f t="shared" si="42"/>
        <v>0</v>
      </c>
      <c r="K23" s="239">
        <f t="shared" si="42"/>
        <v>0</v>
      </c>
      <c r="L23" s="239">
        <f t="shared" si="42"/>
        <v>0</v>
      </c>
      <c r="M23" s="239">
        <f t="shared" si="42"/>
        <v>0</v>
      </c>
      <c r="N23" s="239">
        <f t="shared" si="42"/>
        <v>0</v>
      </c>
      <c r="O23" s="239">
        <f t="shared" si="42"/>
        <v>0</v>
      </c>
      <c r="P23" s="239">
        <f t="shared" si="42"/>
        <v>0</v>
      </c>
      <c r="Q23" s="239">
        <f t="shared" si="42"/>
        <v>0</v>
      </c>
      <c r="R23" s="239">
        <f t="shared" si="42"/>
        <v>0</v>
      </c>
      <c r="S23" s="239">
        <f t="shared" ref="S23:AH23" si="43">SUM(S24:S25)</f>
        <v>0</v>
      </c>
      <c r="T23" s="239">
        <f t="shared" si="41"/>
        <v>0</v>
      </c>
      <c r="U23" s="336">
        <f t="shared" si="43"/>
        <v>0</v>
      </c>
      <c r="V23" s="336">
        <f t="shared" si="43"/>
        <v>0</v>
      </c>
      <c r="W23" s="336">
        <f t="shared" ref="W23:AG23" si="44">SUM(W24:W25)</f>
        <v>0</v>
      </c>
      <c r="X23" s="336">
        <f t="shared" si="44"/>
        <v>0</v>
      </c>
      <c r="Y23" s="336">
        <f t="shared" si="44"/>
        <v>0</v>
      </c>
      <c r="Z23" s="336">
        <f t="shared" si="44"/>
        <v>0</v>
      </c>
      <c r="AA23" s="336">
        <f t="shared" si="44"/>
        <v>0</v>
      </c>
      <c r="AB23" s="336">
        <f t="shared" si="44"/>
        <v>0</v>
      </c>
      <c r="AC23" s="336">
        <f t="shared" si="44"/>
        <v>0</v>
      </c>
      <c r="AD23" s="336">
        <f t="shared" si="44"/>
        <v>0</v>
      </c>
      <c r="AE23" s="336">
        <f t="shared" si="44"/>
        <v>0</v>
      </c>
      <c r="AF23" s="336">
        <f t="shared" si="44"/>
        <v>0</v>
      </c>
      <c r="AG23" s="336">
        <f t="shared" si="44"/>
        <v>0</v>
      </c>
      <c r="AH23" s="336">
        <f t="shared" si="43"/>
        <v>0</v>
      </c>
      <c r="AI23" s="336">
        <f t="shared" ref="AI23" si="45">SUM(AI24:AI25)</f>
        <v>1829046</v>
      </c>
      <c r="AJ23" s="205">
        <f>SUM(AJ24:AJ25)</f>
        <v>1829046</v>
      </c>
    </row>
    <row r="24" spans="1:36" ht="24" x14ac:dyDescent="0.2">
      <c r="A24" s="28"/>
      <c r="B24" s="495" t="s">
        <v>282</v>
      </c>
      <c r="C24" s="495"/>
      <c r="D24" s="174" t="s">
        <v>285</v>
      </c>
      <c r="E24" s="237">
        <v>1660046</v>
      </c>
      <c r="F24" s="237">
        <f t="shared" ref="F24:F25" si="46">E24+G24</f>
        <v>1660046</v>
      </c>
      <c r="G24" s="237">
        <f t="shared" ref="G24:G25" si="47">SUBTOTAL(9,H24:S24)</f>
        <v>0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335">
        <f t="shared" ref="U24:U25" si="48">T24+V24</f>
        <v>0</v>
      </c>
      <c r="V24" s="335">
        <f t="shared" ref="V24:V25" si="49">SUBTOTAL(9,W24:AH24)</f>
        <v>0</v>
      </c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>
        <f t="shared" ref="AI24:AI25" si="50">E24+T24</f>
        <v>1660046</v>
      </c>
      <c r="AJ24" s="308">
        <f t="shared" ref="AJ24:AJ25" si="51">F24+U24</f>
        <v>1660046</v>
      </c>
    </row>
    <row r="25" spans="1:36" ht="24" x14ac:dyDescent="0.2">
      <c r="A25" s="28"/>
      <c r="B25" s="494" t="s">
        <v>283</v>
      </c>
      <c r="C25" s="494"/>
      <c r="D25" s="24" t="s">
        <v>286</v>
      </c>
      <c r="E25" s="238">
        <f>119000+50000</f>
        <v>169000</v>
      </c>
      <c r="F25" s="238">
        <f t="shared" si="46"/>
        <v>169000</v>
      </c>
      <c r="G25" s="238">
        <f t="shared" si="47"/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53">
        <f t="shared" si="48"/>
        <v>0</v>
      </c>
      <c r="V25" s="253">
        <f t="shared" si="4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>
        <f t="shared" si="50"/>
        <v>169000</v>
      </c>
      <c r="AJ25" s="307">
        <f t="shared" si="51"/>
        <v>169000</v>
      </c>
    </row>
    <row r="26" spans="1:36" s="80" customFormat="1" ht="24" x14ac:dyDescent="0.2">
      <c r="A26" s="480" t="s">
        <v>42</v>
      </c>
      <c r="B26" s="481"/>
      <c r="C26" s="481"/>
      <c r="D26" s="16" t="s">
        <v>43</v>
      </c>
      <c r="E26" s="17">
        <f t="shared" ref="E26:G26" si="52">SUM(E27,E29)</f>
        <v>205900</v>
      </c>
      <c r="F26" s="17">
        <f t="shared" si="52"/>
        <v>132900</v>
      </c>
      <c r="G26" s="17">
        <f t="shared" si="52"/>
        <v>-73000</v>
      </c>
      <c r="H26" s="17">
        <f t="shared" ref="H26:R26" si="53">SUM(H27,H29)</f>
        <v>0</v>
      </c>
      <c r="I26" s="17">
        <f t="shared" si="53"/>
        <v>0</v>
      </c>
      <c r="J26" s="17">
        <f t="shared" si="53"/>
        <v>0</v>
      </c>
      <c r="K26" s="17">
        <f t="shared" si="53"/>
        <v>0</v>
      </c>
      <c r="L26" s="17">
        <f t="shared" si="53"/>
        <v>0</v>
      </c>
      <c r="M26" s="17">
        <f t="shared" si="53"/>
        <v>0</v>
      </c>
      <c r="N26" s="17">
        <f t="shared" si="53"/>
        <v>-57000</v>
      </c>
      <c r="O26" s="17">
        <f t="shared" si="53"/>
        <v>0</v>
      </c>
      <c r="P26" s="17">
        <f t="shared" si="53"/>
        <v>-16000</v>
      </c>
      <c r="Q26" s="17">
        <f t="shared" si="53"/>
        <v>0</v>
      </c>
      <c r="R26" s="17">
        <f t="shared" si="53"/>
        <v>0</v>
      </c>
      <c r="S26" s="17">
        <f t="shared" ref="S26:T26" si="54">SUM(S27,S29)</f>
        <v>0</v>
      </c>
      <c r="T26" s="17">
        <f t="shared" si="54"/>
        <v>0</v>
      </c>
      <c r="U26" s="332">
        <f t="shared" ref="U26:AH26" si="55">SUM(U27,U29)</f>
        <v>0</v>
      </c>
      <c r="V26" s="332">
        <f t="shared" si="55"/>
        <v>0</v>
      </c>
      <c r="W26" s="332">
        <f t="shared" ref="W26:AG26" si="56">SUM(W27,W29)</f>
        <v>0</v>
      </c>
      <c r="X26" s="332">
        <f t="shared" si="56"/>
        <v>0</v>
      </c>
      <c r="Y26" s="332">
        <f t="shared" si="56"/>
        <v>0</v>
      </c>
      <c r="Z26" s="332">
        <f t="shared" si="56"/>
        <v>0</v>
      </c>
      <c r="AA26" s="332">
        <f t="shared" si="56"/>
        <v>0</v>
      </c>
      <c r="AB26" s="332">
        <f t="shared" si="56"/>
        <v>0</v>
      </c>
      <c r="AC26" s="332">
        <f t="shared" si="56"/>
        <v>0</v>
      </c>
      <c r="AD26" s="332">
        <f t="shared" si="56"/>
        <v>0</v>
      </c>
      <c r="AE26" s="332">
        <f t="shared" si="56"/>
        <v>0</v>
      </c>
      <c r="AF26" s="332">
        <f t="shared" si="56"/>
        <v>0</v>
      </c>
      <c r="AG26" s="332">
        <f t="shared" si="56"/>
        <v>0</v>
      </c>
      <c r="AH26" s="332">
        <f t="shared" si="55"/>
        <v>0</v>
      </c>
      <c r="AI26" s="332">
        <f t="shared" ref="AI26" si="57">SUM(AI27,AI29)</f>
        <v>205900</v>
      </c>
      <c r="AJ26" s="305">
        <f t="shared" ref="AJ26" si="58">SUM(AJ27,AJ29)</f>
        <v>132900</v>
      </c>
    </row>
    <row r="27" spans="1:36" s="79" customFormat="1" ht="24" customHeight="1" x14ac:dyDescent="0.2">
      <c r="A27" s="18"/>
      <c r="B27" s="482" t="s">
        <v>44</v>
      </c>
      <c r="C27" s="482"/>
      <c r="D27" s="27" t="s">
        <v>45</v>
      </c>
      <c r="E27" s="124">
        <f t="shared" ref="E27:AI27" si="59">E28</f>
        <v>125000</v>
      </c>
      <c r="F27" s="124">
        <f t="shared" si="59"/>
        <v>52000</v>
      </c>
      <c r="G27" s="124">
        <f t="shared" si="59"/>
        <v>-73000</v>
      </c>
      <c r="H27" s="124">
        <f t="shared" si="59"/>
        <v>0</v>
      </c>
      <c r="I27" s="124">
        <f t="shared" si="59"/>
        <v>0</v>
      </c>
      <c r="J27" s="124">
        <f t="shared" si="59"/>
        <v>0</v>
      </c>
      <c r="K27" s="124">
        <f t="shared" si="59"/>
        <v>0</v>
      </c>
      <c r="L27" s="124">
        <f t="shared" si="59"/>
        <v>0</v>
      </c>
      <c r="M27" s="124">
        <f t="shared" si="59"/>
        <v>0</v>
      </c>
      <c r="N27" s="124">
        <f t="shared" si="59"/>
        <v>-57000</v>
      </c>
      <c r="O27" s="124">
        <f t="shared" si="59"/>
        <v>0</v>
      </c>
      <c r="P27" s="124">
        <f t="shared" si="59"/>
        <v>-16000</v>
      </c>
      <c r="Q27" s="124">
        <f t="shared" si="59"/>
        <v>0</v>
      </c>
      <c r="R27" s="124">
        <f t="shared" si="59"/>
        <v>0</v>
      </c>
      <c r="S27" s="124">
        <f t="shared" si="59"/>
        <v>0</v>
      </c>
      <c r="T27" s="124">
        <f t="shared" si="59"/>
        <v>0</v>
      </c>
      <c r="U27" s="333">
        <f t="shared" si="59"/>
        <v>0</v>
      </c>
      <c r="V27" s="333">
        <f t="shared" si="59"/>
        <v>0</v>
      </c>
      <c r="W27" s="333">
        <f t="shared" si="59"/>
        <v>0</v>
      </c>
      <c r="X27" s="333">
        <f t="shared" si="59"/>
        <v>0</v>
      </c>
      <c r="Y27" s="333">
        <f t="shared" si="59"/>
        <v>0</v>
      </c>
      <c r="Z27" s="333">
        <f t="shared" si="59"/>
        <v>0</v>
      </c>
      <c r="AA27" s="333">
        <f t="shared" si="59"/>
        <v>0</v>
      </c>
      <c r="AB27" s="333">
        <f t="shared" si="59"/>
        <v>0</v>
      </c>
      <c r="AC27" s="333">
        <f t="shared" si="59"/>
        <v>0</v>
      </c>
      <c r="AD27" s="333">
        <f t="shared" si="59"/>
        <v>0</v>
      </c>
      <c r="AE27" s="333">
        <f t="shared" si="59"/>
        <v>0</v>
      </c>
      <c r="AF27" s="333">
        <f t="shared" si="59"/>
        <v>0</v>
      </c>
      <c r="AG27" s="333">
        <f t="shared" si="59"/>
        <v>0</v>
      </c>
      <c r="AH27" s="333">
        <f t="shared" si="59"/>
        <v>0</v>
      </c>
      <c r="AI27" s="333">
        <f t="shared" si="59"/>
        <v>125000</v>
      </c>
      <c r="AJ27" s="306">
        <f t="shared" ref="AJ27" si="60">AJ28</f>
        <v>52000</v>
      </c>
    </row>
    <row r="28" spans="1:36" x14ac:dyDescent="0.2">
      <c r="A28" s="28"/>
      <c r="B28" s="491" t="s">
        <v>46</v>
      </c>
      <c r="C28" s="491"/>
      <c r="D28" s="29" t="s">
        <v>47</v>
      </c>
      <c r="E28" s="238">
        <v>125000</v>
      </c>
      <c r="F28" s="238">
        <f>E28+G28</f>
        <v>52000</v>
      </c>
      <c r="G28" s="238">
        <f>SUBTOTAL(9,H28:S28)</f>
        <v>-73000</v>
      </c>
      <c r="H28" s="238"/>
      <c r="I28" s="238"/>
      <c r="J28" s="238"/>
      <c r="K28" s="238"/>
      <c r="L28" s="238"/>
      <c r="M28" s="238"/>
      <c r="N28" s="238">
        <v>-57000</v>
      </c>
      <c r="O28" s="238"/>
      <c r="P28" s="238">
        <v>-16000</v>
      </c>
      <c r="Q28" s="238"/>
      <c r="R28" s="238"/>
      <c r="S28" s="238"/>
      <c r="T28" s="238"/>
      <c r="U28" s="253">
        <f>T28+V28</f>
        <v>0</v>
      </c>
      <c r="V28" s="253">
        <f>SUBTOTAL(9,W28:AH28)</f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>
        <f>E28+T28</f>
        <v>125000</v>
      </c>
      <c r="AJ28" s="307">
        <f>F28+U28</f>
        <v>52000</v>
      </c>
    </row>
    <row r="29" spans="1:36" s="79" customFormat="1" ht="24" x14ac:dyDescent="0.2">
      <c r="A29" s="18"/>
      <c r="B29" s="492" t="s">
        <v>48</v>
      </c>
      <c r="C29" s="493"/>
      <c r="D29" s="30" t="s">
        <v>49</v>
      </c>
      <c r="E29" s="247">
        <f t="shared" ref="E29:U30" si="61">SUM(E30)</f>
        <v>80900</v>
      </c>
      <c r="F29" s="247">
        <f t="shared" si="61"/>
        <v>80900</v>
      </c>
      <c r="G29" s="247">
        <f t="shared" si="61"/>
        <v>0</v>
      </c>
      <c r="H29" s="247">
        <f t="shared" si="61"/>
        <v>0</v>
      </c>
      <c r="I29" s="247">
        <f t="shared" si="61"/>
        <v>0</v>
      </c>
      <c r="J29" s="247">
        <f t="shared" si="61"/>
        <v>0</v>
      </c>
      <c r="K29" s="247">
        <f t="shared" si="61"/>
        <v>0</v>
      </c>
      <c r="L29" s="247">
        <f t="shared" si="61"/>
        <v>0</v>
      </c>
      <c r="M29" s="247">
        <f t="shared" si="61"/>
        <v>0</v>
      </c>
      <c r="N29" s="247">
        <f t="shared" si="61"/>
        <v>0</v>
      </c>
      <c r="O29" s="247">
        <f t="shared" si="61"/>
        <v>0</v>
      </c>
      <c r="P29" s="247">
        <f t="shared" si="61"/>
        <v>0</v>
      </c>
      <c r="Q29" s="247">
        <f t="shared" si="61"/>
        <v>0</v>
      </c>
      <c r="R29" s="247">
        <f t="shared" si="61"/>
        <v>0</v>
      </c>
      <c r="S29" s="247">
        <f t="shared" si="61"/>
        <v>0</v>
      </c>
      <c r="T29" s="247">
        <f t="shared" si="61"/>
        <v>0</v>
      </c>
      <c r="U29" s="248">
        <f t="shared" si="61"/>
        <v>0</v>
      </c>
      <c r="V29" s="248">
        <f t="shared" ref="U29:AI30" si="62">SUM(V30)</f>
        <v>0</v>
      </c>
      <c r="W29" s="248">
        <f t="shared" si="62"/>
        <v>0</v>
      </c>
      <c r="X29" s="248">
        <f t="shared" si="62"/>
        <v>0</v>
      </c>
      <c r="Y29" s="248">
        <f t="shared" si="62"/>
        <v>0</v>
      </c>
      <c r="Z29" s="248">
        <f t="shared" si="62"/>
        <v>0</v>
      </c>
      <c r="AA29" s="248">
        <f t="shared" si="62"/>
        <v>0</v>
      </c>
      <c r="AB29" s="248">
        <f t="shared" si="62"/>
        <v>0</v>
      </c>
      <c r="AC29" s="248">
        <f t="shared" si="62"/>
        <v>0</v>
      </c>
      <c r="AD29" s="248">
        <f t="shared" si="62"/>
        <v>0</v>
      </c>
      <c r="AE29" s="248">
        <f t="shared" si="62"/>
        <v>0</v>
      </c>
      <c r="AF29" s="248">
        <f t="shared" si="62"/>
        <v>0</v>
      </c>
      <c r="AG29" s="248">
        <f t="shared" si="62"/>
        <v>0</v>
      </c>
      <c r="AH29" s="248">
        <f t="shared" si="62"/>
        <v>0</v>
      </c>
      <c r="AI29" s="248">
        <f t="shared" si="62"/>
        <v>80900</v>
      </c>
      <c r="AJ29" s="306">
        <f t="shared" ref="AJ29:AJ30" si="63">SUM(AJ30)</f>
        <v>80900</v>
      </c>
    </row>
    <row r="30" spans="1:36" x14ac:dyDescent="0.2">
      <c r="A30" s="28"/>
      <c r="B30" s="489" t="s">
        <v>50</v>
      </c>
      <c r="C30" s="490"/>
      <c r="D30" s="32" t="s">
        <v>51</v>
      </c>
      <c r="E30" s="239">
        <f t="shared" si="61"/>
        <v>80900</v>
      </c>
      <c r="F30" s="239">
        <f t="shared" si="61"/>
        <v>80900</v>
      </c>
      <c r="G30" s="239">
        <f t="shared" si="61"/>
        <v>0</v>
      </c>
      <c r="H30" s="239">
        <f t="shared" si="61"/>
        <v>0</v>
      </c>
      <c r="I30" s="239">
        <f t="shared" si="61"/>
        <v>0</v>
      </c>
      <c r="J30" s="239">
        <f t="shared" si="61"/>
        <v>0</v>
      </c>
      <c r="K30" s="239">
        <f t="shared" si="61"/>
        <v>0</v>
      </c>
      <c r="L30" s="239">
        <f t="shared" si="61"/>
        <v>0</v>
      </c>
      <c r="M30" s="239">
        <f t="shared" si="61"/>
        <v>0</v>
      </c>
      <c r="N30" s="239">
        <f t="shared" si="61"/>
        <v>0</v>
      </c>
      <c r="O30" s="239">
        <f t="shared" si="61"/>
        <v>0</v>
      </c>
      <c r="P30" s="239">
        <f t="shared" si="61"/>
        <v>0</v>
      </c>
      <c r="Q30" s="239">
        <f t="shared" si="61"/>
        <v>0</v>
      </c>
      <c r="R30" s="239">
        <f t="shared" si="61"/>
        <v>0</v>
      </c>
      <c r="S30" s="239">
        <f t="shared" si="61"/>
        <v>0</v>
      </c>
      <c r="T30" s="239">
        <f t="shared" si="61"/>
        <v>0</v>
      </c>
      <c r="U30" s="336">
        <f t="shared" si="62"/>
        <v>0</v>
      </c>
      <c r="V30" s="336">
        <f t="shared" si="62"/>
        <v>0</v>
      </c>
      <c r="W30" s="336">
        <f t="shared" si="62"/>
        <v>0</v>
      </c>
      <c r="X30" s="336">
        <f t="shared" si="62"/>
        <v>0</v>
      </c>
      <c r="Y30" s="336">
        <f t="shared" si="62"/>
        <v>0</v>
      </c>
      <c r="Z30" s="336">
        <f t="shared" si="62"/>
        <v>0</v>
      </c>
      <c r="AA30" s="336">
        <f t="shared" si="62"/>
        <v>0</v>
      </c>
      <c r="AB30" s="336">
        <f t="shared" si="62"/>
        <v>0</v>
      </c>
      <c r="AC30" s="336">
        <f t="shared" si="62"/>
        <v>0</v>
      </c>
      <c r="AD30" s="336">
        <f t="shared" si="62"/>
        <v>0</v>
      </c>
      <c r="AE30" s="336">
        <f t="shared" si="62"/>
        <v>0</v>
      </c>
      <c r="AF30" s="336">
        <f t="shared" si="62"/>
        <v>0</v>
      </c>
      <c r="AG30" s="336">
        <f t="shared" si="62"/>
        <v>0</v>
      </c>
      <c r="AH30" s="336">
        <f t="shared" si="62"/>
        <v>0</v>
      </c>
      <c r="AI30" s="336">
        <f t="shared" si="62"/>
        <v>80900</v>
      </c>
      <c r="AJ30" s="205">
        <f t="shared" si="63"/>
        <v>80900</v>
      </c>
    </row>
    <row r="31" spans="1:36" ht="24" x14ac:dyDescent="0.2">
      <c r="A31" s="28"/>
      <c r="B31" s="289"/>
      <c r="C31" s="291" t="s">
        <v>241</v>
      </c>
      <c r="D31" s="66" t="s">
        <v>242</v>
      </c>
      <c r="E31" s="238">
        <v>80900</v>
      </c>
      <c r="F31" s="238">
        <f>E31+G31</f>
        <v>80900</v>
      </c>
      <c r="G31" s="238">
        <f>SUBTOTAL(9,H31:S31)</f>
        <v>0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53">
        <f>T31+V31</f>
        <v>0</v>
      </c>
      <c r="V31" s="253">
        <f>SUBTOTAL(9,W31:AH31)</f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>
        <f>E31+T31</f>
        <v>80900</v>
      </c>
      <c r="AJ31" s="307">
        <f>F31+U31</f>
        <v>80900</v>
      </c>
    </row>
    <row r="32" spans="1:36" s="80" customFormat="1" ht="26.25" customHeight="1" x14ac:dyDescent="0.2">
      <c r="A32" s="480" t="s">
        <v>52</v>
      </c>
      <c r="B32" s="481"/>
      <c r="C32" s="481"/>
      <c r="D32" s="33" t="s">
        <v>120</v>
      </c>
      <c r="E32" s="17">
        <f>SUM(E33)</f>
        <v>2000</v>
      </c>
      <c r="F32" s="17">
        <f t="shared" ref="F32:R32" si="64">SUM(F33)</f>
        <v>6000</v>
      </c>
      <c r="G32" s="17">
        <f t="shared" si="64"/>
        <v>4000</v>
      </c>
      <c r="H32" s="17">
        <f t="shared" si="64"/>
        <v>0</v>
      </c>
      <c r="I32" s="17">
        <f t="shared" si="64"/>
        <v>0</v>
      </c>
      <c r="J32" s="17">
        <f t="shared" si="64"/>
        <v>0</v>
      </c>
      <c r="K32" s="17">
        <f t="shared" si="64"/>
        <v>0</v>
      </c>
      <c r="L32" s="17">
        <f t="shared" si="64"/>
        <v>0</v>
      </c>
      <c r="M32" s="17">
        <f t="shared" si="64"/>
        <v>0</v>
      </c>
      <c r="N32" s="17">
        <f t="shared" si="64"/>
        <v>0</v>
      </c>
      <c r="O32" s="17">
        <f t="shared" si="64"/>
        <v>0</v>
      </c>
      <c r="P32" s="17">
        <f t="shared" si="64"/>
        <v>4000</v>
      </c>
      <c r="Q32" s="17">
        <f t="shared" si="64"/>
        <v>0</v>
      </c>
      <c r="R32" s="17">
        <f t="shared" si="64"/>
        <v>0</v>
      </c>
      <c r="S32" s="17">
        <f t="shared" ref="S32:AJ32" si="65">SUM(S33)</f>
        <v>0</v>
      </c>
      <c r="T32" s="17">
        <f t="shared" si="65"/>
        <v>0</v>
      </c>
      <c r="U32" s="332">
        <f t="shared" si="65"/>
        <v>0</v>
      </c>
      <c r="V32" s="332">
        <f t="shared" si="65"/>
        <v>0</v>
      </c>
      <c r="W32" s="332">
        <f t="shared" si="65"/>
        <v>0</v>
      </c>
      <c r="X32" s="332">
        <f t="shared" si="65"/>
        <v>0</v>
      </c>
      <c r="Y32" s="332">
        <f t="shared" si="65"/>
        <v>0</v>
      </c>
      <c r="Z32" s="332">
        <f t="shared" si="65"/>
        <v>0</v>
      </c>
      <c r="AA32" s="332">
        <f t="shared" si="65"/>
        <v>0</v>
      </c>
      <c r="AB32" s="332">
        <f t="shared" si="65"/>
        <v>0</v>
      </c>
      <c r="AC32" s="332">
        <f t="shared" si="65"/>
        <v>0</v>
      </c>
      <c r="AD32" s="332">
        <f t="shared" si="65"/>
        <v>0</v>
      </c>
      <c r="AE32" s="332">
        <f t="shared" si="65"/>
        <v>0</v>
      </c>
      <c r="AF32" s="332">
        <f t="shared" si="65"/>
        <v>0</v>
      </c>
      <c r="AG32" s="332">
        <f t="shared" si="65"/>
        <v>0</v>
      </c>
      <c r="AH32" s="332">
        <f t="shared" si="65"/>
        <v>0</v>
      </c>
      <c r="AI32" s="332">
        <f t="shared" si="65"/>
        <v>2000</v>
      </c>
      <c r="AJ32" s="301">
        <f t="shared" si="65"/>
        <v>6000</v>
      </c>
    </row>
    <row r="33" spans="1:36" s="79" customFormat="1" ht="36" x14ac:dyDescent="0.2">
      <c r="A33" s="18"/>
      <c r="B33" s="482" t="s">
        <v>53</v>
      </c>
      <c r="C33" s="482"/>
      <c r="D33" s="19" t="s">
        <v>276</v>
      </c>
      <c r="E33" s="124">
        <f t="shared" ref="E33:AI33" si="66">SUM(E34)</f>
        <v>2000</v>
      </c>
      <c r="F33" s="124">
        <f t="shared" si="66"/>
        <v>6000</v>
      </c>
      <c r="G33" s="124">
        <f t="shared" si="66"/>
        <v>4000</v>
      </c>
      <c r="H33" s="124">
        <f t="shared" si="66"/>
        <v>0</v>
      </c>
      <c r="I33" s="124">
        <f t="shared" si="66"/>
        <v>0</v>
      </c>
      <c r="J33" s="124">
        <f t="shared" si="66"/>
        <v>0</v>
      </c>
      <c r="K33" s="124">
        <f t="shared" si="66"/>
        <v>0</v>
      </c>
      <c r="L33" s="124">
        <f t="shared" si="66"/>
        <v>0</v>
      </c>
      <c r="M33" s="124">
        <f t="shared" si="66"/>
        <v>0</v>
      </c>
      <c r="N33" s="124">
        <f t="shared" si="66"/>
        <v>0</v>
      </c>
      <c r="O33" s="124">
        <f t="shared" si="66"/>
        <v>0</v>
      </c>
      <c r="P33" s="124">
        <f t="shared" si="66"/>
        <v>4000</v>
      </c>
      <c r="Q33" s="124">
        <f t="shared" si="66"/>
        <v>0</v>
      </c>
      <c r="R33" s="124">
        <f t="shared" si="66"/>
        <v>0</v>
      </c>
      <c r="S33" s="124">
        <f t="shared" si="66"/>
        <v>0</v>
      </c>
      <c r="T33" s="124">
        <f t="shared" si="66"/>
        <v>0</v>
      </c>
      <c r="U33" s="333">
        <f t="shared" si="66"/>
        <v>0</v>
      </c>
      <c r="V33" s="333">
        <f t="shared" si="66"/>
        <v>0</v>
      </c>
      <c r="W33" s="333">
        <f t="shared" si="66"/>
        <v>0</v>
      </c>
      <c r="X33" s="333">
        <f t="shared" si="66"/>
        <v>0</v>
      </c>
      <c r="Y33" s="333">
        <f t="shared" si="66"/>
        <v>0</v>
      </c>
      <c r="Z33" s="333">
        <f t="shared" si="66"/>
        <v>0</v>
      </c>
      <c r="AA33" s="333">
        <f t="shared" si="66"/>
        <v>0</v>
      </c>
      <c r="AB33" s="333">
        <f t="shared" si="66"/>
        <v>0</v>
      </c>
      <c r="AC33" s="333">
        <f t="shared" si="66"/>
        <v>0</v>
      </c>
      <c r="AD33" s="333">
        <f t="shared" si="66"/>
        <v>0</v>
      </c>
      <c r="AE33" s="333">
        <f t="shared" si="66"/>
        <v>0</v>
      </c>
      <c r="AF33" s="333">
        <f t="shared" si="66"/>
        <v>0</v>
      </c>
      <c r="AG33" s="333">
        <f t="shared" si="66"/>
        <v>0</v>
      </c>
      <c r="AH33" s="333">
        <f t="shared" si="66"/>
        <v>0</v>
      </c>
      <c r="AI33" s="333">
        <f t="shared" si="66"/>
        <v>2000</v>
      </c>
      <c r="AJ33" s="306">
        <f t="shared" ref="AJ33" si="67">SUM(AJ34)</f>
        <v>6000</v>
      </c>
    </row>
    <row r="34" spans="1:36" ht="24" x14ac:dyDescent="0.2">
      <c r="A34" s="25"/>
      <c r="B34" s="479" t="s">
        <v>465</v>
      </c>
      <c r="C34" s="479"/>
      <c r="D34" s="26" t="s">
        <v>497</v>
      </c>
      <c r="E34" s="239">
        <v>2000</v>
      </c>
      <c r="F34" s="239">
        <f>E34+G34</f>
        <v>6000</v>
      </c>
      <c r="G34" s="239">
        <f>SUBTOTAL(9,H34:S34)</f>
        <v>4000</v>
      </c>
      <c r="H34" s="239"/>
      <c r="I34" s="239"/>
      <c r="J34" s="239"/>
      <c r="K34" s="239"/>
      <c r="L34" s="239"/>
      <c r="M34" s="239"/>
      <c r="N34" s="239"/>
      <c r="O34" s="239"/>
      <c r="P34" s="239">
        <v>4000</v>
      </c>
      <c r="Q34" s="239"/>
      <c r="R34" s="239"/>
      <c r="S34" s="239"/>
      <c r="T34" s="239"/>
      <c r="U34" s="336">
        <f>T34+V34</f>
        <v>0</v>
      </c>
      <c r="V34" s="336">
        <f>SUBTOTAL(9,W34:AH34)</f>
        <v>0</v>
      </c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>
        <f>E34+T34</f>
        <v>2000</v>
      </c>
      <c r="AJ34" s="205">
        <f>F34+U34</f>
        <v>6000</v>
      </c>
    </row>
    <row r="35" spans="1:36" s="80" customFormat="1" ht="24" x14ac:dyDescent="0.2">
      <c r="A35" s="480" t="s">
        <v>54</v>
      </c>
      <c r="B35" s="481"/>
      <c r="C35" s="481"/>
      <c r="D35" s="33" t="s">
        <v>55</v>
      </c>
      <c r="E35" s="17">
        <f>SUM(E36,E40)</f>
        <v>3000900</v>
      </c>
      <c r="F35" s="17">
        <f t="shared" ref="F35" si="68">SUM(F36,F40)</f>
        <v>2830737</v>
      </c>
      <c r="G35" s="17">
        <f t="shared" ref="G35" si="69">SUM(G36,G40)</f>
        <v>-170163</v>
      </c>
      <c r="H35" s="17">
        <f t="shared" ref="H35:R35" si="70">SUM(H36,H40)</f>
        <v>0</v>
      </c>
      <c r="I35" s="17">
        <f t="shared" si="70"/>
        <v>0</v>
      </c>
      <c r="J35" s="17">
        <f t="shared" si="70"/>
        <v>0</v>
      </c>
      <c r="K35" s="17">
        <f t="shared" si="70"/>
        <v>0</v>
      </c>
      <c r="L35" s="17">
        <f t="shared" si="70"/>
        <v>0</v>
      </c>
      <c r="M35" s="17">
        <f t="shared" si="70"/>
        <v>0</v>
      </c>
      <c r="N35" s="17">
        <f t="shared" si="70"/>
        <v>-392700</v>
      </c>
      <c r="O35" s="17">
        <f t="shared" si="70"/>
        <v>0</v>
      </c>
      <c r="P35" s="17">
        <f t="shared" si="70"/>
        <v>222537</v>
      </c>
      <c r="Q35" s="17">
        <f t="shared" si="70"/>
        <v>0</v>
      </c>
      <c r="R35" s="17">
        <f t="shared" si="70"/>
        <v>0</v>
      </c>
      <c r="S35" s="17">
        <f>SUM(S36,S40)</f>
        <v>0</v>
      </c>
      <c r="T35" s="17">
        <f>SUM(T36,T40)</f>
        <v>0</v>
      </c>
      <c r="U35" s="332">
        <f t="shared" ref="U35:AI35" si="71">SUM(U36,U40)</f>
        <v>0</v>
      </c>
      <c r="V35" s="332">
        <f t="shared" si="71"/>
        <v>0</v>
      </c>
      <c r="W35" s="332">
        <f t="shared" ref="W35" si="72">SUM(W36,W40)</f>
        <v>0</v>
      </c>
      <c r="X35" s="332">
        <f t="shared" ref="X35" si="73">SUM(X36,X40)</f>
        <v>0</v>
      </c>
      <c r="Y35" s="332">
        <f t="shared" ref="Y35" si="74">SUM(Y36,Y40)</f>
        <v>0</v>
      </c>
      <c r="Z35" s="332">
        <f t="shared" ref="Z35" si="75">SUM(Z36,Z40)</f>
        <v>0</v>
      </c>
      <c r="AA35" s="332">
        <f t="shared" ref="AA35" si="76">SUM(AA36,AA40)</f>
        <v>0</v>
      </c>
      <c r="AB35" s="332">
        <f t="shared" ref="AB35" si="77">SUM(AB36,AB40)</f>
        <v>0</v>
      </c>
      <c r="AC35" s="332">
        <f t="shared" ref="AC35" si="78">SUM(AC36,AC40)</f>
        <v>0</v>
      </c>
      <c r="AD35" s="332">
        <f t="shared" ref="AD35" si="79">SUM(AD36,AD40)</f>
        <v>0</v>
      </c>
      <c r="AE35" s="332">
        <f t="shared" ref="AE35" si="80">SUM(AE36,AE40)</f>
        <v>0</v>
      </c>
      <c r="AF35" s="332">
        <f t="shared" ref="AF35" si="81">SUM(AF36,AF40)</f>
        <v>0</v>
      </c>
      <c r="AG35" s="332">
        <f t="shared" ref="AG35" si="82">SUM(AG36,AG40)</f>
        <v>0</v>
      </c>
      <c r="AH35" s="332">
        <f t="shared" si="71"/>
        <v>0</v>
      </c>
      <c r="AI35" s="332">
        <f t="shared" si="71"/>
        <v>3000900</v>
      </c>
      <c r="AJ35" s="305">
        <f>SUM(AJ36,AJ40)</f>
        <v>2830737</v>
      </c>
    </row>
    <row r="36" spans="1:36" s="79" customFormat="1" ht="24" x14ac:dyDescent="0.2">
      <c r="A36" s="18"/>
      <c r="B36" s="482" t="s">
        <v>56</v>
      </c>
      <c r="C36" s="482"/>
      <c r="D36" s="19" t="s">
        <v>57</v>
      </c>
      <c r="E36" s="124">
        <f>SUM(E37:E39)</f>
        <v>17900</v>
      </c>
      <c r="F36" s="124">
        <f t="shared" ref="F36" si="83">SUM(F37:F39)</f>
        <v>15200</v>
      </c>
      <c r="G36" s="124">
        <f t="shared" ref="G36" si="84">SUM(G37:G39)</f>
        <v>-2700</v>
      </c>
      <c r="H36" s="124">
        <f t="shared" ref="H36:R36" si="85">SUM(H37:H39)</f>
        <v>0</v>
      </c>
      <c r="I36" s="124">
        <f t="shared" si="85"/>
        <v>0</v>
      </c>
      <c r="J36" s="124">
        <f t="shared" si="85"/>
        <v>0</v>
      </c>
      <c r="K36" s="124">
        <f t="shared" si="85"/>
        <v>0</v>
      </c>
      <c r="L36" s="124">
        <f t="shared" si="85"/>
        <v>0</v>
      </c>
      <c r="M36" s="124">
        <f t="shared" si="85"/>
        <v>0</v>
      </c>
      <c r="N36" s="124">
        <f t="shared" si="85"/>
        <v>-2700</v>
      </c>
      <c r="O36" s="124">
        <f t="shared" si="85"/>
        <v>0</v>
      </c>
      <c r="P36" s="124">
        <f t="shared" si="85"/>
        <v>0</v>
      </c>
      <c r="Q36" s="124">
        <f t="shared" si="85"/>
        <v>0</v>
      </c>
      <c r="R36" s="124">
        <f t="shared" si="85"/>
        <v>0</v>
      </c>
      <c r="S36" s="124">
        <f>SUM(S37:S39)</f>
        <v>0</v>
      </c>
      <c r="T36" s="124">
        <f>SUM(T37:T39)</f>
        <v>0</v>
      </c>
      <c r="U36" s="333">
        <f t="shared" ref="U36:AI36" si="86">SUM(U37:U39)</f>
        <v>0</v>
      </c>
      <c r="V36" s="333">
        <f t="shared" si="86"/>
        <v>0</v>
      </c>
      <c r="W36" s="333">
        <f t="shared" ref="W36" si="87">SUM(W37:W39)</f>
        <v>0</v>
      </c>
      <c r="X36" s="333">
        <f t="shared" ref="X36" si="88">SUM(X37:X39)</f>
        <v>0</v>
      </c>
      <c r="Y36" s="333">
        <f t="shared" ref="Y36" si="89">SUM(Y37:Y39)</f>
        <v>0</v>
      </c>
      <c r="Z36" s="333">
        <f t="shared" ref="Z36" si="90">SUM(Z37:Z39)</f>
        <v>0</v>
      </c>
      <c r="AA36" s="333">
        <f t="shared" ref="AA36" si="91">SUM(AA37:AA39)</f>
        <v>0</v>
      </c>
      <c r="AB36" s="333">
        <f t="shared" ref="AB36" si="92">SUM(AB37:AB39)</f>
        <v>0</v>
      </c>
      <c r="AC36" s="333">
        <f t="shared" ref="AC36" si="93">SUM(AC37:AC39)</f>
        <v>0</v>
      </c>
      <c r="AD36" s="333">
        <f t="shared" ref="AD36" si="94">SUM(AD37:AD39)</f>
        <v>0</v>
      </c>
      <c r="AE36" s="333">
        <f t="shared" ref="AE36" si="95">SUM(AE37:AE39)</f>
        <v>0</v>
      </c>
      <c r="AF36" s="333">
        <f t="shared" ref="AF36" si="96">SUM(AF37:AF39)</f>
        <v>0</v>
      </c>
      <c r="AG36" s="333">
        <f t="shared" ref="AG36" si="97">SUM(AG37:AG39)</f>
        <v>0</v>
      </c>
      <c r="AH36" s="333">
        <f t="shared" si="86"/>
        <v>0</v>
      </c>
      <c r="AI36" s="333">
        <f t="shared" si="86"/>
        <v>17900</v>
      </c>
      <c r="AJ36" s="306">
        <f>SUM(AJ37:AJ39)</f>
        <v>15200</v>
      </c>
    </row>
    <row r="37" spans="1:36" ht="48" x14ac:dyDescent="0.2">
      <c r="A37" s="25"/>
      <c r="B37" s="479" t="s">
        <v>58</v>
      </c>
      <c r="C37" s="479"/>
      <c r="D37" s="26" t="s">
        <v>498</v>
      </c>
      <c r="E37" s="239">
        <v>7900</v>
      </c>
      <c r="F37" s="239">
        <f t="shared" ref="F37:F39" si="98">E37+G37</f>
        <v>7900</v>
      </c>
      <c r="G37" s="239">
        <f t="shared" ref="G37:G39" si="99">SUBTOTAL(9,H37:S37)</f>
        <v>0</v>
      </c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334">
        <f t="shared" ref="U37:U39" si="100">T37+V37</f>
        <v>0</v>
      </c>
      <c r="V37" s="334">
        <f t="shared" ref="V37:V39" si="101">SUBTOTAL(9,W37:AH37)</f>
        <v>0</v>
      </c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>
        <f t="shared" ref="AI37:AI39" si="102">E37+T37</f>
        <v>7900</v>
      </c>
      <c r="AJ37" s="303">
        <f t="shared" ref="AJ37:AJ39" si="103">F37+U37</f>
        <v>7900</v>
      </c>
    </row>
    <row r="38" spans="1:36" ht="24" x14ac:dyDescent="0.2">
      <c r="A38" s="34"/>
      <c r="B38" s="479" t="s">
        <v>854</v>
      </c>
      <c r="C38" s="497"/>
      <c r="D38" s="35" t="s">
        <v>855</v>
      </c>
      <c r="E38" s="241"/>
      <c r="F38" s="239">
        <f t="shared" ref="F38" si="104">E38+G38</f>
        <v>4100</v>
      </c>
      <c r="G38" s="239">
        <f t="shared" ref="G38" si="105">SUBTOTAL(9,H38:S38)</f>
        <v>4100</v>
      </c>
      <c r="H38" s="241"/>
      <c r="I38" s="241"/>
      <c r="J38" s="241"/>
      <c r="K38" s="241"/>
      <c r="L38" s="241"/>
      <c r="M38" s="241"/>
      <c r="N38" s="241">
        <v>4100</v>
      </c>
      <c r="O38" s="241"/>
      <c r="P38" s="241"/>
      <c r="Q38" s="241"/>
      <c r="R38" s="241"/>
      <c r="S38" s="241"/>
      <c r="T38" s="241"/>
      <c r="U38" s="334">
        <f t="shared" ref="U38" si="106">T38+V38</f>
        <v>0</v>
      </c>
      <c r="V38" s="334">
        <f t="shared" ref="V38" si="107">SUBTOTAL(9,W38:AH38)</f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334">
        <f t="shared" ref="AI38" si="108">E38+T38</f>
        <v>0</v>
      </c>
      <c r="AJ38" s="303">
        <f t="shared" ref="AJ38" si="109">F38+U38</f>
        <v>4100</v>
      </c>
    </row>
    <row r="39" spans="1:36" ht="24.75" customHeight="1" x14ac:dyDescent="0.2">
      <c r="A39" s="34"/>
      <c r="B39" s="504" t="s">
        <v>59</v>
      </c>
      <c r="C39" s="504"/>
      <c r="D39" s="35" t="s">
        <v>188</v>
      </c>
      <c r="E39" s="241">
        <v>10000</v>
      </c>
      <c r="F39" s="241">
        <f t="shared" si="98"/>
        <v>3200</v>
      </c>
      <c r="G39" s="241">
        <f t="shared" si="99"/>
        <v>-6800</v>
      </c>
      <c r="H39" s="241"/>
      <c r="I39" s="241"/>
      <c r="J39" s="241"/>
      <c r="K39" s="241"/>
      <c r="L39" s="241"/>
      <c r="M39" s="241"/>
      <c r="N39" s="241">
        <v>-6800</v>
      </c>
      <c r="O39" s="241"/>
      <c r="P39" s="241"/>
      <c r="Q39" s="241"/>
      <c r="R39" s="241"/>
      <c r="S39" s="241"/>
      <c r="T39" s="241"/>
      <c r="U39" s="337">
        <f t="shared" si="100"/>
        <v>0</v>
      </c>
      <c r="V39" s="337">
        <f t="shared" si="101"/>
        <v>0</v>
      </c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>
        <f t="shared" si="102"/>
        <v>10000</v>
      </c>
      <c r="AJ39" s="206">
        <f t="shared" si="103"/>
        <v>3200</v>
      </c>
    </row>
    <row r="40" spans="1:36" s="79" customFormat="1" x14ac:dyDescent="0.2">
      <c r="A40" s="18"/>
      <c r="B40" s="482" t="s">
        <v>60</v>
      </c>
      <c r="C40" s="482"/>
      <c r="D40" s="19" t="s">
        <v>61</v>
      </c>
      <c r="E40" s="124">
        <f t="shared" ref="E40:AJ40" si="110">SUM(E41:E44)</f>
        <v>2983000</v>
      </c>
      <c r="F40" s="124">
        <f t="shared" si="110"/>
        <v>2815537</v>
      </c>
      <c r="G40" s="124">
        <f t="shared" si="110"/>
        <v>-167463</v>
      </c>
      <c r="H40" s="124">
        <f t="shared" ref="H40:R40" si="111">SUM(H41:H44)</f>
        <v>0</v>
      </c>
      <c r="I40" s="124">
        <f t="shared" si="111"/>
        <v>0</v>
      </c>
      <c r="J40" s="124">
        <f t="shared" si="111"/>
        <v>0</v>
      </c>
      <c r="K40" s="124">
        <f t="shared" si="111"/>
        <v>0</v>
      </c>
      <c r="L40" s="124">
        <f t="shared" si="111"/>
        <v>0</v>
      </c>
      <c r="M40" s="124">
        <f t="shared" si="111"/>
        <v>0</v>
      </c>
      <c r="N40" s="124">
        <f t="shared" si="111"/>
        <v>-390000</v>
      </c>
      <c r="O40" s="124">
        <f t="shared" si="111"/>
        <v>0</v>
      </c>
      <c r="P40" s="124">
        <f t="shared" si="111"/>
        <v>222537</v>
      </c>
      <c r="Q40" s="124">
        <f t="shared" si="111"/>
        <v>0</v>
      </c>
      <c r="R40" s="124">
        <f t="shared" si="111"/>
        <v>0</v>
      </c>
      <c r="S40" s="124">
        <f t="shared" ref="S40:AH40" si="112">SUM(S41:S44)</f>
        <v>0</v>
      </c>
      <c r="T40" s="124">
        <f t="shared" si="110"/>
        <v>0</v>
      </c>
      <c r="U40" s="333">
        <f t="shared" si="112"/>
        <v>0</v>
      </c>
      <c r="V40" s="333">
        <f t="shared" si="112"/>
        <v>0</v>
      </c>
      <c r="W40" s="333">
        <f t="shared" ref="W40:AG40" si="113">SUM(W41:W44)</f>
        <v>0</v>
      </c>
      <c r="X40" s="333">
        <f t="shared" si="113"/>
        <v>0</v>
      </c>
      <c r="Y40" s="333">
        <f t="shared" si="113"/>
        <v>0</v>
      </c>
      <c r="Z40" s="333">
        <f t="shared" si="113"/>
        <v>0</v>
      </c>
      <c r="AA40" s="333">
        <f t="shared" si="113"/>
        <v>0</v>
      </c>
      <c r="AB40" s="333">
        <f t="shared" si="113"/>
        <v>0</v>
      </c>
      <c r="AC40" s="333">
        <f t="shared" si="113"/>
        <v>0</v>
      </c>
      <c r="AD40" s="333">
        <f t="shared" si="113"/>
        <v>0</v>
      </c>
      <c r="AE40" s="333">
        <f t="shared" si="113"/>
        <v>0</v>
      </c>
      <c r="AF40" s="333">
        <f t="shared" si="113"/>
        <v>0</v>
      </c>
      <c r="AG40" s="333">
        <f t="shared" si="113"/>
        <v>0</v>
      </c>
      <c r="AH40" s="333">
        <f t="shared" si="112"/>
        <v>0</v>
      </c>
      <c r="AI40" s="333">
        <f t="shared" ref="AI40" si="114">SUM(AI41:AI44)</f>
        <v>2983000</v>
      </c>
      <c r="AJ40" s="306">
        <f t="shared" si="110"/>
        <v>2815537</v>
      </c>
    </row>
    <row r="41" spans="1:36" x14ac:dyDescent="0.2">
      <c r="A41" s="36"/>
      <c r="B41" s="485" t="s">
        <v>62</v>
      </c>
      <c r="C41" s="485"/>
      <c r="D41" s="37" t="s">
        <v>137</v>
      </c>
      <c r="E41" s="243">
        <v>41000</v>
      </c>
      <c r="F41" s="243">
        <f t="shared" ref="F41:F44" si="115">E41+G41</f>
        <v>2600</v>
      </c>
      <c r="G41" s="243">
        <f t="shared" ref="G41:G44" si="116">SUBTOTAL(9,H41:S41)</f>
        <v>-38400</v>
      </c>
      <c r="H41" s="243"/>
      <c r="I41" s="243"/>
      <c r="J41" s="243"/>
      <c r="K41" s="243"/>
      <c r="L41" s="243"/>
      <c r="M41" s="243"/>
      <c r="N41" s="243">
        <v>-40000</v>
      </c>
      <c r="O41" s="243"/>
      <c r="P41" s="243">
        <v>1600</v>
      </c>
      <c r="Q41" s="243"/>
      <c r="R41" s="243"/>
      <c r="S41" s="243"/>
      <c r="T41" s="243"/>
      <c r="U41" s="252">
        <f t="shared" ref="U41:U44" si="117">T41+V41</f>
        <v>0</v>
      </c>
      <c r="V41" s="252">
        <f t="shared" ref="V41:V44" si="118">SUBTOTAL(9,W41:AH41)</f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>
        <f t="shared" ref="AI41:AI44" si="119">E41+T41</f>
        <v>41000</v>
      </c>
      <c r="AJ41" s="309">
        <f t="shared" ref="AJ41:AJ44" si="120">F41+U41</f>
        <v>2600</v>
      </c>
    </row>
    <row r="42" spans="1:36" ht="24" x14ac:dyDescent="0.2">
      <c r="A42" s="36"/>
      <c r="B42" s="485" t="s">
        <v>63</v>
      </c>
      <c r="C42" s="485"/>
      <c r="D42" s="37" t="s">
        <v>138</v>
      </c>
      <c r="E42" s="243">
        <v>2800000</v>
      </c>
      <c r="F42" s="243">
        <f t="shared" si="115"/>
        <v>2721937</v>
      </c>
      <c r="G42" s="243">
        <f t="shared" si="116"/>
        <v>-78063</v>
      </c>
      <c r="H42" s="243"/>
      <c r="I42" s="243"/>
      <c r="J42" s="243"/>
      <c r="K42" s="243"/>
      <c r="L42" s="243"/>
      <c r="M42" s="243"/>
      <c r="N42" s="243">
        <v>-300000</v>
      </c>
      <c r="O42" s="243"/>
      <c r="P42" s="243">
        <v>221937</v>
      </c>
      <c r="Q42" s="243"/>
      <c r="R42" s="243"/>
      <c r="S42" s="243"/>
      <c r="T42" s="243"/>
      <c r="U42" s="252">
        <f t="shared" si="117"/>
        <v>0</v>
      </c>
      <c r="V42" s="252">
        <f t="shared" si="118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>
        <f t="shared" si="119"/>
        <v>2800000</v>
      </c>
      <c r="AJ42" s="309">
        <f t="shared" si="120"/>
        <v>2721937</v>
      </c>
    </row>
    <row r="43" spans="1:36" ht="24" x14ac:dyDescent="0.2">
      <c r="A43" s="36"/>
      <c r="B43" s="485" t="s">
        <v>64</v>
      </c>
      <c r="C43" s="485"/>
      <c r="D43" s="37" t="s">
        <v>139</v>
      </c>
      <c r="E43" s="243">
        <v>52000</v>
      </c>
      <c r="F43" s="243">
        <f t="shared" si="115"/>
        <v>14000</v>
      </c>
      <c r="G43" s="243">
        <f t="shared" si="116"/>
        <v>-38000</v>
      </c>
      <c r="H43" s="243"/>
      <c r="I43" s="243"/>
      <c r="J43" s="243"/>
      <c r="K43" s="243"/>
      <c r="L43" s="243"/>
      <c r="M43" s="243"/>
      <c r="N43" s="243">
        <v>-40000</v>
      </c>
      <c r="O43" s="243"/>
      <c r="P43" s="243">
        <v>2000</v>
      </c>
      <c r="Q43" s="243"/>
      <c r="R43" s="243"/>
      <c r="S43" s="243"/>
      <c r="T43" s="243"/>
      <c r="U43" s="252">
        <f t="shared" si="117"/>
        <v>0</v>
      </c>
      <c r="V43" s="252">
        <f t="shared" si="118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>
        <f t="shared" si="119"/>
        <v>52000</v>
      </c>
      <c r="AJ43" s="309">
        <f t="shared" si="120"/>
        <v>14000</v>
      </c>
    </row>
    <row r="44" spans="1:36" ht="24" x14ac:dyDescent="0.2">
      <c r="A44" s="23"/>
      <c r="B44" s="494" t="s">
        <v>127</v>
      </c>
      <c r="C44" s="494"/>
      <c r="D44" s="24" t="s">
        <v>499</v>
      </c>
      <c r="E44" s="240">
        <v>90000</v>
      </c>
      <c r="F44" s="240">
        <f t="shared" si="115"/>
        <v>77000</v>
      </c>
      <c r="G44" s="240">
        <f t="shared" si="116"/>
        <v>-13000</v>
      </c>
      <c r="H44" s="240"/>
      <c r="I44" s="240"/>
      <c r="J44" s="240"/>
      <c r="K44" s="240"/>
      <c r="L44" s="240"/>
      <c r="M44" s="240"/>
      <c r="N44" s="240">
        <v>-10000</v>
      </c>
      <c r="O44" s="240"/>
      <c r="P44" s="240">
        <v>-3000</v>
      </c>
      <c r="Q44" s="240"/>
      <c r="R44" s="240"/>
      <c r="S44" s="240"/>
      <c r="T44" s="240"/>
      <c r="U44" s="253">
        <f t="shared" si="117"/>
        <v>0</v>
      </c>
      <c r="V44" s="253">
        <f t="shared" si="118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>
        <f t="shared" si="119"/>
        <v>90000</v>
      </c>
      <c r="AJ44" s="307">
        <f t="shared" si="120"/>
        <v>77000</v>
      </c>
    </row>
    <row r="45" spans="1:36" s="80" customFormat="1" x14ac:dyDescent="0.2">
      <c r="A45" s="480" t="s">
        <v>65</v>
      </c>
      <c r="B45" s="481"/>
      <c r="C45" s="481"/>
      <c r="D45" s="33" t="s">
        <v>66</v>
      </c>
      <c r="E45" s="17">
        <f t="shared" ref="E45:AI45" si="121">SUM(E46)</f>
        <v>1500000</v>
      </c>
      <c r="F45" s="17">
        <f t="shared" si="121"/>
        <v>1419700</v>
      </c>
      <c r="G45" s="17">
        <f t="shared" si="121"/>
        <v>-80300</v>
      </c>
      <c r="H45" s="17">
        <f t="shared" si="121"/>
        <v>0</v>
      </c>
      <c r="I45" s="17">
        <f t="shared" si="121"/>
        <v>0</v>
      </c>
      <c r="J45" s="17">
        <f t="shared" si="121"/>
        <v>0</v>
      </c>
      <c r="K45" s="17">
        <f t="shared" si="121"/>
        <v>0</v>
      </c>
      <c r="L45" s="17">
        <f t="shared" si="121"/>
        <v>0</v>
      </c>
      <c r="M45" s="17">
        <f t="shared" si="121"/>
        <v>0</v>
      </c>
      <c r="N45" s="17">
        <f t="shared" si="121"/>
        <v>0</v>
      </c>
      <c r="O45" s="17">
        <f t="shared" si="121"/>
        <v>0</v>
      </c>
      <c r="P45" s="17">
        <f t="shared" si="121"/>
        <v>-80300</v>
      </c>
      <c r="Q45" s="17">
        <f t="shared" si="121"/>
        <v>0</v>
      </c>
      <c r="R45" s="17">
        <f t="shared" si="121"/>
        <v>0</v>
      </c>
      <c r="S45" s="17">
        <f t="shared" si="121"/>
        <v>0</v>
      </c>
      <c r="T45" s="17">
        <f t="shared" si="121"/>
        <v>0</v>
      </c>
      <c r="U45" s="332">
        <f t="shared" si="121"/>
        <v>0</v>
      </c>
      <c r="V45" s="332">
        <f t="shared" si="121"/>
        <v>0</v>
      </c>
      <c r="W45" s="332">
        <f t="shared" si="121"/>
        <v>0</v>
      </c>
      <c r="X45" s="332">
        <f t="shared" si="121"/>
        <v>0</v>
      </c>
      <c r="Y45" s="332">
        <f t="shared" si="121"/>
        <v>0</v>
      </c>
      <c r="Z45" s="332">
        <f t="shared" si="121"/>
        <v>0</v>
      </c>
      <c r="AA45" s="332">
        <f t="shared" si="121"/>
        <v>0</v>
      </c>
      <c r="AB45" s="332">
        <f t="shared" si="121"/>
        <v>0</v>
      </c>
      <c r="AC45" s="332">
        <f t="shared" si="121"/>
        <v>0</v>
      </c>
      <c r="AD45" s="332">
        <f t="shared" si="121"/>
        <v>0</v>
      </c>
      <c r="AE45" s="332">
        <f t="shared" si="121"/>
        <v>0</v>
      </c>
      <c r="AF45" s="332">
        <f t="shared" si="121"/>
        <v>0</v>
      </c>
      <c r="AG45" s="332">
        <f t="shared" si="121"/>
        <v>0</v>
      </c>
      <c r="AH45" s="332">
        <f t="shared" si="121"/>
        <v>0</v>
      </c>
      <c r="AI45" s="332">
        <f t="shared" si="121"/>
        <v>1500000</v>
      </c>
      <c r="AJ45" s="305">
        <f t="shared" ref="AJ45" si="122">SUM(AJ46)</f>
        <v>1419700</v>
      </c>
    </row>
    <row r="46" spans="1:36" s="79" customFormat="1" x14ac:dyDescent="0.2">
      <c r="A46" s="18"/>
      <c r="B46" s="482" t="s">
        <v>67</v>
      </c>
      <c r="C46" s="482"/>
      <c r="D46" s="19" t="s">
        <v>68</v>
      </c>
      <c r="E46" s="124">
        <f>SUM(E47:E48)</f>
        <v>1500000</v>
      </c>
      <c r="F46" s="124">
        <f>SUM(F47:F48)</f>
        <v>1419700</v>
      </c>
      <c r="G46" s="124">
        <f t="shared" ref="G46:AJ46" si="123">SUM(G47:G48)</f>
        <v>-80300</v>
      </c>
      <c r="H46" s="124">
        <f t="shared" si="123"/>
        <v>0</v>
      </c>
      <c r="I46" s="124">
        <f t="shared" si="123"/>
        <v>0</v>
      </c>
      <c r="J46" s="124">
        <f t="shared" si="123"/>
        <v>0</v>
      </c>
      <c r="K46" s="124">
        <f t="shared" si="123"/>
        <v>0</v>
      </c>
      <c r="L46" s="124">
        <f t="shared" si="123"/>
        <v>0</v>
      </c>
      <c r="M46" s="124">
        <f t="shared" si="123"/>
        <v>0</v>
      </c>
      <c r="N46" s="124">
        <f t="shared" si="123"/>
        <v>0</v>
      </c>
      <c r="O46" s="124">
        <f t="shared" si="123"/>
        <v>0</v>
      </c>
      <c r="P46" s="124">
        <f t="shared" si="123"/>
        <v>-80300</v>
      </c>
      <c r="Q46" s="124">
        <f t="shared" si="123"/>
        <v>0</v>
      </c>
      <c r="R46" s="124">
        <f t="shared" si="123"/>
        <v>0</v>
      </c>
      <c r="S46" s="124">
        <f t="shared" si="123"/>
        <v>0</v>
      </c>
      <c r="T46" s="124">
        <f t="shared" si="123"/>
        <v>0</v>
      </c>
      <c r="U46" s="333">
        <f t="shared" si="123"/>
        <v>0</v>
      </c>
      <c r="V46" s="333">
        <f t="shared" si="123"/>
        <v>0</v>
      </c>
      <c r="W46" s="333">
        <f t="shared" si="123"/>
        <v>0</v>
      </c>
      <c r="X46" s="333">
        <f t="shared" si="123"/>
        <v>0</v>
      </c>
      <c r="Y46" s="333">
        <f t="shared" si="123"/>
        <v>0</v>
      </c>
      <c r="Z46" s="333">
        <f t="shared" si="123"/>
        <v>0</v>
      </c>
      <c r="AA46" s="333">
        <f t="shared" si="123"/>
        <v>0</v>
      </c>
      <c r="AB46" s="333">
        <f t="shared" si="123"/>
        <v>0</v>
      </c>
      <c r="AC46" s="333">
        <f t="shared" si="123"/>
        <v>0</v>
      </c>
      <c r="AD46" s="333">
        <f t="shared" si="123"/>
        <v>0</v>
      </c>
      <c r="AE46" s="333">
        <f t="shared" si="123"/>
        <v>0</v>
      </c>
      <c r="AF46" s="333">
        <f t="shared" si="123"/>
        <v>0</v>
      </c>
      <c r="AG46" s="333">
        <f t="shared" si="123"/>
        <v>0</v>
      </c>
      <c r="AH46" s="333">
        <f t="shared" si="123"/>
        <v>0</v>
      </c>
      <c r="AI46" s="333">
        <f t="shared" si="123"/>
        <v>1500000</v>
      </c>
      <c r="AJ46" s="306">
        <f t="shared" si="123"/>
        <v>1419700</v>
      </c>
    </row>
    <row r="47" spans="1:36" x14ac:dyDescent="0.2">
      <c r="A47" s="82"/>
      <c r="B47" s="488" t="s">
        <v>69</v>
      </c>
      <c r="C47" s="488"/>
      <c r="D47" s="175" t="s">
        <v>70</v>
      </c>
      <c r="E47" s="244">
        <v>1500000</v>
      </c>
      <c r="F47" s="244">
        <f>E47+G47</f>
        <v>1324300</v>
      </c>
      <c r="G47" s="244">
        <f>SUBTOTAL(9,H47:S47)</f>
        <v>-175700</v>
      </c>
      <c r="H47" s="244">
        <v>-106000</v>
      </c>
      <c r="I47" s="244"/>
      <c r="J47" s="244"/>
      <c r="K47" s="244"/>
      <c r="L47" s="244"/>
      <c r="M47" s="244"/>
      <c r="N47" s="244"/>
      <c r="O47" s="244"/>
      <c r="P47" s="244">
        <v>-69700</v>
      </c>
      <c r="Q47" s="244"/>
      <c r="R47" s="244"/>
      <c r="S47" s="244"/>
      <c r="T47" s="244"/>
      <c r="U47" s="337">
        <f>T47+V47</f>
        <v>0</v>
      </c>
      <c r="V47" s="337">
        <f>SUBTOTAL(9,W47:AH47)</f>
        <v>0</v>
      </c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>
        <f>E47+T47</f>
        <v>1500000</v>
      </c>
      <c r="AJ47" s="206">
        <f t="shared" ref="AJ47" si="124">F47+U47</f>
        <v>1324300</v>
      </c>
    </row>
    <row r="48" spans="1:36" ht="24" x14ac:dyDescent="0.2">
      <c r="A48" s="34"/>
      <c r="B48" s="488" t="s">
        <v>794</v>
      </c>
      <c r="C48" s="488"/>
      <c r="D48" s="175" t="s">
        <v>797</v>
      </c>
      <c r="E48" s="241">
        <f>E49</f>
        <v>0</v>
      </c>
      <c r="F48" s="244">
        <f>F49</f>
        <v>95400</v>
      </c>
      <c r="G48" s="244">
        <f>G49</f>
        <v>95400</v>
      </c>
      <c r="H48" s="241">
        <f t="shared" ref="H48:AJ48" si="125">H49</f>
        <v>106000</v>
      </c>
      <c r="I48" s="241">
        <f t="shared" si="125"/>
        <v>0</v>
      </c>
      <c r="J48" s="241">
        <f t="shared" si="125"/>
        <v>0</v>
      </c>
      <c r="K48" s="241">
        <f t="shared" si="125"/>
        <v>0</v>
      </c>
      <c r="L48" s="241">
        <f t="shared" si="125"/>
        <v>0</v>
      </c>
      <c r="M48" s="241">
        <f t="shared" si="125"/>
        <v>0</v>
      </c>
      <c r="N48" s="241">
        <f t="shared" si="125"/>
        <v>0</v>
      </c>
      <c r="O48" s="241">
        <f t="shared" si="125"/>
        <v>0</v>
      </c>
      <c r="P48" s="241">
        <f t="shared" si="125"/>
        <v>-10600</v>
      </c>
      <c r="Q48" s="241">
        <f t="shared" si="125"/>
        <v>0</v>
      </c>
      <c r="R48" s="241">
        <f t="shared" si="125"/>
        <v>0</v>
      </c>
      <c r="S48" s="241">
        <f t="shared" si="125"/>
        <v>0</v>
      </c>
      <c r="T48" s="241">
        <f t="shared" si="125"/>
        <v>0</v>
      </c>
      <c r="U48" s="337">
        <f t="shared" si="125"/>
        <v>0</v>
      </c>
      <c r="V48" s="337">
        <f t="shared" si="125"/>
        <v>0</v>
      </c>
      <c r="W48" s="337">
        <f t="shared" si="125"/>
        <v>0</v>
      </c>
      <c r="X48" s="337">
        <f t="shared" si="125"/>
        <v>0</v>
      </c>
      <c r="Y48" s="337">
        <f t="shared" si="125"/>
        <v>0</v>
      </c>
      <c r="Z48" s="337">
        <f t="shared" si="125"/>
        <v>0</v>
      </c>
      <c r="AA48" s="337">
        <f t="shared" si="125"/>
        <v>0</v>
      </c>
      <c r="AB48" s="337">
        <f t="shared" si="125"/>
        <v>0</v>
      </c>
      <c r="AC48" s="337">
        <f t="shared" si="125"/>
        <v>0</v>
      </c>
      <c r="AD48" s="337">
        <f t="shared" si="125"/>
        <v>0</v>
      </c>
      <c r="AE48" s="337">
        <f t="shared" si="125"/>
        <v>0</v>
      </c>
      <c r="AF48" s="337">
        <f t="shared" si="125"/>
        <v>0</v>
      </c>
      <c r="AG48" s="337">
        <f t="shared" si="125"/>
        <v>0</v>
      </c>
      <c r="AH48" s="337">
        <f t="shared" si="125"/>
        <v>0</v>
      </c>
      <c r="AI48" s="337">
        <f t="shared" si="125"/>
        <v>0</v>
      </c>
      <c r="AJ48" s="206">
        <f t="shared" si="125"/>
        <v>95400</v>
      </c>
    </row>
    <row r="49" spans="1:36" ht="24" x14ac:dyDescent="0.2">
      <c r="A49" s="34"/>
      <c r="B49" s="364"/>
      <c r="C49" s="364" t="s">
        <v>795</v>
      </c>
      <c r="D49" s="35" t="s">
        <v>796</v>
      </c>
      <c r="E49" s="241"/>
      <c r="F49" s="244">
        <f>E49+G49</f>
        <v>95400</v>
      </c>
      <c r="G49" s="244">
        <f t="shared" ref="G49" si="126">SUBTOTAL(9,H49:S49)</f>
        <v>95400</v>
      </c>
      <c r="H49" s="241">
        <v>106000</v>
      </c>
      <c r="I49" s="241"/>
      <c r="J49" s="241"/>
      <c r="K49" s="241"/>
      <c r="L49" s="241"/>
      <c r="M49" s="241"/>
      <c r="N49" s="241"/>
      <c r="O49" s="241"/>
      <c r="P49" s="241">
        <v>-10600</v>
      </c>
      <c r="Q49" s="241"/>
      <c r="R49" s="241"/>
      <c r="S49" s="241"/>
      <c r="T49" s="241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>
        <f>E49+T49</f>
        <v>0</v>
      </c>
      <c r="AJ49" s="206">
        <f t="shared" ref="AJ49" si="127">F49+U49</f>
        <v>95400</v>
      </c>
    </row>
    <row r="50" spans="1:36" s="80" customFormat="1" x14ac:dyDescent="0.2">
      <c r="A50" s="480" t="s">
        <v>71</v>
      </c>
      <c r="B50" s="481"/>
      <c r="C50" s="481"/>
      <c r="D50" s="33" t="s">
        <v>72</v>
      </c>
      <c r="E50" s="17">
        <f t="shared" ref="E50:G50" si="128">SUM(E51,E53)</f>
        <v>158066</v>
      </c>
      <c r="F50" s="17">
        <f t="shared" si="128"/>
        <v>158066</v>
      </c>
      <c r="G50" s="17">
        <f t="shared" si="128"/>
        <v>0</v>
      </c>
      <c r="H50" s="17">
        <f t="shared" ref="H50:R50" si="129">SUM(H51,H53)</f>
        <v>0</v>
      </c>
      <c r="I50" s="17">
        <f t="shared" si="129"/>
        <v>0</v>
      </c>
      <c r="J50" s="17">
        <f t="shared" si="129"/>
        <v>0</v>
      </c>
      <c r="K50" s="17">
        <f t="shared" si="129"/>
        <v>0</v>
      </c>
      <c r="L50" s="17">
        <f t="shared" si="129"/>
        <v>0</v>
      </c>
      <c r="M50" s="17">
        <f t="shared" si="129"/>
        <v>0</v>
      </c>
      <c r="N50" s="17">
        <f t="shared" si="129"/>
        <v>0</v>
      </c>
      <c r="O50" s="17">
        <f t="shared" si="129"/>
        <v>0</v>
      </c>
      <c r="P50" s="17">
        <f t="shared" si="129"/>
        <v>0</v>
      </c>
      <c r="Q50" s="17">
        <f t="shared" si="129"/>
        <v>0</v>
      </c>
      <c r="R50" s="17">
        <f t="shared" si="129"/>
        <v>0</v>
      </c>
      <c r="S50" s="17">
        <f t="shared" ref="S50:T50" si="130">SUM(S51,S53)</f>
        <v>0</v>
      </c>
      <c r="T50" s="17">
        <f t="shared" si="130"/>
        <v>0</v>
      </c>
      <c r="U50" s="332">
        <f t="shared" ref="U50:AH50" si="131">SUM(U51,U53)</f>
        <v>0</v>
      </c>
      <c r="V50" s="332">
        <f t="shared" si="131"/>
        <v>0</v>
      </c>
      <c r="W50" s="332">
        <f t="shared" ref="W50:AG50" si="132">SUM(W51,W53)</f>
        <v>0</v>
      </c>
      <c r="X50" s="332">
        <f t="shared" si="132"/>
        <v>0</v>
      </c>
      <c r="Y50" s="332">
        <f t="shared" si="132"/>
        <v>0</v>
      </c>
      <c r="Z50" s="332">
        <f t="shared" si="132"/>
        <v>0</v>
      </c>
      <c r="AA50" s="332">
        <f t="shared" si="132"/>
        <v>0</v>
      </c>
      <c r="AB50" s="332">
        <f t="shared" si="132"/>
        <v>0</v>
      </c>
      <c r="AC50" s="332">
        <f t="shared" si="132"/>
        <v>0</v>
      </c>
      <c r="AD50" s="332">
        <f t="shared" si="132"/>
        <v>0</v>
      </c>
      <c r="AE50" s="332">
        <f t="shared" si="132"/>
        <v>0</v>
      </c>
      <c r="AF50" s="332">
        <f t="shared" si="132"/>
        <v>0</v>
      </c>
      <c r="AG50" s="332">
        <f t="shared" si="132"/>
        <v>0</v>
      </c>
      <c r="AH50" s="332">
        <f t="shared" si="131"/>
        <v>0</v>
      </c>
      <c r="AI50" s="332">
        <f t="shared" ref="AI50" si="133">SUM(AI51,AI53)</f>
        <v>158066</v>
      </c>
      <c r="AJ50" s="305">
        <f t="shared" ref="AJ50" si="134">SUM(AJ51,AJ53)</f>
        <v>158066</v>
      </c>
    </row>
    <row r="51" spans="1:36" s="79" customFormat="1" ht="24" x14ac:dyDescent="0.2">
      <c r="A51" s="18"/>
      <c r="B51" s="500" t="s">
        <v>73</v>
      </c>
      <c r="C51" s="501"/>
      <c r="D51" s="207" t="s">
        <v>74</v>
      </c>
      <c r="E51" s="124">
        <f t="shared" ref="E51:AI51" si="135">SUM(E52)</f>
        <v>28066</v>
      </c>
      <c r="F51" s="124">
        <f t="shared" si="135"/>
        <v>28066</v>
      </c>
      <c r="G51" s="124">
        <f t="shared" si="135"/>
        <v>0</v>
      </c>
      <c r="H51" s="124">
        <f t="shared" si="135"/>
        <v>0</v>
      </c>
      <c r="I51" s="124">
        <f t="shared" si="135"/>
        <v>0</v>
      </c>
      <c r="J51" s="124">
        <f t="shared" si="135"/>
        <v>0</v>
      </c>
      <c r="K51" s="124">
        <f t="shared" si="135"/>
        <v>0</v>
      </c>
      <c r="L51" s="124">
        <f t="shared" si="135"/>
        <v>0</v>
      </c>
      <c r="M51" s="124">
        <f t="shared" si="135"/>
        <v>0</v>
      </c>
      <c r="N51" s="124">
        <f t="shared" si="135"/>
        <v>0</v>
      </c>
      <c r="O51" s="124">
        <f t="shared" si="135"/>
        <v>0</v>
      </c>
      <c r="P51" s="124">
        <f t="shared" si="135"/>
        <v>0</v>
      </c>
      <c r="Q51" s="124">
        <f t="shared" si="135"/>
        <v>0</v>
      </c>
      <c r="R51" s="124">
        <f t="shared" si="135"/>
        <v>0</v>
      </c>
      <c r="S51" s="124">
        <f t="shared" si="135"/>
        <v>0</v>
      </c>
      <c r="T51" s="124">
        <f t="shared" si="135"/>
        <v>0</v>
      </c>
      <c r="U51" s="333">
        <f t="shared" si="135"/>
        <v>0</v>
      </c>
      <c r="V51" s="333">
        <f t="shared" si="135"/>
        <v>0</v>
      </c>
      <c r="W51" s="333">
        <f t="shared" si="135"/>
        <v>0</v>
      </c>
      <c r="X51" s="333">
        <f t="shared" si="135"/>
        <v>0</v>
      </c>
      <c r="Y51" s="333">
        <f t="shared" si="135"/>
        <v>0</v>
      </c>
      <c r="Z51" s="333">
        <f t="shared" si="135"/>
        <v>0</v>
      </c>
      <c r="AA51" s="333">
        <f t="shared" si="135"/>
        <v>0</v>
      </c>
      <c r="AB51" s="333">
        <f t="shared" si="135"/>
        <v>0</v>
      </c>
      <c r="AC51" s="333">
        <f t="shared" si="135"/>
        <v>0</v>
      </c>
      <c r="AD51" s="333">
        <f t="shared" si="135"/>
        <v>0</v>
      </c>
      <c r="AE51" s="333">
        <f t="shared" si="135"/>
        <v>0</v>
      </c>
      <c r="AF51" s="333">
        <f t="shared" si="135"/>
        <v>0</v>
      </c>
      <c r="AG51" s="333">
        <f t="shared" si="135"/>
        <v>0</v>
      </c>
      <c r="AH51" s="333">
        <f t="shared" si="135"/>
        <v>0</v>
      </c>
      <c r="AI51" s="333">
        <f t="shared" si="135"/>
        <v>28066</v>
      </c>
      <c r="AJ51" s="306">
        <f t="shared" ref="AJ51" si="136">SUM(AJ52)</f>
        <v>28066</v>
      </c>
    </row>
    <row r="52" spans="1:36" ht="24" x14ac:dyDescent="0.2">
      <c r="A52" s="20"/>
      <c r="B52" s="502" t="s">
        <v>75</v>
      </c>
      <c r="C52" s="503"/>
      <c r="D52" s="176" t="s">
        <v>76</v>
      </c>
      <c r="E52" s="239">
        <f>28066</f>
        <v>28066</v>
      </c>
      <c r="F52" s="239">
        <f>E52+G52</f>
        <v>28066</v>
      </c>
      <c r="G52" s="239">
        <f>SUBTOTAL(9,H52:S52)</f>
        <v>0</v>
      </c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334">
        <f>T52+V52</f>
        <v>0</v>
      </c>
      <c r="V52" s="334">
        <f>SUBTOTAL(9,W52:AH52)</f>
        <v>0</v>
      </c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>
        <f>E52+T52</f>
        <v>28066</v>
      </c>
      <c r="AJ52" s="303">
        <f>F52+U52</f>
        <v>28066</v>
      </c>
    </row>
    <row r="53" spans="1:36" s="79" customFormat="1" ht="17.25" customHeight="1" x14ac:dyDescent="0.2">
      <c r="A53" s="18"/>
      <c r="B53" s="482" t="s">
        <v>77</v>
      </c>
      <c r="C53" s="482"/>
      <c r="D53" s="19" t="s">
        <v>113</v>
      </c>
      <c r="E53" s="124">
        <f>SUM(E54)</f>
        <v>130000</v>
      </c>
      <c r="F53" s="124">
        <f t="shared" ref="F53:R53" si="137">SUM(F54)</f>
        <v>130000</v>
      </c>
      <c r="G53" s="124">
        <f t="shared" si="137"/>
        <v>0</v>
      </c>
      <c r="H53" s="124">
        <f t="shared" si="137"/>
        <v>0</v>
      </c>
      <c r="I53" s="124">
        <f t="shared" si="137"/>
        <v>0</v>
      </c>
      <c r="J53" s="124">
        <f t="shared" si="137"/>
        <v>0</v>
      </c>
      <c r="K53" s="124">
        <f t="shared" si="137"/>
        <v>0</v>
      </c>
      <c r="L53" s="124">
        <f t="shared" si="137"/>
        <v>0</v>
      </c>
      <c r="M53" s="124">
        <f t="shared" si="137"/>
        <v>0</v>
      </c>
      <c r="N53" s="124">
        <f t="shared" si="137"/>
        <v>0</v>
      </c>
      <c r="O53" s="124">
        <f t="shared" si="137"/>
        <v>0</v>
      </c>
      <c r="P53" s="124">
        <f t="shared" si="137"/>
        <v>0</v>
      </c>
      <c r="Q53" s="124">
        <f t="shared" si="137"/>
        <v>0</v>
      </c>
      <c r="R53" s="124">
        <f t="shared" si="137"/>
        <v>0</v>
      </c>
      <c r="S53" s="124">
        <f t="shared" ref="S53:AJ53" si="138">SUM(S54)</f>
        <v>0</v>
      </c>
      <c r="T53" s="124">
        <f t="shared" si="138"/>
        <v>0</v>
      </c>
      <c r="U53" s="333">
        <f t="shared" si="138"/>
        <v>0</v>
      </c>
      <c r="V53" s="333">
        <f t="shared" si="138"/>
        <v>0</v>
      </c>
      <c r="W53" s="333">
        <f t="shared" si="138"/>
        <v>0</v>
      </c>
      <c r="X53" s="333">
        <f t="shared" si="138"/>
        <v>0</v>
      </c>
      <c r="Y53" s="333">
        <f t="shared" si="138"/>
        <v>0</v>
      </c>
      <c r="Z53" s="333">
        <f t="shared" si="138"/>
        <v>0</v>
      </c>
      <c r="AA53" s="333">
        <f t="shared" si="138"/>
        <v>0</v>
      </c>
      <c r="AB53" s="333">
        <f t="shared" si="138"/>
        <v>0</v>
      </c>
      <c r="AC53" s="333">
        <f t="shared" si="138"/>
        <v>0</v>
      </c>
      <c r="AD53" s="333">
        <f t="shared" si="138"/>
        <v>0</v>
      </c>
      <c r="AE53" s="333">
        <f t="shared" si="138"/>
        <v>0</v>
      </c>
      <c r="AF53" s="333">
        <f t="shared" si="138"/>
        <v>0</v>
      </c>
      <c r="AG53" s="333">
        <f t="shared" si="138"/>
        <v>0</v>
      </c>
      <c r="AH53" s="333">
        <f t="shared" si="138"/>
        <v>0</v>
      </c>
      <c r="AI53" s="333">
        <f t="shared" si="138"/>
        <v>130000</v>
      </c>
      <c r="AJ53" s="306">
        <f t="shared" si="138"/>
        <v>130000</v>
      </c>
    </row>
    <row r="54" spans="1:36" ht="14.25" customHeight="1" x14ac:dyDescent="0.2">
      <c r="A54" s="20"/>
      <c r="B54" s="484" t="s">
        <v>114</v>
      </c>
      <c r="C54" s="484"/>
      <c r="D54" s="21" t="s">
        <v>78</v>
      </c>
      <c r="E54" s="236">
        <f t="shared" ref="E54:AI54" si="139">SUM(E55:E55)</f>
        <v>130000</v>
      </c>
      <c r="F54" s="236">
        <f t="shared" si="139"/>
        <v>130000</v>
      </c>
      <c r="G54" s="236">
        <f t="shared" si="139"/>
        <v>0</v>
      </c>
      <c r="H54" s="236">
        <f t="shared" si="139"/>
        <v>0</v>
      </c>
      <c r="I54" s="236">
        <f t="shared" si="139"/>
        <v>0</v>
      </c>
      <c r="J54" s="236">
        <f t="shared" si="139"/>
        <v>0</v>
      </c>
      <c r="K54" s="236">
        <f t="shared" si="139"/>
        <v>0</v>
      </c>
      <c r="L54" s="236">
        <f t="shared" si="139"/>
        <v>0</v>
      </c>
      <c r="M54" s="236">
        <f t="shared" si="139"/>
        <v>0</v>
      </c>
      <c r="N54" s="236">
        <f t="shared" si="139"/>
        <v>0</v>
      </c>
      <c r="O54" s="236">
        <f t="shared" si="139"/>
        <v>0</v>
      </c>
      <c r="P54" s="236">
        <f t="shared" si="139"/>
        <v>0</v>
      </c>
      <c r="Q54" s="236">
        <f t="shared" si="139"/>
        <v>0</v>
      </c>
      <c r="R54" s="236">
        <f t="shared" si="139"/>
        <v>0</v>
      </c>
      <c r="S54" s="236">
        <f t="shared" si="139"/>
        <v>0</v>
      </c>
      <c r="T54" s="236">
        <f t="shared" si="139"/>
        <v>0</v>
      </c>
      <c r="U54" s="334">
        <f t="shared" si="139"/>
        <v>0</v>
      </c>
      <c r="V54" s="334">
        <f t="shared" si="139"/>
        <v>0</v>
      </c>
      <c r="W54" s="334">
        <f t="shared" si="139"/>
        <v>0</v>
      </c>
      <c r="X54" s="334">
        <f t="shared" si="139"/>
        <v>0</v>
      </c>
      <c r="Y54" s="334">
        <f t="shared" si="139"/>
        <v>0</v>
      </c>
      <c r="Z54" s="334">
        <f t="shared" si="139"/>
        <v>0</v>
      </c>
      <c r="AA54" s="334">
        <f t="shared" si="139"/>
        <v>0</v>
      </c>
      <c r="AB54" s="334">
        <f t="shared" si="139"/>
        <v>0</v>
      </c>
      <c r="AC54" s="334">
        <f t="shared" si="139"/>
        <v>0</v>
      </c>
      <c r="AD54" s="334">
        <f t="shared" si="139"/>
        <v>0</v>
      </c>
      <c r="AE54" s="334">
        <f t="shared" si="139"/>
        <v>0</v>
      </c>
      <c r="AF54" s="334">
        <f t="shared" si="139"/>
        <v>0</v>
      </c>
      <c r="AG54" s="334">
        <f t="shared" si="139"/>
        <v>0</v>
      </c>
      <c r="AH54" s="334">
        <f t="shared" si="139"/>
        <v>0</v>
      </c>
      <c r="AI54" s="334">
        <f t="shared" si="139"/>
        <v>130000</v>
      </c>
      <c r="AJ54" s="310">
        <f t="shared" ref="AJ54:AJ55" si="140">F54+U54</f>
        <v>130000</v>
      </c>
    </row>
    <row r="55" spans="1:36" ht="24" x14ac:dyDescent="0.2">
      <c r="A55" s="81"/>
      <c r="B55" s="486" t="s">
        <v>115</v>
      </c>
      <c r="C55" s="487"/>
      <c r="D55" s="177" t="s">
        <v>116</v>
      </c>
      <c r="E55" s="245">
        <v>130000</v>
      </c>
      <c r="F55" s="245">
        <f>E55+G55</f>
        <v>130000</v>
      </c>
      <c r="G55" s="245">
        <f>SUBTOTAL(9,H55:S55)</f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338">
        <f>T55+V55</f>
        <v>0</v>
      </c>
      <c r="V55" s="338">
        <f>SUBTOTAL(9,W55:AH55)</f>
        <v>0</v>
      </c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>
        <f>E55+T55</f>
        <v>130000</v>
      </c>
      <c r="AJ55" s="311">
        <f t="shared" si="140"/>
        <v>130000</v>
      </c>
    </row>
    <row r="56" spans="1:36" s="80" customFormat="1" ht="51.75" customHeight="1" x14ac:dyDescent="0.2">
      <c r="A56" s="480" t="s">
        <v>79</v>
      </c>
      <c r="B56" s="481"/>
      <c r="C56" s="481"/>
      <c r="D56" s="33" t="s">
        <v>147</v>
      </c>
      <c r="E56" s="17">
        <f t="shared" ref="E56:AJ56" si="141">SUM(E57,E58,E60,E61)</f>
        <v>2855115</v>
      </c>
      <c r="F56" s="17">
        <f t="shared" si="141"/>
        <v>3527162</v>
      </c>
      <c r="G56" s="17">
        <f t="shared" si="141"/>
        <v>672047</v>
      </c>
      <c r="H56" s="17">
        <f t="shared" ref="H56:R56" si="142">SUM(H57,H58,H60,H61)</f>
        <v>0</v>
      </c>
      <c r="I56" s="17">
        <f t="shared" si="142"/>
        <v>0</v>
      </c>
      <c r="J56" s="17">
        <f t="shared" si="142"/>
        <v>0</v>
      </c>
      <c r="K56" s="17">
        <f t="shared" si="142"/>
        <v>0</v>
      </c>
      <c r="L56" s="17">
        <f t="shared" si="142"/>
        <v>0</v>
      </c>
      <c r="M56" s="17">
        <f t="shared" si="142"/>
        <v>0</v>
      </c>
      <c r="N56" s="17">
        <f t="shared" si="142"/>
        <v>195117</v>
      </c>
      <c r="O56" s="17">
        <f t="shared" si="142"/>
        <v>234630</v>
      </c>
      <c r="P56" s="17">
        <f t="shared" si="142"/>
        <v>242300</v>
      </c>
      <c r="Q56" s="17">
        <f t="shared" si="142"/>
        <v>0</v>
      </c>
      <c r="R56" s="17">
        <f t="shared" si="142"/>
        <v>0</v>
      </c>
      <c r="S56" s="17">
        <f t="shared" ref="S56:AH56" si="143">SUM(S57,S58,S60,S61)</f>
        <v>0</v>
      </c>
      <c r="T56" s="17">
        <f t="shared" si="141"/>
        <v>0</v>
      </c>
      <c r="U56" s="332">
        <f t="shared" si="143"/>
        <v>0</v>
      </c>
      <c r="V56" s="332">
        <f t="shared" si="143"/>
        <v>0</v>
      </c>
      <c r="W56" s="332">
        <f t="shared" ref="W56:AG56" si="144">SUM(W57,W58,W60,W61)</f>
        <v>0</v>
      </c>
      <c r="X56" s="332">
        <f t="shared" si="144"/>
        <v>0</v>
      </c>
      <c r="Y56" s="332">
        <f t="shared" si="144"/>
        <v>0</v>
      </c>
      <c r="Z56" s="332">
        <f t="shared" si="144"/>
        <v>0</v>
      </c>
      <c r="AA56" s="332">
        <f t="shared" si="144"/>
        <v>0</v>
      </c>
      <c r="AB56" s="332">
        <f t="shared" si="144"/>
        <v>0</v>
      </c>
      <c r="AC56" s="332">
        <f t="shared" si="144"/>
        <v>0</v>
      </c>
      <c r="AD56" s="332">
        <f t="shared" si="144"/>
        <v>0</v>
      </c>
      <c r="AE56" s="332">
        <f t="shared" si="144"/>
        <v>0</v>
      </c>
      <c r="AF56" s="332">
        <f t="shared" si="144"/>
        <v>0</v>
      </c>
      <c r="AG56" s="332">
        <f t="shared" si="144"/>
        <v>0</v>
      </c>
      <c r="AH56" s="332">
        <f t="shared" si="143"/>
        <v>0</v>
      </c>
      <c r="AI56" s="332">
        <f t="shared" ref="AI56" si="145">SUM(AI57,AI58,AI60,AI61)</f>
        <v>2855115</v>
      </c>
      <c r="AJ56" s="301">
        <f t="shared" si="141"/>
        <v>3527162</v>
      </c>
    </row>
    <row r="57" spans="1:36" s="80" customFormat="1" x14ac:dyDescent="0.2">
      <c r="A57" s="260"/>
      <c r="B57" s="482" t="s">
        <v>707</v>
      </c>
      <c r="C57" s="483"/>
      <c r="D57" s="19" t="s">
        <v>705</v>
      </c>
      <c r="E57" s="124"/>
      <c r="F57" s="124">
        <f>E57+G57</f>
        <v>566722</v>
      </c>
      <c r="G57" s="124">
        <f>SUBTOTAL(9,H57:S57)</f>
        <v>566722</v>
      </c>
      <c r="H57" s="124"/>
      <c r="I57" s="124"/>
      <c r="J57" s="124"/>
      <c r="K57" s="124"/>
      <c r="L57" s="124"/>
      <c r="M57" s="124"/>
      <c r="N57" s="124">
        <v>486722</v>
      </c>
      <c r="O57" s="124"/>
      <c r="P57" s="124">
        <v>80000</v>
      </c>
      <c r="Q57" s="124"/>
      <c r="R57" s="124"/>
      <c r="S57" s="124"/>
      <c r="T57" s="124"/>
      <c r="U57" s="333">
        <f>T57+V57</f>
        <v>0</v>
      </c>
      <c r="V57" s="333">
        <f>SUBTOTAL(9,W57:AH57)</f>
        <v>0</v>
      </c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>
        <f>E57+T57</f>
        <v>0</v>
      </c>
      <c r="AJ57" s="306">
        <f>F57+U57</f>
        <v>566722</v>
      </c>
    </row>
    <row r="58" spans="1:36" s="79" customFormat="1" x14ac:dyDescent="0.2">
      <c r="A58" s="18"/>
      <c r="B58" s="482" t="s">
        <v>208</v>
      </c>
      <c r="C58" s="482"/>
      <c r="D58" s="19" t="s">
        <v>209</v>
      </c>
      <c r="E58" s="124">
        <f t="shared" ref="E58:AI58" si="146">SUM(E59:E59)</f>
        <v>2498506</v>
      </c>
      <c r="F58" s="124">
        <f t="shared" si="146"/>
        <v>2603831</v>
      </c>
      <c r="G58" s="124">
        <f t="shared" si="146"/>
        <v>105325</v>
      </c>
      <c r="H58" s="124">
        <f t="shared" si="146"/>
        <v>0</v>
      </c>
      <c r="I58" s="124">
        <f t="shared" si="146"/>
        <v>0</v>
      </c>
      <c r="J58" s="124">
        <f t="shared" si="146"/>
        <v>0</v>
      </c>
      <c r="K58" s="124">
        <f t="shared" si="146"/>
        <v>0</v>
      </c>
      <c r="L58" s="124">
        <f t="shared" si="146"/>
        <v>0</v>
      </c>
      <c r="M58" s="124">
        <f t="shared" si="146"/>
        <v>0</v>
      </c>
      <c r="N58" s="124">
        <f t="shared" si="146"/>
        <v>-291605</v>
      </c>
      <c r="O58" s="124">
        <f t="shared" si="146"/>
        <v>234630</v>
      </c>
      <c r="P58" s="124">
        <f t="shared" si="146"/>
        <v>162300</v>
      </c>
      <c r="Q58" s="124">
        <f t="shared" si="146"/>
        <v>0</v>
      </c>
      <c r="R58" s="124">
        <f t="shared" si="146"/>
        <v>0</v>
      </c>
      <c r="S58" s="124">
        <f t="shared" si="146"/>
        <v>0</v>
      </c>
      <c r="T58" s="124">
        <f t="shared" si="146"/>
        <v>0</v>
      </c>
      <c r="U58" s="333">
        <f t="shared" si="146"/>
        <v>0</v>
      </c>
      <c r="V58" s="333">
        <f t="shared" si="146"/>
        <v>0</v>
      </c>
      <c r="W58" s="333">
        <f t="shared" si="146"/>
        <v>0</v>
      </c>
      <c r="X58" s="333">
        <f t="shared" si="146"/>
        <v>0</v>
      </c>
      <c r="Y58" s="333">
        <f t="shared" si="146"/>
        <v>0</v>
      </c>
      <c r="Z58" s="333">
        <f t="shared" si="146"/>
        <v>0</v>
      </c>
      <c r="AA58" s="333">
        <f t="shared" si="146"/>
        <v>0</v>
      </c>
      <c r="AB58" s="333">
        <f t="shared" si="146"/>
        <v>0</v>
      </c>
      <c r="AC58" s="333">
        <f t="shared" si="146"/>
        <v>0</v>
      </c>
      <c r="AD58" s="333">
        <f t="shared" si="146"/>
        <v>0</v>
      </c>
      <c r="AE58" s="333">
        <f t="shared" si="146"/>
        <v>0</v>
      </c>
      <c r="AF58" s="333">
        <f t="shared" si="146"/>
        <v>0</v>
      </c>
      <c r="AG58" s="333">
        <f t="shared" si="146"/>
        <v>0</v>
      </c>
      <c r="AH58" s="333">
        <f t="shared" si="146"/>
        <v>0</v>
      </c>
      <c r="AI58" s="333">
        <f t="shared" si="146"/>
        <v>2498506</v>
      </c>
      <c r="AJ58" s="306">
        <f>SUM(AJ59:AJ59)</f>
        <v>2603831</v>
      </c>
    </row>
    <row r="59" spans="1:36" s="79" customFormat="1" x14ac:dyDescent="0.2">
      <c r="A59" s="18"/>
      <c r="B59" s="484" t="s">
        <v>128</v>
      </c>
      <c r="C59" s="484"/>
      <c r="D59" s="26" t="s">
        <v>129</v>
      </c>
      <c r="E59" s="239">
        <f>1998506+500000</f>
        <v>2498506</v>
      </c>
      <c r="F59" s="239">
        <f t="shared" ref="F59:F60" si="147">E59+G59</f>
        <v>2603831</v>
      </c>
      <c r="G59" s="239">
        <f t="shared" ref="G59:G60" si="148">SUBTOTAL(9,H59:S59)</f>
        <v>105325</v>
      </c>
      <c r="H59" s="239"/>
      <c r="I59" s="239"/>
      <c r="J59" s="239"/>
      <c r="K59" s="239"/>
      <c r="L59" s="239"/>
      <c r="M59" s="239"/>
      <c r="N59" s="239">
        <f>-486722+2493623+200000-2498506</f>
        <v>-291605</v>
      </c>
      <c r="O59" s="239">
        <f>234630</f>
        <v>234630</v>
      </c>
      <c r="P59" s="239">
        <v>162300</v>
      </c>
      <c r="Q59" s="239"/>
      <c r="R59" s="239"/>
      <c r="S59" s="239"/>
      <c r="T59" s="239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>
        <f t="shared" ref="AI59:AI60" si="149">E59+T59</f>
        <v>2498506</v>
      </c>
      <c r="AJ59" s="205">
        <f>F59+U59</f>
        <v>2603831</v>
      </c>
    </row>
    <row r="60" spans="1:36" s="79" customFormat="1" ht="24" x14ac:dyDescent="0.2">
      <c r="A60" s="18"/>
      <c r="B60" s="482" t="s">
        <v>706</v>
      </c>
      <c r="C60" s="483"/>
      <c r="D60" s="19" t="s">
        <v>708</v>
      </c>
      <c r="E60" s="239"/>
      <c r="F60" s="239">
        <f t="shared" si="147"/>
        <v>0</v>
      </c>
      <c r="G60" s="239">
        <f t="shared" si="148"/>
        <v>0</v>
      </c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336">
        <f>T60+V60</f>
        <v>0</v>
      </c>
      <c r="V60" s="336">
        <f>SUBTOTAL(9,W60:AH60)</f>
        <v>0</v>
      </c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>
        <f t="shared" si="149"/>
        <v>0</v>
      </c>
      <c r="AJ60" s="205">
        <f>F60+U60</f>
        <v>0</v>
      </c>
    </row>
    <row r="61" spans="1:36" s="79" customFormat="1" ht="24" x14ac:dyDescent="0.2">
      <c r="A61" s="18"/>
      <c r="B61" s="482" t="s">
        <v>130</v>
      </c>
      <c r="C61" s="482"/>
      <c r="D61" s="19" t="s">
        <v>107</v>
      </c>
      <c r="E61" s="124">
        <f t="shared" ref="E61" si="150">SUM(E62:E64)</f>
        <v>356609</v>
      </c>
      <c r="F61" s="124">
        <f t="shared" ref="F61:G61" si="151">SUM(F62:F64)</f>
        <v>356609</v>
      </c>
      <c r="G61" s="124">
        <f t="shared" si="151"/>
        <v>0</v>
      </c>
      <c r="H61" s="124">
        <f t="shared" ref="H61:R61" si="152">SUM(H62:H64)</f>
        <v>0</v>
      </c>
      <c r="I61" s="124">
        <f t="shared" si="152"/>
        <v>0</v>
      </c>
      <c r="J61" s="124">
        <f t="shared" si="152"/>
        <v>0</v>
      </c>
      <c r="K61" s="124">
        <f t="shared" si="152"/>
        <v>0</v>
      </c>
      <c r="L61" s="124">
        <f t="shared" si="152"/>
        <v>0</v>
      </c>
      <c r="M61" s="124">
        <f t="shared" si="152"/>
        <v>0</v>
      </c>
      <c r="N61" s="124">
        <f t="shared" si="152"/>
        <v>0</v>
      </c>
      <c r="O61" s="124">
        <f t="shared" si="152"/>
        <v>0</v>
      </c>
      <c r="P61" s="124">
        <f t="shared" si="152"/>
        <v>0</v>
      </c>
      <c r="Q61" s="124">
        <f t="shared" si="152"/>
        <v>0</v>
      </c>
      <c r="R61" s="124">
        <f t="shared" si="152"/>
        <v>0</v>
      </c>
      <c r="S61" s="124">
        <f t="shared" ref="S61:T61" si="153">SUM(S62:S64)</f>
        <v>0</v>
      </c>
      <c r="T61" s="124">
        <f t="shared" si="153"/>
        <v>0</v>
      </c>
      <c r="U61" s="333">
        <f t="shared" ref="U61:AH61" si="154">SUM(U62:U64)</f>
        <v>0</v>
      </c>
      <c r="V61" s="333">
        <f t="shared" si="154"/>
        <v>0</v>
      </c>
      <c r="W61" s="333">
        <f t="shared" ref="W61:AG61" si="155">SUM(W62:W64)</f>
        <v>0</v>
      </c>
      <c r="X61" s="333">
        <f t="shared" si="155"/>
        <v>0</v>
      </c>
      <c r="Y61" s="333">
        <f t="shared" si="155"/>
        <v>0</v>
      </c>
      <c r="Z61" s="333">
        <f t="shared" si="155"/>
        <v>0</v>
      </c>
      <c r="AA61" s="333">
        <f t="shared" si="155"/>
        <v>0</v>
      </c>
      <c r="AB61" s="333">
        <f t="shared" si="155"/>
        <v>0</v>
      </c>
      <c r="AC61" s="333">
        <f t="shared" si="155"/>
        <v>0</v>
      </c>
      <c r="AD61" s="333">
        <f t="shared" si="155"/>
        <v>0</v>
      </c>
      <c r="AE61" s="333">
        <f t="shared" si="155"/>
        <v>0</v>
      </c>
      <c r="AF61" s="333">
        <f t="shared" si="155"/>
        <v>0</v>
      </c>
      <c r="AG61" s="333">
        <f t="shared" si="155"/>
        <v>0</v>
      </c>
      <c r="AH61" s="333">
        <f t="shared" si="154"/>
        <v>0</v>
      </c>
      <c r="AI61" s="333">
        <f t="shared" ref="AI61" si="156">SUM(AI62:AI64)</f>
        <v>356609</v>
      </c>
      <c r="AJ61" s="306">
        <f t="shared" ref="AJ61" si="157">SUM(AJ62:AJ64)</f>
        <v>356609</v>
      </c>
    </row>
    <row r="62" spans="1:36" x14ac:dyDescent="0.2">
      <c r="A62" s="20"/>
      <c r="B62" s="484" t="s">
        <v>131</v>
      </c>
      <c r="C62" s="484"/>
      <c r="D62" s="21" t="s">
        <v>108</v>
      </c>
      <c r="E62" s="236">
        <v>145365</v>
      </c>
      <c r="F62" s="236">
        <f t="shared" ref="F62:F64" si="158">E62+G62</f>
        <v>145365</v>
      </c>
      <c r="G62" s="236">
        <f t="shared" ref="G62:G64" si="159">SUBTOTAL(9,H62:S62)</f>
        <v>0</v>
      </c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334">
        <f t="shared" ref="U62:U64" si="160">T62+V62</f>
        <v>0</v>
      </c>
      <c r="V62" s="334">
        <f t="shared" ref="V62:V64" si="161">SUBTOTAL(9,W62:AH62)</f>
        <v>0</v>
      </c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>
        <f t="shared" ref="AI62:AI64" si="162">E62+T62</f>
        <v>145365</v>
      </c>
      <c r="AJ62" s="303">
        <f t="shared" ref="AJ62:AJ64" si="163">F62+U62</f>
        <v>145365</v>
      </c>
    </row>
    <row r="63" spans="1:36" x14ac:dyDescent="0.2">
      <c r="A63" s="25"/>
      <c r="B63" s="479" t="s">
        <v>132</v>
      </c>
      <c r="C63" s="479"/>
      <c r="D63" s="26" t="s">
        <v>109</v>
      </c>
      <c r="E63" s="239">
        <v>40400</v>
      </c>
      <c r="F63" s="239">
        <f t="shared" si="158"/>
        <v>40400</v>
      </c>
      <c r="G63" s="239">
        <f t="shared" si="159"/>
        <v>0</v>
      </c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336">
        <f t="shared" si="160"/>
        <v>0</v>
      </c>
      <c r="V63" s="336">
        <f t="shared" si="161"/>
        <v>0</v>
      </c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>
        <f t="shared" si="162"/>
        <v>40400</v>
      </c>
      <c r="AJ63" s="205">
        <f t="shared" si="163"/>
        <v>40400</v>
      </c>
    </row>
    <row r="64" spans="1:36" x14ac:dyDescent="0.2">
      <c r="A64" s="25"/>
      <c r="B64" s="479" t="s">
        <v>133</v>
      </c>
      <c r="C64" s="479"/>
      <c r="D64" s="26" t="s">
        <v>110</v>
      </c>
      <c r="E64" s="239">
        <v>170844</v>
      </c>
      <c r="F64" s="239">
        <f t="shared" si="158"/>
        <v>170844</v>
      </c>
      <c r="G64" s="239">
        <f t="shared" si="159"/>
        <v>0</v>
      </c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336">
        <f t="shared" si="160"/>
        <v>0</v>
      </c>
      <c r="V64" s="336">
        <f t="shared" si="161"/>
        <v>0</v>
      </c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>
        <f t="shared" si="162"/>
        <v>170844</v>
      </c>
      <c r="AJ64" s="205">
        <f t="shared" si="163"/>
        <v>170844</v>
      </c>
    </row>
    <row r="65" spans="1:36" ht="51.75" customHeight="1" x14ac:dyDescent="0.2">
      <c r="A65" s="480" t="s">
        <v>503</v>
      </c>
      <c r="B65" s="481"/>
      <c r="C65" s="481"/>
      <c r="D65" s="33" t="s">
        <v>504</v>
      </c>
      <c r="E65" s="246">
        <f t="shared" ref="E65:AI65" si="164">SUM(E66)</f>
        <v>234662</v>
      </c>
      <c r="F65" s="246">
        <f t="shared" si="164"/>
        <v>290991</v>
      </c>
      <c r="G65" s="246">
        <f t="shared" si="164"/>
        <v>56329</v>
      </c>
      <c r="H65" s="246">
        <f t="shared" si="164"/>
        <v>56329</v>
      </c>
      <c r="I65" s="246">
        <f t="shared" si="164"/>
        <v>0</v>
      </c>
      <c r="J65" s="246">
        <f t="shared" si="164"/>
        <v>0</v>
      </c>
      <c r="K65" s="246">
        <f t="shared" si="164"/>
        <v>0</v>
      </c>
      <c r="L65" s="246">
        <f t="shared" si="164"/>
        <v>0</v>
      </c>
      <c r="M65" s="246">
        <f t="shared" si="164"/>
        <v>0</v>
      </c>
      <c r="N65" s="246">
        <f t="shared" si="164"/>
        <v>0</v>
      </c>
      <c r="O65" s="246">
        <f t="shared" si="164"/>
        <v>0</v>
      </c>
      <c r="P65" s="246">
        <f t="shared" si="164"/>
        <v>0</v>
      </c>
      <c r="Q65" s="246">
        <f t="shared" si="164"/>
        <v>0</v>
      </c>
      <c r="R65" s="246">
        <f t="shared" si="164"/>
        <v>0</v>
      </c>
      <c r="S65" s="246">
        <f t="shared" si="164"/>
        <v>0</v>
      </c>
      <c r="T65" s="246">
        <f t="shared" si="164"/>
        <v>0</v>
      </c>
      <c r="U65" s="339">
        <f t="shared" si="164"/>
        <v>0</v>
      </c>
      <c r="V65" s="339">
        <f t="shared" si="164"/>
        <v>0</v>
      </c>
      <c r="W65" s="339">
        <f t="shared" si="164"/>
        <v>0</v>
      </c>
      <c r="X65" s="339">
        <f t="shared" si="164"/>
        <v>0</v>
      </c>
      <c r="Y65" s="339">
        <f t="shared" si="164"/>
        <v>0</v>
      </c>
      <c r="Z65" s="339">
        <f t="shared" si="164"/>
        <v>0</v>
      </c>
      <c r="AA65" s="339">
        <f t="shared" si="164"/>
        <v>0</v>
      </c>
      <c r="AB65" s="339">
        <f t="shared" si="164"/>
        <v>0</v>
      </c>
      <c r="AC65" s="339">
        <f t="shared" si="164"/>
        <v>0</v>
      </c>
      <c r="AD65" s="339">
        <f t="shared" si="164"/>
        <v>0</v>
      </c>
      <c r="AE65" s="339">
        <f t="shared" si="164"/>
        <v>0</v>
      </c>
      <c r="AF65" s="339">
        <f t="shared" si="164"/>
        <v>0</v>
      </c>
      <c r="AG65" s="339">
        <f t="shared" si="164"/>
        <v>0</v>
      </c>
      <c r="AH65" s="339">
        <f t="shared" si="164"/>
        <v>0</v>
      </c>
      <c r="AI65" s="339">
        <f t="shared" si="164"/>
        <v>234662</v>
      </c>
      <c r="AJ65" s="312">
        <f>SUM(AJ66)</f>
        <v>290991</v>
      </c>
    </row>
    <row r="66" spans="1:36" ht="39" customHeight="1" x14ac:dyDescent="0.2">
      <c r="A66" s="25"/>
      <c r="B66" s="287" t="s">
        <v>505</v>
      </c>
      <c r="C66" s="287"/>
      <c r="D66" s="19" t="s">
        <v>506</v>
      </c>
      <c r="E66" s="247">
        <v>234662</v>
      </c>
      <c r="F66" s="247">
        <f>E66+G66</f>
        <v>290991</v>
      </c>
      <c r="G66" s="247">
        <f>SUBTOTAL(9,H66:S66)</f>
        <v>56329</v>
      </c>
      <c r="H66" s="247">
        <f>56329</f>
        <v>56329</v>
      </c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8">
        <f>T66+V66</f>
        <v>0</v>
      </c>
      <c r="V66" s="248">
        <f>SUBTOTAL(9,W66:AH66)</f>
        <v>0</v>
      </c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>
        <f>E66+T66</f>
        <v>234662</v>
      </c>
      <c r="AJ66" s="313">
        <f>F66+U66</f>
        <v>290991</v>
      </c>
    </row>
    <row r="67" spans="1:36" s="80" customFormat="1" x14ac:dyDescent="0.2">
      <c r="A67" s="480" t="s">
        <v>80</v>
      </c>
      <c r="B67" s="481"/>
      <c r="C67" s="481"/>
      <c r="D67" s="33" t="s">
        <v>81</v>
      </c>
      <c r="E67" s="17">
        <f t="shared" ref="E67:AI67" si="165">SUM(E68)</f>
        <v>23344730</v>
      </c>
      <c r="F67" s="17">
        <f t="shared" si="165"/>
        <v>24263527</v>
      </c>
      <c r="G67" s="17">
        <f t="shared" si="165"/>
        <v>918797</v>
      </c>
      <c r="H67" s="17">
        <f t="shared" si="165"/>
        <v>731597</v>
      </c>
      <c r="I67" s="17">
        <f t="shared" si="165"/>
        <v>5482</v>
      </c>
      <c r="J67" s="17">
        <f t="shared" si="165"/>
        <v>17358</v>
      </c>
      <c r="K67" s="17">
        <f t="shared" si="165"/>
        <v>-19016</v>
      </c>
      <c r="L67" s="17">
        <f t="shared" si="165"/>
        <v>2075</v>
      </c>
      <c r="M67" s="17">
        <f t="shared" si="165"/>
        <v>241704</v>
      </c>
      <c r="N67" s="17">
        <f t="shared" si="165"/>
        <v>-25308</v>
      </c>
      <c r="O67" s="17">
        <f t="shared" si="165"/>
        <v>-68029</v>
      </c>
      <c r="P67" s="17">
        <f t="shared" si="165"/>
        <v>32934</v>
      </c>
      <c r="Q67" s="17">
        <f t="shared" si="165"/>
        <v>0</v>
      </c>
      <c r="R67" s="17">
        <f t="shared" si="165"/>
        <v>0</v>
      </c>
      <c r="S67" s="17">
        <f t="shared" si="165"/>
        <v>0</v>
      </c>
      <c r="T67" s="17">
        <f t="shared" si="165"/>
        <v>0</v>
      </c>
      <c r="U67" s="332">
        <f t="shared" si="165"/>
        <v>0</v>
      </c>
      <c r="V67" s="332">
        <f t="shared" si="165"/>
        <v>0</v>
      </c>
      <c r="W67" s="332">
        <f t="shared" si="165"/>
        <v>0</v>
      </c>
      <c r="X67" s="332">
        <f t="shared" si="165"/>
        <v>0</v>
      </c>
      <c r="Y67" s="332">
        <f t="shared" si="165"/>
        <v>0</v>
      </c>
      <c r="Z67" s="332">
        <f t="shared" si="165"/>
        <v>0</v>
      </c>
      <c r="AA67" s="332">
        <f t="shared" si="165"/>
        <v>0</v>
      </c>
      <c r="AB67" s="332">
        <f t="shared" si="165"/>
        <v>0</v>
      </c>
      <c r="AC67" s="332">
        <f t="shared" si="165"/>
        <v>0</v>
      </c>
      <c r="AD67" s="332">
        <f t="shared" si="165"/>
        <v>0</v>
      </c>
      <c r="AE67" s="332">
        <f t="shared" si="165"/>
        <v>0</v>
      </c>
      <c r="AF67" s="332">
        <f t="shared" si="165"/>
        <v>0</v>
      </c>
      <c r="AG67" s="332">
        <f t="shared" si="165"/>
        <v>0</v>
      </c>
      <c r="AH67" s="332">
        <f t="shared" si="165"/>
        <v>0</v>
      </c>
      <c r="AI67" s="332">
        <f t="shared" si="165"/>
        <v>23344730</v>
      </c>
      <c r="AJ67" s="305">
        <f t="shared" ref="AJ67" si="166">SUM(AJ68)</f>
        <v>24263527</v>
      </c>
    </row>
    <row r="68" spans="1:36" s="79" customFormat="1" ht="15.75" customHeight="1" x14ac:dyDescent="0.2">
      <c r="A68" s="18"/>
      <c r="B68" s="482" t="s">
        <v>82</v>
      </c>
      <c r="C68" s="482"/>
      <c r="D68" s="19" t="s">
        <v>225</v>
      </c>
      <c r="E68" s="124">
        <f t="shared" ref="E68:AJ68" si="167">SUM(E69:E70)</f>
        <v>23344730</v>
      </c>
      <c r="F68" s="124">
        <f t="shared" si="167"/>
        <v>24263527</v>
      </c>
      <c r="G68" s="124">
        <f t="shared" si="167"/>
        <v>918797</v>
      </c>
      <c r="H68" s="124">
        <f t="shared" ref="H68:R68" si="168">SUM(H69:H70)</f>
        <v>731597</v>
      </c>
      <c r="I68" s="124">
        <f t="shared" si="168"/>
        <v>5482</v>
      </c>
      <c r="J68" s="124">
        <f t="shared" si="168"/>
        <v>17358</v>
      </c>
      <c r="K68" s="124">
        <f t="shared" si="168"/>
        <v>-19016</v>
      </c>
      <c r="L68" s="124">
        <f t="shared" si="168"/>
        <v>2075</v>
      </c>
      <c r="M68" s="124">
        <f t="shared" si="168"/>
        <v>241704</v>
      </c>
      <c r="N68" s="124">
        <f t="shared" si="168"/>
        <v>-25308</v>
      </c>
      <c r="O68" s="124">
        <f t="shared" si="168"/>
        <v>-68029</v>
      </c>
      <c r="P68" s="124">
        <f t="shared" si="168"/>
        <v>32934</v>
      </c>
      <c r="Q68" s="124">
        <f t="shared" si="168"/>
        <v>0</v>
      </c>
      <c r="R68" s="124">
        <f t="shared" si="168"/>
        <v>0</v>
      </c>
      <c r="S68" s="124">
        <f t="shared" si="167"/>
        <v>0</v>
      </c>
      <c r="T68" s="124">
        <f t="shared" si="167"/>
        <v>0</v>
      </c>
      <c r="U68" s="333">
        <f t="shared" ref="U68:AH68" si="169">SUM(U69:U70)</f>
        <v>0</v>
      </c>
      <c r="V68" s="333">
        <f t="shared" si="169"/>
        <v>0</v>
      </c>
      <c r="W68" s="333">
        <f t="shared" ref="W68:AG68" si="170">SUM(W69:W70)</f>
        <v>0</v>
      </c>
      <c r="X68" s="333">
        <f t="shared" si="170"/>
        <v>0</v>
      </c>
      <c r="Y68" s="333">
        <f t="shared" si="170"/>
        <v>0</v>
      </c>
      <c r="Z68" s="333">
        <f t="shared" si="170"/>
        <v>0</v>
      </c>
      <c r="AA68" s="333">
        <f t="shared" si="170"/>
        <v>0</v>
      </c>
      <c r="AB68" s="333">
        <f t="shared" si="170"/>
        <v>0</v>
      </c>
      <c r="AC68" s="333">
        <f t="shared" si="170"/>
        <v>0</v>
      </c>
      <c r="AD68" s="333">
        <f t="shared" si="170"/>
        <v>0</v>
      </c>
      <c r="AE68" s="333">
        <f t="shared" si="170"/>
        <v>0</v>
      </c>
      <c r="AF68" s="333">
        <f t="shared" si="170"/>
        <v>0</v>
      </c>
      <c r="AG68" s="333">
        <f t="shared" si="170"/>
        <v>0</v>
      </c>
      <c r="AH68" s="333">
        <f t="shared" si="169"/>
        <v>0</v>
      </c>
      <c r="AI68" s="333">
        <f t="shared" ref="AI68" si="171">SUM(AI69:AI70)</f>
        <v>23344730</v>
      </c>
      <c r="AJ68" s="302">
        <f t="shared" si="167"/>
        <v>24263527</v>
      </c>
    </row>
    <row r="69" spans="1:36" x14ac:dyDescent="0.2">
      <c r="A69" s="25"/>
      <c r="B69" s="479" t="s">
        <v>83</v>
      </c>
      <c r="C69" s="479"/>
      <c r="D69" s="26" t="s">
        <v>588</v>
      </c>
      <c r="E69" s="239">
        <v>11380968</v>
      </c>
      <c r="F69" s="239">
        <f t="shared" ref="F69:F70" si="172">E69+G69</f>
        <v>11415917</v>
      </c>
      <c r="G69" s="239">
        <f t="shared" ref="G69:G70" si="173">SUBTOTAL(9,H69:S69)</f>
        <v>34949</v>
      </c>
      <c r="H69" s="239">
        <f>-13877+55504+42906+3261-18458-24126</f>
        <v>45210</v>
      </c>
      <c r="I69" s="239">
        <f>1441+2001+2040</f>
        <v>5482</v>
      </c>
      <c r="J69" s="239"/>
      <c r="K69" s="239">
        <f>1623-3792-887-959-2394-68-4271-1022-1092-4186-2423-809-384-686-1862</f>
        <v>-23212</v>
      </c>
      <c r="L69" s="239"/>
      <c r="M69" s="239">
        <f>3000-1</f>
        <v>2999</v>
      </c>
      <c r="N69" s="239">
        <f>-475-50400+3818</f>
        <v>-47057</v>
      </c>
      <c r="O69" s="239"/>
      <c r="P69" s="239">
        <f>2196+10570+4549+7738-764+172-1064-7972-2896-892+54081+721+2900-9125+18088+12164+5408+2340+5680-2680+1632-24496+824+3216+14616+39560+1892-124+1496+828-26427+804-20880+3696+604-46928</f>
        <v>51527</v>
      </c>
      <c r="Q69" s="239"/>
      <c r="R69" s="239"/>
      <c r="S69" s="239"/>
      <c r="T69" s="239"/>
      <c r="U69" s="334">
        <f t="shared" ref="U69:U70" si="174">T69+V69</f>
        <v>0</v>
      </c>
      <c r="V69" s="334">
        <f t="shared" ref="V69:V70" si="175">SUBTOTAL(9,W69:AH69)</f>
        <v>0</v>
      </c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>
        <f t="shared" ref="AI69:AI70" si="176">E69+T69</f>
        <v>11380968</v>
      </c>
      <c r="AJ69" s="303">
        <f t="shared" ref="AJ69:AJ70" si="177">F69+U69</f>
        <v>11415917</v>
      </c>
    </row>
    <row r="70" spans="1:36" ht="48" x14ac:dyDescent="0.2">
      <c r="A70" s="25"/>
      <c r="B70" s="479" t="s">
        <v>117</v>
      </c>
      <c r="C70" s="479"/>
      <c r="D70" s="26" t="s">
        <v>223</v>
      </c>
      <c r="E70" s="239">
        <v>11963762</v>
      </c>
      <c r="F70" s="239">
        <f t="shared" si="172"/>
        <v>12847610</v>
      </c>
      <c r="G70" s="239">
        <f t="shared" si="173"/>
        <v>883848</v>
      </c>
      <c r="H70" s="239">
        <f>31337+2719+6784+3592+2308+23723-84522+1090278-597289+97046-5156-1574+1574+45119+2498+996+55715+9232+2282-275</f>
        <v>686387</v>
      </c>
      <c r="I70" s="239"/>
      <c r="J70" s="239">
        <f>103+17255</f>
        <v>17358</v>
      </c>
      <c r="K70" s="239">
        <v>4196</v>
      </c>
      <c r="L70" s="239">
        <f>2075</f>
        <v>2075</v>
      </c>
      <c r="M70" s="239">
        <f>-933+299065-59427</f>
        <v>238705</v>
      </c>
      <c r="N70" s="239">
        <f>18277+3472</f>
        <v>21749</v>
      </c>
      <c r="O70" s="239">
        <f>-68029</f>
        <v>-68029</v>
      </c>
      <c r="P70" s="239">
        <f>27468+25464-7664-63861</f>
        <v>-18593</v>
      </c>
      <c r="Q70" s="239"/>
      <c r="R70" s="239"/>
      <c r="S70" s="239"/>
      <c r="T70" s="239"/>
      <c r="U70" s="334">
        <f t="shared" si="174"/>
        <v>0</v>
      </c>
      <c r="V70" s="334">
        <f t="shared" si="175"/>
        <v>0</v>
      </c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>
        <f t="shared" si="176"/>
        <v>11963762</v>
      </c>
      <c r="AJ70" s="303">
        <f t="shared" si="177"/>
        <v>12847610</v>
      </c>
    </row>
    <row r="71" spans="1:36" s="80" customFormat="1" x14ac:dyDescent="0.2">
      <c r="A71" s="480" t="s">
        <v>84</v>
      </c>
      <c r="B71" s="481"/>
      <c r="C71" s="481"/>
      <c r="D71" s="33" t="s">
        <v>85</v>
      </c>
      <c r="E71" s="17">
        <f t="shared" ref="E71:AJ71" si="178">SUM(E72:E73)</f>
        <v>2024473</v>
      </c>
      <c r="F71" s="17">
        <f t="shared" si="178"/>
        <v>2129620</v>
      </c>
      <c r="G71" s="17">
        <f t="shared" si="178"/>
        <v>105147</v>
      </c>
      <c r="H71" s="17">
        <f t="shared" ref="H71:R71" si="179">SUM(H72:H73)</f>
        <v>148995</v>
      </c>
      <c r="I71" s="17">
        <f t="shared" si="179"/>
        <v>0</v>
      </c>
      <c r="J71" s="17">
        <f t="shared" si="179"/>
        <v>-2069</v>
      </c>
      <c r="K71" s="17">
        <f t="shared" si="179"/>
        <v>812</v>
      </c>
      <c r="L71" s="17">
        <f t="shared" si="179"/>
        <v>0</v>
      </c>
      <c r="M71" s="17">
        <f t="shared" si="179"/>
        <v>-45448</v>
      </c>
      <c r="N71" s="17">
        <f t="shared" si="179"/>
        <v>0</v>
      </c>
      <c r="O71" s="17">
        <f t="shared" si="179"/>
        <v>-68029</v>
      </c>
      <c r="P71" s="17">
        <f t="shared" si="179"/>
        <v>70886</v>
      </c>
      <c r="Q71" s="17">
        <f t="shared" si="179"/>
        <v>0</v>
      </c>
      <c r="R71" s="17">
        <f t="shared" si="179"/>
        <v>0</v>
      </c>
      <c r="S71" s="17">
        <f t="shared" ref="S71:AH71" si="180">SUM(S72:S73)</f>
        <v>0</v>
      </c>
      <c r="T71" s="17">
        <f t="shared" si="178"/>
        <v>-1320794</v>
      </c>
      <c r="U71" s="332">
        <f t="shared" si="180"/>
        <v>-1425941</v>
      </c>
      <c r="V71" s="332">
        <f t="shared" si="180"/>
        <v>-105147</v>
      </c>
      <c r="W71" s="332">
        <f t="shared" ref="W71:AG71" si="181">SUM(W72:W73)</f>
        <v>-148995</v>
      </c>
      <c r="X71" s="332">
        <f t="shared" si="181"/>
        <v>0</v>
      </c>
      <c r="Y71" s="332">
        <f t="shared" si="181"/>
        <v>2069</v>
      </c>
      <c r="Z71" s="332">
        <f t="shared" si="181"/>
        <v>-812</v>
      </c>
      <c r="AA71" s="332">
        <f t="shared" si="181"/>
        <v>45448</v>
      </c>
      <c r="AB71" s="332">
        <f t="shared" si="181"/>
        <v>0</v>
      </c>
      <c r="AC71" s="332">
        <f t="shared" si="181"/>
        <v>68029</v>
      </c>
      <c r="AD71" s="332">
        <f t="shared" si="181"/>
        <v>0</v>
      </c>
      <c r="AE71" s="332">
        <f t="shared" si="181"/>
        <v>-70886</v>
      </c>
      <c r="AF71" s="332">
        <f t="shared" si="181"/>
        <v>0</v>
      </c>
      <c r="AG71" s="332">
        <f t="shared" si="181"/>
        <v>0</v>
      </c>
      <c r="AH71" s="332">
        <f t="shared" si="180"/>
        <v>0</v>
      </c>
      <c r="AI71" s="332">
        <f t="shared" ref="AI71" si="182">SUM(AI72:AI73)</f>
        <v>703679</v>
      </c>
      <c r="AJ71" s="301">
        <f t="shared" si="178"/>
        <v>703679</v>
      </c>
    </row>
    <row r="72" spans="1:36" s="79" customFormat="1" ht="25.5" customHeight="1" x14ac:dyDescent="0.2">
      <c r="A72" s="18"/>
      <c r="B72" s="482" t="s">
        <v>86</v>
      </c>
      <c r="C72" s="482"/>
      <c r="D72" s="19" t="s">
        <v>224</v>
      </c>
      <c r="E72" s="124">
        <v>703679</v>
      </c>
      <c r="F72" s="124">
        <f t="shared" ref="F72:F73" si="183">E72+G72</f>
        <v>703679</v>
      </c>
      <c r="G72" s="124">
        <f t="shared" ref="G72:G73" si="184">SUBTOTAL(9,H72:S72)</f>
        <v>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333">
        <f t="shared" ref="U72:U73" si="185">T72+V72</f>
        <v>0</v>
      </c>
      <c r="V72" s="333">
        <f t="shared" ref="V72:V73" si="186">SUBTOTAL(9,W72:AH72)</f>
        <v>0</v>
      </c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>
        <f t="shared" ref="AI72:AI73" si="187">E72+T72</f>
        <v>703679</v>
      </c>
      <c r="AJ72" s="306">
        <f t="shared" ref="AJ72:AJ73" si="188">F72+U72</f>
        <v>703679</v>
      </c>
    </row>
    <row r="73" spans="1:36" ht="16.5" customHeight="1" x14ac:dyDescent="0.2">
      <c r="A73" s="34"/>
      <c r="B73" s="287" t="s">
        <v>434</v>
      </c>
      <c r="C73" s="287"/>
      <c r="D73" s="178" t="s">
        <v>454</v>
      </c>
      <c r="E73" s="248">
        <f>1317328+3466</f>
        <v>1320794</v>
      </c>
      <c r="F73" s="248">
        <f t="shared" si="183"/>
        <v>1425941</v>
      </c>
      <c r="G73" s="248">
        <f t="shared" si="184"/>
        <v>105147</v>
      </c>
      <c r="H73" s="248">
        <f>4050+2719+6784+3592+3932-74+19033-77426+77426+1-839590+839590-35892+35892-467+467-200+200+2865-3466+3466+94554+9232+2282-2957+2957-275+300-4028+4028</f>
        <v>148995</v>
      </c>
      <c r="I73" s="248">
        <f>-351+351</f>
        <v>0</v>
      </c>
      <c r="J73" s="248">
        <f>-2653-68029+68029+584-150231+150231</f>
        <v>-2069</v>
      </c>
      <c r="K73" s="248">
        <f>812</f>
        <v>812</v>
      </c>
      <c r="L73" s="248"/>
      <c r="M73" s="248">
        <f>13979-59427</f>
        <v>-45448</v>
      </c>
      <c r="N73" s="248"/>
      <c r="O73" s="248">
        <f>-68029</f>
        <v>-68029</v>
      </c>
      <c r="P73" s="248">
        <f>-59285+130171</f>
        <v>70886</v>
      </c>
      <c r="Q73" s="248"/>
      <c r="R73" s="248"/>
      <c r="S73" s="248"/>
      <c r="T73" s="248">
        <f>-1317328-3466</f>
        <v>-1320794</v>
      </c>
      <c r="U73" s="248">
        <f t="shared" si="185"/>
        <v>-1425941</v>
      </c>
      <c r="V73" s="248">
        <f t="shared" si="186"/>
        <v>-105147</v>
      </c>
      <c r="W73" s="248">
        <f>-4050-2719-6784-3592-3932+74-19033+77426-77426-1+839590-839590+35892-35892+467-467+200-200-2865+3466-3466-94554-9232-2282+2957-2957+275-300+4028-4028</f>
        <v>-148995</v>
      </c>
      <c r="X73" s="248">
        <f>351-351</f>
        <v>0</v>
      </c>
      <c r="Y73" s="248">
        <f>2653+68029-68029-584+150231-150231</f>
        <v>2069</v>
      </c>
      <c r="Z73" s="248">
        <f>-812</f>
        <v>-812</v>
      </c>
      <c r="AA73" s="248">
        <f>-13979+59427</f>
        <v>45448</v>
      </c>
      <c r="AB73" s="248"/>
      <c r="AC73" s="248">
        <f>68029</f>
        <v>68029</v>
      </c>
      <c r="AD73" s="248"/>
      <c r="AE73" s="248">
        <f>59285-130171</f>
        <v>-70886</v>
      </c>
      <c r="AF73" s="248"/>
      <c r="AG73" s="248"/>
      <c r="AH73" s="248"/>
      <c r="AI73" s="248">
        <f t="shared" si="187"/>
        <v>0</v>
      </c>
      <c r="AJ73" s="313">
        <f t="shared" si="188"/>
        <v>0</v>
      </c>
    </row>
    <row r="74" spans="1:36" s="80" customFormat="1" x14ac:dyDescent="0.2">
      <c r="A74" s="480" t="s">
        <v>87</v>
      </c>
      <c r="B74" s="481"/>
      <c r="C74" s="498"/>
      <c r="D74" s="33" t="s">
        <v>277</v>
      </c>
      <c r="E74" s="17">
        <f t="shared" ref="E74:T74" si="189">SUM(E75,E78,E92)</f>
        <v>1784706</v>
      </c>
      <c r="F74" s="17">
        <f t="shared" si="189"/>
        <v>1740617</v>
      </c>
      <c r="G74" s="17">
        <f t="shared" si="189"/>
        <v>-44089</v>
      </c>
      <c r="H74" s="17">
        <f t="shared" ref="H74:R74" si="190">SUM(H75,H78,H92)</f>
        <v>42246</v>
      </c>
      <c r="I74" s="17">
        <f t="shared" si="190"/>
        <v>0</v>
      </c>
      <c r="J74" s="17">
        <f t="shared" si="190"/>
        <v>1304</v>
      </c>
      <c r="K74" s="17">
        <f t="shared" si="190"/>
        <v>12581</v>
      </c>
      <c r="L74" s="17">
        <f t="shared" si="190"/>
        <v>25</v>
      </c>
      <c r="M74" s="17">
        <f t="shared" si="190"/>
        <v>0</v>
      </c>
      <c r="N74" s="17">
        <f t="shared" si="190"/>
        <v>-44259</v>
      </c>
      <c r="O74" s="17">
        <f t="shared" si="190"/>
        <v>6265</v>
      </c>
      <c r="P74" s="17">
        <f t="shared" si="190"/>
        <v>-62251</v>
      </c>
      <c r="Q74" s="17">
        <f t="shared" si="190"/>
        <v>0</v>
      </c>
      <c r="R74" s="17">
        <f t="shared" si="190"/>
        <v>0</v>
      </c>
      <c r="S74" s="17">
        <f t="shared" ref="S74:AH74" si="191">SUM(S75,S78,S92)</f>
        <v>0</v>
      </c>
      <c r="T74" s="17">
        <f t="shared" si="189"/>
        <v>-15473</v>
      </c>
      <c r="U74" s="332">
        <f t="shared" si="191"/>
        <v>-20132</v>
      </c>
      <c r="V74" s="332">
        <f t="shared" si="191"/>
        <v>-4659</v>
      </c>
      <c r="W74" s="332">
        <f t="shared" ref="W74:AG74" si="192">SUM(W75,W78,W92)</f>
        <v>3772</v>
      </c>
      <c r="X74" s="332">
        <f t="shared" si="192"/>
        <v>0</v>
      </c>
      <c r="Y74" s="332">
        <f t="shared" si="192"/>
        <v>-1201</v>
      </c>
      <c r="Z74" s="332">
        <f t="shared" si="192"/>
        <v>0</v>
      </c>
      <c r="AA74" s="332">
        <f t="shared" si="192"/>
        <v>0</v>
      </c>
      <c r="AB74" s="332">
        <f t="shared" si="192"/>
        <v>-1429</v>
      </c>
      <c r="AC74" s="332">
        <f t="shared" si="192"/>
        <v>-7515</v>
      </c>
      <c r="AD74" s="332">
        <f t="shared" si="192"/>
        <v>3040</v>
      </c>
      <c r="AE74" s="332">
        <f t="shared" si="192"/>
        <v>-1326</v>
      </c>
      <c r="AF74" s="332">
        <f t="shared" si="192"/>
        <v>0</v>
      </c>
      <c r="AG74" s="332">
        <f t="shared" si="192"/>
        <v>0</v>
      </c>
      <c r="AH74" s="332">
        <f t="shared" si="191"/>
        <v>0</v>
      </c>
      <c r="AI74" s="332">
        <f t="shared" ref="AI74" si="193">SUM(AI75,AI78,AI92)</f>
        <v>1769233</v>
      </c>
      <c r="AJ74" s="305">
        <f>SUM(AJ75,AJ78,AJ92)</f>
        <v>1720485</v>
      </c>
    </row>
    <row r="75" spans="1:36" s="79" customFormat="1" ht="24" x14ac:dyDescent="0.2">
      <c r="A75" s="38"/>
      <c r="B75" s="482" t="s">
        <v>88</v>
      </c>
      <c r="C75" s="483"/>
      <c r="D75" s="63" t="s">
        <v>278</v>
      </c>
      <c r="E75" s="249">
        <f t="shared" ref="E75:G75" si="194">SUM(E76:E77)</f>
        <v>92701</v>
      </c>
      <c r="F75" s="249">
        <f t="shared" si="194"/>
        <v>140043</v>
      </c>
      <c r="G75" s="249">
        <f t="shared" si="194"/>
        <v>47342</v>
      </c>
      <c r="H75" s="249">
        <f t="shared" ref="H75:R75" si="195">SUM(H76:H77)</f>
        <v>5910</v>
      </c>
      <c r="I75" s="249">
        <f t="shared" si="195"/>
        <v>0</v>
      </c>
      <c r="J75" s="249">
        <f t="shared" si="195"/>
        <v>0</v>
      </c>
      <c r="K75" s="249">
        <f t="shared" si="195"/>
        <v>0</v>
      </c>
      <c r="L75" s="249">
        <f t="shared" si="195"/>
        <v>0</v>
      </c>
      <c r="M75" s="249">
        <f t="shared" si="195"/>
        <v>0</v>
      </c>
      <c r="N75" s="249">
        <f t="shared" si="195"/>
        <v>41432</v>
      </c>
      <c r="O75" s="249">
        <f t="shared" si="195"/>
        <v>0</v>
      </c>
      <c r="P75" s="249">
        <f t="shared" si="195"/>
        <v>0</v>
      </c>
      <c r="Q75" s="249">
        <f t="shared" si="195"/>
        <v>0</v>
      </c>
      <c r="R75" s="249">
        <f t="shared" si="195"/>
        <v>0</v>
      </c>
      <c r="S75" s="249">
        <f t="shared" ref="S75:T75" si="196">SUM(S76:S77)</f>
        <v>0</v>
      </c>
      <c r="T75" s="249">
        <f t="shared" si="196"/>
        <v>0</v>
      </c>
      <c r="U75" s="340">
        <f t="shared" ref="U75:AH75" si="197">SUM(U76:U77)</f>
        <v>0</v>
      </c>
      <c r="V75" s="340">
        <f t="shared" si="197"/>
        <v>0</v>
      </c>
      <c r="W75" s="340">
        <f t="shared" ref="W75:AG75" si="198">SUM(W76:W77)</f>
        <v>0</v>
      </c>
      <c r="X75" s="340">
        <f t="shared" si="198"/>
        <v>0</v>
      </c>
      <c r="Y75" s="340">
        <f t="shared" si="198"/>
        <v>0</v>
      </c>
      <c r="Z75" s="340">
        <f t="shared" si="198"/>
        <v>0</v>
      </c>
      <c r="AA75" s="340">
        <f t="shared" si="198"/>
        <v>0</v>
      </c>
      <c r="AB75" s="340">
        <f t="shared" si="198"/>
        <v>0</v>
      </c>
      <c r="AC75" s="340">
        <f t="shared" si="198"/>
        <v>0</v>
      </c>
      <c r="AD75" s="340">
        <f t="shared" si="198"/>
        <v>0</v>
      </c>
      <c r="AE75" s="340">
        <f t="shared" si="198"/>
        <v>0</v>
      </c>
      <c r="AF75" s="340">
        <f t="shared" si="198"/>
        <v>0</v>
      </c>
      <c r="AG75" s="340">
        <f t="shared" si="198"/>
        <v>0</v>
      </c>
      <c r="AH75" s="340">
        <f t="shared" si="197"/>
        <v>0</v>
      </c>
      <c r="AI75" s="340">
        <f t="shared" ref="AI75" si="199">SUM(AI76:AI77)</f>
        <v>92701</v>
      </c>
      <c r="AJ75" s="306">
        <f t="shared" ref="AJ75" si="200">SUM(AJ76:AJ77)</f>
        <v>140043</v>
      </c>
    </row>
    <row r="76" spans="1:36" ht="24" x14ac:dyDescent="0.2">
      <c r="A76" s="83"/>
      <c r="B76" s="486" t="s">
        <v>215</v>
      </c>
      <c r="C76" s="487"/>
      <c r="D76" s="177" t="s">
        <v>216</v>
      </c>
      <c r="E76" s="245">
        <v>467</v>
      </c>
      <c r="F76" s="245">
        <f t="shared" ref="F76:F77" si="201">E76+G76</f>
        <v>58783</v>
      </c>
      <c r="G76" s="245">
        <f t="shared" ref="G76:G77" si="202">SUBTOTAL(9,H76:S76)</f>
        <v>58316</v>
      </c>
      <c r="H76" s="245">
        <v>3932</v>
      </c>
      <c r="I76" s="245"/>
      <c r="J76" s="245"/>
      <c r="K76" s="245"/>
      <c r="L76" s="245"/>
      <c r="M76" s="245"/>
      <c r="N76" s="245">
        <v>54384</v>
      </c>
      <c r="O76" s="245"/>
      <c r="P76" s="245"/>
      <c r="Q76" s="245"/>
      <c r="R76" s="245"/>
      <c r="S76" s="245"/>
      <c r="T76" s="245"/>
      <c r="U76" s="338">
        <f t="shared" ref="U76:U77" si="203">T76+V76</f>
        <v>0</v>
      </c>
      <c r="V76" s="338">
        <f t="shared" ref="V76:V77" si="204">SUBTOTAL(9,W76:AH76)</f>
        <v>0</v>
      </c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>
        <f t="shared" ref="AI76:AI77" si="205">E76+T76</f>
        <v>467</v>
      </c>
      <c r="AJ76" s="311">
        <f t="shared" ref="AJ76:AJ77" si="206">F76+U76</f>
        <v>58783</v>
      </c>
    </row>
    <row r="77" spans="1:36" ht="24" x14ac:dyDescent="0.2">
      <c r="A77" s="117"/>
      <c r="B77" s="486" t="s">
        <v>467</v>
      </c>
      <c r="C77" s="487"/>
      <c r="D77" s="177" t="s">
        <v>589</v>
      </c>
      <c r="E77" s="236">
        <v>92234</v>
      </c>
      <c r="F77" s="236">
        <f t="shared" si="201"/>
        <v>81260</v>
      </c>
      <c r="G77" s="236">
        <f t="shared" si="202"/>
        <v>-10974</v>
      </c>
      <c r="H77" s="236">
        <f>-1756-1574+5308</f>
        <v>1978</v>
      </c>
      <c r="I77" s="236"/>
      <c r="J77" s="236"/>
      <c r="K77" s="236"/>
      <c r="L77" s="236"/>
      <c r="M77" s="236"/>
      <c r="N77" s="236">
        <v>-12952</v>
      </c>
      <c r="O77" s="236"/>
      <c r="P77" s="236"/>
      <c r="Q77" s="236"/>
      <c r="R77" s="236"/>
      <c r="S77" s="236"/>
      <c r="T77" s="236"/>
      <c r="U77" s="334">
        <f t="shared" si="203"/>
        <v>0</v>
      </c>
      <c r="V77" s="334">
        <f t="shared" si="204"/>
        <v>0</v>
      </c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>
        <f t="shared" si="205"/>
        <v>92234</v>
      </c>
      <c r="AJ77" s="303">
        <f t="shared" si="206"/>
        <v>81260</v>
      </c>
    </row>
    <row r="78" spans="1:36" s="79" customFormat="1" ht="26.25" customHeight="1" x14ac:dyDescent="0.2">
      <c r="A78" s="18"/>
      <c r="B78" s="482" t="s">
        <v>89</v>
      </c>
      <c r="C78" s="483"/>
      <c r="D78" s="19" t="s">
        <v>279</v>
      </c>
      <c r="E78" s="124">
        <f t="shared" ref="E78:T78" si="207">SUM(E79,E83,E85,E88)</f>
        <v>1629605</v>
      </c>
      <c r="F78" s="124">
        <f t="shared" si="207"/>
        <v>1383309</v>
      </c>
      <c r="G78" s="124">
        <f t="shared" si="207"/>
        <v>-246296</v>
      </c>
      <c r="H78" s="124">
        <f t="shared" ref="H78:R78" si="208">SUM(H79,H83,H85,H88)</f>
        <v>16650</v>
      </c>
      <c r="I78" s="124">
        <f t="shared" si="208"/>
        <v>0</v>
      </c>
      <c r="J78" s="124">
        <f t="shared" si="208"/>
        <v>0</v>
      </c>
      <c r="K78" s="124">
        <f t="shared" si="208"/>
        <v>12581</v>
      </c>
      <c r="L78" s="124">
        <f t="shared" si="208"/>
        <v>0</v>
      </c>
      <c r="M78" s="124">
        <f t="shared" si="208"/>
        <v>0</v>
      </c>
      <c r="N78" s="124">
        <f t="shared" si="208"/>
        <v>-87142</v>
      </c>
      <c r="O78" s="124">
        <f t="shared" si="208"/>
        <v>-1250</v>
      </c>
      <c r="P78" s="124">
        <f t="shared" si="208"/>
        <v>-187135</v>
      </c>
      <c r="Q78" s="124">
        <f t="shared" si="208"/>
        <v>0</v>
      </c>
      <c r="R78" s="124">
        <f t="shared" si="208"/>
        <v>0</v>
      </c>
      <c r="S78" s="124">
        <f t="shared" ref="S78:AH78" si="209">SUM(S79,S83,S85,S88)</f>
        <v>0</v>
      </c>
      <c r="T78" s="124">
        <f t="shared" si="207"/>
        <v>0</v>
      </c>
      <c r="U78" s="333">
        <f t="shared" si="209"/>
        <v>0</v>
      </c>
      <c r="V78" s="333">
        <f t="shared" si="209"/>
        <v>0</v>
      </c>
      <c r="W78" s="333">
        <f t="shared" ref="W78:AG78" si="210">SUM(W79,W83,W85,W88)</f>
        <v>0</v>
      </c>
      <c r="X78" s="333">
        <f t="shared" si="210"/>
        <v>0</v>
      </c>
      <c r="Y78" s="333">
        <f t="shared" si="210"/>
        <v>0</v>
      </c>
      <c r="Z78" s="333">
        <f t="shared" si="210"/>
        <v>0</v>
      </c>
      <c r="AA78" s="333">
        <f t="shared" si="210"/>
        <v>0</v>
      </c>
      <c r="AB78" s="333">
        <f t="shared" si="210"/>
        <v>0</v>
      </c>
      <c r="AC78" s="333">
        <f t="shared" si="210"/>
        <v>0</v>
      </c>
      <c r="AD78" s="333">
        <f t="shared" si="210"/>
        <v>0</v>
      </c>
      <c r="AE78" s="333">
        <f t="shared" si="210"/>
        <v>0</v>
      </c>
      <c r="AF78" s="333">
        <f t="shared" si="210"/>
        <v>0</v>
      </c>
      <c r="AG78" s="333">
        <f t="shared" si="210"/>
        <v>0</v>
      </c>
      <c r="AH78" s="333">
        <f t="shared" si="209"/>
        <v>0</v>
      </c>
      <c r="AI78" s="333">
        <f t="shared" ref="AI78" si="211">SUM(AI79,AI83,AI85,AI88)</f>
        <v>1629605</v>
      </c>
      <c r="AJ78" s="306">
        <f>SUM(AJ79,AJ83,AJ85,AJ88)</f>
        <v>1383309</v>
      </c>
    </row>
    <row r="79" spans="1:36" x14ac:dyDescent="0.2">
      <c r="A79" s="20"/>
      <c r="B79" s="479" t="s">
        <v>90</v>
      </c>
      <c r="C79" s="497"/>
      <c r="D79" s="21" t="s">
        <v>91</v>
      </c>
      <c r="E79" s="236">
        <f t="shared" ref="E79:T79" si="212">SUM(E80:E82)</f>
        <v>180164</v>
      </c>
      <c r="F79" s="236">
        <f t="shared" si="212"/>
        <v>159340</v>
      </c>
      <c r="G79" s="236">
        <f t="shared" si="212"/>
        <v>-20824</v>
      </c>
      <c r="H79" s="236">
        <f t="shared" ref="H79:R79" si="213">SUM(H80:H82)</f>
        <v>0</v>
      </c>
      <c r="I79" s="236">
        <f t="shared" si="213"/>
        <v>0</v>
      </c>
      <c r="J79" s="236">
        <f t="shared" si="213"/>
        <v>0</v>
      </c>
      <c r="K79" s="236">
        <f t="shared" si="213"/>
        <v>0</v>
      </c>
      <c r="L79" s="236">
        <f t="shared" si="213"/>
        <v>0</v>
      </c>
      <c r="M79" s="236">
        <f t="shared" si="213"/>
        <v>0</v>
      </c>
      <c r="N79" s="236">
        <f t="shared" si="213"/>
        <v>-20824</v>
      </c>
      <c r="O79" s="236">
        <f t="shared" si="213"/>
        <v>0</v>
      </c>
      <c r="P79" s="236">
        <f t="shared" si="213"/>
        <v>0</v>
      </c>
      <c r="Q79" s="236">
        <f t="shared" si="213"/>
        <v>0</v>
      </c>
      <c r="R79" s="236">
        <f t="shared" si="213"/>
        <v>0</v>
      </c>
      <c r="S79" s="236">
        <f t="shared" ref="S79:AH79" si="214">SUM(S80:S82)</f>
        <v>0</v>
      </c>
      <c r="T79" s="236">
        <f t="shared" si="212"/>
        <v>0</v>
      </c>
      <c r="U79" s="334">
        <f t="shared" si="214"/>
        <v>0</v>
      </c>
      <c r="V79" s="334">
        <f t="shared" si="214"/>
        <v>0</v>
      </c>
      <c r="W79" s="334">
        <f t="shared" ref="W79:AG79" si="215">SUM(W80:W82)</f>
        <v>0</v>
      </c>
      <c r="X79" s="334">
        <f t="shared" si="215"/>
        <v>0</v>
      </c>
      <c r="Y79" s="334">
        <f t="shared" si="215"/>
        <v>0</v>
      </c>
      <c r="Z79" s="334">
        <f t="shared" si="215"/>
        <v>0</v>
      </c>
      <c r="AA79" s="334">
        <f t="shared" si="215"/>
        <v>0</v>
      </c>
      <c r="AB79" s="334">
        <f t="shared" si="215"/>
        <v>0</v>
      </c>
      <c r="AC79" s="334">
        <f t="shared" si="215"/>
        <v>0</v>
      </c>
      <c r="AD79" s="334">
        <f t="shared" si="215"/>
        <v>0</v>
      </c>
      <c r="AE79" s="334">
        <f t="shared" si="215"/>
        <v>0</v>
      </c>
      <c r="AF79" s="334">
        <f t="shared" si="215"/>
        <v>0</v>
      </c>
      <c r="AG79" s="334">
        <f t="shared" si="215"/>
        <v>0</v>
      </c>
      <c r="AH79" s="334">
        <f t="shared" si="214"/>
        <v>0</v>
      </c>
      <c r="AI79" s="334">
        <f t="shared" ref="AI79" si="216">SUM(AI80:AI82)</f>
        <v>180164</v>
      </c>
      <c r="AJ79" s="303">
        <f>F79+U79</f>
        <v>159340</v>
      </c>
    </row>
    <row r="80" spans="1:36" x14ac:dyDescent="0.2">
      <c r="A80" s="22"/>
      <c r="B80" s="536" t="s">
        <v>92</v>
      </c>
      <c r="C80" s="537"/>
      <c r="D80" s="24" t="s">
        <v>167</v>
      </c>
      <c r="E80" s="244">
        <v>13515</v>
      </c>
      <c r="F80" s="244">
        <f t="shared" ref="F80:F82" si="217">E80+G80</f>
        <v>10515</v>
      </c>
      <c r="G80" s="244">
        <f t="shared" ref="G80:G82" si="218">SUBTOTAL(9,H80:S80)</f>
        <v>-3000</v>
      </c>
      <c r="H80" s="244"/>
      <c r="I80" s="244"/>
      <c r="J80" s="244"/>
      <c r="K80" s="244"/>
      <c r="L80" s="244"/>
      <c r="M80" s="244"/>
      <c r="N80" s="244">
        <f>-3000</f>
        <v>-3000</v>
      </c>
      <c r="O80" s="244"/>
      <c r="P80" s="244"/>
      <c r="Q80" s="244"/>
      <c r="R80" s="244"/>
      <c r="S80" s="244"/>
      <c r="T80" s="244"/>
      <c r="U80" s="341">
        <f t="shared" ref="U80:U82" si="219">T80+V80</f>
        <v>0</v>
      </c>
      <c r="V80" s="341">
        <f t="shared" ref="V80:V82" si="220">SUBTOTAL(9,W80:AH80)</f>
        <v>0</v>
      </c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>
        <f t="shared" ref="AI80:AI82" si="221">E80+T80</f>
        <v>13515</v>
      </c>
      <c r="AJ80" s="308">
        <f t="shared" ref="AJ80:AJ82" si="222">F80+U80</f>
        <v>10515</v>
      </c>
    </row>
    <row r="81" spans="1:36" x14ac:dyDescent="0.2">
      <c r="A81" s="28"/>
      <c r="B81" s="486" t="s">
        <v>683</v>
      </c>
      <c r="C81" s="487"/>
      <c r="D81" s="37" t="s">
        <v>682</v>
      </c>
      <c r="E81" s="243">
        <v>0</v>
      </c>
      <c r="F81" s="243">
        <f t="shared" si="217"/>
        <v>0</v>
      </c>
      <c r="G81" s="243">
        <f t="shared" si="218"/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335">
        <f t="shared" si="219"/>
        <v>0</v>
      </c>
      <c r="V81" s="335">
        <f t="shared" si="220"/>
        <v>0</v>
      </c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>
        <f t="shared" si="221"/>
        <v>0</v>
      </c>
      <c r="AJ81" s="309">
        <f t="shared" si="222"/>
        <v>0</v>
      </c>
    </row>
    <row r="82" spans="1:36" x14ac:dyDescent="0.2">
      <c r="A82" s="23"/>
      <c r="B82" s="486" t="s">
        <v>93</v>
      </c>
      <c r="C82" s="487"/>
      <c r="D82" s="24" t="s">
        <v>168</v>
      </c>
      <c r="E82" s="245">
        <v>166649</v>
      </c>
      <c r="F82" s="245">
        <f t="shared" si="217"/>
        <v>148825</v>
      </c>
      <c r="G82" s="245">
        <f t="shared" si="218"/>
        <v>-17824</v>
      </c>
      <c r="H82" s="245"/>
      <c r="I82" s="245"/>
      <c r="J82" s="245"/>
      <c r="K82" s="245"/>
      <c r="L82" s="245"/>
      <c r="M82" s="245"/>
      <c r="N82" s="245">
        <f>-5724-12100</f>
        <v>-17824</v>
      </c>
      <c r="O82" s="245"/>
      <c r="P82" s="245"/>
      <c r="Q82" s="245"/>
      <c r="R82" s="245"/>
      <c r="S82" s="245"/>
      <c r="T82" s="245"/>
      <c r="U82" s="338">
        <f t="shared" si="219"/>
        <v>0</v>
      </c>
      <c r="V82" s="338">
        <f t="shared" si="220"/>
        <v>0</v>
      </c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>
        <f t="shared" si="221"/>
        <v>166649</v>
      </c>
      <c r="AJ82" s="311">
        <f t="shared" si="222"/>
        <v>148825</v>
      </c>
    </row>
    <row r="83" spans="1:36" ht="24" x14ac:dyDescent="0.2">
      <c r="A83" s="25"/>
      <c r="B83" s="479" t="s">
        <v>94</v>
      </c>
      <c r="C83" s="497"/>
      <c r="D83" s="26" t="s">
        <v>95</v>
      </c>
      <c r="E83" s="239">
        <f t="shared" ref="E83:AI83" si="223">SUM(E84:E84)</f>
        <v>125049</v>
      </c>
      <c r="F83" s="239">
        <f t="shared" si="223"/>
        <v>59629</v>
      </c>
      <c r="G83" s="239">
        <f t="shared" si="223"/>
        <v>-65420</v>
      </c>
      <c r="H83" s="239">
        <f t="shared" si="223"/>
        <v>0</v>
      </c>
      <c r="I83" s="239">
        <f t="shared" si="223"/>
        <v>0</v>
      </c>
      <c r="J83" s="239">
        <f t="shared" si="223"/>
        <v>0</v>
      </c>
      <c r="K83" s="239">
        <f t="shared" si="223"/>
        <v>0</v>
      </c>
      <c r="L83" s="239">
        <f t="shared" si="223"/>
        <v>0</v>
      </c>
      <c r="M83" s="239">
        <f t="shared" si="223"/>
        <v>0</v>
      </c>
      <c r="N83" s="239">
        <f t="shared" si="223"/>
        <v>-1236</v>
      </c>
      <c r="O83" s="239">
        <f t="shared" si="223"/>
        <v>0</v>
      </c>
      <c r="P83" s="239">
        <f t="shared" si="223"/>
        <v>-64184</v>
      </c>
      <c r="Q83" s="239">
        <f t="shared" si="223"/>
        <v>0</v>
      </c>
      <c r="R83" s="239">
        <f t="shared" si="223"/>
        <v>0</v>
      </c>
      <c r="S83" s="239">
        <f t="shared" si="223"/>
        <v>0</v>
      </c>
      <c r="T83" s="239">
        <f t="shared" si="223"/>
        <v>0</v>
      </c>
      <c r="U83" s="336">
        <f t="shared" si="223"/>
        <v>0</v>
      </c>
      <c r="V83" s="336">
        <f t="shared" si="223"/>
        <v>0</v>
      </c>
      <c r="W83" s="336">
        <f t="shared" si="223"/>
        <v>0</v>
      </c>
      <c r="X83" s="336">
        <f t="shared" si="223"/>
        <v>0</v>
      </c>
      <c r="Y83" s="336">
        <f t="shared" si="223"/>
        <v>0</v>
      </c>
      <c r="Z83" s="336">
        <f t="shared" si="223"/>
        <v>0</v>
      </c>
      <c r="AA83" s="336">
        <f t="shared" si="223"/>
        <v>0</v>
      </c>
      <c r="AB83" s="336">
        <f t="shared" si="223"/>
        <v>0</v>
      </c>
      <c r="AC83" s="336">
        <f t="shared" si="223"/>
        <v>0</v>
      </c>
      <c r="AD83" s="336">
        <f t="shared" si="223"/>
        <v>0</v>
      </c>
      <c r="AE83" s="336">
        <f t="shared" si="223"/>
        <v>0</v>
      </c>
      <c r="AF83" s="336">
        <f t="shared" si="223"/>
        <v>0</v>
      </c>
      <c r="AG83" s="336">
        <f t="shared" si="223"/>
        <v>0</v>
      </c>
      <c r="AH83" s="336">
        <f t="shared" si="223"/>
        <v>0</v>
      </c>
      <c r="AI83" s="336">
        <f t="shared" si="223"/>
        <v>125049</v>
      </c>
      <c r="AJ83" s="205">
        <f>F83+U83</f>
        <v>59629</v>
      </c>
    </row>
    <row r="84" spans="1:36" ht="24" x14ac:dyDescent="0.2">
      <c r="A84" s="28"/>
      <c r="B84" s="538" t="s">
        <v>96</v>
      </c>
      <c r="C84" s="539"/>
      <c r="D84" s="37" t="s">
        <v>169</v>
      </c>
      <c r="E84" s="237">
        <v>125049</v>
      </c>
      <c r="F84" s="237">
        <f>E84+G84</f>
        <v>59629</v>
      </c>
      <c r="G84" s="237">
        <f>SUBTOTAL(9,H84:S84)</f>
        <v>-65420</v>
      </c>
      <c r="H84" s="237"/>
      <c r="I84" s="237"/>
      <c r="J84" s="237"/>
      <c r="K84" s="237"/>
      <c r="L84" s="237"/>
      <c r="M84" s="237"/>
      <c r="N84" s="237">
        <f>-1236</f>
        <v>-1236</v>
      </c>
      <c r="O84" s="237"/>
      <c r="P84" s="237">
        <f>1726-65910</f>
        <v>-64184</v>
      </c>
      <c r="Q84" s="237"/>
      <c r="R84" s="237"/>
      <c r="S84" s="237"/>
      <c r="T84" s="237"/>
      <c r="U84" s="253">
        <f>T84+V84</f>
        <v>0</v>
      </c>
      <c r="V84" s="253">
        <f>SUBTOTAL(9,W84:AH84)</f>
        <v>0</v>
      </c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>
        <f>E84+T84</f>
        <v>125049</v>
      </c>
      <c r="AJ84" s="307">
        <f>F84+U84</f>
        <v>59629</v>
      </c>
    </row>
    <row r="85" spans="1:36" x14ac:dyDescent="0.2">
      <c r="A85" s="25"/>
      <c r="B85" s="479" t="s">
        <v>97</v>
      </c>
      <c r="C85" s="497"/>
      <c r="D85" s="26" t="s">
        <v>171</v>
      </c>
      <c r="E85" s="239">
        <f t="shared" ref="E85:G85" si="224">SUM(E86:E87)</f>
        <v>253138</v>
      </c>
      <c r="F85" s="239">
        <f t="shared" si="224"/>
        <v>196301</v>
      </c>
      <c r="G85" s="239">
        <f t="shared" si="224"/>
        <v>-56837</v>
      </c>
      <c r="H85" s="239">
        <f t="shared" ref="H85:R85" si="225">SUM(H86:H87)</f>
        <v>748</v>
      </c>
      <c r="I85" s="239">
        <f t="shared" si="225"/>
        <v>0</v>
      </c>
      <c r="J85" s="239">
        <f t="shared" si="225"/>
        <v>0</v>
      </c>
      <c r="K85" s="239">
        <f t="shared" si="225"/>
        <v>-6170</v>
      </c>
      <c r="L85" s="239">
        <f t="shared" si="225"/>
        <v>0</v>
      </c>
      <c r="M85" s="239">
        <f t="shared" si="225"/>
        <v>0</v>
      </c>
      <c r="N85" s="239">
        <f t="shared" si="225"/>
        <v>-26153</v>
      </c>
      <c r="O85" s="239">
        <f t="shared" si="225"/>
        <v>0</v>
      </c>
      <c r="P85" s="239">
        <f t="shared" si="225"/>
        <v>-25262</v>
      </c>
      <c r="Q85" s="239">
        <f t="shared" si="225"/>
        <v>0</v>
      </c>
      <c r="R85" s="239">
        <f t="shared" si="225"/>
        <v>0</v>
      </c>
      <c r="S85" s="239">
        <f t="shared" ref="S85:T85" si="226">SUM(S86:S87)</f>
        <v>0</v>
      </c>
      <c r="T85" s="239">
        <f t="shared" si="226"/>
        <v>0</v>
      </c>
      <c r="U85" s="336">
        <f t="shared" ref="U85:AH85" si="227">SUM(U86:U87)</f>
        <v>0</v>
      </c>
      <c r="V85" s="336">
        <f t="shared" si="227"/>
        <v>0</v>
      </c>
      <c r="W85" s="336">
        <f t="shared" ref="W85:AG85" si="228">SUM(W86:W87)</f>
        <v>0</v>
      </c>
      <c r="X85" s="336">
        <f t="shared" si="228"/>
        <v>0</v>
      </c>
      <c r="Y85" s="336">
        <f t="shared" si="228"/>
        <v>0</v>
      </c>
      <c r="Z85" s="336">
        <f t="shared" si="228"/>
        <v>0</v>
      </c>
      <c r="AA85" s="336">
        <f t="shared" si="228"/>
        <v>0</v>
      </c>
      <c r="AB85" s="336">
        <f t="shared" si="228"/>
        <v>0</v>
      </c>
      <c r="AC85" s="336">
        <f t="shared" si="228"/>
        <v>0</v>
      </c>
      <c r="AD85" s="336">
        <f t="shared" si="228"/>
        <v>0</v>
      </c>
      <c r="AE85" s="336">
        <f t="shared" si="228"/>
        <v>0</v>
      </c>
      <c r="AF85" s="336">
        <f t="shared" si="228"/>
        <v>0</v>
      </c>
      <c r="AG85" s="336">
        <f t="shared" si="228"/>
        <v>0</v>
      </c>
      <c r="AH85" s="336">
        <f t="shared" si="227"/>
        <v>0</v>
      </c>
      <c r="AI85" s="336">
        <f t="shared" ref="AI85" si="229">SUM(AI86:AI87)</f>
        <v>253138</v>
      </c>
      <c r="AJ85" s="205">
        <f>F85+U85</f>
        <v>196301</v>
      </c>
    </row>
    <row r="86" spans="1:36" x14ac:dyDescent="0.2">
      <c r="A86" s="22"/>
      <c r="B86" s="536" t="s">
        <v>98</v>
      </c>
      <c r="C86" s="537"/>
      <c r="D86" s="174" t="s">
        <v>141</v>
      </c>
      <c r="E86" s="237">
        <v>233772</v>
      </c>
      <c r="F86" s="237">
        <f t="shared" ref="F86:F87" si="230">E86+G86</f>
        <v>175879</v>
      </c>
      <c r="G86" s="237">
        <f t="shared" ref="G86:G87" si="231">SUBTOTAL(9,H86:S86)</f>
        <v>-57893</v>
      </c>
      <c r="H86" s="237">
        <f>748</f>
        <v>748</v>
      </c>
      <c r="I86" s="237"/>
      <c r="J86" s="237"/>
      <c r="K86" s="237">
        <f>-408-1826-2436-1500</f>
        <v>-6170</v>
      </c>
      <c r="L86" s="237"/>
      <c r="M86" s="237"/>
      <c r="N86" s="237">
        <f>-5260-2918-602-290-190-1031-1796-4256-1937-9348-11735-248-300-339-245+2607+11735</f>
        <v>-26153</v>
      </c>
      <c r="O86" s="237"/>
      <c r="P86" s="237">
        <f>-1714+150-1568-290-223+2569-5036-2200-3538-500-122+1436-54-7000-1500-4121-2607</f>
        <v>-26318</v>
      </c>
      <c r="Q86" s="237"/>
      <c r="R86" s="237"/>
      <c r="S86" s="237"/>
      <c r="T86" s="237"/>
      <c r="U86" s="335">
        <f t="shared" ref="U86:U87" si="232">T86+V86</f>
        <v>0</v>
      </c>
      <c r="V86" s="335">
        <f t="shared" ref="V86:V87" si="233">SUBTOTAL(9,W86:AH86)</f>
        <v>0</v>
      </c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>
        <f t="shared" ref="AI86:AI87" si="234">E86+T86</f>
        <v>233772</v>
      </c>
      <c r="AJ86" s="304">
        <f t="shared" ref="AJ86:AJ87" si="235">F86+U86</f>
        <v>175879</v>
      </c>
    </row>
    <row r="87" spans="1:36" x14ac:dyDescent="0.2">
      <c r="A87" s="36"/>
      <c r="B87" s="485" t="s">
        <v>99</v>
      </c>
      <c r="C87" s="526"/>
      <c r="D87" s="37" t="s">
        <v>170</v>
      </c>
      <c r="E87" s="237">
        <v>19366</v>
      </c>
      <c r="F87" s="237">
        <f t="shared" si="230"/>
        <v>20422</v>
      </c>
      <c r="G87" s="237">
        <f t="shared" si="231"/>
        <v>1056</v>
      </c>
      <c r="H87" s="237"/>
      <c r="I87" s="237"/>
      <c r="J87" s="237"/>
      <c r="K87" s="237"/>
      <c r="L87" s="237"/>
      <c r="M87" s="237"/>
      <c r="N87" s="237"/>
      <c r="O87" s="237"/>
      <c r="P87" s="237">
        <f>1056</f>
        <v>1056</v>
      </c>
      <c r="Q87" s="237"/>
      <c r="R87" s="237"/>
      <c r="S87" s="237"/>
      <c r="T87" s="237"/>
      <c r="U87" s="335">
        <f t="shared" si="232"/>
        <v>0</v>
      </c>
      <c r="V87" s="335">
        <f t="shared" si="233"/>
        <v>0</v>
      </c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>
        <f t="shared" si="234"/>
        <v>19366</v>
      </c>
      <c r="AJ87" s="304">
        <f t="shared" si="235"/>
        <v>20422</v>
      </c>
    </row>
    <row r="88" spans="1:36" ht="24" x14ac:dyDescent="0.2">
      <c r="A88" s="25"/>
      <c r="B88" s="479" t="s">
        <v>100</v>
      </c>
      <c r="C88" s="497"/>
      <c r="D88" s="26" t="s">
        <v>500</v>
      </c>
      <c r="E88" s="239">
        <f t="shared" ref="E88:G88" si="236">SUM(E89:E91)</f>
        <v>1071254</v>
      </c>
      <c r="F88" s="239">
        <f t="shared" si="236"/>
        <v>968039</v>
      </c>
      <c r="G88" s="239">
        <f t="shared" si="236"/>
        <v>-103215</v>
      </c>
      <c r="H88" s="239">
        <f t="shared" ref="H88:R88" si="237">SUM(H89:H91)</f>
        <v>15902</v>
      </c>
      <c r="I88" s="239">
        <f t="shared" si="237"/>
        <v>0</v>
      </c>
      <c r="J88" s="239">
        <f t="shared" si="237"/>
        <v>0</v>
      </c>
      <c r="K88" s="239">
        <f t="shared" si="237"/>
        <v>18751</v>
      </c>
      <c r="L88" s="239">
        <f t="shared" si="237"/>
        <v>0</v>
      </c>
      <c r="M88" s="239">
        <f t="shared" si="237"/>
        <v>0</v>
      </c>
      <c r="N88" s="239">
        <f t="shared" si="237"/>
        <v>-38929</v>
      </c>
      <c r="O88" s="239">
        <f t="shared" si="237"/>
        <v>-1250</v>
      </c>
      <c r="P88" s="239">
        <f t="shared" si="237"/>
        <v>-97689</v>
      </c>
      <c r="Q88" s="239">
        <f t="shared" si="237"/>
        <v>0</v>
      </c>
      <c r="R88" s="239">
        <f t="shared" si="237"/>
        <v>0</v>
      </c>
      <c r="S88" s="239">
        <f t="shared" ref="S88:T88" si="238">SUM(S89:S91)</f>
        <v>0</v>
      </c>
      <c r="T88" s="239">
        <f t="shared" si="238"/>
        <v>0</v>
      </c>
      <c r="U88" s="336">
        <f t="shared" ref="U88:AH88" si="239">SUM(U89:U91)</f>
        <v>0</v>
      </c>
      <c r="V88" s="336">
        <f t="shared" si="239"/>
        <v>0</v>
      </c>
      <c r="W88" s="336">
        <f t="shared" ref="W88:AG88" si="240">SUM(W89:W91)</f>
        <v>0</v>
      </c>
      <c r="X88" s="336">
        <f t="shared" si="240"/>
        <v>0</v>
      </c>
      <c r="Y88" s="336">
        <f t="shared" si="240"/>
        <v>0</v>
      </c>
      <c r="Z88" s="336">
        <f t="shared" si="240"/>
        <v>0</v>
      </c>
      <c r="AA88" s="336">
        <f t="shared" si="240"/>
        <v>0</v>
      </c>
      <c r="AB88" s="336">
        <f t="shared" si="240"/>
        <v>0</v>
      </c>
      <c r="AC88" s="336">
        <f t="shared" si="240"/>
        <v>0</v>
      </c>
      <c r="AD88" s="336">
        <f t="shared" si="240"/>
        <v>0</v>
      </c>
      <c r="AE88" s="336">
        <f t="shared" si="240"/>
        <v>0</v>
      </c>
      <c r="AF88" s="336">
        <f t="shared" si="240"/>
        <v>0</v>
      </c>
      <c r="AG88" s="336">
        <f t="shared" si="240"/>
        <v>0</v>
      </c>
      <c r="AH88" s="336">
        <f t="shared" si="239"/>
        <v>0</v>
      </c>
      <c r="AI88" s="336">
        <f t="shared" ref="AI88" si="241">SUM(AI89:AI91)</f>
        <v>1071254</v>
      </c>
      <c r="AJ88" s="205">
        <f>F88+U88</f>
        <v>968039</v>
      </c>
    </row>
    <row r="89" spans="1:36" ht="25.5" customHeight="1" x14ac:dyDescent="0.2">
      <c r="A89" s="22"/>
      <c r="B89" s="536" t="s">
        <v>101</v>
      </c>
      <c r="C89" s="537"/>
      <c r="D89" s="24" t="s">
        <v>172</v>
      </c>
      <c r="E89" s="244">
        <v>542917</v>
      </c>
      <c r="F89" s="244">
        <f t="shared" ref="F89:F91" si="242">E89+G89</f>
        <v>546967</v>
      </c>
      <c r="G89" s="244">
        <f t="shared" ref="G89:G91" si="243">SUBTOTAL(9,H89:S89)</f>
        <v>4050</v>
      </c>
      <c r="H89" s="244">
        <v>4050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335">
        <f t="shared" ref="U89:U91" si="244">T89+V89</f>
        <v>0</v>
      </c>
      <c r="V89" s="335">
        <f t="shared" ref="V89:V91" si="245">SUBTOTAL(9,W89:AH89)</f>
        <v>0</v>
      </c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>
        <f t="shared" ref="AI89:AI91" si="246">E89+T89</f>
        <v>542917</v>
      </c>
      <c r="AJ89" s="304">
        <f>F89+U89</f>
        <v>546967</v>
      </c>
    </row>
    <row r="90" spans="1:36" ht="14.25" customHeight="1" x14ac:dyDescent="0.2">
      <c r="A90" s="36"/>
      <c r="B90" s="485" t="s">
        <v>102</v>
      </c>
      <c r="C90" s="526"/>
      <c r="D90" s="24" t="s">
        <v>189</v>
      </c>
      <c r="E90" s="243">
        <v>23466</v>
      </c>
      <c r="F90" s="243">
        <f t="shared" si="242"/>
        <v>9594</v>
      </c>
      <c r="G90" s="243">
        <f t="shared" si="243"/>
        <v>-13872</v>
      </c>
      <c r="H90" s="243"/>
      <c r="I90" s="243"/>
      <c r="J90" s="243"/>
      <c r="K90" s="243"/>
      <c r="L90" s="243"/>
      <c r="M90" s="243"/>
      <c r="N90" s="243">
        <f>-2137-11735</f>
        <v>-13872</v>
      </c>
      <c r="O90" s="243"/>
      <c r="P90" s="243"/>
      <c r="Q90" s="243"/>
      <c r="R90" s="243"/>
      <c r="S90" s="243"/>
      <c r="T90" s="243"/>
      <c r="U90" s="335">
        <f t="shared" si="244"/>
        <v>0</v>
      </c>
      <c r="V90" s="335">
        <f t="shared" si="245"/>
        <v>0</v>
      </c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>
        <f t="shared" si="246"/>
        <v>23466</v>
      </c>
      <c r="AJ90" s="304">
        <f t="shared" ref="AJ90:AJ91" si="247">F90+U90</f>
        <v>9594</v>
      </c>
    </row>
    <row r="91" spans="1:36" ht="14.25" customHeight="1" x14ac:dyDescent="0.2">
      <c r="A91" s="23"/>
      <c r="B91" s="486" t="s">
        <v>103</v>
      </c>
      <c r="C91" s="487"/>
      <c r="D91" s="24" t="s">
        <v>173</v>
      </c>
      <c r="E91" s="245">
        <v>504871</v>
      </c>
      <c r="F91" s="245">
        <f t="shared" si="242"/>
        <v>411478</v>
      </c>
      <c r="G91" s="245">
        <f t="shared" si="243"/>
        <v>-93393</v>
      </c>
      <c r="H91" s="245">
        <f>-748+12600</f>
        <v>11852</v>
      </c>
      <c r="I91" s="245"/>
      <c r="J91" s="245"/>
      <c r="K91" s="245">
        <f>3276+2641+13828-584-445+35</f>
        <v>18751</v>
      </c>
      <c r="L91" s="245"/>
      <c r="M91" s="245"/>
      <c r="N91" s="245">
        <f>-1368-200-1170-1407-338-3858-70-2681-1640-2431-172-7837-4381-321-383-737-800-3135+7872</f>
        <v>-25057</v>
      </c>
      <c r="O91" s="245">
        <v>-1250</v>
      </c>
      <c r="P91" s="245">
        <f>14-12028+741-23350+1054-8550-1270-5600-274-98-855-15760-407-1426-77-14502-6114+2352-3667-7872</f>
        <v>-97689</v>
      </c>
      <c r="Q91" s="245"/>
      <c r="R91" s="245"/>
      <c r="S91" s="245"/>
      <c r="T91" s="245"/>
      <c r="U91" s="338">
        <f t="shared" si="244"/>
        <v>0</v>
      </c>
      <c r="V91" s="338">
        <f t="shared" si="245"/>
        <v>0</v>
      </c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>
        <f t="shared" si="246"/>
        <v>504871</v>
      </c>
      <c r="AJ91" s="311">
        <f t="shared" si="247"/>
        <v>411478</v>
      </c>
    </row>
    <row r="92" spans="1:36" ht="42" customHeight="1" x14ac:dyDescent="0.2">
      <c r="A92" s="25"/>
      <c r="B92" s="482" t="s">
        <v>228</v>
      </c>
      <c r="C92" s="483"/>
      <c r="D92" s="378" t="s">
        <v>280</v>
      </c>
      <c r="E92" s="319">
        <f t="shared" ref="E92:G92" si="248">SUM(E93,E95)</f>
        <v>62400</v>
      </c>
      <c r="F92" s="319">
        <f t="shared" si="248"/>
        <v>217265</v>
      </c>
      <c r="G92" s="319">
        <f t="shared" si="248"/>
        <v>154865</v>
      </c>
      <c r="H92" s="319">
        <f t="shared" ref="H92:R92" si="249">SUM(H93,H95)</f>
        <v>19686</v>
      </c>
      <c r="I92" s="319">
        <f t="shared" si="249"/>
        <v>0</v>
      </c>
      <c r="J92" s="319">
        <f t="shared" si="249"/>
        <v>1304</v>
      </c>
      <c r="K92" s="319">
        <f t="shared" si="249"/>
        <v>0</v>
      </c>
      <c r="L92" s="319">
        <f t="shared" si="249"/>
        <v>25</v>
      </c>
      <c r="M92" s="319">
        <f t="shared" si="249"/>
        <v>0</v>
      </c>
      <c r="N92" s="319">
        <f t="shared" si="249"/>
        <v>1451</v>
      </c>
      <c r="O92" s="319">
        <f t="shared" si="249"/>
        <v>7515</v>
      </c>
      <c r="P92" s="319">
        <f t="shared" si="249"/>
        <v>124884</v>
      </c>
      <c r="Q92" s="319">
        <f t="shared" si="249"/>
        <v>0</v>
      </c>
      <c r="R92" s="319">
        <f t="shared" si="249"/>
        <v>0</v>
      </c>
      <c r="S92" s="319">
        <f t="shared" ref="S92:T92" si="250">SUM(S93,S95)</f>
        <v>0</v>
      </c>
      <c r="T92" s="319">
        <f t="shared" si="250"/>
        <v>-15473</v>
      </c>
      <c r="U92" s="342">
        <f t="shared" ref="U92:AH92" si="251">SUM(U93,U95)</f>
        <v>-20132</v>
      </c>
      <c r="V92" s="342">
        <f t="shared" si="251"/>
        <v>-4659</v>
      </c>
      <c r="W92" s="342">
        <f t="shared" ref="W92:AG92" si="252">SUM(W93,W95)</f>
        <v>3772</v>
      </c>
      <c r="X92" s="342">
        <f t="shared" si="252"/>
        <v>0</v>
      </c>
      <c r="Y92" s="342">
        <f t="shared" si="252"/>
        <v>-1201</v>
      </c>
      <c r="Z92" s="342">
        <f t="shared" si="252"/>
        <v>0</v>
      </c>
      <c r="AA92" s="342">
        <f t="shared" si="252"/>
        <v>0</v>
      </c>
      <c r="AB92" s="342">
        <f t="shared" si="252"/>
        <v>-1429</v>
      </c>
      <c r="AC92" s="342">
        <f t="shared" si="252"/>
        <v>-7515</v>
      </c>
      <c r="AD92" s="342">
        <f t="shared" si="252"/>
        <v>3040</v>
      </c>
      <c r="AE92" s="342">
        <f t="shared" si="252"/>
        <v>-1326</v>
      </c>
      <c r="AF92" s="342">
        <f t="shared" si="252"/>
        <v>0</v>
      </c>
      <c r="AG92" s="342">
        <f t="shared" si="252"/>
        <v>0</v>
      </c>
      <c r="AH92" s="342">
        <f t="shared" si="251"/>
        <v>0</v>
      </c>
      <c r="AI92" s="342">
        <f t="shared" ref="AI92" si="253">SUM(AI93,AI95)</f>
        <v>46927</v>
      </c>
      <c r="AJ92" s="314">
        <f>SUM(AJ93,AJ95)</f>
        <v>197133</v>
      </c>
    </row>
    <row r="93" spans="1:36" s="79" customFormat="1" ht="27.75" customHeight="1" x14ac:dyDescent="0.2">
      <c r="A93" s="18"/>
      <c r="B93" s="479" t="s">
        <v>104</v>
      </c>
      <c r="C93" s="497"/>
      <c r="D93" s="26" t="s">
        <v>501</v>
      </c>
      <c r="E93" s="239">
        <f t="shared" ref="E93:AI93" si="254">SUM(E94:E94)</f>
        <v>0</v>
      </c>
      <c r="F93" s="239">
        <f t="shared" si="254"/>
        <v>19033</v>
      </c>
      <c r="G93" s="239">
        <f t="shared" si="254"/>
        <v>19033</v>
      </c>
      <c r="H93" s="239">
        <f t="shared" si="254"/>
        <v>19033</v>
      </c>
      <c r="I93" s="239">
        <f t="shared" si="254"/>
        <v>0</v>
      </c>
      <c r="J93" s="239">
        <f t="shared" si="254"/>
        <v>0</v>
      </c>
      <c r="K93" s="239">
        <f t="shared" si="254"/>
        <v>0</v>
      </c>
      <c r="L93" s="239">
        <f t="shared" si="254"/>
        <v>0</v>
      </c>
      <c r="M93" s="239">
        <f t="shared" si="254"/>
        <v>0</v>
      </c>
      <c r="N93" s="239">
        <f t="shared" si="254"/>
        <v>0</v>
      </c>
      <c r="O93" s="239">
        <f t="shared" si="254"/>
        <v>0</v>
      </c>
      <c r="P93" s="239">
        <f t="shared" si="254"/>
        <v>0</v>
      </c>
      <c r="Q93" s="239">
        <f t="shared" si="254"/>
        <v>0</v>
      </c>
      <c r="R93" s="239">
        <f t="shared" si="254"/>
        <v>0</v>
      </c>
      <c r="S93" s="239">
        <f t="shared" si="254"/>
        <v>0</v>
      </c>
      <c r="T93" s="239">
        <f t="shared" si="254"/>
        <v>0</v>
      </c>
      <c r="U93" s="336">
        <f t="shared" si="254"/>
        <v>0</v>
      </c>
      <c r="V93" s="336">
        <f t="shared" si="254"/>
        <v>0</v>
      </c>
      <c r="W93" s="336">
        <f t="shared" si="254"/>
        <v>0</v>
      </c>
      <c r="X93" s="336">
        <f t="shared" si="254"/>
        <v>0</v>
      </c>
      <c r="Y93" s="336">
        <f t="shared" si="254"/>
        <v>0</v>
      </c>
      <c r="Z93" s="336">
        <f t="shared" si="254"/>
        <v>0</v>
      </c>
      <c r="AA93" s="336">
        <f t="shared" si="254"/>
        <v>0</v>
      </c>
      <c r="AB93" s="336">
        <f t="shared" si="254"/>
        <v>0</v>
      </c>
      <c r="AC93" s="336">
        <f t="shared" si="254"/>
        <v>0</v>
      </c>
      <c r="AD93" s="336">
        <f t="shared" si="254"/>
        <v>0</v>
      </c>
      <c r="AE93" s="336">
        <f t="shared" si="254"/>
        <v>0</v>
      </c>
      <c r="AF93" s="336">
        <f t="shared" si="254"/>
        <v>0</v>
      </c>
      <c r="AG93" s="336">
        <f t="shared" si="254"/>
        <v>0</v>
      </c>
      <c r="AH93" s="336">
        <f t="shared" si="254"/>
        <v>0</v>
      </c>
      <c r="AI93" s="336">
        <f t="shared" si="254"/>
        <v>0</v>
      </c>
      <c r="AJ93" s="205">
        <f t="shared" ref="AJ93" si="255">SUM(AJ94:AJ94)</f>
        <v>19033</v>
      </c>
    </row>
    <row r="94" spans="1:36" ht="27" customHeight="1" x14ac:dyDescent="0.2">
      <c r="A94" s="23"/>
      <c r="B94" s="494" t="s">
        <v>197</v>
      </c>
      <c r="C94" s="535"/>
      <c r="D94" s="24" t="s">
        <v>502</v>
      </c>
      <c r="E94" s="240">
        <v>0</v>
      </c>
      <c r="F94" s="240">
        <f t="shared" ref="F94:F95" si="256">E94+G94</f>
        <v>19033</v>
      </c>
      <c r="G94" s="240">
        <f>SUBTOTAL(9,H94:S94)</f>
        <v>19033</v>
      </c>
      <c r="H94" s="240">
        <v>19033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53">
        <f t="shared" ref="U94:U95" si="257">T94+V94</f>
        <v>0</v>
      </c>
      <c r="V94" s="253">
        <f t="shared" ref="V94:V95" si="258">SUBTOTAL(9,W94:AH94)</f>
        <v>0</v>
      </c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>
        <f>E94+T94</f>
        <v>0</v>
      </c>
      <c r="AJ94" s="307">
        <f t="shared" ref="AJ94:AJ95" si="259">F94+U94</f>
        <v>19033</v>
      </c>
    </row>
    <row r="95" spans="1:36" s="79" customFormat="1" ht="15.75" customHeight="1" x14ac:dyDescent="0.2">
      <c r="A95" s="39"/>
      <c r="B95" s="489" t="s">
        <v>226</v>
      </c>
      <c r="C95" s="490"/>
      <c r="D95" s="26" t="s">
        <v>227</v>
      </c>
      <c r="E95" s="239">
        <v>62400</v>
      </c>
      <c r="F95" s="239">
        <f t="shared" si="256"/>
        <v>198232</v>
      </c>
      <c r="G95" s="239">
        <f>SUBTOTAL(9,H95:S95)</f>
        <v>135832</v>
      </c>
      <c r="H95" s="239">
        <f>303+278+72</f>
        <v>653</v>
      </c>
      <c r="I95" s="239"/>
      <c r="J95" s="239">
        <v>1304</v>
      </c>
      <c r="K95" s="239"/>
      <c r="L95" s="239">
        <v>25</v>
      </c>
      <c r="M95" s="239"/>
      <c r="N95" s="239">
        <f>22+29+1400</f>
        <v>1451</v>
      </c>
      <c r="O95" s="239">
        <f>7515</f>
        <v>7515</v>
      </c>
      <c r="P95" s="239">
        <f>1326-150-6463+130171</f>
        <v>124884</v>
      </c>
      <c r="Q95" s="239"/>
      <c r="R95" s="239"/>
      <c r="S95" s="239"/>
      <c r="T95" s="239">
        <v>-15473</v>
      </c>
      <c r="U95" s="336">
        <f t="shared" si="257"/>
        <v>-20132</v>
      </c>
      <c r="V95" s="336">
        <f t="shared" si="258"/>
        <v>-4659</v>
      </c>
      <c r="W95" s="336">
        <f>4050-278</f>
        <v>3772</v>
      </c>
      <c r="X95" s="336"/>
      <c r="Y95" s="336">
        <v>-1201</v>
      </c>
      <c r="Z95" s="336"/>
      <c r="AA95" s="336"/>
      <c r="AB95" s="336">
        <f>-29-1400</f>
        <v>-1429</v>
      </c>
      <c r="AC95" s="336">
        <v>-7515</v>
      </c>
      <c r="AD95" s="336">
        <v>3040</v>
      </c>
      <c r="AE95" s="336">
        <f>-1326</f>
        <v>-1326</v>
      </c>
      <c r="AF95" s="336"/>
      <c r="AG95" s="336"/>
      <c r="AH95" s="336"/>
      <c r="AI95" s="336">
        <f>E95+T95</f>
        <v>46927</v>
      </c>
      <c r="AJ95" s="205">
        <f t="shared" si="259"/>
        <v>178100</v>
      </c>
    </row>
    <row r="96" spans="1:36" s="79" customFormat="1" x14ac:dyDescent="0.2">
      <c r="A96" s="121"/>
      <c r="B96" s="122"/>
      <c r="C96" s="123"/>
      <c r="D96" s="35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206"/>
    </row>
    <row r="97" spans="1:36" s="84" customFormat="1" ht="30" customHeight="1" x14ac:dyDescent="0.2">
      <c r="A97" s="530" t="s">
        <v>119</v>
      </c>
      <c r="B97" s="531"/>
      <c r="C97" s="531"/>
      <c r="D97" s="532"/>
      <c r="E97" s="250">
        <f t="shared" ref="E97:AJ97" si="260">SUM(E10,E15,E26,E32,E35,E45,E56,E50,E65,E67,E71,E74,)</f>
        <v>96800332</v>
      </c>
      <c r="F97" s="250">
        <f t="shared" si="260"/>
        <v>98519884</v>
      </c>
      <c r="G97" s="250">
        <f t="shared" si="260"/>
        <v>1719552</v>
      </c>
      <c r="H97" s="250">
        <f t="shared" si="260"/>
        <v>979167</v>
      </c>
      <c r="I97" s="250">
        <f t="shared" si="260"/>
        <v>641366</v>
      </c>
      <c r="J97" s="250">
        <f t="shared" si="260"/>
        <v>16593</v>
      </c>
      <c r="K97" s="250">
        <f t="shared" si="260"/>
        <v>-5623</v>
      </c>
      <c r="L97" s="250">
        <f t="shared" si="260"/>
        <v>2100</v>
      </c>
      <c r="M97" s="250">
        <f t="shared" si="260"/>
        <v>196256</v>
      </c>
      <c r="N97" s="250">
        <f t="shared" si="260"/>
        <v>-429250</v>
      </c>
      <c r="O97" s="250">
        <f t="shared" si="260"/>
        <v>104837</v>
      </c>
      <c r="P97" s="250">
        <f t="shared" si="260"/>
        <v>214106</v>
      </c>
      <c r="Q97" s="250">
        <f t="shared" si="260"/>
        <v>0</v>
      </c>
      <c r="R97" s="250">
        <f t="shared" si="260"/>
        <v>0</v>
      </c>
      <c r="S97" s="250">
        <f t="shared" si="260"/>
        <v>0</v>
      </c>
      <c r="T97" s="250">
        <f t="shared" si="260"/>
        <v>-1336267</v>
      </c>
      <c r="U97" s="348">
        <f t="shared" si="260"/>
        <v>-1446073</v>
      </c>
      <c r="V97" s="348">
        <f t="shared" si="260"/>
        <v>-109806</v>
      </c>
      <c r="W97" s="348">
        <f t="shared" si="260"/>
        <v>-145223</v>
      </c>
      <c r="X97" s="348">
        <f t="shared" si="260"/>
        <v>0</v>
      </c>
      <c r="Y97" s="348">
        <f t="shared" si="260"/>
        <v>868</v>
      </c>
      <c r="Z97" s="348">
        <f t="shared" si="260"/>
        <v>-812</v>
      </c>
      <c r="AA97" s="348">
        <f t="shared" si="260"/>
        <v>45448</v>
      </c>
      <c r="AB97" s="348">
        <f t="shared" si="260"/>
        <v>-1429</v>
      </c>
      <c r="AC97" s="348">
        <f t="shared" si="260"/>
        <v>60514</v>
      </c>
      <c r="AD97" s="348">
        <f t="shared" si="260"/>
        <v>3040</v>
      </c>
      <c r="AE97" s="348">
        <f t="shared" si="260"/>
        <v>-72212</v>
      </c>
      <c r="AF97" s="348">
        <f t="shared" si="260"/>
        <v>0</v>
      </c>
      <c r="AG97" s="348">
        <f t="shared" si="260"/>
        <v>0</v>
      </c>
      <c r="AH97" s="348">
        <f t="shared" si="260"/>
        <v>0</v>
      </c>
      <c r="AI97" s="348">
        <f t="shared" si="260"/>
        <v>95464065</v>
      </c>
      <c r="AJ97" s="315">
        <f t="shared" si="260"/>
        <v>97073811</v>
      </c>
    </row>
    <row r="98" spans="1:36" x14ac:dyDescent="0.2">
      <c r="A98" s="25"/>
      <c r="B98" s="41"/>
      <c r="C98" s="42"/>
      <c r="D98" s="24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05"/>
    </row>
    <row r="99" spans="1:36" x14ac:dyDescent="0.2">
      <c r="A99" s="39"/>
      <c r="B99" s="524" t="s">
        <v>537</v>
      </c>
      <c r="C99" s="525"/>
      <c r="D99" s="19" t="s">
        <v>174</v>
      </c>
      <c r="E99" s="124">
        <f t="shared" ref="E99:AJ99" si="261">SUM(E100:E130)</f>
        <v>15966599</v>
      </c>
      <c r="F99" s="124">
        <f t="shared" si="261"/>
        <v>17188315</v>
      </c>
      <c r="G99" s="124">
        <f t="shared" si="261"/>
        <v>1221716</v>
      </c>
      <c r="H99" s="124">
        <f t="shared" si="261"/>
        <v>1221716</v>
      </c>
      <c r="I99" s="124">
        <f t="shared" si="261"/>
        <v>0</v>
      </c>
      <c r="J99" s="124">
        <f t="shared" si="261"/>
        <v>0</v>
      </c>
      <c r="K99" s="124">
        <f t="shared" si="261"/>
        <v>0</v>
      </c>
      <c r="L99" s="124">
        <f t="shared" si="261"/>
        <v>0</v>
      </c>
      <c r="M99" s="124">
        <f t="shared" si="261"/>
        <v>0</v>
      </c>
      <c r="N99" s="124">
        <f t="shared" si="261"/>
        <v>0</v>
      </c>
      <c r="O99" s="124">
        <f t="shared" si="261"/>
        <v>0</v>
      </c>
      <c r="P99" s="124">
        <f t="shared" si="261"/>
        <v>0</v>
      </c>
      <c r="Q99" s="124">
        <f t="shared" si="261"/>
        <v>0</v>
      </c>
      <c r="R99" s="124">
        <f t="shared" si="261"/>
        <v>0</v>
      </c>
      <c r="S99" s="124">
        <f t="shared" si="261"/>
        <v>0</v>
      </c>
      <c r="T99" s="124">
        <f t="shared" si="261"/>
        <v>0</v>
      </c>
      <c r="U99" s="333">
        <f t="shared" si="261"/>
        <v>0</v>
      </c>
      <c r="V99" s="333">
        <f t="shared" si="261"/>
        <v>0</v>
      </c>
      <c r="W99" s="333">
        <f t="shared" si="261"/>
        <v>0</v>
      </c>
      <c r="X99" s="333">
        <f t="shared" si="261"/>
        <v>0</v>
      </c>
      <c r="Y99" s="333">
        <f t="shared" si="261"/>
        <v>0</v>
      </c>
      <c r="Z99" s="333">
        <f t="shared" si="261"/>
        <v>0</v>
      </c>
      <c r="AA99" s="333">
        <f t="shared" si="261"/>
        <v>0</v>
      </c>
      <c r="AB99" s="333">
        <f t="shared" si="261"/>
        <v>0</v>
      </c>
      <c r="AC99" s="333">
        <f t="shared" si="261"/>
        <v>0</v>
      </c>
      <c r="AD99" s="333">
        <f t="shared" si="261"/>
        <v>0</v>
      </c>
      <c r="AE99" s="333">
        <f t="shared" si="261"/>
        <v>0</v>
      </c>
      <c r="AF99" s="333">
        <f t="shared" si="261"/>
        <v>0</v>
      </c>
      <c r="AG99" s="333">
        <f t="shared" si="261"/>
        <v>0</v>
      </c>
      <c r="AH99" s="333">
        <f t="shared" si="261"/>
        <v>0</v>
      </c>
      <c r="AI99" s="333">
        <f t="shared" si="261"/>
        <v>15966599</v>
      </c>
      <c r="AJ99" s="306">
        <f t="shared" si="261"/>
        <v>17188315</v>
      </c>
    </row>
    <row r="100" spans="1:36" hidden="1" outlineLevel="1" x14ac:dyDescent="0.2">
      <c r="A100" s="31"/>
      <c r="B100" s="43"/>
      <c r="C100" s="44"/>
      <c r="D100" s="169" t="s">
        <v>175</v>
      </c>
      <c r="E100" s="239">
        <f>13000000-120584-500000-310562+672457+15473-20000+88515-17923-4050</f>
        <v>12803326</v>
      </c>
      <c r="F100" s="239">
        <f t="shared" ref="F100:F129" si="262">E100+G100</f>
        <v>13361454</v>
      </c>
      <c r="G100" s="239">
        <f t="shared" ref="G100:G129" si="263">SUBTOTAL(9,H100:S100)</f>
        <v>558128</v>
      </c>
      <c r="H100" s="239">
        <f>558214-86</f>
        <v>558128</v>
      </c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336">
        <f t="shared" ref="U100:U129" si="264">T100+V100</f>
        <v>0</v>
      </c>
      <c r="V100" s="336">
        <f t="shared" ref="V100:V129" si="265">SUBTOTAL(9,W100:AH100)</f>
        <v>0</v>
      </c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>
        <f t="shared" ref="AI100:AI129" si="266">E100+T100</f>
        <v>12803326</v>
      </c>
      <c r="AJ100" s="205">
        <f t="shared" ref="AJ100:AJ129" si="267">F100+U100</f>
        <v>13361454</v>
      </c>
    </row>
    <row r="101" spans="1:36" hidden="1" outlineLevel="1" x14ac:dyDescent="0.2">
      <c r="A101" s="31"/>
      <c r="B101" s="43"/>
      <c r="C101" s="44"/>
      <c r="D101" s="26" t="s">
        <v>541</v>
      </c>
      <c r="E101" s="239">
        <f>48065+17923</f>
        <v>65988</v>
      </c>
      <c r="F101" s="239">
        <f t="shared" si="262"/>
        <v>77120</v>
      </c>
      <c r="G101" s="239">
        <f t="shared" si="263"/>
        <v>11132</v>
      </c>
      <c r="H101" s="239">
        <f>-696-809-882+17-9698+23197+3</f>
        <v>11132</v>
      </c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336">
        <f t="shared" si="264"/>
        <v>0</v>
      </c>
      <c r="V101" s="336">
        <f t="shared" si="265"/>
        <v>0</v>
      </c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>
        <f t="shared" si="266"/>
        <v>65988</v>
      </c>
      <c r="AJ101" s="205">
        <f t="shared" si="267"/>
        <v>77120</v>
      </c>
    </row>
    <row r="102" spans="1:36" ht="12.75" hidden="1" customHeight="1" outlineLevel="1" x14ac:dyDescent="0.2">
      <c r="A102" s="31"/>
      <c r="B102" s="43"/>
      <c r="C102" s="44"/>
      <c r="D102" s="169" t="s">
        <v>571</v>
      </c>
      <c r="E102" s="239">
        <f>68272+4050</f>
        <v>72322</v>
      </c>
      <c r="F102" s="239">
        <f t="shared" si="262"/>
        <v>224904</v>
      </c>
      <c r="G102" s="239">
        <f t="shared" si="263"/>
        <v>152582</v>
      </c>
      <c r="H102" s="239">
        <f>22+2+10+282+1962+236+818+768+629+12707+3236+51761-4050+543+9646+6874+447+860+2381+1028+4992-405+43+1454-302+8703+2336+90+1228+100+1845+2646+4265+1293+5170+5679+6328+1592+7847+2244+2861+2258+153</f>
        <v>152582</v>
      </c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336">
        <f t="shared" si="264"/>
        <v>0</v>
      </c>
      <c r="V102" s="336">
        <f t="shared" si="265"/>
        <v>0</v>
      </c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>
        <f t="shared" si="266"/>
        <v>72322</v>
      </c>
      <c r="AJ102" s="205">
        <f t="shared" si="267"/>
        <v>224904</v>
      </c>
    </row>
    <row r="103" spans="1:36" hidden="1" outlineLevel="1" x14ac:dyDescent="0.2">
      <c r="A103" s="31"/>
      <c r="B103" s="43"/>
      <c r="C103" s="44"/>
      <c r="D103" s="24" t="s">
        <v>572</v>
      </c>
      <c r="E103" s="238">
        <f>2562044-88515</f>
        <v>2473529</v>
      </c>
      <c r="F103" s="238">
        <f t="shared" si="262"/>
        <v>2877113</v>
      </c>
      <c r="G103" s="238">
        <f t="shared" si="263"/>
        <v>403584</v>
      </c>
      <c r="H103" s="238">
        <f>-1678-545+5864-74475+84522-185947+597289-93489-552+274+157+11402+20161+1212+38839+550</f>
        <v>403584</v>
      </c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53">
        <f t="shared" si="264"/>
        <v>0</v>
      </c>
      <c r="V103" s="253">
        <f t="shared" si="265"/>
        <v>0</v>
      </c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>
        <f t="shared" si="266"/>
        <v>2473529</v>
      </c>
      <c r="AJ103" s="205">
        <f t="shared" si="267"/>
        <v>2877113</v>
      </c>
    </row>
    <row r="104" spans="1:36" hidden="1" outlineLevel="1" x14ac:dyDescent="0.2">
      <c r="A104" s="31"/>
      <c r="B104" s="43"/>
      <c r="C104" s="44"/>
      <c r="D104" s="169" t="s">
        <v>573</v>
      </c>
      <c r="E104" s="239">
        <v>108515</v>
      </c>
      <c r="F104" s="239">
        <f t="shared" si="262"/>
        <v>88749</v>
      </c>
      <c r="G104" s="239">
        <f t="shared" si="263"/>
        <v>-19766</v>
      </c>
      <c r="H104" s="239">
        <f>1+9-20995+363+14096-22223+1-5203+753+6274+1858+4013+193+1094</f>
        <v>-19766</v>
      </c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336">
        <f t="shared" si="264"/>
        <v>0</v>
      </c>
      <c r="V104" s="336">
        <f t="shared" si="265"/>
        <v>0</v>
      </c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>
        <f t="shared" si="266"/>
        <v>108515</v>
      </c>
      <c r="AJ104" s="205">
        <f t="shared" si="267"/>
        <v>88749</v>
      </c>
    </row>
    <row r="105" spans="1:36" ht="24" hidden="1" outlineLevel="1" x14ac:dyDescent="0.2">
      <c r="A105" s="31"/>
      <c r="B105" s="43"/>
      <c r="C105" s="44"/>
      <c r="D105" s="169" t="s">
        <v>807</v>
      </c>
      <c r="E105" s="239"/>
      <c r="F105" s="239">
        <f t="shared" ref="F105" si="268">E105+G105</f>
        <v>2</v>
      </c>
      <c r="G105" s="239">
        <f t="shared" ref="G105" si="269">SUBTOTAL(9,H105:S105)</f>
        <v>2</v>
      </c>
      <c r="H105" s="239">
        <v>2</v>
      </c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336">
        <f t="shared" ref="U105" si="270">T105+V105</f>
        <v>0</v>
      </c>
      <c r="V105" s="336">
        <f t="shared" ref="V105" si="271">SUBTOTAL(9,W105:AH105)</f>
        <v>0</v>
      </c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>
        <f t="shared" ref="AI105" si="272">E105+T105</f>
        <v>0</v>
      </c>
      <c r="AJ105" s="205">
        <f t="shared" ref="AJ105" si="273">F105+U105</f>
        <v>2</v>
      </c>
    </row>
    <row r="106" spans="1:36" hidden="1" outlineLevel="1" x14ac:dyDescent="0.2">
      <c r="A106" s="31"/>
      <c r="B106" s="43"/>
      <c r="C106" s="44"/>
      <c r="D106" s="169" t="s">
        <v>78</v>
      </c>
      <c r="E106" s="239"/>
      <c r="F106" s="239">
        <f t="shared" si="262"/>
        <v>5559</v>
      </c>
      <c r="G106" s="239">
        <f t="shared" si="263"/>
        <v>5559</v>
      </c>
      <c r="H106" s="239">
        <v>5559</v>
      </c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336">
        <f t="shared" si="264"/>
        <v>0</v>
      </c>
      <c r="V106" s="336">
        <f t="shared" si="265"/>
        <v>0</v>
      </c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>
        <f t="shared" si="266"/>
        <v>0</v>
      </c>
      <c r="AJ106" s="205">
        <f t="shared" si="267"/>
        <v>5559</v>
      </c>
    </row>
    <row r="107" spans="1:36" hidden="1" outlineLevel="1" x14ac:dyDescent="0.2">
      <c r="A107" s="31"/>
      <c r="B107" s="43"/>
      <c r="C107" s="44"/>
      <c r="D107" s="169" t="s">
        <v>124</v>
      </c>
      <c r="E107" s="239">
        <v>6772</v>
      </c>
      <c r="F107" s="239">
        <f t="shared" si="262"/>
        <v>51843</v>
      </c>
      <c r="G107" s="239">
        <f t="shared" si="263"/>
        <v>45071</v>
      </c>
      <c r="H107" s="239">
        <f>45071</f>
        <v>45071</v>
      </c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336">
        <f t="shared" si="264"/>
        <v>0</v>
      </c>
      <c r="V107" s="336">
        <f t="shared" si="265"/>
        <v>0</v>
      </c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>
        <f t="shared" si="266"/>
        <v>6772</v>
      </c>
      <c r="AJ107" s="205">
        <f t="shared" si="267"/>
        <v>51843</v>
      </c>
    </row>
    <row r="108" spans="1:36" hidden="1" outlineLevel="1" x14ac:dyDescent="0.2">
      <c r="A108" s="31"/>
      <c r="B108" s="43"/>
      <c r="C108" s="44"/>
      <c r="D108" s="169" t="s">
        <v>533</v>
      </c>
      <c r="E108" s="239">
        <v>1844</v>
      </c>
      <c r="F108" s="239">
        <f t="shared" si="262"/>
        <v>5821</v>
      </c>
      <c r="G108" s="239">
        <f t="shared" si="263"/>
        <v>3977</v>
      </c>
      <c r="H108" s="239">
        <f>3977</f>
        <v>3977</v>
      </c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336">
        <f t="shared" si="264"/>
        <v>0</v>
      </c>
      <c r="V108" s="336">
        <f t="shared" si="265"/>
        <v>0</v>
      </c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>
        <f t="shared" si="266"/>
        <v>1844</v>
      </c>
      <c r="AJ108" s="205">
        <f t="shared" si="267"/>
        <v>5821</v>
      </c>
    </row>
    <row r="109" spans="1:36" ht="36" hidden="1" outlineLevel="1" x14ac:dyDescent="0.2">
      <c r="A109" s="31"/>
      <c r="B109" s="43"/>
      <c r="C109" s="44"/>
      <c r="D109" s="169" t="s">
        <v>574</v>
      </c>
      <c r="E109" s="239"/>
      <c r="F109" s="239">
        <f t="shared" si="262"/>
        <v>4344</v>
      </c>
      <c r="G109" s="239">
        <f t="shared" si="263"/>
        <v>4344</v>
      </c>
      <c r="H109" s="239">
        <v>4344</v>
      </c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336">
        <f t="shared" si="264"/>
        <v>0</v>
      </c>
      <c r="V109" s="336">
        <f t="shared" si="265"/>
        <v>0</v>
      </c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>
        <f t="shared" si="266"/>
        <v>0</v>
      </c>
      <c r="AJ109" s="205">
        <f t="shared" si="267"/>
        <v>4344</v>
      </c>
    </row>
    <row r="110" spans="1:36" ht="36" hidden="1" outlineLevel="1" x14ac:dyDescent="0.2">
      <c r="A110" s="31"/>
      <c r="B110" s="43"/>
      <c r="C110" s="44"/>
      <c r="D110" s="169" t="s">
        <v>575</v>
      </c>
      <c r="E110" s="239"/>
      <c r="F110" s="239">
        <f t="shared" si="262"/>
        <v>6209</v>
      </c>
      <c r="G110" s="239">
        <f t="shared" si="263"/>
        <v>6209</v>
      </c>
      <c r="H110" s="239">
        <f>206+6003</f>
        <v>6209</v>
      </c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336">
        <f t="shared" si="264"/>
        <v>0</v>
      </c>
      <c r="V110" s="336">
        <f t="shared" si="265"/>
        <v>0</v>
      </c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>
        <f t="shared" si="266"/>
        <v>0</v>
      </c>
      <c r="AJ110" s="205">
        <f t="shared" si="267"/>
        <v>6209</v>
      </c>
    </row>
    <row r="111" spans="1:36" ht="24" hidden="1" outlineLevel="1" x14ac:dyDescent="0.2">
      <c r="A111" s="31"/>
      <c r="B111" s="43"/>
      <c r="C111" s="44"/>
      <c r="D111" s="169" t="s">
        <v>534</v>
      </c>
      <c r="E111" s="239"/>
      <c r="F111" s="239">
        <f t="shared" si="262"/>
        <v>24195</v>
      </c>
      <c r="G111" s="239">
        <f t="shared" si="263"/>
        <v>24195</v>
      </c>
      <c r="H111" s="239">
        <f>24195</f>
        <v>24195</v>
      </c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336">
        <f t="shared" si="264"/>
        <v>0</v>
      </c>
      <c r="V111" s="336">
        <f t="shared" si="265"/>
        <v>0</v>
      </c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>
        <f t="shared" si="266"/>
        <v>0</v>
      </c>
      <c r="AJ111" s="205">
        <f t="shared" si="267"/>
        <v>24195</v>
      </c>
    </row>
    <row r="112" spans="1:36" hidden="1" outlineLevel="1" x14ac:dyDescent="0.2">
      <c r="A112" s="31"/>
      <c r="B112" s="43"/>
      <c r="C112" s="44"/>
      <c r="D112" s="169" t="s">
        <v>507</v>
      </c>
      <c r="E112" s="239"/>
      <c r="F112" s="239">
        <f t="shared" si="262"/>
        <v>21</v>
      </c>
      <c r="G112" s="239">
        <f t="shared" si="263"/>
        <v>21</v>
      </c>
      <c r="H112" s="239">
        <f>21</f>
        <v>21</v>
      </c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336">
        <f t="shared" si="264"/>
        <v>0</v>
      </c>
      <c r="V112" s="336">
        <f t="shared" si="265"/>
        <v>0</v>
      </c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>
        <f t="shared" si="266"/>
        <v>0</v>
      </c>
      <c r="AJ112" s="205">
        <f t="shared" si="267"/>
        <v>21</v>
      </c>
    </row>
    <row r="113" spans="1:36" hidden="1" outlineLevel="1" x14ac:dyDescent="0.2">
      <c r="A113" s="31"/>
      <c r="B113" s="43"/>
      <c r="C113" s="44"/>
      <c r="D113" s="169" t="s">
        <v>628</v>
      </c>
      <c r="E113" s="239"/>
      <c r="F113" s="239">
        <f t="shared" si="262"/>
        <v>35</v>
      </c>
      <c r="G113" s="239">
        <f t="shared" si="263"/>
        <v>35</v>
      </c>
      <c r="H113" s="239">
        <v>35</v>
      </c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336">
        <f t="shared" si="264"/>
        <v>0</v>
      </c>
      <c r="V113" s="336">
        <f t="shared" si="265"/>
        <v>0</v>
      </c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>
        <f t="shared" si="266"/>
        <v>0</v>
      </c>
      <c r="AJ113" s="205">
        <f t="shared" si="267"/>
        <v>35</v>
      </c>
    </row>
    <row r="114" spans="1:36" hidden="1" outlineLevel="1" x14ac:dyDescent="0.2">
      <c r="A114" s="31"/>
      <c r="B114" s="43"/>
      <c r="C114" s="44"/>
      <c r="D114" s="169" t="s">
        <v>648</v>
      </c>
      <c r="E114" s="239"/>
      <c r="F114" s="239">
        <f t="shared" si="262"/>
        <v>0</v>
      </c>
      <c r="G114" s="239">
        <f t="shared" si="263"/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336">
        <f t="shared" si="264"/>
        <v>0</v>
      </c>
      <c r="V114" s="336">
        <f t="shared" si="265"/>
        <v>0</v>
      </c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>
        <f t="shared" si="266"/>
        <v>0</v>
      </c>
      <c r="AJ114" s="205">
        <f t="shared" si="267"/>
        <v>0</v>
      </c>
    </row>
    <row r="115" spans="1:36" hidden="1" outlineLevel="1" x14ac:dyDescent="0.2">
      <c r="A115" s="31"/>
      <c r="B115" s="43"/>
      <c r="C115" s="44"/>
      <c r="D115" s="169" t="s">
        <v>144</v>
      </c>
      <c r="E115" s="239">
        <v>3157</v>
      </c>
      <c r="F115" s="239">
        <f t="shared" si="262"/>
        <v>32474</v>
      </c>
      <c r="G115" s="239">
        <f t="shared" si="263"/>
        <v>29317</v>
      </c>
      <c r="H115" s="239">
        <f>2+1+1+29313</f>
        <v>29317</v>
      </c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336">
        <f t="shared" si="264"/>
        <v>0</v>
      </c>
      <c r="V115" s="336">
        <f t="shared" si="265"/>
        <v>0</v>
      </c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>
        <f t="shared" si="266"/>
        <v>3157</v>
      </c>
      <c r="AJ115" s="205">
        <f t="shared" si="267"/>
        <v>32474</v>
      </c>
    </row>
    <row r="116" spans="1:36" hidden="1" outlineLevel="1" x14ac:dyDescent="0.2">
      <c r="A116" s="31"/>
      <c r="B116" s="43"/>
      <c r="C116" s="44"/>
      <c r="D116" s="169" t="s">
        <v>576</v>
      </c>
      <c r="E116" s="239"/>
      <c r="F116" s="239">
        <f t="shared" si="262"/>
        <v>442</v>
      </c>
      <c r="G116" s="239">
        <f t="shared" si="263"/>
        <v>442</v>
      </c>
      <c r="H116" s="239">
        <v>442</v>
      </c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336">
        <f t="shared" si="264"/>
        <v>0</v>
      </c>
      <c r="V116" s="336">
        <f t="shared" si="265"/>
        <v>0</v>
      </c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>
        <f t="shared" si="266"/>
        <v>0</v>
      </c>
      <c r="AJ116" s="205">
        <f t="shared" si="267"/>
        <v>442</v>
      </c>
    </row>
    <row r="117" spans="1:36" ht="24" hidden="1" outlineLevel="1" x14ac:dyDescent="0.2">
      <c r="A117" s="31"/>
      <c r="B117" s="43"/>
      <c r="C117" s="44"/>
      <c r="D117" s="169" t="s">
        <v>274</v>
      </c>
      <c r="E117" s="239"/>
      <c r="F117" s="239">
        <f t="shared" si="262"/>
        <v>8818</v>
      </c>
      <c r="G117" s="239">
        <f t="shared" si="263"/>
        <v>8818</v>
      </c>
      <c r="H117" s="239">
        <v>8818</v>
      </c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336">
        <f t="shared" si="264"/>
        <v>0</v>
      </c>
      <c r="V117" s="336">
        <f t="shared" si="265"/>
        <v>0</v>
      </c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>
        <f t="shared" si="266"/>
        <v>0</v>
      </c>
      <c r="AJ117" s="205">
        <f t="shared" si="267"/>
        <v>8818</v>
      </c>
    </row>
    <row r="118" spans="1:36" hidden="1" outlineLevel="1" x14ac:dyDescent="0.2">
      <c r="A118" s="31"/>
      <c r="B118" s="43"/>
      <c r="C118" s="44"/>
      <c r="D118" s="169" t="s">
        <v>577</v>
      </c>
      <c r="E118" s="239"/>
      <c r="F118" s="239">
        <f t="shared" si="262"/>
        <v>5923</v>
      </c>
      <c r="G118" s="239">
        <f t="shared" si="263"/>
        <v>5923</v>
      </c>
      <c r="H118" s="239">
        <f>1997+3926</f>
        <v>5923</v>
      </c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336">
        <f t="shared" si="264"/>
        <v>0</v>
      </c>
      <c r="V118" s="336">
        <f t="shared" si="265"/>
        <v>0</v>
      </c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>
        <f t="shared" si="266"/>
        <v>0</v>
      </c>
      <c r="AJ118" s="205">
        <f t="shared" si="267"/>
        <v>5923</v>
      </c>
    </row>
    <row r="119" spans="1:36" ht="24" hidden="1" outlineLevel="1" x14ac:dyDescent="0.2">
      <c r="A119" s="31"/>
      <c r="B119" s="43"/>
      <c r="C119" s="44"/>
      <c r="D119" s="169" t="s">
        <v>596</v>
      </c>
      <c r="E119" s="239"/>
      <c r="F119" s="239">
        <f t="shared" si="262"/>
        <v>0</v>
      </c>
      <c r="G119" s="239">
        <f t="shared" si="263"/>
        <v>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336">
        <f t="shared" si="264"/>
        <v>0</v>
      </c>
      <c r="V119" s="336">
        <f t="shared" si="265"/>
        <v>0</v>
      </c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>
        <f t="shared" si="266"/>
        <v>0</v>
      </c>
      <c r="AJ119" s="205">
        <f t="shared" si="267"/>
        <v>0</v>
      </c>
    </row>
    <row r="120" spans="1:36" hidden="1" outlineLevel="1" x14ac:dyDescent="0.2">
      <c r="A120" s="31"/>
      <c r="B120" s="43"/>
      <c r="C120" s="44"/>
      <c r="D120" s="169" t="s">
        <v>647</v>
      </c>
      <c r="E120" s="239"/>
      <c r="F120" s="239">
        <f t="shared" si="262"/>
        <v>0</v>
      </c>
      <c r="G120" s="239">
        <f t="shared" si="263"/>
        <v>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336">
        <f t="shared" si="264"/>
        <v>0</v>
      </c>
      <c r="V120" s="336">
        <f t="shared" si="265"/>
        <v>0</v>
      </c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>
        <f t="shared" si="266"/>
        <v>0</v>
      </c>
      <c r="AJ120" s="205">
        <f t="shared" si="267"/>
        <v>0</v>
      </c>
    </row>
    <row r="121" spans="1:36" hidden="1" outlineLevel="1" x14ac:dyDescent="0.2">
      <c r="A121" s="31"/>
      <c r="B121" s="43"/>
      <c r="C121" s="44"/>
      <c r="D121" s="32" t="s">
        <v>51</v>
      </c>
      <c r="E121" s="239"/>
      <c r="F121" s="239">
        <f t="shared" si="262"/>
        <v>1</v>
      </c>
      <c r="G121" s="239">
        <f t="shared" si="263"/>
        <v>1</v>
      </c>
      <c r="H121" s="239">
        <v>1</v>
      </c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336">
        <f t="shared" si="264"/>
        <v>0</v>
      </c>
      <c r="V121" s="336">
        <f t="shared" si="265"/>
        <v>0</v>
      </c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>
        <f t="shared" si="266"/>
        <v>0</v>
      </c>
      <c r="AJ121" s="205">
        <f t="shared" si="267"/>
        <v>1</v>
      </c>
    </row>
    <row r="122" spans="1:36" ht="24" hidden="1" outlineLevel="1" x14ac:dyDescent="0.2">
      <c r="A122" s="31"/>
      <c r="B122" s="43"/>
      <c r="C122" s="44"/>
      <c r="D122" s="32" t="s">
        <v>808</v>
      </c>
      <c r="E122" s="239"/>
      <c r="F122" s="239">
        <f t="shared" si="262"/>
        <v>22890</v>
      </c>
      <c r="G122" s="239">
        <f t="shared" si="263"/>
        <v>22890</v>
      </c>
      <c r="H122" s="239">
        <v>22890</v>
      </c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336">
        <f t="shared" si="264"/>
        <v>0</v>
      </c>
      <c r="V122" s="336">
        <f t="shared" si="265"/>
        <v>0</v>
      </c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>
        <f t="shared" si="266"/>
        <v>0</v>
      </c>
      <c r="AJ122" s="205">
        <f t="shared" si="267"/>
        <v>22890</v>
      </c>
    </row>
    <row r="123" spans="1:36" hidden="1" outlineLevel="1" x14ac:dyDescent="0.2">
      <c r="A123" s="31"/>
      <c r="B123" s="43"/>
      <c r="C123" s="44"/>
      <c r="D123" s="32" t="s">
        <v>809</v>
      </c>
      <c r="E123" s="239"/>
      <c r="F123" s="239">
        <f t="shared" ref="F123" si="274">E123+G123</f>
        <v>159028</v>
      </c>
      <c r="G123" s="239">
        <f t="shared" ref="G123" si="275">SUBTOTAL(9,H123:S123)</f>
        <v>159028</v>
      </c>
      <c r="H123" s="239">
        <v>159028</v>
      </c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336">
        <f t="shared" ref="U123" si="276">T123+V123</f>
        <v>0</v>
      </c>
      <c r="V123" s="336">
        <f t="shared" ref="V123" si="277">SUBTOTAL(9,W123:AH123)</f>
        <v>0</v>
      </c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>
        <f t="shared" ref="AI123" si="278">E123+T123</f>
        <v>0</v>
      </c>
      <c r="AJ123" s="205">
        <f t="shared" ref="AJ123" si="279">F123+U123</f>
        <v>159028</v>
      </c>
    </row>
    <row r="124" spans="1:36" hidden="1" outlineLevel="1" x14ac:dyDescent="0.2">
      <c r="A124" s="31"/>
      <c r="B124" s="43"/>
      <c r="C124" s="44"/>
      <c r="D124" s="32" t="s">
        <v>164</v>
      </c>
      <c r="E124" s="239"/>
      <c r="F124" s="239">
        <f t="shared" si="262"/>
        <v>9512</v>
      </c>
      <c r="G124" s="239">
        <f t="shared" si="263"/>
        <v>9512</v>
      </c>
      <c r="H124" s="239">
        <v>9512</v>
      </c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336">
        <f t="shared" si="264"/>
        <v>0</v>
      </c>
      <c r="V124" s="336">
        <f t="shared" si="265"/>
        <v>0</v>
      </c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>
        <f t="shared" si="266"/>
        <v>0</v>
      </c>
      <c r="AJ124" s="205">
        <f t="shared" si="267"/>
        <v>9512</v>
      </c>
    </row>
    <row r="125" spans="1:36" hidden="1" outlineLevel="1" x14ac:dyDescent="0.2">
      <c r="A125" s="31"/>
      <c r="B125" s="43"/>
      <c r="C125" s="44"/>
      <c r="D125" s="32" t="s">
        <v>118</v>
      </c>
      <c r="E125" s="239">
        <v>120584</v>
      </c>
      <c r="F125" s="239">
        <f t="shared" si="262"/>
        <v>98905</v>
      </c>
      <c r="G125" s="239">
        <f t="shared" si="263"/>
        <v>-21679</v>
      </c>
      <c r="H125" s="239">
        <v>-21679</v>
      </c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336">
        <f t="shared" si="264"/>
        <v>0</v>
      </c>
      <c r="V125" s="336">
        <f t="shared" si="265"/>
        <v>0</v>
      </c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>
        <f t="shared" si="266"/>
        <v>120584</v>
      </c>
      <c r="AJ125" s="205">
        <f t="shared" si="267"/>
        <v>98905</v>
      </c>
    </row>
    <row r="126" spans="1:36" ht="24" hidden="1" outlineLevel="1" x14ac:dyDescent="0.2">
      <c r="A126" s="31"/>
      <c r="B126" s="43"/>
      <c r="C126" s="44"/>
      <c r="D126" s="32" t="s">
        <v>140</v>
      </c>
      <c r="E126" s="239"/>
      <c r="F126" s="239">
        <f t="shared" si="262"/>
        <v>0</v>
      </c>
      <c r="G126" s="239">
        <f t="shared" si="263"/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336">
        <f t="shared" si="264"/>
        <v>0</v>
      </c>
      <c r="V126" s="336">
        <f t="shared" si="265"/>
        <v>0</v>
      </c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>
        <f t="shared" si="266"/>
        <v>0</v>
      </c>
      <c r="AJ126" s="205">
        <f t="shared" si="267"/>
        <v>0</v>
      </c>
    </row>
    <row r="127" spans="1:36" hidden="1" outlineLevel="1" x14ac:dyDescent="0.2">
      <c r="A127" s="31"/>
      <c r="B127" s="43"/>
      <c r="C127" s="44"/>
      <c r="D127" s="32" t="s">
        <v>639</v>
      </c>
      <c r="E127" s="239"/>
      <c r="F127" s="239">
        <f t="shared" si="262"/>
        <v>0</v>
      </c>
      <c r="G127" s="239">
        <f t="shared" si="263"/>
        <v>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336">
        <f t="shared" si="264"/>
        <v>0</v>
      </c>
      <c r="V127" s="336">
        <f t="shared" si="265"/>
        <v>0</v>
      </c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>
        <f t="shared" si="266"/>
        <v>0</v>
      </c>
      <c r="AJ127" s="205">
        <f t="shared" si="267"/>
        <v>0</v>
      </c>
    </row>
    <row r="128" spans="1:36" ht="12.75" hidden="1" customHeight="1" outlineLevel="1" x14ac:dyDescent="0.2">
      <c r="A128" s="25"/>
      <c r="B128" s="41"/>
      <c r="C128" s="42"/>
      <c r="D128" s="26" t="s">
        <v>636</v>
      </c>
      <c r="E128" s="239">
        <v>310562</v>
      </c>
      <c r="F128" s="239">
        <f t="shared" si="262"/>
        <v>122953</v>
      </c>
      <c r="G128" s="239">
        <f t="shared" si="263"/>
        <v>-187609</v>
      </c>
      <c r="H128" s="239">
        <v>-187609</v>
      </c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336">
        <f t="shared" si="264"/>
        <v>0</v>
      </c>
      <c r="V128" s="336">
        <f t="shared" si="265"/>
        <v>0</v>
      </c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>
        <f t="shared" si="266"/>
        <v>310562</v>
      </c>
      <c r="AJ128" s="205">
        <f t="shared" si="267"/>
        <v>122953</v>
      </c>
    </row>
    <row r="129" spans="1:36" hidden="1" outlineLevel="1" x14ac:dyDescent="0.2">
      <c r="A129" s="25"/>
      <c r="B129" s="41"/>
      <c r="C129" s="42"/>
      <c r="D129" s="26" t="s">
        <v>644</v>
      </c>
      <c r="E129" s="239"/>
      <c r="F129" s="239">
        <f t="shared" si="262"/>
        <v>0</v>
      </c>
      <c r="G129" s="239">
        <f t="shared" si="263"/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336">
        <f t="shared" si="264"/>
        <v>0</v>
      </c>
      <c r="V129" s="336">
        <f t="shared" si="265"/>
        <v>0</v>
      </c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>
        <f t="shared" si="266"/>
        <v>0</v>
      </c>
      <c r="AJ129" s="205">
        <f t="shared" si="267"/>
        <v>0</v>
      </c>
    </row>
    <row r="130" spans="1:36" ht="13.5" customHeight="1" collapsed="1" x14ac:dyDescent="0.2">
      <c r="A130" s="25"/>
      <c r="B130" s="41"/>
      <c r="C130" s="42"/>
      <c r="D130" s="29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05"/>
    </row>
    <row r="131" spans="1:36" s="79" customFormat="1" ht="15.75" customHeight="1" x14ac:dyDescent="0.2">
      <c r="A131" s="18"/>
      <c r="B131" s="533" t="s">
        <v>275</v>
      </c>
      <c r="C131" s="534"/>
      <c r="D131" s="19" t="s">
        <v>126</v>
      </c>
      <c r="E131" s="124">
        <f t="shared" ref="E131:AI131" si="280">SUM(E132)</f>
        <v>4462301</v>
      </c>
      <c r="F131" s="124">
        <f t="shared" si="280"/>
        <v>5927399</v>
      </c>
      <c r="G131" s="124">
        <f t="shared" si="280"/>
        <v>1465098</v>
      </c>
      <c r="H131" s="124">
        <f t="shared" si="280"/>
        <v>88959</v>
      </c>
      <c r="I131" s="124">
        <f t="shared" si="280"/>
        <v>0</v>
      </c>
      <c r="J131" s="124">
        <f t="shared" si="280"/>
        <v>-48429</v>
      </c>
      <c r="K131" s="124">
        <f t="shared" si="280"/>
        <v>7723</v>
      </c>
      <c r="L131" s="124">
        <f t="shared" si="280"/>
        <v>0</v>
      </c>
      <c r="M131" s="124">
        <f t="shared" si="280"/>
        <v>1537661</v>
      </c>
      <c r="N131" s="124">
        <f t="shared" si="280"/>
        <v>0</v>
      </c>
      <c r="O131" s="124">
        <f t="shared" si="280"/>
        <v>298242</v>
      </c>
      <c r="P131" s="124">
        <f t="shared" si="280"/>
        <v>-419058</v>
      </c>
      <c r="Q131" s="124">
        <f t="shared" si="280"/>
        <v>0</v>
      </c>
      <c r="R131" s="124">
        <f t="shared" si="280"/>
        <v>0</v>
      </c>
      <c r="S131" s="124">
        <f t="shared" si="280"/>
        <v>0</v>
      </c>
      <c r="T131" s="124">
        <f t="shared" si="280"/>
        <v>0</v>
      </c>
      <c r="U131" s="333">
        <f t="shared" si="280"/>
        <v>0</v>
      </c>
      <c r="V131" s="333">
        <f t="shared" si="280"/>
        <v>0</v>
      </c>
      <c r="W131" s="333">
        <f t="shared" si="280"/>
        <v>0</v>
      </c>
      <c r="X131" s="333">
        <f t="shared" si="280"/>
        <v>0</v>
      </c>
      <c r="Y131" s="333">
        <f t="shared" si="280"/>
        <v>0</v>
      </c>
      <c r="Z131" s="333">
        <f t="shared" si="280"/>
        <v>0</v>
      </c>
      <c r="AA131" s="333">
        <f t="shared" si="280"/>
        <v>0</v>
      </c>
      <c r="AB131" s="333">
        <f t="shared" si="280"/>
        <v>0</v>
      </c>
      <c r="AC131" s="333">
        <f t="shared" si="280"/>
        <v>0</v>
      </c>
      <c r="AD131" s="333">
        <f t="shared" si="280"/>
        <v>0</v>
      </c>
      <c r="AE131" s="333">
        <f t="shared" si="280"/>
        <v>0</v>
      </c>
      <c r="AF131" s="333">
        <f t="shared" si="280"/>
        <v>0</v>
      </c>
      <c r="AG131" s="333">
        <f t="shared" si="280"/>
        <v>0</v>
      </c>
      <c r="AH131" s="333">
        <f t="shared" si="280"/>
        <v>0</v>
      </c>
      <c r="AI131" s="333">
        <f t="shared" si="280"/>
        <v>4462301</v>
      </c>
      <c r="AJ131" s="306">
        <f t="shared" ref="AJ131" si="281">SUM(AJ132)</f>
        <v>5927399</v>
      </c>
    </row>
    <row r="132" spans="1:36" s="79" customFormat="1" ht="24" x14ac:dyDescent="0.2">
      <c r="A132" s="18"/>
      <c r="B132" s="292"/>
      <c r="C132" s="292"/>
      <c r="D132" s="19" t="s">
        <v>870</v>
      </c>
      <c r="E132" s="124">
        <f>SUM(E133,E138,E143)</f>
        <v>4462301</v>
      </c>
      <c r="F132" s="124">
        <f t="shared" ref="F132:AJ132" si="282">SUM(F133,F138,F143)</f>
        <v>5927399</v>
      </c>
      <c r="G132" s="124">
        <f t="shared" si="282"/>
        <v>1465098</v>
      </c>
      <c r="H132" s="124">
        <f t="shared" si="282"/>
        <v>88959</v>
      </c>
      <c r="I132" s="124">
        <f t="shared" si="282"/>
        <v>0</v>
      </c>
      <c r="J132" s="124">
        <f t="shared" si="282"/>
        <v>-48429</v>
      </c>
      <c r="K132" s="124">
        <f t="shared" si="282"/>
        <v>7723</v>
      </c>
      <c r="L132" s="124">
        <f t="shared" si="282"/>
        <v>0</v>
      </c>
      <c r="M132" s="124">
        <f t="shared" si="282"/>
        <v>1537661</v>
      </c>
      <c r="N132" s="124">
        <f t="shared" si="282"/>
        <v>0</v>
      </c>
      <c r="O132" s="124">
        <f t="shared" si="282"/>
        <v>298242</v>
      </c>
      <c r="P132" s="124">
        <f t="shared" si="282"/>
        <v>-419058</v>
      </c>
      <c r="Q132" s="124">
        <f t="shared" si="282"/>
        <v>0</v>
      </c>
      <c r="R132" s="124">
        <f t="shared" si="282"/>
        <v>0</v>
      </c>
      <c r="S132" s="124">
        <f t="shared" si="282"/>
        <v>0</v>
      </c>
      <c r="T132" s="124">
        <f t="shared" si="282"/>
        <v>0</v>
      </c>
      <c r="U132" s="333">
        <f t="shared" si="282"/>
        <v>0</v>
      </c>
      <c r="V132" s="333">
        <f t="shared" si="282"/>
        <v>0</v>
      </c>
      <c r="W132" s="333">
        <f t="shared" si="282"/>
        <v>0</v>
      </c>
      <c r="X132" s="333">
        <f t="shared" si="282"/>
        <v>0</v>
      </c>
      <c r="Y132" s="333">
        <f t="shared" si="282"/>
        <v>0</v>
      </c>
      <c r="Z132" s="333">
        <f t="shared" si="282"/>
        <v>0</v>
      </c>
      <c r="AA132" s="333">
        <f t="shared" si="282"/>
        <v>0</v>
      </c>
      <c r="AB132" s="333">
        <f t="shared" si="282"/>
        <v>0</v>
      </c>
      <c r="AC132" s="333">
        <f t="shared" si="282"/>
        <v>0</v>
      </c>
      <c r="AD132" s="333">
        <f t="shared" si="282"/>
        <v>0</v>
      </c>
      <c r="AE132" s="333">
        <f t="shared" si="282"/>
        <v>0</v>
      </c>
      <c r="AF132" s="333">
        <f t="shared" si="282"/>
        <v>0</v>
      </c>
      <c r="AG132" s="333">
        <f t="shared" si="282"/>
        <v>0</v>
      </c>
      <c r="AH132" s="333">
        <f t="shared" si="282"/>
        <v>0</v>
      </c>
      <c r="AI132" s="333">
        <f t="shared" si="282"/>
        <v>4462301</v>
      </c>
      <c r="AJ132" s="306">
        <f t="shared" si="282"/>
        <v>5927399</v>
      </c>
    </row>
    <row r="133" spans="1:36" s="79" customFormat="1" ht="15" customHeight="1" x14ac:dyDescent="0.2">
      <c r="A133" s="18"/>
      <c r="B133" s="409"/>
      <c r="C133" s="409" t="s">
        <v>869</v>
      </c>
      <c r="D133" s="19" t="s">
        <v>866</v>
      </c>
      <c r="E133" s="124">
        <f>SUM(E134:E137)</f>
        <v>0</v>
      </c>
      <c r="F133" s="124">
        <f t="shared" ref="F133:AJ133" si="283">SUM(F134:F137)</f>
        <v>298240</v>
      </c>
      <c r="G133" s="124">
        <f t="shared" si="283"/>
        <v>298240</v>
      </c>
      <c r="H133" s="124">
        <f t="shared" si="283"/>
        <v>0</v>
      </c>
      <c r="I133" s="124">
        <f t="shared" si="283"/>
        <v>0</v>
      </c>
      <c r="J133" s="124">
        <f t="shared" si="283"/>
        <v>0</v>
      </c>
      <c r="K133" s="124">
        <f t="shared" si="283"/>
        <v>0</v>
      </c>
      <c r="L133" s="124">
        <f t="shared" si="283"/>
        <v>0</v>
      </c>
      <c r="M133" s="124">
        <f t="shared" si="283"/>
        <v>0</v>
      </c>
      <c r="N133" s="124">
        <f t="shared" si="283"/>
        <v>0</v>
      </c>
      <c r="O133" s="124">
        <f t="shared" si="283"/>
        <v>298242</v>
      </c>
      <c r="P133" s="124">
        <f t="shared" si="283"/>
        <v>-2</v>
      </c>
      <c r="Q133" s="124">
        <f t="shared" si="283"/>
        <v>0</v>
      </c>
      <c r="R133" s="124">
        <f t="shared" si="283"/>
        <v>0</v>
      </c>
      <c r="S133" s="124">
        <f t="shared" si="283"/>
        <v>0</v>
      </c>
      <c r="T133" s="124">
        <f t="shared" si="283"/>
        <v>0</v>
      </c>
      <c r="U133" s="333">
        <f t="shared" si="283"/>
        <v>0</v>
      </c>
      <c r="V133" s="333">
        <f t="shared" si="283"/>
        <v>0</v>
      </c>
      <c r="W133" s="333">
        <f t="shared" si="283"/>
        <v>0</v>
      </c>
      <c r="X133" s="333">
        <f t="shared" si="283"/>
        <v>0</v>
      </c>
      <c r="Y133" s="333">
        <f t="shared" si="283"/>
        <v>0</v>
      </c>
      <c r="Z133" s="333">
        <f t="shared" si="283"/>
        <v>0</v>
      </c>
      <c r="AA133" s="333">
        <f t="shared" si="283"/>
        <v>0</v>
      </c>
      <c r="AB133" s="333">
        <f t="shared" si="283"/>
        <v>0</v>
      </c>
      <c r="AC133" s="333">
        <f t="shared" si="283"/>
        <v>0</v>
      </c>
      <c r="AD133" s="333">
        <f t="shared" si="283"/>
        <v>0</v>
      </c>
      <c r="AE133" s="333">
        <f t="shared" si="283"/>
        <v>0</v>
      </c>
      <c r="AF133" s="333">
        <f t="shared" si="283"/>
        <v>0</v>
      </c>
      <c r="AG133" s="333">
        <f t="shared" si="283"/>
        <v>0</v>
      </c>
      <c r="AH133" s="333">
        <f t="shared" si="283"/>
        <v>0</v>
      </c>
      <c r="AI133" s="333">
        <f t="shared" si="283"/>
        <v>0</v>
      </c>
      <c r="AJ133" s="306">
        <f t="shared" si="283"/>
        <v>298240</v>
      </c>
    </row>
    <row r="134" spans="1:36" s="79" customFormat="1" ht="10.5" customHeight="1" x14ac:dyDescent="0.2">
      <c r="A134" s="410"/>
      <c r="B134" s="411"/>
      <c r="C134" s="411"/>
      <c r="D134" s="421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3"/>
      <c r="AJ134" s="414"/>
    </row>
    <row r="135" spans="1:36" s="79" customFormat="1" ht="24" x14ac:dyDescent="0.2">
      <c r="A135" s="415"/>
      <c r="B135" s="416"/>
      <c r="C135" s="419"/>
      <c r="D135" s="37" t="s">
        <v>867</v>
      </c>
      <c r="E135" s="243"/>
      <c r="F135" s="243">
        <f t="shared" ref="F135:F136" si="284">E135+G135</f>
        <v>167971</v>
      </c>
      <c r="G135" s="243">
        <f t="shared" ref="G135:G136" si="285">SUBTOTAL(9,H135:S135)</f>
        <v>167971</v>
      </c>
      <c r="H135" s="243"/>
      <c r="I135" s="243"/>
      <c r="J135" s="243"/>
      <c r="K135" s="243"/>
      <c r="L135" s="243"/>
      <c r="M135" s="243"/>
      <c r="N135" s="243"/>
      <c r="O135" s="243">
        <v>167972</v>
      </c>
      <c r="P135" s="243">
        <v>-1</v>
      </c>
      <c r="Q135" s="243"/>
      <c r="R135" s="243"/>
      <c r="S135" s="243"/>
      <c r="T135" s="243"/>
      <c r="U135" s="252">
        <f t="shared" ref="U135:U136" si="286">T135+V135</f>
        <v>0</v>
      </c>
      <c r="V135" s="252">
        <f t="shared" ref="V135:V136" si="287">SUBTOTAL(9,W135:AH135)</f>
        <v>0</v>
      </c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>
        <f t="shared" ref="AI135:AJ136" si="288">E135+T135</f>
        <v>0</v>
      </c>
      <c r="AJ135" s="309">
        <f t="shared" si="288"/>
        <v>167971</v>
      </c>
    </row>
    <row r="136" spans="1:36" s="79" customFormat="1" ht="36" x14ac:dyDescent="0.2">
      <c r="A136" s="415"/>
      <c r="B136" s="416"/>
      <c r="C136" s="419"/>
      <c r="D136" s="37" t="s">
        <v>868</v>
      </c>
      <c r="E136" s="243"/>
      <c r="F136" s="243">
        <f t="shared" si="284"/>
        <v>130269</v>
      </c>
      <c r="G136" s="243">
        <f t="shared" si="285"/>
        <v>130269</v>
      </c>
      <c r="H136" s="243"/>
      <c r="I136" s="243"/>
      <c r="J136" s="243"/>
      <c r="K136" s="243"/>
      <c r="L136" s="243"/>
      <c r="M136" s="243"/>
      <c r="N136" s="243"/>
      <c r="O136" s="243">
        <v>130270</v>
      </c>
      <c r="P136" s="243">
        <v>-1</v>
      </c>
      <c r="Q136" s="243"/>
      <c r="R136" s="243"/>
      <c r="S136" s="243"/>
      <c r="T136" s="243"/>
      <c r="U136" s="252">
        <f t="shared" si="286"/>
        <v>0</v>
      </c>
      <c r="V136" s="252">
        <f t="shared" si="287"/>
        <v>0</v>
      </c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>
        <f t="shared" si="288"/>
        <v>0</v>
      </c>
      <c r="AJ136" s="309">
        <f t="shared" si="288"/>
        <v>130269</v>
      </c>
    </row>
    <row r="137" spans="1:36" s="79" customFormat="1" ht="12.75" customHeight="1" x14ac:dyDescent="0.2">
      <c r="A137" s="417"/>
      <c r="B137" s="418"/>
      <c r="C137" s="420"/>
      <c r="D137" s="177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11"/>
    </row>
    <row r="138" spans="1:36" s="79" customFormat="1" ht="15" customHeight="1" x14ac:dyDescent="0.2">
      <c r="A138" s="18"/>
      <c r="B138" s="292"/>
      <c r="C138" s="292" t="s">
        <v>659</v>
      </c>
      <c r="D138" s="19" t="s">
        <v>660</v>
      </c>
      <c r="E138" s="124">
        <f>SUM(E139:E142)</f>
        <v>1246537</v>
      </c>
      <c r="F138" s="124">
        <f t="shared" ref="F138" si="289">SUM(F139:F142)</f>
        <v>827481</v>
      </c>
      <c r="G138" s="124">
        <f t="shared" ref="G138" si="290">SUM(G139:G142)</f>
        <v>-419056</v>
      </c>
      <c r="H138" s="124">
        <f t="shared" ref="H138:R138" si="291">SUM(H139:H142)</f>
        <v>0</v>
      </c>
      <c r="I138" s="124">
        <f t="shared" si="291"/>
        <v>0</v>
      </c>
      <c r="J138" s="124">
        <f t="shared" si="291"/>
        <v>0</v>
      </c>
      <c r="K138" s="124">
        <f t="shared" si="291"/>
        <v>0</v>
      </c>
      <c r="L138" s="124">
        <f t="shared" si="291"/>
        <v>0</v>
      </c>
      <c r="M138" s="124">
        <f t="shared" si="291"/>
        <v>0</v>
      </c>
      <c r="N138" s="124">
        <f t="shared" si="291"/>
        <v>0</v>
      </c>
      <c r="O138" s="124">
        <f t="shared" si="291"/>
        <v>0</v>
      </c>
      <c r="P138" s="124">
        <f t="shared" si="291"/>
        <v>-419056</v>
      </c>
      <c r="Q138" s="124">
        <f t="shared" si="291"/>
        <v>0</v>
      </c>
      <c r="R138" s="124">
        <f t="shared" si="291"/>
        <v>0</v>
      </c>
      <c r="S138" s="124">
        <f>SUM(S139:S142)</f>
        <v>0</v>
      </c>
      <c r="T138" s="124">
        <f>SUM(T139:T142)</f>
        <v>0</v>
      </c>
      <c r="U138" s="333">
        <f t="shared" ref="U138:AI138" si="292">SUM(U139:U142)</f>
        <v>0</v>
      </c>
      <c r="V138" s="333">
        <f t="shared" si="292"/>
        <v>0</v>
      </c>
      <c r="W138" s="333">
        <f t="shared" ref="W138" si="293">SUM(W139:W142)</f>
        <v>0</v>
      </c>
      <c r="X138" s="333">
        <f t="shared" ref="X138" si="294">SUM(X139:X142)</f>
        <v>0</v>
      </c>
      <c r="Y138" s="333">
        <f t="shared" ref="Y138" si="295">SUM(Y139:Y142)</f>
        <v>0</v>
      </c>
      <c r="Z138" s="333">
        <f t="shared" ref="Z138" si="296">SUM(Z139:Z142)</f>
        <v>0</v>
      </c>
      <c r="AA138" s="333">
        <f t="shared" ref="AA138" si="297">SUM(AA139:AA142)</f>
        <v>0</v>
      </c>
      <c r="AB138" s="333">
        <f t="shared" ref="AB138" si="298">SUM(AB139:AB142)</f>
        <v>0</v>
      </c>
      <c r="AC138" s="333">
        <f t="shared" ref="AC138" si="299">SUM(AC139:AC142)</f>
        <v>0</v>
      </c>
      <c r="AD138" s="333">
        <f t="shared" ref="AD138" si="300">SUM(AD139:AD142)</f>
        <v>0</v>
      </c>
      <c r="AE138" s="333">
        <f t="shared" ref="AE138" si="301">SUM(AE139:AE142)</f>
        <v>0</v>
      </c>
      <c r="AF138" s="333">
        <f t="shared" ref="AF138" si="302">SUM(AF139:AF142)</f>
        <v>0</v>
      </c>
      <c r="AG138" s="333">
        <f t="shared" ref="AG138" si="303">SUM(AG139:AG142)</f>
        <v>0</v>
      </c>
      <c r="AH138" s="333">
        <f t="shared" si="292"/>
        <v>0</v>
      </c>
      <c r="AI138" s="333">
        <f t="shared" si="292"/>
        <v>1246537</v>
      </c>
      <c r="AJ138" s="306">
        <f>SUM(AJ139:AJ142)</f>
        <v>827481</v>
      </c>
    </row>
    <row r="139" spans="1:36" s="79" customFormat="1" x14ac:dyDescent="0.2">
      <c r="A139" s="195"/>
      <c r="B139" s="196"/>
      <c r="C139" s="196"/>
      <c r="D139" s="194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14"/>
    </row>
    <row r="140" spans="1:36" ht="36" x14ac:dyDescent="0.2">
      <c r="A140" s="36"/>
      <c r="B140" s="288"/>
      <c r="C140" s="290"/>
      <c r="D140" s="170" t="s">
        <v>650</v>
      </c>
      <c r="E140" s="251">
        <v>617040</v>
      </c>
      <c r="F140" s="251">
        <f t="shared" ref="F140:F141" si="304">E140+G140</f>
        <v>197984</v>
      </c>
      <c r="G140" s="251">
        <f t="shared" ref="G140:G141" si="305">SUBTOTAL(9,H140:S140)</f>
        <v>-419056</v>
      </c>
      <c r="H140" s="251"/>
      <c r="I140" s="251"/>
      <c r="J140" s="251"/>
      <c r="K140" s="251"/>
      <c r="L140" s="251"/>
      <c r="M140" s="251"/>
      <c r="N140" s="251"/>
      <c r="O140" s="251"/>
      <c r="P140" s="251">
        <v>-419056</v>
      </c>
      <c r="Q140" s="251"/>
      <c r="R140" s="251"/>
      <c r="S140" s="251"/>
      <c r="T140" s="251"/>
      <c r="U140" s="251">
        <f t="shared" ref="U140:U141" si="306">T140+V140</f>
        <v>0</v>
      </c>
      <c r="V140" s="251">
        <f t="shared" ref="V140:V141" si="307">SUBTOTAL(9,W140:AH140)</f>
        <v>0</v>
      </c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>
        <f t="shared" ref="AI140:AI141" si="308">E140+T140</f>
        <v>617040</v>
      </c>
      <c r="AJ140" s="309">
        <f t="shared" ref="AJ140:AJ141" si="309">F140+U140</f>
        <v>197984</v>
      </c>
    </row>
    <row r="141" spans="1:36" ht="31.15" customHeight="1" x14ac:dyDescent="0.2">
      <c r="A141" s="36"/>
      <c r="B141" s="288"/>
      <c r="C141" s="290"/>
      <c r="D141" s="201" t="s">
        <v>673</v>
      </c>
      <c r="E141" s="252">
        <v>629497</v>
      </c>
      <c r="F141" s="252">
        <f t="shared" si="304"/>
        <v>629497</v>
      </c>
      <c r="G141" s="252">
        <f t="shared" si="305"/>
        <v>0</v>
      </c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>
        <f t="shared" si="306"/>
        <v>0</v>
      </c>
      <c r="V141" s="252">
        <f t="shared" si="307"/>
        <v>0</v>
      </c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>
        <f t="shared" si="308"/>
        <v>629497</v>
      </c>
      <c r="AJ141" s="309">
        <f t="shared" si="309"/>
        <v>629497</v>
      </c>
    </row>
    <row r="142" spans="1:36" ht="12.75" customHeight="1" x14ac:dyDescent="0.2">
      <c r="A142" s="81"/>
      <c r="B142" s="368"/>
      <c r="C142" s="368"/>
      <c r="D142" s="369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11"/>
    </row>
    <row r="143" spans="1:36" s="79" customFormat="1" ht="13.5" customHeight="1" x14ac:dyDescent="0.2">
      <c r="A143" s="39"/>
      <c r="B143" s="45"/>
      <c r="C143" s="293" t="s">
        <v>273</v>
      </c>
      <c r="D143" s="19" t="s">
        <v>229</v>
      </c>
      <c r="E143" s="124">
        <f>SUM(E144:E151)</f>
        <v>3215764</v>
      </c>
      <c r="F143" s="124">
        <f t="shared" ref="F143" si="310">SUM(F144:F151)</f>
        <v>4801678</v>
      </c>
      <c r="G143" s="124">
        <f t="shared" ref="G143" si="311">SUM(G144:G151)</f>
        <v>1585914</v>
      </c>
      <c r="H143" s="124">
        <f t="shared" ref="H143:R143" si="312">SUM(H144:H151)</f>
        <v>88959</v>
      </c>
      <c r="I143" s="124">
        <f t="shared" si="312"/>
        <v>0</v>
      </c>
      <c r="J143" s="124">
        <f t="shared" si="312"/>
        <v>-48429</v>
      </c>
      <c r="K143" s="124">
        <f t="shared" si="312"/>
        <v>7723</v>
      </c>
      <c r="L143" s="124">
        <f t="shared" si="312"/>
        <v>0</v>
      </c>
      <c r="M143" s="124">
        <f t="shared" si="312"/>
        <v>1537661</v>
      </c>
      <c r="N143" s="124">
        <f t="shared" si="312"/>
        <v>0</v>
      </c>
      <c r="O143" s="124">
        <f t="shared" si="312"/>
        <v>0</v>
      </c>
      <c r="P143" s="124">
        <f t="shared" si="312"/>
        <v>0</v>
      </c>
      <c r="Q143" s="124">
        <f t="shared" si="312"/>
        <v>0</v>
      </c>
      <c r="R143" s="124">
        <f t="shared" si="312"/>
        <v>0</v>
      </c>
      <c r="S143" s="124">
        <f>SUM(S144:S151)</f>
        <v>0</v>
      </c>
      <c r="T143" s="124">
        <f>SUM(T144:T151)</f>
        <v>0</v>
      </c>
      <c r="U143" s="333">
        <f t="shared" ref="U143:AI143" si="313">SUM(U144:U151)</f>
        <v>0</v>
      </c>
      <c r="V143" s="333">
        <f t="shared" si="313"/>
        <v>0</v>
      </c>
      <c r="W143" s="333">
        <f t="shared" ref="W143" si="314">SUM(W144:W151)</f>
        <v>0</v>
      </c>
      <c r="X143" s="333">
        <f t="shared" ref="X143" si="315">SUM(X144:X151)</f>
        <v>0</v>
      </c>
      <c r="Y143" s="333">
        <f t="shared" ref="Y143" si="316">SUM(Y144:Y151)</f>
        <v>0</v>
      </c>
      <c r="Z143" s="333">
        <f t="shared" ref="Z143" si="317">SUM(Z144:Z151)</f>
        <v>0</v>
      </c>
      <c r="AA143" s="333">
        <f t="shared" ref="AA143" si="318">SUM(AA144:AA151)</f>
        <v>0</v>
      </c>
      <c r="AB143" s="333">
        <f t="shared" ref="AB143" si="319">SUM(AB144:AB151)</f>
        <v>0</v>
      </c>
      <c r="AC143" s="333">
        <f t="shared" ref="AC143" si="320">SUM(AC144:AC151)</f>
        <v>0</v>
      </c>
      <c r="AD143" s="333">
        <f t="shared" ref="AD143" si="321">SUM(AD144:AD151)</f>
        <v>0</v>
      </c>
      <c r="AE143" s="333">
        <f t="shared" ref="AE143" si="322">SUM(AE144:AE151)</f>
        <v>0</v>
      </c>
      <c r="AF143" s="333">
        <f t="shared" ref="AF143" si="323">SUM(AF144:AF151)</f>
        <v>0</v>
      </c>
      <c r="AG143" s="333">
        <f t="shared" ref="AG143" si="324">SUM(AG144:AG151)</f>
        <v>0</v>
      </c>
      <c r="AH143" s="333">
        <f t="shared" si="313"/>
        <v>0</v>
      </c>
      <c r="AI143" s="333">
        <f t="shared" si="313"/>
        <v>3215764</v>
      </c>
      <c r="AJ143" s="306">
        <f>SUM(AJ144:AJ151)</f>
        <v>4801678</v>
      </c>
    </row>
    <row r="144" spans="1:36" ht="11.25" customHeight="1" x14ac:dyDescent="0.2">
      <c r="A144" s="36"/>
      <c r="B144" s="485"/>
      <c r="C144" s="526"/>
      <c r="D144" s="24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309"/>
    </row>
    <row r="145" spans="1:36" ht="36" x14ac:dyDescent="0.2">
      <c r="A145" s="36"/>
      <c r="B145" s="288"/>
      <c r="C145" s="290"/>
      <c r="D145" s="170" t="s">
        <v>630</v>
      </c>
      <c r="E145" s="251">
        <v>425359</v>
      </c>
      <c r="F145" s="251">
        <f t="shared" ref="F145:F150" si="325">E145+G145</f>
        <v>406350</v>
      </c>
      <c r="G145" s="251">
        <f t="shared" ref="G145:G150" si="326">SUBTOTAL(9,H145:S145)</f>
        <v>-19009</v>
      </c>
      <c r="H145" s="251">
        <v>-19009</v>
      </c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>
        <f t="shared" ref="U145:U149" si="327">T145+V145</f>
        <v>0</v>
      </c>
      <c r="V145" s="251">
        <f t="shared" ref="V145:V149" si="328">SUBTOTAL(9,W145:AH145)</f>
        <v>0</v>
      </c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>
        <f t="shared" ref="AI145:AI150" si="329">E145+T145</f>
        <v>425359</v>
      </c>
      <c r="AJ145" s="309">
        <f t="shared" ref="AJ145:AJ150" si="330">F145+U145</f>
        <v>406350</v>
      </c>
    </row>
    <row r="146" spans="1:36" ht="36" x14ac:dyDescent="0.2">
      <c r="A146" s="36"/>
      <c r="B146" s="288"/>
      <c r="C146" s="290"/>
      <c r="D146" s="201" t="s">
        <v>593</v>
      </c>
      <c r="E146" s="252">
        <v>278666</v>
      </c>
      <c r="F146" s="252">
        <f t="shared" si="325"/>
        <v>345928</v>
      </c>
      <c r="G146" s="252">
        <f t="shared" si="326"/>
        <v>67262</v>
      </c>
      <c r="H146" s="252">
        <v>107968</v>
      </c>
      <c r="I146" s="252"/>
      <c r="J146" s="252">
        <f>-48429</f>
        <v>-48429</v>
      </c>
      <c r="K146" s="252">
        <v>7723</v>
      </c>
      <c r="L146" s="252"/>
      <c r="M146" s="252"/>
      <c r="N146" s="252"/>
      <c r="O146" s="252"/>
      <c r="P146" s="252"/>
      <c r="Q146" s="252"/>
      <c r="R146" s="252"/>
      <c r="S146" s="252"/>
      <c r="T146" s="252"/>
      <c r="U146" s="243">
        <f t="shared" si="327"/>
        <v>0</v>
      </c>
      <c r="V146" s="251">
        <f t="shared" si="328"/>
        <v>0</v>
      </c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>
        <f t="shared" si="329"/>
        <v>278666</v>
      </c>
      <c r="AJ146" s="309">
        <f t="shared" si="330"/>
        <v>345928</v>
      </c>
    </row>
    <row r="147" spans="1:36" ht="24.75" customHeight="1" x14ac:dyDescent="0.2">
      <c r="A147" s="36"/>
      <c r="B147" s="288"/>
      <c r="C147" s="290"/>
      <c r="D147" s="170" t="s">
        <v>655</v>
      </c>
      <c r="E147" s="251">
        <v>223526</v>
      </c>
      <c r="F147" s="251">
        <f t="shared" si="325"/>
        <v>223526</v>
      </c>
      <c r="G147" s="251">
        <f t="shared" si="32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>
        <f t="shared" si="327"/>
        <v>0</v>
      </c>
      <c r="V147" s="251">
        <f t="shared" si="328"/>
        <v>0</v>
      </c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>
        <f t="shared" si="329"/>
        <v>223526</v>
      </c>
      <c r="AJ147" s="309">
        <f t="shared" si="330"/>
        <v>223526</v>
      </c>
    </row>
    <row r="148" spans="1:36" ht="29.25" customHeight="1" x14ac:dyDescent="0.2">
      <c r="A148" s="36"/>
      <c r="B148" s="485"/>
      <c r="C148" s="526"/>
      <c r="D148" s="37" t="s">
        <v>653</v>
      </c>
      <c r="E148" s="243">
        <v>682068</v>
      </c>
      <c r="F148" s="243">
        <f t="shared" si="325"/>
        <v>682068</v>
      </c>
      <c r="G148" s="243">
        <f t="shared" si="326"/>
        <v>0</v>
      </c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52">
        <f t="shared" si="327"/>
        <v>0</v>
      </c>
      <c r="V148" s="252">
        <f t="shared" si="328"/>
        <v>0</v>
      </c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>
        <f t="shared" si="329"/>
        <v>682068</v>
      </c>
      <c r="AJ148" s="309">
        <f t="shared" si="330"/>
        <v>682068</v>
      </c>
    </row>
    <row r="149" spans="1:36" ht="18" customHeight="1" x14ac:dyDescent="0.2">
      <c r="A149" s="28"/>
      <c r="B149" s="395"/>
      <c r="C149" s="396"/>
      <c r="D149" s="37" t="s">
        <v>671</v>
      </c>
      <c r="E149" s="243">
        <v>1606145</v>
      </c>
      <c r="F149" s="243">
        <f t="shared" si="325"/>
        <v>1606145</v>
      </c>
      <c r="G149" s="243">
        <f t="shared" si="326"/>
        <v>0</v>
      </c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52">
        <f t="shared" si="327"/>
        <v>0</v>
      </c>
      <c r="V149" s="252">
        <f t="shared" si="328"/>
        <v>0</v>
      </c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>
        <f t="shared" si="329"/>
        <v>1606145</v>
      </c>
      <c r="AJ149" s="309">
        <f t="shared" si="330"/>
        <v>1606145</v>
      </c>
    </row>
    <row r="150" spans="1:36" ht="24" x14ac:dyDescent="0.2">
      <c r="A150" s="28"/>
      <c r="B150" s="393"/>
      <c r="C150" s="394"/>
      <c r="D150" s="177" t="s">
        <v>841</v>
      </c>
      <c r="E150" s="245"/>
      <c r="F150" s="245">
        <f t="shared" si="325"/>
        <v>1537661</v>
      </c>
      <c r="G150" s="245">
        <f t="shared" si="326"/>
        <v>1537661</v>
      </c>
      <c r="H150" s="245"/>
      <c r="I150" s="245"/>
      <c r="J150" s="245"/>
      <c r="K150" s="245"/>
      <c r="L150" s="245"/>
      <c r="M150" s="245">
        <v>1537661</v>
      </c>
      <c r="N150" s="245"/>
      <c r="O150" s="245"/>
      <c r="P150" s="245"/>
      <c r="Q150" s="245"/>
      <c r="R150" s="245"/>
      <c r="S150" s="245"/>
      <c r="T150" s="245"/>
      <c r="U150" s="252">
        <f t="shared" ref="U150" si="331">T150+V150</f>
        <v>0</v>
      </c>
      <c r="V150" s="252">
        <f t="shared" ref="V150" si="332">SUBTOTAL(9,W150:AH150)</f>
        <v>0</v>
      </c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>
        <f t="shared" si="329"/>
        <v>0</v>
      </c>
      <c r="AJ150" s="311">
        <f t="shared" si="330"/>
        <v>1537661</v>
      </c>
    </row>
    <row r="151" spans="1:36" ht="11.25" customHeight="1" x14ac:dyDescent="0.2">
      <c r="A151" s="46"/>
      <c r="B151" s="47"/>
      <c r="C151" s="48"/>
      <c r="D151" s="32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206"/>
    </row>
    <row r="152" spans="1:36" x14ac:dyDescent="0.2">
      <c r="A152" s="527" t="s">
        <v>152</v>
      </c>
      <c r="B152" s="528"/>
      <c r="C152" s="528"/>
      <c r="D152" s="529"/>
      <c r="E152" s="349">
        <f t="shared" ref="E152:G152" si="333">SUM(E154,E158)</f>
        <v>1091</v>
      </c>
      <c r="F152" s="349">
        <f t="shared" si="333"/>
        <v>1838</v>
      </c>
      <c r="G152" s="349">
        <f t="shared" si="333"/>
        <v>747</v>
      </c>
      <c r="H152" s="349">
        <f t="shared" ref="H152:R152" si="334">SUM(H154,H158)</f>
        <v>747</v>
      </c>
      <c r="I152" s="349">
        <f t="shared" si="334"/>
        <v>0</v>
      </c>
      <c r="J152" s="349">
        <f t="shared" si="334"/>
        <v>0</v>
      </c>
      <c r="K152" s="349">
        <f t="shared" si="334"/>
        <v>0</v>
      </c>
      <c r="L152" s="349">
        <f t="shared" si="334"/>
        <v>0</v>
      </c>
      <c r="M152" s="349">
        <f t="shared" si="334"/>
        <v>0</v>
      </c>
      <c r="N152" s="349">
        <f t="shared" si="334"/>
        <v>0</v>
      </c>
      <c r="O152" s="349">
        <f t="shared" si="334"/>
        <v>0</v>
      </c>
      <c r="P152" s="349">
        <f t="shared" si="334"/>
        <v>0</v>
      </c>
      <c r="Q152" s="349">
        <f t="shared" si="334"/>
        <v>0</v>
      </c>
      <c r="R152" s="349">
        <f t="shared" si="334"/>
        <v>0</v>
      </c>
      <c r="S152" s="349">
        <f t="shared" ref="S152:T152" si="335">SUM(S154,S158)</f>
        <v>0</v>
      </c>
      <c r="T152" s="349">
        <f t="shared" si="335"/>
        <v>0</v>
      </c>
      <c r="U152" s="350">
        <f t="shared" ref="U152:AH152" si="336">SUM(U154,U158)</f>
        <v>0</v>
      </c>
      <c r="V152" s="350">
        <f t="shared" si="336"/>
        <v>0</v>
      </c>
      <c r="W152" s="350">
        <f t="shared" ref="W152:AG152" si="337">SUM(W154,W158)</f>
        <v>0</v>
      </c>
      <c r="X152" s="350">
        <f t="shared" si="337"/>
        <v>0</v>
      </c>
      <c r="Y152" s="350">
        <f t="shared" si="337"/>
        <v>0</v>
      </c>
      <c r="Z152" s="350">
        <f t="shared" si="337"/>
        <v>0</v>
      </c>
      <c r="AA152" s="350">
        <f t="shared" si="337"/>
        <v>0</v>
      </c>
      <c r="AB152" s="350">
        <f t="shared" si="337"/>
        <v>0</v>
      </c>
      <c r="AC152" s="350">
        <f t="shared" si="337"/>
        <v>0</v>
      </c>
      <c r="AD152" s="350">
        <f t="shared" si="337"/>
        <v>0</v>
      </c>
      <c r="AE152" s="350">
        <f t="shared" si="337"/>
        <v>0</v>
      </c>
      <c r="AF152" s="350">
        <f t="shared" si="337"/>
        <v>0</v>
      </c>
      <c r="AG152" s="350">
        <f t="shared" si="337"/>
        <v>0</v>
      </c>
      <c r="AH152" s="350">
        <f t="shared" si="336"/>
        <v>0</v>
      </c>
      <c r="AI152" s="350">
        <f t="shared" ref="AI152" si="338">SUM(AI154,AI158)</f>
        <v>1091</v>
      </c>
      <c r="AJ152" s="316">
        <f t="shared" ref="AJ152" si="339">SUM(AJ154,AJ158)</f>
        <v>1838</v>
      </c>
    </row>
    <row r="153" spans="1:36" ht="11.25" customHeight="1" x14ac:dyDescent="0.2">
      <c r="A153" s="46"/>
      <c r="B153" s="47"/>
      <c r="C153" s="48"/>
      <c r="D153" s="32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206"/>
    </row>
    <row r="154" spans="1:36" x14ac:dyDescent="0.2">
      <c r="A154" s="515" t="s">
        <v>105</v>
      </c>
      <c r="B154" s="516"/>
      <c r="C154" s="517"/>
      <c r="D154" s="52" t="s">
        <v>153</v>
      </c>
      <c r="E154" s="351">
        <f t="shared" ref="E154:T154" si="340">SUM(E155:E156)</f>
        <v>0</v>
      </c>
      <c r="F154" s="351">
        <f t="shared" ref="F154:G154" si="341">SUM(F155:F156)</f>
        <v>700</v>
      </c>
      <c r="G154" s="351">
        <f t="shared" si="341"/>
        <v>700</v>
      </c>
      <c r="H154" s="351">
        <f t="shared" ref="H154:R154" si="342">SUM(H155:H156)</f>
        <v>700</v>
      </c>
      <c r="I154" s="351">
        <f t="shared" si="342"/>
        <v>0</v>
      </c>
      <c r="J154" s="351">
        <f t="shared" si="342"/>
        <v>0</v>
      </c>
      <c r="K154" s="351">
        <f t="shared" si="342"/>
        <v>0</v>
      </c>
      <c r="L154" s="351">
        <f t="shared" si="342"/>
        <v>0</v>
      </c>
      <c r="M154" s="351">
        <f t="shared" si="342"/>
        <v>0</v>
      </c>
      <c r="N154" s="351">
        <f t="shared" si="342"/>
        <v>0</v>
      </c>
      <c r="O154" s="351">
        <f t="shared" si="342"/>
        <v>0</v>
      </c>
      <c r="P154" s="351">
        <f t="shared" si="342"/>
        <v>0</v>
      </c>
      <c r="Q154" s="351">
        <f t="shared" si="342"/>
        <v>0</v>
      </c>
      <c r="R154" s="351">
        <f t="shared" si="342"/>
        <v>0</v>
      </c>
      <c r="S154" s="351">
        <f t="shared" ref="S154:AH154" si="343">SUM(S155:S156)</f>
        <v>0</v>
      </c>
      <c r="T154" s="351">
        <f t="shared" si="340"/>
        <v>0</v>
      </c>
      <c r="U154" s="352">
        <f t="shared" si="343"/>
        <v>0</v>
      </c>
      <c r="V154" s="352">
        <f t="shared" si="343"/>
        <v>0</v>
      </c>
      <c r="W154" s="352">
        <f t="shared" ref="W154:AG154" si="344">SUM(W155:W156)</f>
        <v>0</v>
      </c>
      <c r="X154" s="352">
        <f t="shared" si="344"/>
        <v>0</v>
      </c>
      <c r="Y154" s="352">
        <f t="shared" si="344"/>
        <v>0</v>
      </c>
      <c r="Z154" s="352">
        <f t="shared" si="344"/>
        <v>0</v>
      </c>
      <c r="AA154" s="352">
        <f t="shared" si="344"/>
        <v>0</v>
      </c>
      <c r="AB154" s="352">
        <f t="shared" si="344"/>
        <v>0</v>
      </c>
      <c r="AC154" s="352">
        <f t="shared" si="344"/>
        <v>0</v>
      </c>
      <c r="AD154" s="352">
        <f t="shared" si="344"/>
        <v>0</v>
      </c>
      <c r="AE154" s="352">
        <f t="shared" si="344"/>
        <v>0</v>
      </c>
      <c r="AF154" s="352">
        <f t="shared" si="344"/>
        <v>0</v>
      </c>
      <c r="AG154" s="352">
        <f t="shared" si="344"/>
        <v>0</v>
      </c>
      <c r="AH154" s="352">
        <f t="shared" si="343"/>
        <v>0</v>
      </c>
      <c r="AI154" s="352">
        <f t="shared" ref="AI154" si="345">SUM(AI155:AI156)</f>
        <v>0</v>
      </c>
      <c r="AJ154" s="317">
        <f>SUM(AJ155:AJ156)</f>
        <v>700</v>
      </c>
    </row>
    <row r="155" spans="1:36" s="79" customFormat="1" x14ac:dyDescent="0.2">
      <c r="A155" s="39"/>
      <c r="B155" s="489" t="s">
        <v>142</v>
      </c>
      <c r="C155" s="490"/>
      <c r="D155" s="32" t="s">
        <v>143</v>
      </c>
      <c r="E155" s="239"/>
      <c r="F155" s="239">
        <f t="shared" ref="F155:F156" si="346">E155+G155</f>
        <v>700</v>
      </c>
      <c r="G155" s="239">
        <f t="shared" ref="G155:G156" si="347">SUBTOTAL(9,H155:S155)</f>
        <v>700</v>
      </c>
      <c r="H155" s="239">
        <v>700</v>
      </c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336">
        <f t="shared" ref="U155:U156" si="348">T155+V155</f>
        <v>0</v>
      </c>
      <c r="V155" s="336">
        <f t="shared" ref="V155:V156" si="349">SUBTOTAL(9,W155:AH155)</f>
        <v>0</v>
      </c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>
        <f t="shared" ref="AI155:AI156" si="350">E155+T155</f>
        <v>0</v>
      </c>
      <c r="AJ155" s="205">
        <f>F155+U155</f>
        <v>700</v>
      </c>
    </row>
    <row r="156" spans="1:36" s="79" customFormat="1" ht="24" x14ac:dyDescent="0.2">
      <c r="A156" s="39"/>
      <c r="B156" s="479" t="s">
        <v>106</v>
      </c>
      <c r="C156" s="497"/>
      <c r="D156" s="32" t="s">
        <v>158</v>
      </c>
      <c r="E156" s="239"/>
      <c r="F156" s="239">
        <f t="shared" si="346"/>
        <v>0</v>
      </c>
      <c r="G156" s="239">
        <f t="shared" si="347"/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336">
        <f t="shared" si="348"/>
        <v>0</v>
      </c>
      <c r="V156" s="336">
        <f t="shared" si="349"/>
        <v>0</v>
      </c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>
        <f t="shared" si="350"/>
        <v>0</v>
      </c>
      <c r="AJ156" s="205">
        <f>F156+U156</f>
        <v>0</v>
      </c>
    </row>
    <row r="157" spans="1:36" ht="11.25" customHeight="1" x14ac:dyDescent="0.2">
      <c r="A157" s="46"/>
      <c r="B157" s="47"/>
      <c r="C157" s="44"/>
      <c r="D157" s="32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205"/>
    </row>
    <row r="158" spans="1:36" ht="24" x14ac:dyDescent="0.2">
      <c r="A158" s="46"/>
      <c r="B158" s="47"/>
      <c r="C158" s="292" t="s">
        <v>537</v>
      </c>
      <c r="D158" s="40" t="s">
        <v>154</v>
      </c>
      <c r="E158" s="247">
        <f t="shared" ref="E158:AI158" si="351">SUM(E159)</f>
        <v>1091</v>
      </c>
      <c r="F158" s="247">
        <f t="shared" si="351"/>
        <v>1138</v>
      </c>
      <c r="G158" s="247">
        <f t="shared" si="351"/>
        <v>47</v>
      </c>
      <c r="H158" s="247">
        <f t="shared" si="351"/>
        <v>47</v>
      </c>
      <c r="I158" s="247">
        <f t="shared" si="351"/>
        <v>0</v>
      </c>
      <c r="J158" s="247">
        <f t="shared" si="351"/>
        <v>0</v>
      </c>
      <c r="K158" s="247">
        <f t="shared" si="351"/>
        <v>0</v>
      </c>
      <c r="L158" s="247">
        <f t="shared" si="351"/>
        <v>0</v>
      </c>
      <c r="M158" s="247">
        <f t="shared" si="351"/>
        <v>0</v>
      </c>
      <c r="N158" s="247">
        <f t="shared" si="351"/>
        <v>0</v>
      </c>
      <c r="O158" s="247">
        <f t="shared" si="351"/>
        <v>0</v>
      </c>
      <c r="P158" s="247">
        <f t="shared" si="351"/>
        <v>0</v>
      </c>
      <c r="Q158" s="247">
        <f t="shared" si="351"/>
        <v>0</v>
      </c>
      <c r="R158" s="247">
        <f t="shared" si="351"/>
        <v>0</v>
      </c>
      <c r="S158" s="247">
        <f t="shared" si="351"/>
        <v>0</v>
      </c>
      <c r="T158" s="247">
        <f t="shared" si="351"/>
        <v>0</v>
      </c>
      <c r="U158" s="248">
        <f t="shared" si="351"/>
        <v>0</v>
      </c>
      <c r="V158" s="248">
        <f t="shared" si="351"/>
        <v>0</v>
      </c>
      <c r="W158" s="248">
        <f t="shared" si="351"/>
        <v>0</v>
      </c>
      <c r="X158" s="248">
        <f t="shared" si="351"/>
        <v>0</v>
      </c>
      <c r="Y158" s="248">
        <f t="shared" si="351"/>
        <v>0</v>
      </c>
      <c r="Z158" s="248">
        <f t="shared" si="351"/>
        <v>0</v>
      </c>
      <c r="AA158" s="248">
        <f t="shared" si="351"/>
        <v>0</v>
      </c>
      <c r="AB158" s="248">
        <f t="shared" si="351"/>
        <v>0</v>
      </c>
      <c r="AC158" s="248">
        <f t="shared" si="351"/>
        <v>0</v>
      </c>
      <c r="AD158" s="248">
        <f t="shared" si="351"/>
        <v>0</v>
      </c>
      <c r="AE158" s="248">
        <f t="shared" si="351"/>
        <v>0</v>
      </c>
      <c r="AF158" s="248">
        <f t="shared" si="351"/>
        <v>0</v>
      </c>
      <c r="AG158" s="248">
        <f t="shared" si="351"/>
        <v>0</v>
      </c>
      <c r="AH158" s="248">
        <f t="shared" si="351"/>
        <v>0</v>
      </c>
      <c r="AI158" s="248">
        <f t="shared" si="351"/>
        <v>1091</v>
      </c>
      <c r="AJ158" s="313">
        <f t="shared" ref="AJ158" si="352">SUM(AJ159)</f>
        <v>1138</v>
      </c>
    </row>
    <row r="159" spans="1:36" x14ac:dyDescent="0.2">
      <c r="A159" s="46"/>
      <c r="B159" s="47"/>
      <c r="C159" s="48"/>
      <c r="D159" s="32" t="s">
        <v>155</v>
      </c>
      <c r="E159" s="241">
        <f>SUM(E160:E162)</f>
        <v>1091</v>
      </c>
      <c r="F159" s="241">
        <f t="shared" ref="F159:AJ159" si="353">SUM(F160:F162)</f>
        <v>1138</v>
      </c>
      <c r="G159" s="241">
        <f t="shared" si="353"/>
        <v>47</v>
      </c>
      <c r="H159" s="241">
        <f t="shared" si="353"/>
        <v>47</v>
      </c>
      <c r="I159" s="241">
        <f t="shared" si="353"/>
        <v>0</v>
      </c>
      <c r="J159" s="241">
        <f t="shared" si="353"/>
        <v>0</v>
      </c>
      <c r="K159" s="241">
        <f t="shared" si="353"/>
        <v>0</v>
      </c>
      <c r="L159" s="241">
        <f t="shared" si="353"/>
        <v>0</v>
      </c>
      <c r="M159" s="241">
        <f t="shared" si="353"/>
        <v>0</v>
      </c>
      <c r="N159" s="241">
        <f t="shared" si="353"/>
        <v>0</v>
      </c>
      <c r="O159" s="241">
        <f t="shared" si="353"/>
        <v>0</v>
      </c>
      <c r="P159" s="241">
        <f t="shared" si="353"/>
        <v>0</v>
      </c>
      <c r="Q159" s="241">
        <f t="shared" si="353"/>
        <v>0</v>
      </c>
      <c r="R159" s="241">
        <f t="shared" si="353"/>
        <v>0</v>
      </c>
      <c r="S159" s="241">
        <f t="shared" si="353"/>
        <v>0</v>
      </c>
      <c r="T159" s="241">
        <f t="shared" si="353"/>
        <v>0</v>
      </c>
      <c r="U159" s="337">
        <f t="shared" si="353"/>
        <v>0</v>
      </c>
      <c r="V159" s="337">
        <f t="shared" si="353"/>
        <v>0</v>
      </c>
      <c r="W159" s="337">
        <f t="shared" si="353"/>
        <v>0</v>
      </c>
      <c r="X159" s="337">
        <f t="shared" si="353"/>
        <v>0</v>
      </c>
      <c r="Y159" s="337">
        <f t="shared" si="353"/>
        <v>0</v>
      </c>
      <c r="Z159" s="337">
        <f t="shared" si="353"/>
        <v>0</v>
      </c>
      <c r="AA159" s="337">
        <f t="shared" si="353"/>
        <v>0</v>
      </c>
      <c r="AB159" s="337">
        <f t="shared" si="353"/>
        <v>0</v>
      </c>
      <c r="AC159" s="337">
        <f t="shared" si="353"/>
        <v>0</v>
      </c>
      <c r="AD159" s="337">
        <f t="shared" si="353"/>
        <v>0</v>
      </c>
      <c r="AE159" s="337">
        <f t="shared" si="353"/>
        <v>0</v>
      </c>
      <c r="AF159" s="337">
        <f t="shared" si="353"/>
        <v>0</v>
      </c>
      <c r="AG159" s="337">
        <f t="shared" si="353"/>
        <v>0</v>
      </c>
      <c r="AH159" s="337">
        <f t="shared" si="353"/>
        <v>0</v>
      </c>
      <c r="AI159" s="337">
        <f t="shared" si="353"/>
        <v>1091</v>
      </c>
      <c r="AJ159" s="206">
        <f t="shared" si="353"/>
        <v>1138</v>
      </c>
    </row>
    <row r="160" spans="1:36" ht="24" hidden="1" x14ac:dyDescent="0.2">
      <c r="A160" s="31"/>
      <c r="B160" s="43"/>
      <c r="C160" s="44"/>
      <c r="D160" s="168" t="s">
        <v>156</v>
      </c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336"/>
      <c r="V160" s="336"/>
      <c r="W160" s="336"/>
      <c r="X160" s="336"/>
      <c r="Y160" s="336"/>
      <c r="Z160" s="336"/>
      <c r="AA160" s="336"/>
      <c r="AB160" s="336"/>
      <c r="AC160" s="336"/>
      <c r="AD160" s="336"/>
      <c r="AE160" s="336"/>
      <c r="AF160" s="336"/>
      <c r="AG160" s="336"/>
      <c r="AH160" s="336"/>
      <c r="AI160" s="336"/>
      <c r="AJ160" s="205">
        <f t="shared" ref="AJ160:AJ162" si="354">F160+U160</f>
        <v>0</v>
      </c>
    </row>
    <row r="161" spans="1:37" ht="24" x14ac:dyDescent="0.2">
      <c r="A161" s="46"/>
      <c r="B161" s="47"/>
      <c r="C161" s="48"/>
      <c r="D161" s="168" t="s">
        <v>157</v>
      </c>
      <c r="E161" s="241">
        <f>1+1090</f>
        <v>1091</v>
      </c>
      <c r="F161" s="241">
        <f>E161+G161</f>
        <v>1091</v>
      </c>
      <c r="G161" s="241">
        <f>SUBTOTAL(9,H161:S161)</f>
        <v>0</v>
      </c>
      <c r="H161" s="241">
        <f>47-47</f>
        <v>0</v>
      </c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337">
        <f>T161+V161</f>
        <v>0</v>
      </c>
      <c r="V161" s="337">
        <f>SUBTOTAL(9,W161:AH161)</f>
        <v>0</v>
      </c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>
        <f>E161+T161</f>
        <v>1091</v>
      </c>
      <c r="AJ161" s="206">
        <f t="shared" si="354"/>
        <v>1091</v>
      </c>
    </row>
    <row r="162" spans="1:37" ht="24" x14ac:dyDescent="0.2">
      <c r="A162" s="46"/>
      <c r="B162" s="47"/>
      <c r="C162" s="48"/>
      <c r="D162" s="168" t="s">
        <v>811</v>
      </c>
      <c r="E162" s="241"/>
      <c r="F162" s="241">
        <f>E162+G162</f>
        <v>47</v>
      </c>
      <c r="G162" s="241">
        <f>SUBTOTAL(9,H162:S162)</f>
        <v>47</v>
      </c>
      <c r="H162" s="241">
        <v>47</v>
      </c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337">
        <f>T162+V162</f>
        <v>0</v>
      </c>
      <c r="V162" s="337">
        <f>SUBTOTAL(9,W162:AH162)</f>
        <v>0</v>
      </c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>
        <f>E162+T162</f>
        <v>0</v>
      </c>
      <c r="AJ162" s="206">
        <f t="shared" si="354"/>
        <v>47</v>
      </c>
    </row>
    <row r="163" spans="1:37" x14ac:dyDescent="0.2">
      <c r="A163" s="31"/>
      <c r="B163" s="43"/>
      <c r="C163" s="44"/>
      <c r="D163" s="32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206"/>
    </row>
    <row r="164" spans="1:37" s="79" customFormat="1" ht="24.75" customHeight="1" thickBot="1" x14ac:dyDescent="0.25">
      <c r="A164" s="518" t="s">
        <v>123</v>
      </c>
      <c r="B164" s="519"/>
      <c r="C164" s="519"/>
      <c r="D164" s="520"/>
      <c r="E164" s="254">
        <f t="shared" ref="E164:AJ164" si="355">SUM(E154,E97)</f>
        <v>96800332</v>
      </c>
      <c r="F164" s="254">
        <f t="shared" si="355"/>
        <v>98520584</v>
      </c>
      <c r="G164" s="254">
        <f t="shared" si="355"/>
        <v>1720252</v>
      </c>
      <c r="H164" s="254">
        <f t="shared" si="355"/>
        <v>979867</v>
      </c>
      <c r="I164" s="254">
        <f t="shared" si="355"/>
        <v>641366</v>
      </c>
      <c r="J164" s="254">
        <f t="shared" si="355"/>
        <v>16593</v>
      </c>
      <c r="K164" s="254">
        <f t="shared" si="355"/>
        <v>-5623</v>
      </c>
      <c r="L164" s="254">
        <f t="shared" si="355"/>
        <v>2100</v>
      </c>
      <c r="M164" s="254">
        <f t="shared" si="355"/>
        <v>196256</v>
      </c>
      <c r="N164" s="254">
        <f t="shared" si="355"/>
        <v>-429250</v>
      </c>
      <c r="O164" s="254">
        <f t="shared" si="355"/>
        <v>104837</v>
      </c>
      <c r="P164" s="254">
        <f t="shared" si="355"/>
        <v>214106</v>
      </c>
      <c r="Q164" s="254">
        <f t="shared" si="355"/>
        <v>0</v>
      </c>
      <c r="R164" s="254">
        <f t="shared" si="355"/>
        <v>0</v>
      </c>
      <c r="S164" s="254">
        <f t="shared" si="355"/>
        <v>0</v>
      </c>
      <c r="T164" s="254">
        <f t="shared" si="355"/>
        <v>-1336267</v>
      </c>
      <c r="U164" s="347">
        <f t="shared" si="355"/>
        <v>-1446073</v>
      </c>
      <c r="V164" s="347">
        <f t="shared" si="355"/>
        <v>-109806</v>
      </c>
      <c r="W164" s="347">
        <f t="shared" si="355"/>
        <v>-145223</v>
      </c>
      <c r="X164" s="347">
        <f t="shared" si="355"/>
        <v>0</v>
      </c>
      <c r="Y164" s="347">
        <f t="shared" si="355"/>
        <v>868</v>
      </c>
      <c r="Z164" s="347">
        <f t="shared" si="355"/>
        <v>-812</v>
      </c>
      <c r="AA164" s="347">
        <f t="shared" si="355"/>
        <v>45448</v>
      </c>
      <c r="AB164" s="347">
        <f t="shared" si="355"/>
        <v>-1429</v>
      </c>
      <c r="AC164" s="347">
        <f t="shared" si="355"/>
        <v>60514</v>
      </c>
      <c r="AD164" s="347">
        <f t="shared" si="355"/>
        <v>3040</v>
      </c>
      <c r="AE164" s="347">
        <f t="shared" si="355"/>
        <v>-72212</v>
      </c>
      <c r="AF164" s="347">
        <f t="shared" si="355"/>
        <v>0</v>
      </c>
      <c r="AG164" s="347">
        <f t="shared" si="355"/>
        <v>0</v>
      </c>
      <c r="AH164" s="347">
        <f t="shared" si="355"/>
        <v>0</v>
      </c>
      <c r="AI164" s="347">
        <f t="shared" si="355"/>
        <v>95464065</v>
      </c>
      <c r="AJ164" s="318">
        <f t="shared" si="355"/>
        <v>97074511</v>
      </c>
    </row>
    <row r="165" spans="1:37" s="79" customFormat="1" ht="12.75" thickBot="1" x14ac:dyDescent="0.25">
      <c r="A165" s="521" t="s">
        <v>112</v>
      </c>
      <c r="B165" s="522"/>
      <c r="C165" s="522"/>
      <c r="D165" s="523"/>
      <c r="E165" s="353">
        <f t="shared" ref="E165:AJ165" si="356">SUM(E8,E152)</f>
        <v>117230323</v>
      </c>
      <c r="F165" s="353">
        <f t="shared" si="356"/>
        <v>121637436</v>
      </c>
      <c r="G165" s="353">
        <f t="shared" si="356"/>
        <v>4407113</v>
      </c>
      <c r="H165" s="353">
        <f t="shared" si="356"/>
        <v>2290589</v>
      </c>
      <c r="I165" s="353">
        <f t="shared" si="356"/>
        <v>641366</v>
      </c>
      <c r="J165" s="353">
        <f t="shared" si="356"/>
        <v>-31836</v>
      </c>
      <c r="K165" s="353">
        <f t="shared" si="356"/>
        <v>2100</v>
      </c>
      <c r="L165" s="353">
        <f t="shared" si="356"/>
        <v>2100</v>
      </c>
      <c r="M165" s="353">
        <f t="shared" si="356"/>
        <v>1733917</v>
      </c>
      <c r="N165" s="353">
        <f t="shared" si="356"/>
        <v>-429250</v>
      </c>
      <c r="O165" s="353">
        <f t="shared" si="356"/>
        <v>403079</v>
      </c>
      <c r="P165" s="353">
        <f t="shared" si="356"/>
        <v>-204952</v>
      </c>
      <c r="Q165" s="353">
        <f t="shared" si="356"/>
        <v>0</v>
      </c>
      <c r="R165" s="353">
        <f t="shared" si="356"/>
        <v>0</v>
      </c>
      <c r="S165" s="353">
        <f t="shared" si="356"/>
        <v>0</v>
      </c>
      <c r="T165" s="353">
        <f t="shared" si="356"/>
        <v>-1336267</v>
      </c>
      <c r="U165" s="354">
        <f t="shared" si="356"/>
        <v>-1446073</v>
      </c>
      <c r="V165" s="354">
        <f t="shared" si="356"/>
        <v>-109806</v>
      </c>
      <c r="W165" s="354">
        <f t="shared" si="356"/>
        <v>-145223</v>
      </c>
      <c r="X165" s="354">
        <f t="shared" si="356"/>
        <v>0</v>
      </c>
      <c r="Y165" s="354">
        <f t="shared" si="356"/>
        <v>868</v>
      </c>
      <c r="Z165" s="354">
        <f t="shared" si="356"/>
        <v>-812</v>
      </c>
      <c r="AA165" s="354">
        <f t="shared" si="356"/>
        <v>45448</v>
      </c>
      <c r="AB165" s="354">
        <f t="shared" si="356"/>
        <v>-1429</v>
      </c>
      <c r="AC165" s="354">
        <f t="shared" si="356"/>
        <v>60514</v>
      </c>
      <c r="AD165" s="354">
        <f t="shared" si="356"/>
        <v>3040</v>
      </c>
      <c r="AE165" s="354">
        <f t="shared" si="356"/>
        <v>-72212</v>
      </c>
      <c r="AF165" s="354">
        <f t="shared" si="356"/>
        <v>0</v>
      </c>
      <c r="AG165" s="354">
        <f t="shared" si="356"/>
        <v>0</v>
      </c>
      <c r="AH165" s="354">
        <f t="shared" si="356"/>
        <v>0</v>
      </c>
      <c r="AI165" s="354">
        <f t="shared" si="356"/>
        <v>115894056</v>
      </c>
      <c r="AJ165" s="346">
        <f t="shared" si="356"/>
        <v>120191363</v>
      </c>
    </row>
    <row r="167" spans="1:37" hidden="1" x14ac:dyDescent="0.2"/>
    <row r="168" spans="1:37" hidden="1" x14ac:dyDescent="0.2">
      <c r="A168" s="514"/>
      <c r="B168" s="514"/>
      <c r="C168" s="514"/>
      <c r="D168" s="514"/>
      <c r="E168" s="514"/>
      <c r="F168" s="514"/>
      <c r="G168" s="514"/>
      <c r="H168" s="514"/>
      <c r="I168" s="514"/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  <c r="AA168" s="514"/>
      <c r="AB168" s="514"/>
      <c r="AC168" s="514"/>
      <c r="AD168" s="514"/>
      <c r="AE168" s="514"/>
      <c r="AF168" s="514"/>
      <c r="AG168" s="514"/>
      <c r="AH168" s="514"/>
      <c r="AI168" s="514"/>
      <c r="AJ168" s="514"/>
    </row>
    <row r="169" spans="1:37" hidden="1" x14ac:dyDescent="0.2">
      <c r="A169" s="514"/>
      <c r="B169" s="514"/>
      <c r="C169" s="514"/>
      <c r="D169" s="514"/>
      <c r="E169" s="514"/>
      <c r="F169" s="514"/>
      <c r="G169" s="514"/>
      <c r="H169" s="514"/>
      <c r="I169" s="514"/>
      <c r="J169" s="514"/>
      <c r="K169" s="514"/>
      <c r="L169" s="514"/>
      <c r="M169" s="514"/>
      <c r="N169" s="514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  <c r="AA169" s="514"/>
      <c r="AB169" s="514"/>
      <c r="AC169" s="514"/>
      <c r="AD169" s="514"/>
      <c r="AE169" s="514"/>
      <c r="AF169" s="514"/>
      <c r="AG169" s="514"/>
      <c r="AH169" s="514"/>
      <c r="AI169" s="514"/>
      <c r="AJ169" s="514"/>
    </row>
    <row r="170" spans="1:37" hidden="1" x14ac:dyDescent="0.2"/>
    <row r="171" spans="1:37" x14ac:dyDescent="0.2">
      <c r="AK171" s="180"/>
    </row>
  </sheetData>
  <sheetProtection algorithmName="SHA-512" hashValue="JqTJazDi6u1J9CFJ56hnV7PI5L5EyVuy1VTg+Et5+I28rKqmqP6GL3NTM51Ow14+JzweuhHv14xpOMTHlSeASA==" saltValue="1j3/FWDQEOVQBR4Q/GSSog==" spinCount="100000" sheet="1" objects="1" scenarios="1"/>
  <autoFilter ref="A7:AJ165">
    <filterColumn colId="0" showButton="0"/>
    <filterColumn colId="1" showButton="0"/>
  </autoFilter>
  <mergeCells count="99">
    <mergeCell ref="B38:C38"/>
    <mergeCell ref="B91:C91"/>
    <mergeCell ref="B92:C92"/>
    <mergeCell ref="B93:C93"/>
    <mergeCell ref="B94:C94"/>
    <mergeCell ref="B80:C80"/>
    <mergeCell ref="B82:C82"/>
    <mergeCell ref="B83:C83"/>
    <mergeCell ref="B84:C84"/>
    <mergeCell ref="B85:C85"/>
    <mergeCell ref="B81:C81"/>
    <mergeCell ref="B86:C86"/>
    <mergeCell ref="B87:C87"/>
    <mergeCell ref="B88:C88"/>
    <mergeCell ref="B89:C89"/>
    <mergeCell ref="B90:C90"/>
    <mergeCell ref="B99:C99"/>
    <mergeCell ref="B148:C148"/>
    <mergeCell ref="A152:D152"/>
    <mergeCell ref="B144:C144"/>
    <mergeCell ref="B95:C95"/>
    <mergeCell ref="A97:D97"/>
    <mergeCell ref="B131:C131"/>
    <mergeCell ref="A169:AJ169"/>
    <mergeCell ref="A154:C154"/>
    <mergeCell ref="B155:C155"/>
    <mergeCell ref="B156:C156"/>
    <mergeCell ref="A164:D164"/>
    <mergeCell ref="A165:D165"/>
    <mergeCell ref="A168:AJ168"/>
    <mergeCell ref="A6:C6"/>
    <mergeCell ref="A7:C7"/>
    <mergeCell ref="B21:C21"/>
    <mergeCell ref="B22:C22"/>
    <mergeCell ref="A8:D8"/>
    <mergeCell ref="A10:C10"/>
    <mergeCell ref="B11:C11"/>
    <mergeCell ref="B12:C12"/>
    <mergeCell ref="B19:C19"/>
    <mergeCell ref="B14:C14"/>
    <mergeCell ref="B20:C20"/>
    <mergeCell ref="A4:AJ4"/>
    <mergeCell ref="B68:C68"/>
    <mergeCell ref="A65:C65"/>
    <mergeCell ref="B44:C44"/>
    <mergeCell ref="A45:C45"/>
    <mergeCell ref="B46:C46"/>
    <mergeCell ref="B58:C58"/>
    <mergeCell ref="B59:C59"/>
    <mergeCell ref="A50:C50"/>
    <mergeCell ref="B51:C51"/>
    <mergeCell ref="B52:C52"/>
    <mergeCell ref="B53:C53"/>
    <mergeCell ref="B54:C54"/>
    <mergeCell ref="B37:C37"/>
    <mergeCell ref="B39:C39"/>
    <mergeCell ref="A35:C35"/>
    <mergeCell ref="B78:C78"/>
    <mergeCell ref="B79:C79"/>
    <mergeCell ref="B76:C76"/>
    <mergeCell ref="B69:C69"/>
    <mergeCell ref="B70:C70"/>
    <mergeCell ref="A71:C71"/>
    <mergeCell ref="B72:C72"/>
    <mergeCell ref="B77:C77"/>
    <mergeCell ref="A74:C74"/>
    <mergeCell ref="B75:C75"/>
    <mergeCell ref="B25:C25"/>
    <mergeCell ref="B23:C23"/>
    <mergeCell ref="B24:C24"/>
    <mergeCell ref="B13:C13"/>
    <mergeCell ref="A15:C15"/>
    <mergeCell ref="B16:C16"/>
    <mergeCell ref="B17:C17"/>
    <mergeCell ref="B18:C18"/>
    <mergeCell ref="A26:C26"/>
    <mergeCell ref="B36:C36"/>
    <mergeCell ref="B30:C30"/>
    <mergeCell ref="A32:C32"/>
    <mergeCell ref="B33:C33"/>
    <mergeCell ref="B34:C34"/>
    <mergeCell ref="B27:C27"/>
    <mergeCell ref="B28:C28"/>
    <mergeCell ref="B29:C29"/>
    <mergeCell ref="B40:C40"/>
    <mergeCell ref="B41:C41"/>
    <mergeCell ref="B42:C42"/>
    <mergeCell ref="B55:C55"/>
    <mergeCell ref="A56:C56"/>
    <mergeCell ref="B43:C43"/>
    <mergeCell ref="B47:C47"/>
    <mergeCell ref="B48:C48"/>
    <mergeCell ref="B63:C63"/>
    <mergeCell ref="B64:C64"/>
    <mergeCell ref="A67:C67"/>
    <mergeCell ref="B57:C57"/>
    <mergeCell ref="B60:C60"/>
    <mergeCell ref="B61:C61"/>
    <mergeCell ref="B62:C62"/>
  </mergeCells>
  <printOptions gridLines="1"/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Roman,Regular"&amp;8&amp;D; &amp;T&amp;R&amp;"Times New Roman,Regular"&amp;8&amp;P (&amp;N)</oddFooter>
    <firstHeader>&amp;R &amp;"Times New Roman,Regular"&amp;9 1.pielikums Jūrmalas pilsētas domes
2020.gada ___._________ saistošajiem
noteikumiem Nr. _____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01" bestFit="1" customWidth="1"/>
    <col min="2" max="2" width="14.5703125" style="101" customWidth="1"/>
    <col min="3" max="3" width="6.28515625" style="101" customWidth="1"/>
    <col min="4" max="4" width="14.42578125" style="101" customWidth="1"/>
    <col min="5" max="5" width="6.140625" style="101" bestFit="1" customWidth="1"/>
    <col min="6" max="16384" width="9.140625" style="101"/>
  </cols>
  <sheetData>
    <row r="1" spans="1:5" x14ac:dyDescent="0.25">
      <c r="D1" s="102"/>
    </row>
    <row r="2" spans="1:5" ht="17.25" x14ac:dyDescent="0.3">
      <c r="A2" s="103"/>
      <c r="B2" s="540" t="s">
        <v>1</v>
      </c>
      <c r="C2" s="540"/>
      <c r="D2" s="541" t="s">
        <v>3</v>
      </c>
      <c r="E2" s="541"/>
    </row>
    <row r="3" spans="1:5" ht="11.25" customHeight="1" x14ac:dyDescent="0.25">
      <c r="A3" s="103"/>
      <c r="B3" s="104"/>
      <c r="C3" s="104"/>
      <c r="D3" s="105"/>
    </row>
    <row r="4" spans="1:5" ht="17.25" x14ac:dyDescent="0.3">
      <c r="A4" s="106" t="s">
        <v>535</v>
      </c>
      <c r="B4" s="107">
        <f>Ienemumi!AJ97</f>
        <v>97073811</v>
      </c>
      <c r="C4" s="108" t="s">
        <v>443</v>
      </c>
      <c r="D4" s="107">
        <f>Ienemumi!AJ154</f>
        <v>700</v>
      </c>
      <c r="E4" s="108" t="s">
        <v>443</v>
      </c>
    </row>
    <row r="5" spans="1:5" ht="17.25" x14ac:dyDescent="0.3">
      <c r="A5" s="106" t="s">
        <v>536</v>
      </c>
      <c r="B5" s="112">
        <f>Izdevumi!E258-D5</f>
        <v>109203008</v>
      </c>
      <c r="C5" s="108" t="s">
        <v>443</v>
      </c>
      <c r="D5" s="107">
        <f>Izdevumi!BP258</f>
        <v>1838</v>
      </c>
      <c r="E5" s="108" t="s">
        <v>443</v>
      </c>
    </row>
    <row r="6" spans="1:5" ht="17.25" x14ac:dyDescent="0.3">
      <c r="A6" s="106"/>
      <c r="B6" s="107"/>
      <c r="C6" s="108"/>
      <c r="D6" s="107"/>
      <c r="E6" s="108"/>
    </row>
    <row r="7" spans="1:5" ht="17.25" x14ac:dyDescent="0.3">
      <c r="A7" s="111" t="s">
        <v>441</v>
      </c>
      <c r="B7" s="107">
        <f>B4-B5</f>
        <v>-12129197</v>
      </c>
      <c r="C7" s="108" t="s">
        <v>443</v>
      </c>
      <c r="D7" s="107">
        <f>D4-D5</f>
        <v>-1138</v>
      </c>
      <c r="E7" s="108" t="s">
        <v>443</v>
      </c>
    </row>
    <row r="8" spans="1:5" ht="17.25" x14ac:dyDescent="0.3">
      <c r="A8" s="106" t="s">
        <v>442</v>
      </c>
      <c r="B8" s="107">
        <f>B9-B10+B11-B12-B13</f>
        <v>12129197</v>
      </c>
      <c r="C8" s="108" t="s">
        <v>443</v>
      </c>
      <c r="D8" s="107">
        <f>D9-D10+D11-D12-D13</f>
        <v>1138</v>
      </c>
      <c r="E8" s="108" t="s">
        <v>443</v>
      </c>
    </row>
    <row r="9" spans="1:5" x14ac:dyDescent="0.25">
      <c r="A9" s="103" t="s">
        <v>444</v>
      </c>
      <c r="B9" s="109">
        <f>Ienemumi!AJ99</f>
        <v>17188315</v>
      </c>
      <c r="C9" s="110" t="s">
        <v>443</v>
      </c>
      <c r="D9" s="109">
        <f>Ienemumi!AJ158</f>
        <v>1138</v>
      </c>
      <c r="E9" s="110" t="s">
        <v>443</v>
      </c>
    </row>
    <row r="10" spans="1:5" x14ac:dyDescent="0.25">
      <c r="A10" s="103" t="s">
        <v>445</v>
      </c>
      <c r="B10" s="109">
        <f>Izdevumi!E259-D10</f>
        <v>4283438</v>
      </c>
      <c r="C10" s="110" t="s">
        <v>443</v>
      </c>
      <c r="D10" s="428">
        <f>Izdevumi!BP259</f>
        <v>0</v>
      </c>
      <c r="E10" s="429" t="s">
        <v>443</v>
      </c>
    </row>
    <row r="11" spans="1:5" x14ac:dyDescent="0.25">
      <c r="A11" s="103" t="s">
        <v>446</v>
      </c>
      <c r="B11" s="109">
        <f>Ienemumi!AJ131</f>
        <v>5927399</v>
      </c>
      <c r="C11" s="110" t="s">
        <v>443</v>
      </c>
      <c r="D11" s="109"/>
    </row>
    <row r="12" spans="1:5" x14ac:dyDescent="0.25">
      <c r="A12" s="103" t="s">
        <v>447</v>
      </c>
      <c r="B12" s="109">
        <f>Izdevumi!E291</f>
        <v>5428907</v>
      </c>
      <c r="C12" s="110" t="s">
        <v>443</v>
      </c>
      <c r="D12" s="109"/>
    </row>
    <row r="13" spans="1:5" x14ac:dyDescent="0.25">
      <c r="A13" s="103" t="s">
        <v>448</v>
      </c>
      <c r="B13" s="120">
        <f>Izdevumi!E312+Izdevumi!E317</f>
        <v>1274172</v>
      </c>
      <c r="C13" s="110" t="s">
        <v>443</v>
      </c>
      <c r="D13" s="109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Anna Pjatova</cp:lastModifiedBy>
  <cp:lastPrinted>2020-10-23T08:31:44Z</cp:lastPrinted>
  <dcterms:created xsi:type="dcterms:W3CDTF">2006-10-31T12:58:11Z</dcterms:created>
  <dcterms:modified xsi:type="dcterms:W3CDTF">2020-11-12T07:11:44Z</dcterms:modified>
</cp:coreProperties>
</file>