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atavie\x\SN41\"/>
    </mc:Choice>
  </mc:AlternateContent>
  <bookViews>
    <workbookView xWindow="0" yWindow="0" windowWidth="20490" windowHeight="7620"/>
  </bookViews>
  <sheets>
    <sheet name="4_piel_" sheetId="1" r:id="rId1"/>
  </sheets>
  <definedNames>
    <definedName name="_xlnm.Print_Titles" localSheetId="0">'4_piel_'!$5:$5</definedName>
  </definedNames>
  <calcPr calcId="162913"/>
</workbook>
</file>

<file path=xl/calcChain.xml><?xml version="1.0" encoding="utf-8"?>
<calcChain xmlns="http://schemas.openxmlformats.org/spreadsheetml/2006/main">
  <c r="D161" i="1" l="1"/>
  <c r="D163" i="1" s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O127" i="1"/>
  <c r="M127" i="1"/>
  <c r="L127" i="1"/>
  <c r="K127" i="1"/>
  <c r="J127" i="1"/>
  <c r="I127" i="1"/>
  <c r="H127" i="1"/>
  <c r="G127" i="1"/>
  <c r="F127" i="1"/>
  <c r="D127" i="1"/>
  <c r="Q126" i="1"/>
  <c r="O126" i="1"/>
  <c r="K126" i="1"/>
  <c r="J126" i="1"/>
  <c r="I126" i="1"/>
  <c r="H126" i="1"/>
  <c r="G126" i="1"/>
  <c r="F126" i="1"/>
  <c r="E126" i="1"/>
  <c r="R123" i="1"/>
  <c r="Q123" i="1"/>
  <c r="P123" i="1"/>
  <c r="P121" i="1" s="1"/>
  <c r="O123" i="1"/>
  <c r="O121" i="1" s="1"/>
  <c r="N123" i="1"/>
  <c r="M123" i="1"/>
  <c r="L123" i="1"/>
  <c r="K123" i="1"/>
  <c r="K121" i="1" s="1"/>
  <c r="J123" i="1"/>
  <c r="J121" i="1" s="1"/>
  <c r="I123" i="1"/>
  <c r="H123" i="1"/>
  <c r="G123" i="1"/>
  <c r="F123" i="1"/>
  <c r="F121" i="1" s="1"/>
  <c r="E123" i="1"/>
  <c r="E121" i="1" s="1"/>
  <c r="D123" i="1"/>
  <c r="R122" i="1"/>
  <c r="Q122" i="1"/>
  <c r="R121" i="1"/>
  <c r="Q121" i="1"/>
  <c r="N121" i="1"/>
  <c r="M121" i="1"/>
  <c r="L121" i="1"/>
  <c r="I121" i="1"/>
  <c r="H121" i="1"/>
  <c r="G121" i="1"/>
  <c r="D121" i="1"/>
  <c r="A121" i="1"/>
  <c r="R107" i="1"/>
  <c r="R9" i="1" s="1"/>
  <c r="Q107" i="1"/>
  <c r="R106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100" i="1"/>
  <c r="Q99" i="1"/>
  <c r="Q47" i="1" s="1"/>
  <c r="N91" i="1"/>
  <c r="M91" i="1"/>
  <c r="N90" i="1"/>
  <c r="M90" i="1"/>
  <c r="L90" i="1"/>
  <c r="L126" i="1" s="1"/>
  <c r="A88" i="1"/>
  <c r="A86" i="1"/>
  <c r="N83" i="1"/>
  <c r="N82" i="1"/>
  <c r="M82" i="1"/>
  <c r="M126" i="1" s="1"/>
  <c r="N80" i="1"/>
  <c r="E80" i="1"/>
  <c r="A80" i="1"/>
  <c r="E75" i="1"/>
  <c r="E127" i="1" s="1"/>
  <c r="E74" i="1"/>
  <c r="E9" i="1" s="1"/>
  <c r="E10" i="1" s="1"/>
  <c r="A74" i="1"/>
  <c r="E62" i="1"/>
  <c r="D62" i="1"/>
  <c r="D126" i="1" s="1"/>
  <c r="A62" i="1"/>
  <c r="A47" i="1" s="1"/>
  <c r="P53" i="1"/>
  <c r="P127" i="1" s="1"/>
  <c r="P52" i="1"/>
  <c r="R47" i="1"/>
  <c r="O47" i="1"/>
  <c r="K47" i="1"/>
  <c r="J47" i="1"/>
  <c r="I47" i="1"/>
  <c r="H47" i="1"/>
  <c r="G47" i="1"/>
  <c r="F47" i="1"/>
  <c r="E47" i="1"/>
  <c r="D47" i="1"/>
  <c r="Q46" i="1"/>
  <c r="O46" i="1"/>
  <c r="N46" i="1"/>
  <c r="I46" i="1"/>
  <c r="Q45" i="1"/>
  <c r="A45" i="1"/>
  <c r="M46" i="1" s="1"/>
  <c r="N44" i="1"/>
  <c r="O43" i="1"/>
  <c r="N43" i="1"/>
  <c r="M43" i="1"/>
  <c r="L43" i="1"/>
  <c r="K43" i="1"/>
  <c r="J43" i="1"/>
  <c r="I43" i="1"/>
  <c r="H43" i="1"/>
  <c r="G43" i="1"/>
  <c r="F43" i="1"/>
  <c r="A43" i="1"/>
  <c r="M44" i="1" s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D42" i="1"/>
  <c r="E42" i="1" s="1"/>
  <c r="R41" i="1"/>
  <c r="O40" i="1"/>
  <c r="N40" i="1"/>
  <c r="M40" i="1"/>
  <c r="L40" i="1"/>
  <c r="K40" i="1"/>
  <c r="J40" i="1"/>
  <c r="I40" i="1"/>
  <c r="H40" i="1"/>
  <c r="G40" i="1"/>
  <c r="F40" i="1"/>
  <c r="E40" i="1"/>
  <c r="O38" i="1"/>
  <c r="N38" i="1"/>
  <c r="M38" i="1"/>
  <c r="L38" i="1"/>
  <c r="K38" i="1"/>
  <c r="J38" i="1"/>
  <c r="I38" i="1"/>
  <c r="H38" i="1"/>
  <c r="G38" i="1"/>
  <c r="F38" i="1"/>
  <c r="D38" i="1"/>
  <c r="E38" i="1" s="1"/>
  <c r="F36" i="1"/>
  <c r="E36" i="1"/>
  <c r="M35" i="1"/>
  <c r="L35" i="1"/>
  <c r="N36" i="1" s="1"/>
  <c r="K35" i="1"/>
  <c r="J35" i="1"/>
  <c r="H35" i="1"/>
  <c r="G35" i="1"/>
  <c r="F35" i="1"/>
  <c r="K36" i="1" s="1"/>
  <c r="E35" i="1"/>
  <c r="L36" i="1" s="1"/>
  <c r="F34" i="1"/>
  <c r="D34" i="1"/>
  <c r="E34" i="1" s="1"/>
  <c r="I33" i="1"/>
  <c r="G33" i="1"/>
  <c r="F33" i="1"/>
  <c r="N32" i="1"/>
  <c r="M32" i="1"/>
  <c r="L32" i="1"/>
  <c r="K32" i="1"/>
  <c r="J32" i="1"/>
  <c r="I32" i="1"/>
  <c r="H32" i="1"/>
  <c r="G32" i="1"/>
  <c r="F32" i="1"/>
  <c r="E32" i="1"/>
  <c r="D32" i="1"/>
  <c r="N30" i="1"/>
  <c r="M30" i="1"/>
  <c r="L30" i="1"/>
  <c r="K30" i="1"/>
  <c r="J30" i="1"/>
  <c r="I30" i="1"/>
  <c r="H30" i="1"/>
  <c r="G30" i="1"/>
  <c r="F30" i="1"/>
  <c r="D30" i="1"/>
  <c r="E30" i="1" s="1"/>
  <c r="N28" i="1"/>
  <c r="M28" i="1"/>
  <c r="L28" i="1"/>
  <c r="K28" i="1"/>
  <c r="J28" i="1"/>
  <c r="I28" i="1"/>
  <c r="H28" i="1"/>
  <c r="G28" i="1"/>
  <c r="F28" i="1"/>
  <c r="E28" i="1"/>
  <c r="D28" i="1"/>
  <c r="N26" i="1"/>
  <c r="M26" i="1"/>
  <c r="L26" i="1"/>
  <c r="K26" i="1"/>
  <c r="J26" i="1"/>
  <c r="I26" i="1"/>
  <c r="H26" i="1"/>
  <c r="G26" i="1"/>
  <c r="F26" i="1"/>
  <c r="D26" i="1"/>
  <c r="E26" i="1" s="1"/>
  <c r="A23" i="1"/>
  <c r="N22" i="1"/>
  <c r="L22" i="1"/>
  <c r="K22" i="1"/>
  <c r="I22" i="1"/>
  <c r="H22" i="1"/>
  <c r="G22" i="1"/>
  <c r="F22" i="1"/>
  <c r="D22" i="1"/>
  <c r="E22" i="1" s="1"/>
  <c r="A21" i="1"/>
  <c r="O22" i="1" s="1"/>
  <c r="O20" i="1"/>
  <c r="N20" i="1"/>
  <c r="L20" i="1"/>
  <c r="K20" i="1"/>
  <c r="J20" i="1"/>
  <c r="I20" i="1"/>
  <c r="G20" i="1"/>
  <c r="F20" i="1"/>
  <c r="D20" i="1"/>
  <c r="E20" i="1" s="1"/>
  <c r="A19" i="1"/>
  <c r="H20" i="1" s="1"/>
  <c r="A17" i="1"/>
  <c r="R16" i="1"/>
  <c r="M16" i="1"/>
  <c r="I16" i="1"/>
  <c r="H16" i="1"/>
  <c r="G16" i="1"/>
  <c r="E16" i="1"/>
  <c r="D16" i="1"/>
  <c r="E15" i="1"/>
  <c r="Q16" i="1" s="1"/>
  <c r="A14" i="1"/>
  <c r="Q10" i="1"/>
  <c r="J10" i="1"/>
  <c r="I10" i="1"/>
  <c r="H10" i="1"/>
  <c r="G10" i="1"/>
  <c r="Q9" i="1"/>
  <c r="O9" i="1"/>
  <c r="O10" i="1" s="1"/>
  <c r="M9" i="1"/>
  <c r="M10" i="1" s="1"/>
  <c r="L9" i="1"/>
  <c r="L10" i="1" s="1"/>
  <c r="K9" i="1"/>
  <c r="K10" i="1" s="1"/>
  <c r="J9" i="1"/>
  <c r="I9" i="1"/>
  <c r="H9" i="1"/>
  <c r="G9" i="1"/>
  <c r="F9" i="1"/>
  <c r="F10" i="1" s="1"/>
  <c r="D9" i="1"/>
  <c r="D10" i="1" s="1"/>
  <c r="J34" i="1" l="1"/>
  <c r="I34" i="1"/>
  <c r="G34" i="1"/>
  <c r="H34" i="1"/>
  <c r="N34" i="1"/>
  <c r="M34" i="1"/>
  <c r="L34" i="1"/>
  <c r="N126" i="1"/>
  <c r="N47" i="1"/>
  <c r="N9" i="1"/>
  <c r="N10" i="1" s="1"/>
  <c r="R6" i="1"/>
  <c r="R11" i="1"/>
  <c r="R14" i="1"/>
  <c r="M6" i="1"/>
  <c r="M7" i="1" s="1"/>
  <c r="P47" i="1"/>
  <c r="P9" i="1"/>
  <c r="P10" i="1" s="1"/>
  <c r="P126" i="1"/>
  <c r="K18" i="1"/>
  <c r="J18" i="1"/>
  <c r="H18" i="1"/>
  <c r="G18" i="1"/>
  <c r="G6" i="1" s="1"/>
  <c r="G7" i="1" s="1"/>
  <c r="I18" i="1"/>
  <c r="I14" i="1" s="1"/>
  <c r="I124" i="1" s="1"/>
  <c r="F18" i="1"/>
  <c r="O18" i="1"/>
  <c r="N18" i="1"/>
  <c r="D18" i="1"/>
  <c r="L18" i="1"/>
  <c r="K34" i="1"/>
  <c r="N127" i="1"/>
  <c r="Q11" i="1"/>
  <c r="Q12" i="1" s="1"/>
  <c r="M18" i="1"/>
  <c r="L24" i="1"/>
  <c r="K24" i="1"/>
  <c r="I24" i="1"/>
  <c r="I6" i="1" s="1"/>
  <c r="I7" i="1" s="1"/>
  <c r="R24" i="1"/>
  <c r="H24" i="1"/>
  <c r="D24" i="1"/>
  <c r="E24" i="1" s="1"/>
  <c r="J24" i="1"/>
  <c r="Q24" i="1"/>
  <c r="Q6" i="1" s="1"/>
  <c r="Q7" i="1" s="1"/>
  <c r="G24" i="1"/>
  <c r="G11" i="1" s="1"/>
  <c r="G12" i="1" s="1"/>
  <c r="P24" i="1"/>
  <c r="F24" i="1"/>
  <c r="O24" i="1"/>
  <c r="N24" i="1"/>
  <c r="M36" i="1"/>
  <c r="M24" i="1"/>
  <c r="R100" i="1"/>
  <c r="E161" i="1"/>
  <c r="O44" i="1"/>
  <c r="E44" i="1"/>
  <c r="P46" i="1"/>
  <c r="K16" i="1"/>
  <c r="F44" i="1"/>
  <c r="L47" i="1"/>
  <c r="L16" i="1"/>
  <c r="M20" i="1"/>
  <c r="J22" i="1"/>
  <c r="G36" i="1"/>
  <c r="G44" i="1"/>
  <c r="H46" i="1"/>
  <c r="H11" i="1" s="1"/>
  <c r="H12" i="1" s="1"/>
  <c r="M47" i="1"/>
  <c r="Q127" i="1"/>
  <c r="H44" i="1"/>
  <c r="O16" i="1"/>
  <c r="M22" i="1"/>
  <c r="J36" i="1"/>
  <c r="K44" i="1"/>
  <c r="K46" i="1"/>
  <c r="H36" i="1"/>
  <c r="H6" i="1" s="1"/>
  <c r="H7" i="1" s="1"/>
  <c r="I11" i="1"/>
  <c r="I12" i="1" s="1"/>
  <c r="N16" i="1"/>
  <c r="I36" i="1"/>
  <c r="I44" i="1"/>
  <c r="J46" i="1"/>
  <c r="P16" i="1"/>
  <c r="L44" i="1"/>
  <c r="L46" i="1"/>
  <c r="F16" i="1"/>
  <c r="E18" i="1" l="1"/>
  <c r="D6" i="1"/>
  <c r="D7" i="1" s="1"/>
  <c r="D11" i="1"/>
  <c r="D12" i="1" s="1"/>
  <c r="D14" i="1"/>
  <c r="D124" i="1" s="1"/>
  <c r="F6" i="1"/>
  <c r="F7" i="1" s="1"/>
  <c r="F14" i="1"/>
  <c r="F124" i="1" s="1"/>
  <c r="F11" i="1"/>
  <c r="F12" i="1" s="1"/>
  <c r="H14" i="1"/>
  <c r="H124" i="1" s="1"/>
  <c r="M11" i="1"/>
  <c r="M12" i="1" s="1"/>
  <c r="M14" i="1"/>
  <c r="M124" i="1" s="1"/>
  <c r="P6" i="1"/>
  <c r="P7" i="1" s="1"/>
  <c r="P14" i="1"/>
  <c r="P124" i="1" s="1"/>
  <c r="P11" i="1"/>
  <c r="P12" i="1" s="1"/>
  <c r="R124" i="1"/>
  <c r="L14" i="1"/>
  <c r="L124" i="1" s="1"/>
  <c r="L11" i="1"/>
  <c r="L12" i="1" s="1"/>
  <c r="L6" i="1"/>
  <c r="L7" i="1" s="1"/>
  <c r="Q14" i="1"/>
  <c r="Q124" i="1" s="1"/>
  <c r="O6" i="1"/>
  <c r="O7" i="1" s="1"/>
  <c r="O14" i="1"/>
  <c r="O124" i="1" s="1"/>
  <c r="O11" i="1"/>
  <c r="O12" i="1" s="1"/>
  <c r="G14" i="1"/>
  <c r="G124" i="1" s="1"/>
  <c r="J6" i="1"/>
  <c r="J7" i="1" s="1"/>
  <c r="J14" i="1"/>
  <c r="J124" i="1" s="1"/>
  <c r="J11" i="1"/>
  <c r="J12" i="1" s="1"/>
  <c r="N6" i="1"/>
  <c r="N7" i="1" s="1"/>
  <c r="N11" i="1"/>
  <c r="N12" i="1" s="1"/>
  <c r="N14" i="1"/>
  <c r="N124" i="1" s="1"/>
  <c r="K14" i="1"/>
  <c r="K124" i="1" s="1"/>
  <c r="K11" i="1"/>
  <c r="K12" i="1" s="1"/>
  <c r="K6" i="1"/>
  <c r="K7" i="1" s="1"/>
  <c r="E14" i="1" l="1"/>
  <c r="E124" i="1" s="1"/>
  <c r="E11" i="1"/>
  <c r="E12" i="1" s="1"/>
  <c r="E6" i="1"/>
  <c r="E7" i="1" s="1"/>
</calcChain>
</file>

<file path=xl/sharedStrings.xml><?xml version="1.0" encoding="utf-8"?>
<sst xmlns="http://schemas.openxmlformats.org/spreadsheetml/2006/main" count="155" uniqueCount="103">
  <si>
    <t>4.pielikums Jūrmalas pilsētas domes
 2020.gada 22.decembra saistošajiem noteikumiem Nr.41 (protokols Nr.24, 6.punkts)</t>
  </si>
  <si>
    <t>Jūrmalas pilsētas pašvaldības saistības (EUR)</t>
  </si>
  <si>
    <t>Aizņēmuma apjoms</t>
  </si>
  <si>
    <t>Aizņēmuma paņemšanas gads</t>
  </si>
  <si>
    <t xml:space="preserve">Projekts/Aizņēmuma atdošanas maksajuma gads </t>
  </si>
  <si>
    <t>2035 un turpmākie gadi</t>
  </si>
  <si>
    <t xml:space="preserve"> KOPĀ SAISTĪBU APJOMS</t>
  </si>
  <si>
    <t>Saistību apjoms % no pamatbudžeta ieņēmumiem, t.sk.,</t>
  </si>
  <si>
    <t xml:space="preserve"> saistību apjoms bez galvojumiem</t>
  </si>
  <si>
    <t xml:space="preserve">           esošo saistību apjoms</t>
  </si>
  <si>
    <t xml:space="preserve">           plānoto saistību apjoms</t>
  </si>
  <si>
    <t xml:space="preserve">Pamatbudžeta ieņēmumi bez mērķdotācijas un iemaksām PFIF </t>
  </si>
  <si>
    <t>Plānojamās saistības</t>
  </si>
  <si>
    <t>2021-2022</t>
  </si>
  <si>
    <t>Daudzfunkcionāla dabas tūrisma centra jaunbūve un  meža parka  labiekārtojums Ķemeros (ITI SAM 5.6.2.)</t>
  </si>
  <si>
    <t>Kredīta % atmaksa 2,7%</t>
  </si>
  <si>
    <t xml:space="preserve">Dzudzfunkcionāla dabas tūrisma centra pakalpojuma attīstība un meža parka labiekārtojuma pilnveide Ķemeros </t>
  </si>
  <si>
    <t xml:space="preserve">Jūrmalas teātra ēkas energoefektivitātes paaugstināšana </t>
  </si>
  <si>
    <t>Pirmsskolas izglītības iestādes ''Bitīte'' pārbūve</t>
  </si>
  <si>
    <t>Lielupes pamatskolas pārbūve un sporta zāles piebūve</t>
  </si>
  <si>
    <t>Jaundubultu vidusskolas stadiona atjaunošana</t>
  </si>
  <si>
    <t>Mežmalas vidusskolas sporta zāles pārbūve</t>
  </si>
  <si>
    <t xml:space="preserve"> Mežmalas vidusskolas āra sporta stadiona atjaunošana</t>
  </si>
  <si>
    <t>Ceļu un to kompleksa investīciju projektu īstenošanai</t>
  </si>
  <si>
    <t>Pilsētas atpūtas parka un jauniešu mājas izveide Kauguros 
(ITI SAM 3.3.1.)</t>
  </si>
  <si>
    <t>Jūrmalas pilsētas vispārējās vidējās izglītības iestāžu infrastruktūras pilnveide
 (ITI SAM 8.1.2.)</t>
  </si>
  <si>
    <t>Kredīta % atmaksas 2.7%</t>
  </si>
  <si>
    <t>Lielupes radīto plūdu un krasta erozijas risku apdraudējumu novēršanas pasākumi Dubultos - Majoros - Dzintaros (SAM 5.1.1.)</t>
  </si>
  <si>
    <t>Infrastruktūras pilnveide sabiedrībā balstītu sociālo pakalpojumu nodrošināšanai Jūrmalā (ITI SAM 9.3.1.)</t>
  </si>
  <si>
    <t>Dzintaru koncertzāles attīstība</t>
  </si>
  <si>
    <t>Daudzfunkcionāla dabas tūrisma centra pastāvīgās ekspozīcijas izveide (1.kārta), centra teritorijas un funkcionālās meža parka teritorijas  labiekārtošana</t>
  </si>
  <si>
    <t>2021;…</t>
  </si>
  <si>
    <t xml:space="preserve">Plānojamās kredītsaistības, t.sk. Ceļu investīciju projektiem </t>
  </si>
  <si>
    <t>Aizņēmumu atmaksa</t>
  </si>
  <si>
    <t>2012, 2013</t>
  </si>
  <si>
    <t>Ēkas rekonstrukcijai ar funkcijas maiņu par sociālās aprūpes ēku ar publiski pieejamām telpām 1.stāvā Skolas ielā 44</t>
  </si>
  <si>
    <t>Kredīta % atmaksa 1,833%</t>
  </si>
  <si>
    <t>2012, 2013, 2014</t>
  </si>
  <si>
    <t>Aspazijas mājas Nr.002 restaurācija un ēkas Nr.001 rekonstrukcija, saglabājot funkciju muzejs Z.Meirovica prospektā 18/20, Jūrmalā</t>
  </si>
  <si>
    <t>Kredīta % atmaksa (2,7%)</t>
  </si>
  <si>
    <t>2012, 2013, 2014, 2015</t>
  </si>
  <si>
    <t>Dzintaru koncertzāles slēgtās zāles rekonstrukcija/restaurācija Turaidas ielā 1, Jūrmalā</t>
  </si>
  <si>
    <t>Kredīta % atmaksa 2,7%)</t>
  </si>
  <si>
    <t>2013, 2014</t>
  </si>
  <si>
    <t xml:space="preserve">Bērnudārza jaunbūvei Tukuma ielā 9, Jūrmalā </t>
  </si>
  <si>
    <t>Kredīta % atmaksa (2,7%01.14)</t>
  </si>
  <si>
    <t>2013, 2014, 2015</t>
  </si>
  <si>
    <t>Ēkas lit.002 rekontrukcijas par Mākslas skolu Strēlnieku prospektā 30 un Jāņa Poruka prospekta izbūve posmā no Friča Brīvzemnieka ielas līdz sporta zālei "Taurenītis" Jūrmalā</t>
  </si>
  <si>
    <t>2014, 2015</t>
  </si>
  <si>
    <t>Jūrmalas Valsts ģimnāzijas un sākumskolas "Atvase" daudzfunkcionālās sporta halles projektēšana un celtniecība (atmaksa 10 gados)</t>
  </si>
  <si>
    <t>Jūrmalas ūdenssaimniecības attīstības projekta II kārta (ar sadārdzinājumu) (atmaksa 10 gados)</t>
  </si>
  <si>
    <t>Kredīta atmaksa 2,7%</t>
  </si>
  <si>
    <t>Jūrmalas pilsētas tranzītielas P128 (Talsu šoseja/Kolkas iela) izbūve (atmaksa 10 gados)</t>
  </si>
  <si>
    <t>Ielu asfalta seguma kapitālais remonts (atmaksa 10 gados)</t>
  </si>
  <si>
    <t>2016;2017;
2018</t>
  </si>
  <si>
    <t>Dubultu kultūras un izglītības centra Strēlnieku prospektā 30, Jūrmalā būvniecība  (atmaksa 10 gados)</t>
  </si>
  <si>
    <t>Ceļu un to kompleksa investīciju projektu īstenošanai (2016)</t>
  </si>
  <si>
    <t>Ceļu un to kompleksa investīciju projektu īstenošanai (2017)</t>
  </si>
  <si>
    <t>Ceļu un to kompleksa investīciju projektu īstenošanai (2018)</t>
  </si>
  <si>
    <t>Jaunu dabas un kultūras tūrisma pakalpojumu radīšana Rīgas jūras līča rietumu piekrastē - Mellužu estrādes ēkas restaurācija un bāra ēkas pārbūve, teritorijas labiekārtojums</t>
  </si>
  <si>
    <t>2018-2019</t>
  </si>
  <si>
    <t>Administratīvās ēkas pārbūve sociālo funkciju nodrošināšanai</t>
  </si>
  <si>
    <t>Jūrmalas pilsētas Jaundubultu vidusskolas ēkas energoefektivitātes paaugstināšana (ITI SAM 4.2.2.)</t>
  </si>
  <si>
    <t>2019-2021</t>
  </si>
  <si>
    <t>Jūrmalas pilsētas Kauguru vidusskolas ēkas energoefektivitātes paaugstināšana 
(ITI SAM 4.2.2.)</t>
  </si>
  <si>
    <t>Jūrmalas pilsētas vispārējās vidējās izglītības iestāžu infrastruktūras pilnveide
 (ITI SAM 8.1.2.) (Kauguru vidusskola)</t>
  </si>
  <si>
    <t>2019-2020</t>
  </si>
  <si>
    <t>Jūrmalas Sporta skolas peldbaseinu ēkas pārbūve un energoefektivitātes paaugstināšana (ITI SAM 4.2.2)</t>
  </si>
  <si>
    <t>Jūrmalas ūdenstūrisma pakalpojuma infrastruktūras attīstība atbilstoši pilsētas ekonomiskajai specializācijai (ITI SAM 3.3.1.)</t>
  </si>
  <si>
    <t>Jūrmalas pilsētas Ķemeru pamatskolas ēkas pārbūve un energoefektivitātes paaugstināšana (ITI SAM 4.2.2.)</t>
  </si>
  <si>
    <t>Ķemeru parka pārbūve un restaurācija
 (ITI SAM 5.6.2.)</t>
  </si>
  <si>
    <t>Teātra ielas posma no Lienes ielas līdz Jomas ielai infrastruktūras atjaunošana un autostāvvietu izbūve, Jūrmalā</t>
  </si>
  <si>
    <t>Rēzeknes pulka ielas pārbūve posmā no Viestura ielas līdz Aizputes ielai, Jūrmalā</t>
  </si>
  <si>
    <t>2020-2021</t>
  </si>
  <si>
    <t>Mežsargu ielas seguma nomaiņa no grants seguma uz asfaltbetona segumu posmā no dzelzceļa līdz Vasaras ielai, Jūrmalā</t>
  </si>
  <si>
    <t>Jūrmalas ūdenssaimniecības attīstības projekta trešā kārta (atmaksa 20 gados)</t>
  </si>
  <si>
    <t>Galvojumi un ilgtermiņa saistības</t>
  </si>
  <si>
    <t>2008, 2009</t>
  </si>
  <si>
    <t>Galvojums projektā "Piejūra" (20 gadi)</t>
  </si>
  <si>
    <t>Studējošā kredīta galvojums Konstantīnam Ņedošivinam</t>
  </si>
  <si>
    <t>Kredīta %atmaksa, 6 mēn. euribor</t>
  </si>
  <si>
    <t>Studiju kredīta galvojums Konstantīnam Ņedošivinam</t>
  </si>
  <si>
    <t xml:space="preserve">Kredīta %atmaksa, </t>
  </si>
  <si>
    <t>2020-2039</t>
  </si>
  <si>
    <t>Galvojums SIA "Jūrmalas ūdens" aizņēmumam projekta "Jūrmalas ūdenssaimniecības attīstības projekts IV kārta" īstenošanai</t>
  </si>
  <si>
    <t>Ilgtermiņa saistības</t>
  </si>
  <si>
    <t>Pašvaldības īpašuma apdrošināšana</t>
  </si>
  <si>
    <t>Starptautiskās volejbola federācijas 3* čempionāta pludmales volejbolā nodrošinājums</t>
  </si>
  <si>
    <t>Projektu konkursa mērķprogrammas "Profesionālās mākslas pieejamība Jūrmalā ietvaros projekta "Klasiskās mūzikas festivāla "Rīga Jūrmala" līdzfinansējuma nodrošinājusm</t>
  </si>
  <si>
    <t>Projektu konkursa mērķprogrammas "Profesionālās mākslas pieejamība Jūrmalā ietvaros projekta "Festivāls Summertime - aicina Inese Galante" līdzfinansējuma nodrošinājums</t>
  </si>
  <si>
    <t>Projektu konkursa mērķprogrammas "Profesionālās mākslas pieejamība Jūrmalā ietvaros projekta "13.starptautiskais ērģeļmūzikas festivāls "Vox angelica" līdzfinansējuma nodrošinājusm</t>
  </si>
  <si>
    <t>Pakalpojumu līguma ar SIA "L TIPS AGENCY" nodrošinājums</t>
  </si>
  <si>
    <t>Pakalpojumu līguma ar SIA "deBusul Music" nodrošinājums</t>
  </si>
  <si>
    <t>Pakalpojumu līguma ar SIA "IDEJU INSTITŪTS" nodrošinājums</t>
  </si>
  <si>
    <t>Līgums ar SIA "PROMARK CONSTRUCTION" par robežzīmes izgatavošanu un uzstādīšanu</t>
  </si>
  <si>
    <t>Deju festivāls "Baltijas uzlēcošās zvaigznes"</t>
  </si>
  <si>
    <t>Ceļu fonda izlietojuma programma, aktivitāte "Ielu, ceļu un ceļu inženierbūvju uzturēšana, atjaunošana, pārbūve un izbūve" nākamā gada saistības</t>
  </si>
  <si>
    <t>Līgums ar SIA "Baltic choir association" par "5.starptautisko Baltijas jūras koru konkursu un Jasmīnas kora koncertu" norisi</t>
  </si>
  <si>
    <t>Plānojamie galvojumi</t>
  </si>
  <si>
    <t>2020-2022</t>
  </si>
  <si>
    <t>Saistības pavisam kopā:</t>
  </si>
  <si>
    <t>Atmaksājamā pamatsumma</t>
  </si>
  <si>
    <t>Kredītprocenti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</si>
</sst>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  <charset val="186"/>
    </font>
    <font>
      <b/>
      <sz val="18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05">
    <xf numFmtId="0" fontId="0" fillId="0" borderId="0" xfId="0"/>
    <xf numFmtId="0" fontId="2" fillId="0" borderId="0" xfId="1" applyFont="1" applyFill="1" applyAlignment="1"/>
    <xf numFmtId="0" fontId="0" fillId="0" borderId="0" xfId="4" applyFont="1" applyFill="1" applyAlignment="1"/>
    <xf numFmtId="0" fontId="4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right" wrapText="1"/>
    </xf>
    <xf numFmtId="3" fontId="5" fillId="0" borderId="1" xfId="2" applyNumberFormat="1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0" fillId="0" borderId="1" xfId="4" applyFont="1" applyFill="1" applyBorder="1" applyAlignment="1"/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horizontal="center" vertical="center" wrapText="1"/>
    </xf>
    <xf numFmtId="3" fontId="7" fillId="0" borderId="8" xfId="2" applyNumberFormat="1" applyFont="1" applyFill="1" applyBorder="1" applyAlignment="1">
      <alignment wrapText="1"/>
    </xf>
    <xf numFmtId="3" fontId="7" fillId="0" borderId="9" xfId="2" applyNumberFormat="1" applyFont="1" applyFill="1" applyBorder="1" applyAlignment="1">
      <alignment wrapText="1"/>
    </xf>
    <xf numFmtId="0" fontId="6" fillId="2" borderId="10" xfId="2" applyFont="1" applyFill="1" applyBorder="1" applyAlignment="1">
      <alignment vertical="center" wrapText="1"/>
    </xf>
    <xf numFmtId="0" fontId="6" fillId="2" borderId="11" xfId="2" applyFont="1" applyFill="1" applyBorder="1" applyAlignment="1">
      <alignment vertical="center" wrapText="1"/>
    </xf>
    <xf numFmtId="0" fontId="6" fillId="2" borderId="11" xfId="2" applyFont="1" applyFill="1" applyBorder="1" applyAlignment="1">
      <alignment horizontal="left" vertical="center" wrapText="1"/>
    </xf>
    <xf numFmtId="10" fontId="6" fillId="2" borderId="11" xfId="2" applyNumberFormat="1" applyFont="1" applyFill="1" applyBorder="1" applyAlignment="1">
      <alignment wrapText="1"/>
    </xf>
    <xf numFmtId="10" fontId="6" fillId="2" borderId="12" xfId="2" applyNumberFormat="1" applyFont="1" applyFill="1" applyBorder="1" applyAlignment="1">
      <alignment wrapText="1"/>
    </xf>
    <xf numFmtId="3" fontId="8" fillId="2" borderId="9" xfId="4" applyNumberFormat="1" applyFont="1" applyFill="1" applyBorder="1" applyAlignment="1"/>
    <xf numFmtId="0" fontId="6" fillId="0" borderId="10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vertical="center" wrapText="1"/>
    </xf>
    <xf numFmtId="3" fontId="7" fillId="0" borderId="12" xfId="2" applyNumberFormat="1" applyFont="1" applyFill="1" applyBorder="1" applyAlignment="1">
      <alignment wrapText="1"/>
    </xf>
    <xf numFmtId="3" fontId="7" fillId="0" borderId="11" xfId="2" applyNumberFormat="1" applyFont="1" applyFill="1" applyBorder="1" applyAlignment="1">
      <alignment wrapText="1"/>
    </xf>
    <xf numFmtId="3" fontId="8" fillId="0" borderId="11" xfId="2" applyNumberFormat="1" applyFont="1" applyFill="1" applyBorder="1" applyAlignment="1">
      <alignment wrapText="1"/>
    </xf>
    <xf numFmtId="3" fontId="8" fillId="0" borderId="12" xfId="2" applyNumberFormat="1" applyFont="1" applyFill="1" applyBorder="1" applyAlignment="1">
      <alignment wrapText="1"/>
    </xf>
    <xf numFmtId="3" fontId="8" fillId="0" borderId="13" xfId="4" applyNumberFormat="1" applyFont="1" applyFill="1" applyBorder="1" applyAlignment="1"/>
    <xf numFmtId="10" fontId="9" fillId="0" borderId="11" xfId="2" applyNumberFormat="1" applyFont="1" applyFill="1" applyBorder="1" applyAlignment="1">
      <alignment wrapText="1"/>
    </xf>
    <xf numFmtId="10" fontId="9" fillId="0" borderId="12" xfId="2" applyNumberFormat="1" applyFont="1" applyFill="1" applyBorder="1" applyAlignment="1">
      <alignment wrapText="1"/>
    </xf>
    <xf numFmtId="0" fontId="6" fillId="0" borderId="14" xfId="2" applyFont="1" applyFill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0" fontId="6" fillId="0" borderId="15" xfId="2" applyFont="1" applyFill="1" applyBorder="1" applyAlignment="1">
      <alignment horizontal="center" vertical="center" wrapText="1"/>
    </xf>
    <xf numFmtId="3" fontId="7" fillId="0" borderId="16" xfId="2" applyNumberFormat="1" applyFont="1" applyFill="1" applyBorder="1" applyAlignment="1">
      <alignment wrapText="1"/>
    </xf>
    <xf numFmtId="3" fontId="7" fillId="0" borderId="17" xfId="2" applyNumberFormat="1" applyFont="1" applyFill="1" applyBorder="1" applyAlignment="1">
      <alignment wrapText="1"/>
    </xf>
    <xf numFmtId="3" fontId="6" fillId="2" borderId="18" xfId="2" applyNumberFormat="1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3" fontId="6" fillId="2" borderId="19" xfId="2" applyNumberFormat="1" applyFont="1" applyFill="1" applyBorder="1" applyAlignment="1">
      <alignment horizontal="right" vertical="center" wrapText="1"/>
    </xf>
    <xf numFmtId="3" fontId="6" fillId="2" borderId="20" xfId="2" applyNumberFormat="1" applyFont="1" applyFill="1" applyBorder="1" applyAlignment="1">
      <alignment horizontal="right" vertical="center" wrapText="1"/>
    </xf>
    <xf numFmtId="3" fontId="6" fillId="2" borderId="21" xfId="2" applyNumberFormat="1" applyFont="1" applyFill="1" applyBorder="1" applyAlignment="1">
      <alignment horizontal="right" vertical="center" wrapText="1"/>
    </xf>
    <xf numFmtId="3" fontId="6" fillId="0" borderId="2" xfId="2" applyNumberFormat="1" applyFont="1" applyFill="1" applyBorder="1" applyAlignment="1">
      <alignment horizontal="center" wrapText="1"/>
    </xf>
    <xf numFmtId="0" fontId="6" fillId="0" borderId="3" xfId="2" applyFont="1" applyFill="1" applyBorder="1" applyAlignment="1">
      <alignment horizontal="center" wrapText="1"/>
    </xf>
    <xf numFmtId="0" fontId="6" fillId="0" borderId="22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wrapText="1"/>
    </xf>
    <xf numFmtId="3" fontId="8" fillId="0" borderId="3" xfId="2" applyNumberFormat="1" applyFont="1" applyFill="1" applyBorder="1" applyAlignment="1">
      <alignment wrapText="1"/>
    </xf>
    <xf numFmtId="3" fontId="8" fillId="0" borderId="23" xfId="2" applyNumberFormat="1" applyFont="1" applyFill="1" applyBorder="1" applyAlignment="1">
      <alignment wrapText="1"/>
    </xf>
    <xf numFmtId="3" fontId="6" fillId="0" borderId="24" xfId="2" applyNumberFormat="1" applyFont="1" applyFill="1" applyBorder="1" applyAlignment="1">
      <alignment horizontal="center" wrapText="1"/>
    </xf>
    <xf numFmtId="0" fontId="6" fillId="0" borderId="25" xfId="2" applyFont="1" applyFill="1" applyBorder="1" applyAlignment="1">
      <alignment horizontal="center" wrapText="1"/>
    </xf>
    <xf numFmtId="0" fontId="8" fillId="0" borderId="16" xfId="2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right" wrapText="1"/>
    </xf>
    <xf numFmtId="3" fontId="8" fillId="0" borderId="27" xfId="2" applyNumberFormat="1" applyFont="1" applyFill="1" applyBorder="1" applyAlignment="1">
      <alignment horizontal="right" wrapText="1"/>
    </xf>
    <xf numFmtId="3" fontId="8" fillId="0" borderId="25" xfId="2" applyNumberFormat="1" applyFont="1" applyFill="1" applyBorder="1" applyAlignment="1">
      <alignment horizontal="right" wrapText="1"/>
    </xf>
    <xf numFmtId="3" fontId="8" fillId="0" borderId="25" xfId="2" applyNumberFormat="1" applyFont="1" applyFill="1" applyBorder="1" applyAlignment="1">
      <alignment wrapText="1"/>
    </xf>
    <xf numFmtId="3" fontId="8" fillId="0" borderId="27" xfId="2" applyNumberFormat="1" applyFont="1" applyFill="1" applyBorder="1" applyAlignment="1">
      <alignment wrapText="1"/>
    </xf>
    <xf numFmtId="3" fontId="8" fillId="0" borderId="28" xfId="2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right" wrapText="1"/>
    </xf>
    <xf numFmtId="3" fontId="8" fillId="0" borderId="3" xfId="2" applyNumberFormat="1" applyFont="1" applyFill="1" applyBorder="1" applyAlignment="1">
      <alignment horizontal="right" wrapText="1"/>
    </xf>
    <xf numFmtId="3" fontId="8" fillId="0" borderId="6" xfId="2" applyNumberFormat="1" applyFont="1" applyFill="1" applyBorder="1" applyAlignment="1">
      <alignment wrapText="1"/>
    </xf>
    <xf numFmtId="3" fontId="6" fillId="0" borderId="14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8" fillId="0" borderId="15" xfId="2" applyFont="1" applyFill="1" applyBorder="1" applyAlignment="1">
      <alignment horizontal="center" vertical="center" wrapText="1"/>
    </xf>
    <xf numFmtId="3" fontId="8" fillId="0" borderId="15" xfId="2" applyNumberFormat="1" applyFont="1" applyFill="1" applyBorder="1" applyAlignment="1">
      <alignment horizontal="right" wrapText="1"/>
    </xf>
    <xf numFmtId="3" fontId="8" fillId="0" borderId="15" xfId="2" applyNumberFormat="1" applyFont="1" applyFill="1" applyBorder="1" applyAlignment="1">
      <alignment wrapText="1"/>
    </xf>
    <xf numFmtId="3" fontId="8" fillId="0" borderId="26" xfId="2" applyNumberFormat="1" applyFont="1" applyFill="1" applyBorder="1" applyAlignment="1">
      <alignment wrapText="1"/>
    </xf>
    <xf numFmtId="3" fontId="6" fillId="0" borderId="29" xfId="2" applyNumberFormat="1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3" fontId="8" fillId="0" borderId="30" xfId="2" applyNumberFormat="1" applyFont="1" applyFill="1" applyBorder="1" applyAlignment="1">
      <alignment horizontal="right" wrapText="1"/>
    </xf>
    <xf numFmtId="3" fontId="8" fillId="0" borderId="16" xfId="2" applyNumberFormat="1" applyFont="1" applyFill="1" applyBorder="1" applyAlignment="1">
      <alignment wrapText="1"/>
    </xf>
    <xf numFmtId="3" fontId="8" fillId="0" borderId="30" xfId="2" applyNumberFormat="1" applyFont="1" applyFill="1" applyBorder="1" applyAlignment="1">
      <alignment wrapText="1"/>
    </xf>
    <xf numFmtId="3" fontId="8" fillId="0" borderId="16" xfId="2" applyNumberFormat="1" applyFont="1" applyFill="1" applyBorder="1" applyAlignment="1">
      <alignment horizontal="right" wrapText="1"/>
    </xf>
    <xf numFmtId="3" fontId="8" fillId="0" borderId="17" xfId="2" applyNumberFormat="1" applyFont="1" applyFill="1" applyBorder="1" applyAlignment="1">
      <alignment wrapText="1"/>
    </xf>
    <xf numFmtId="3" fontId="6" fillId="0" borderId="31" xfId="2" applyNumberFormat="1" applyFont="1" applyFill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3" fontId="8" fillId="0" borderId="32" xfId="2" applyNumberFormat="1" applyFont="1" applyFill="1" applyBorder="1" applyAlignment="1">
      <alignment wrapText="1"/>
    </xf>
    <xf numFmtId="3" fontId="8" fillId="0" borderId="22" xfId="2" applyNumberFormat="1" applyFont="1" applyFill="1" applyBorder="1" applyAlignment="1">
      <alignment wrapText="1"/>
    </xf>
    <xf numFmtId="3" fontId="10" fillId="0" borderId="30" xfId="2" applyNumberFormat="1" applyFont="1" applyFill="1" applyBorder="1" applyAlignment="1">
      <alignment wrapText="1"/>
    </xf>
    <xf numFmtId="3" fontId="8" fillId="0" borderId="17" xfId="4" applyNumberFormat="1" applyFont="1" applyFill="1" applyBorder="1" applyAlignment="1"/>
    <xf numFmtId="0" fontId="8" fillId="0" borderId="3" xfId="1" applyFont="1" applyFill="1" applyBorder="1" applyAlignment="1"/>
    <xf numFmtId="3" fontId="8" fillId="0" borderId="6" xfId="4" applyNumberFormat="1" applyFont="1" applyFill="1" applyBorder="1" applyAlignment="1"/>
    <xf numFmtId="3" fontId="6" fillId="0" borderId="33" xfId="2" applyNumberFormat="1" applyFont="1" applyFill="1" applyBorder="1" applyAlignment="1">
      <alignment horizontal="center" wrapText="1"/>
    </xf>
    <xf numFmtId="0" fontId="6" fillId="0" borderId="34" xfId="2" applyFont="1" applyFill="1" applyBorder="1" applyAlignment="1">
      <alignment horizontal="center" wrapText="1"/>
    </xf>
    <xf numFmtId="0" fontId="8" fillId="0" borderId="34" xfId="2" applyFont="1" applyFill="1" applyBorder="1" applyAlignment="1">
      <alignment horizontal="center" vertical="center" wrapText="1"/>
    </xf>
    <xf numFmtId="3" fontId="8" fillId="0" borderId="34" xfId="2" applyNumberFormat="1" applyFont="1" applyFill="1" applyBorder="1" applyAlignment="1">
      <alignment wrapText="1"/>
    </xf>
    <xf numFmtId="3" fontId="8" fillId="0" borderId="35" xfId="2" applyNumberFormat="1" applyFont="1" applyFill="1" applyBorder="1" applyAlignment="1">
      <alignment wrapText="1"/>
    </xf>
    <xf numFmtId="0" fontId="2" fillId="0" borderId="0" xfId="2" applyFont="1" applyFill="1" applyAlignment="1">
      <alignment wrapText="1"/>
    </xf>
    <xf numFmtId="0" fontId="6" fillId="0" borderId="16" xfId="2" applyFont="1" applyFill="1" applyBorder="1" applyAlignment="1">
      <alignment horizontal="center" vertical="center" wrapText="1"/>
    </xf>
    <xf numFmtId="3" fontId="6" fillId="2" borderId="18" xfId="2" applyNumberFormat="1" applyFont="1" applyFill="1" applyBorder="1" applyAlignment="1">
      <alignment horizontal="center" wrapText="1"/>
    </xf>
    <xf numFmtId="0" fontId="6" fillId="2" borderId="34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35" xfId="2" applyNumberFormat="1" applyFont="1" applyFill="1" applyBorder="1" applyAlignment="1">
      <alignment wrapText="1"/>
    </xf>
    <xf numFmtId="3" fontId="6" fillId="2" borderId="36" xfId="2" applyNumberFormat="1" applyFont="1" applyFill="1" applyBorder="1" applyAlignment="1">
      <alignment wrapText="1"/>
    </xf>
    <xf numFmtId="3" fontId="6" fillId="3" borderId="2" xfId="2" applyNumberFormat="1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3" fontId="8" fillId="3" borderId="3" xfId="2" applyNumberFormat="1" applyFont="1" applyFill="1" applyBorder="1" applyAlignment="1">
      <alignment wrapText="1"/>
    </xf>
    <xf numFmtId="3" fontId="8" fillId="3" borderId="5" xfId="2" applyNumberFormat="1" applyFont="1" applyFill="1" applyBorder="1" applyAlignment="1">
      <alignment wrapText="1"/>
    </xf>
    <xf numFmtId="3" fontId="6" fillId="3" borderId="33" xfId="2" applyNumberFormat="1" applyFont="1" applyFill="1" applyBorder="1" applyAlignment="1">
      <alignment horizontal="center" wrapText="1"/>
    </xf>
    <xf numFmtId="0" fontId="6" fillId="3" borderId="34" xfId="2" applyFont="1" applyFill="1" applyBorder="1" applyAlignment="1">
      <alignment horizontal="center" vertical="center" wrapText="1"/>
    </xf>
    <xf numFmtId="0" fontId="8" fillId="3" borderId="34" xfId="2" applyFont="1" applyFill="1" applyBorder="1" applyAlignment="1">
      <alignment horizontal="center" wrapText="1"/>
    </xf>
    <xf numFmtId="3" fontId="8" fillId="3" borderId="35" xfId="2" applyNumberFormat="1" applyFont="1" applyFill="1" applyBorder="1" applyAlignment="1">
      <alignment wrapText="1"/>
    </xf>
    <xf numFmtId="3" fontId="8" fillId="3" borderId="34" xfId="2" applyNumberFormat="1" applyFont="1" applyFill="1" applyBorder="1" applyAlignment="1">
      <alignment wrapText="1"/>
    </xf>
    <xf numFmtId="3" fontId="8" fillId="0" borderId="13" xfId="2" applyNumberFormat="1" applyFont="1" applyFill="1" applyBorder="1" applyAlignment="1">
      <alignment wrapText="1"/>
    </xf>
    <xf numFmtId="0" fontId="8" fillId="0" borderId="34" xfId="2" applyFont="1" applyFill="1" applyBorder="1" applyAlignment="1">
      <alignment horizontal="center" wrapText="1"/>
    </xf>
    <xf numFmtId="0" fontId="6" fillId="3" borderId="34" xfId="2" applyFont="1" applyFill="1" applyBorder="1" applyAlignment="1">
      <alignment horizontal="center" wrapText="1"/>
    </xf>
    <xf numFmtId="0" fontId="8" fillId="3" borderId="16" xfId="2" applyFont="1" applyFill="1" applyBorder="1" applyAlignment="1">
      <alignment horizontal="center" wrapText="1"/>
    </xf>
    <xf numFmtId="3" fontId="8" fillId="3" borderId="6" xfId="2" applyNumberFormat="1" applyFont="1" applyFill="1" applyBorder="1" applyAlignment="1">
      <alignment wrapText="1"/>
    </xf>
    <xf numFmtId="0" fontId="2" fillId="3" borderId="0" xfId="2" applyFont="1" applyFill="1" applyAlignment="1">
      <alignment wrapText="1"/>
    </xf>
    <xf numFmtId="3" fontId="8" fillId="3" borderId="17" xfId="2" applyNumberFormat="1" applyFont="1" applyFill="1" applyBorder="1" applyAlignment="1">
      <alignment wrapText="1"/>
    </xf>
    <xf numFmtId="3" fontId="8" fillId="3" borderId="25" xfId="2" applyNumberFormat="1" applyFont="1" applyFill="1" applyBorder="1" applyAlignment="1">
      <alignment wrapText="1"/>
    </xf>
    <xf numFmtId="3" fontId="8" fillId="3" borderId="27" xfId="2" applyNumberFormat="1" applyFont="1" applyFill="1" applyBorder="1" applyAlignment="1">
      <alignment wrapText="1"/>
    </xf>
    <xf numFmtId="3" fontId="8" fillId="3" borderId="16" xfId="2" applyNumberFormat="1" applyFont="1" applyFill="1" applyBorder="1" applyAlignment="1">
      <alignment wrapText="1"/>
    </xf>
    <xf numFmtId="3" fontId="8" fillId="3" borderId="30" xfId="2" applyNumberFormat="1" applyFont="1" applyFill="1" applyBorder="1" applyAlignment="1">
      <alignment wrapText="1"/>
    </xf>
    <xf numFmtId="3" fontId="8" fillId="3" borderId="13" xfId="2" applyNumberFormat="1" applyFont="1" applyFill="1" applyBorder="1" applyAlignment="1">
      <alignment wrapText="1"/>
    </xf>
    <xf numFmtId="0" fontId="6" fillId="0" borderId="37" xfId="2" applyFont="1" applyFill="1" applyBorder="1" applyAlignment="1">
      <alignment horizontal="center" wrapText="1"/>
    </xf>
    <xf numFmtId="0" fontId="8" fillId="0" borderId="38" xfId="2" applyFont="1" applyFill="1" applyBorder="1" applyAlignment="1">
      <alignment horizontal="center" wrapText="1"/>
    </xf>
    <xf numFmtId="0" fontId="8" fillId="0" borderId="16" xfId="2" applyFont="1" applyFill="1" applyBorder="1" applyAlignment="1">
      <alignment horizontal="center" wrapText="1"/>
    </xf>
    <xf numFmtId="0" fontId="8" fillId="0" borderId="25" xfId="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3" fontId="8" fillId="0" borderId="3" xfId="1" applyNumberFormat="1" applyFont="1" applyFill="1" applyBorder="1" applyAlignment="1"/>
    <xf numFmtId="3" fontId="8" fillId="0" borderId="5" xfId="1" applyNumberFormat="1" applyFont="1" applyFill="1" applyBorder="1" applyAlignment="1"/>
    <xf numFmtId="3" fontId="6" fillId="0" borderId="29" xfId="2" applyNumberFormat="1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3" fontId="6" fillId="0" borderId="33" xfId="2" applyNumberFormat="1" applyFont="1" applyFill="1" applyBorder="1" applyAlignment="1">
      <alignment horizontal="center" vertical="center" wrapText="1"/>
    </xf>
    <xf numFmtId="3" fontId="6" fillId="0" borderId="24" xfId="2" applyNumberFormat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right" wrapText="1"/>
    </xf>
    <xf numFmtId="3" fontId="6" fillId="0" borderId="7" xfId="2" applyNumberFormat="1" applyFont="1" applyFill="1" applyBorder="1" applyAlignment="1">
      <alignment horizontal="center" wrapText="1"/>
    </xf>
    <xf numFmtId="3" fontId="8" fillId="0" borderId="39" xfId="2" applyNumberFormat="1" applyFont="1" applyFill="1" applyBorder="1" applyAlignment="1">
      <alignment wrapText="1"/>
    </xf>
    <xf numFmtId="3" fontId="8" fillId="0" borderId="39" xfId="2" applyNumberFormat="1" applyFont="1" applyFill="1" applyBorder="1" applyAlignment="1">
      <alignment horizontal="right" wrapText="1"/>
    </xf>
    <xf numFmtId="0" fontId="6" fillId="3" borderId="22" xfId="2" applyFont="1" applyFill="1" applyBorder="1" applyAlignment="1">
      <alignment horizontal="center" wrapText="1"/>
    </xf>
    <xf numFmtId="3" fontId="8" fillId="3" borderId="32" xfId="2" applyNumberFormat="1" applyFont="1" applyFill="1" applyBorder="1" applyAlignment="1">
      <alignment wrapText="1"/>
    </xf>
    <xf numFmtId="3" fontId="8" fillId="3" borderId="22" xfId="2" applyNumberFormat="1" applyFont="1" applyFill="1" applyBorder="1" applyAlignment="1">
      <alignment wrapText="1"/>
    </xf>
    <xf numFmtId="3" fontId="6" fillId="3" borderId="29" xfId="2" applyNumberFormat="1" applyFont="1" applyFill="1" applyBorder="1" applyAlignment="1">
      <alignment horizontal="center" wrapText="1"/>
    </xf>
    <xf numFmtId="0" fontId="6" fillId="3" borderId="16" xfId="2" applyFont="1" applyFill="1" applyBorder="1" applyAlignment="1">
      <alignment horizontal="center" wrapText="1"/>
    </xf>
    <xf numFmtId="3" fontId="6" fillId="2" borderId="33" xfId="2" applyNumberFormat="1" applyFont="1" applyFill="1" applyBorder="1" applyAlignment="1">
      <alignment horizontal="center" wrapText="1"/>
    </xf>
    <xf numFmtId="0" fontId="6" fillId="2" borderId="34" xfId="2" applyFont="1" applyFill="1" applyBorder="1" applyAlignment="1">
      <alignment horizontal="center" wrapText="1"/>
    </xf>
    <xf numFmtId="3" fontId="6" fillId="2" borderId="19" xfId="2" applyNumberFormat="1" applyFont="1" applyFill="1" applyBorder="1" applyAlignment="1">
      <alignment horizontal="center" vertical="center" wrapText="1"/>
    </xf>
    <xf numFmtId="3" fontId="6" fillId="2" borderId="20" xfId="2" applyNumberFormat="1" applyFont="1" applyFill="1" applyBorder="1" applyAlignment="1">
      <alignment wrapText="1"/>
    </xf>
    <xf numFmtId="3" fontId="6" fillId="2" borderId="21" xfId="2" applyNumberFormat="1" applyFont="1" applyFill="1" applyBorder="1" applyAlignment="1">
      <alignment wrapText="1"/>
    </xf>
    <xf numFmtId="3" fontId="6" fillId="3" borderId="18" xfId="2" applyNumberFormat="1" applyFont="1" applyFill="1" applyBorder="1" applyAlignment="1">
      <alignment horizontal="center" wrapText="1"/>
    </xf>
    <xf numFmtId="0" fontId="6" fillId="3" borderId="19" xfId="2" applyFont="1" applyFill="1" applyBorder="1" applyAlignment="1">
      <alignment horizontal="center" wrapText="1"/>
    </xf>
    <xf numFmtId="3" fontId="8" fillId="3" borderId="20" xfId="2" applyNumberFormat="1" applyFont="1" applyFill="1" applyBorder="1" applyAlignment="1">
      <alignment wrapText="1"/>
    </xf>
    <xf numFmtId="3" fontId="8" fillId="3" borderId="19" xfId="2" applyNumberFormat="1" applyFont="1" applyFill="1" applyBorder="1" applyAlignment="1">
      <alignment wrapText="1"/>
    </xf>
    <xf numFmtId="3" fontId="8" fillId="0" borderId="19" xfId="2" applyNumberFormat="1" applyFont="1" applyFill="1" applyBorder="1" applyAlignment="1">
      <alignment wrapText="1"/>
    </xf>
    <xf numFmtId="3" fontId="8" fillId="0" borderId="20" xfId="2" applyNumberFormat="1" applyFont="1" applyFill="1" applyBorder="1" applyAlignment="1">
      <alignment wrapText="1"/>
    </xf>
    <xf numFmtId="3" fontId="6" fillId="0" borderId="37" xfId="2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wrapText="1"/>
    </xf>
    <xf numFmtId="0" fontId="11" fillId="0" borderId="3" xfId="2" applyFont="1" applyFill="1" applyBorder="1" applyAlignment="1">
      <alignment wrapText="1"/>
    </xf>
    <xf numFmtId="0" fontId="11" fillId="0" borderId="5" xfId="2" applyFont="1" applyFill="1" applyBorder="1" applyAlignment="1">
      <alignment wrapText="1"/>
    </xf>
    <xf numFmtId="0" fontId="6" fillId="3" borderId="40" xfId="2" applyFont="1" applyFill="1" applyBorder="1" applyAlignment="1">
      <alignment horizontal="center" wrapText="1"/>
    </xf>
    <xf numFmtId="0" fontId="6" fillId="3" borderId="37" xfId="2" applyFont="1" applyFill="1" applyBorder="1" applyAlignment="1">
      <alignment horizontal="center" wrapText="1"/>
    </xf>
    <xf numFmtId="0" fontId="6" fillId="3" borderId="38" xfId="2" applyFont="1" applyFill="1" applyBorder="1" applyAlignment="1">
      <alignment horizontal="center" wrapText="1"/>
    </xf>
    <xf numFmtId="3" fontId="8" fillId="2" borderId="35" xfId="2" applyNumberFormat="1" applyFont="1" applyFill="1" applyBorder="1" applyAlignment="1">
      <alignment wrapText="1"/>
    </xf>
    <xf numFmtId="3" fontId="8" fillId="2" borderId="34" xfId="2" applyNumberFormat="1" applyFont="1" applyFill="1" applyBorder="1" applyAlignment="1">
      <alignment wrapText="1"/>
    </xf>
    <xf numFmtId="3" fontId="8" fillId="2" borderId="19" xfId="2" applyNumberFormat="1" applyFont="1" applyFill="1" applyBorder="1" applyAlignment="1">
      <alignment wrapText="1"/>
    </xf>
    <xf numFmtId="3" fontId="8" fillId="2" borderId="20" xfId="2" applyNumberFormat="1" applyFont="1" applyFill="1" applyBorder="1" applyAlignment="1">
      <alignment wrapText="1"/>
    </xf>
    <xf numFmtId="3" fontId="8" fillId="2" borderId="13" xfId="4" applyNumberFormat="1" applyFont="1" applyFill="1" applyBorder="1" applyAlignment="1"/>
    <xf numFmtId="0" fontId="6" fillId="3" borderId="4" xfId="2" applyFont="1" applyFill="1" applyBorder="1" applyAlignment="1">
      <alignment horizontal="center" wrapText="1"/>
    </xf>
    <xf numFmtId="0" fontId="6" fillId="0" borderId="41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0" fontId="6" fillId="0" borderId="42" xfId="2" applyFont="1" applyFill="1" applyBorder="1" applyAlignment="1">
      <alignment horizontal="center" wrapText="1"/>
    </xf>
    <xf numFmtId="3" fontId="8" fillId="0" borderId="21" xfId="3" applyNumberFormat="1" applyFont="1" applyFill="1" applyBorder="1" applyAlignment="1"/>
    <xf numFmtId="0" fontId="0" fillId="0" borderId="0" xfId="3" applyFont="1" applyFill="1" applyAlignment="1"/>
    <xf numFmtId="0" fontId="6" fillId="0" borderId="19" xfId="2" applyFont="1" applyFill="1" applyBorder="1" applyAlignment="1">
      <alignment horizont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42" xfId="2" applyFont="1" applyFill="1" applyBorder="1" applyAlignment="1">
      <alignment horizontal="center" vertical="center" wrapText="1"/>
    </xf>
    <xf numFmtId="3" fontId="6" fillId="0" borderId="43" xfId="2" applyNumberFormat="1" applyFont="1" applyFill="1" applyBorder="1" applyAlignment="1">
      <alignment horizontal="center" wrapText="1"/>
    </xf>
    <xf numFmtId="0" fontId="6" fillId="3" borderId="18" xfId="2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0" fontId="6" fillId="3" borderId="44" xfId="2" applyFont="1" applyFill="1" applyBorder="1" applyAlignment="1">
      <alignment horizontal="center" wrapText="1"/>
    </xf>
    <xf numFmtId="0" fontId="6" fillId="3" borderId="25" xfId="2" applyFont="1" applyFill="1" applyBorder="1" applyAlignment="1">
      <alignment horizontal="center" wrapText="1"/>
    </xf>
    <xf numFmtId="0" fontId="6" fillId="0" borderId="0" xfId="2" applyFont="1" applyFill="1" applyAlignment="1">
      <alignment horizontal="center" vertical="center" wrapText="1"/>
    </xf>
    <xf numFmtId="3" fontId="8" fillId="0" borderId="13" xfId="3" applyNumberFormat="1" applyFont="1" applyFill="1" applyBorder="1" applyAlignment="1"/>
    <xf numFmtId="0" fontId="6" fillId="2" borderId="19" xfId="2" applyFont="1" applyFill="1" applyBorder="1" applyAlignment="1">
      <alignment horizontal="center" wrapText="1"/>
    </xf>
    <xf numFmtId="0" fontId="6" fillId="2" borderId="42" xfId="2" applyFont="1" applyFill="1" applyBorder="1" applyAlignment="1">
      <alignment horizontal="center" wrapText="1"/>
    </xf>
    <xf numFmtId="0" fontId="6" fillId="0" borderId="8" xfId="2" applyFont="1" applyFill="1" applyBorder="1" applyAlignment="1">
      <alignment horizontal="center" wrapText="1"/>
    </xf>
    <xf numFmtId="0" fontId="6" fillId="0" borderId="45" xfId="2" applyFont="1" applyFill="1" applyBorder="1" applyAlignment="1">
      <alignment horizontal="center" wrapText="1"/>
    </xf>
    <xf numFmtId="3" fontId="8" fillId="0" borderId="8" xfId="2" applyNumberFormat="1" applyFont="1" applyFill="1" applyBorder="1" applyAlignment="1">
      <alignment wrapText="1"/>
    </xf>
    <xf numFmtId="3" fontId="8" fillId="0" borderId="36" xfId="2" applyNumberFormat="1" applyFont="1" applyFill="1" applyBorder="1" applyAlignment="1">
      <alignment wrapText="1"/>
    </xf>
    <xf numFmtId="0" fontId="6" fillId="0" borderId="18" xfId="2" applyFont="1" applyFill="1" applyBorder="1" applyAlignment="1">
      <alignment vertical="center" wrapText="1"/>
    </xf>
    <xf numFmtId="0" fontId="6" fillId="0" borderId="19" xfId="2" applyFont="1" applyFill="1" applyBorder="1" applyAlignment="1">
      <alignment vertical="center" wrapText="1"/>
    </xf>
    <xf numFmtId="0" fontId="8" fillId="0" borderId="42" xfId="2" applyFont="1" applyFill="1" applyBorder="1" applyAlignment="1">
      <alignment horizontal="center" wrapText="1"/>
    </xf>
    <xf numFmtId="0" fontId="8" fillId="0" borderId="0" xfId="2" applyFont="1" applyFill="1" applyAlignment="1">
      <alignment wrapText="1"/>
    </xf>
    <xf numFmtId="3" fontId="8" fillId="0" borderId="0" xfId="2" applyNumberFormat="1" applyFont="1" applyFill="1" applyAlignment="1">
      <alignment wrapText="1"/>
    </xf>
    <xf numFmtId="0" fontId="11" fillId="0" borderId="0" xfId="2" applyFont="1" applyFill="1" applyAlignment="1">
      <alignment wrapText="1"/>
    </xf>
    <xf numFmtId="0" fontId="11" fillId="0" borderId="46" xfId="2" applyFont="1" applyFill="1" applyBorder="1" applyAlignment="1">
      <alignment wrapText="1"/>
    </xf>
    <xf numFmtId="3" fontId="5" fillId="0" borderId="11" xfId="2" applyNumberFormat="1" applyFont="1" applyFill="1" applyBorder="1" applyAlignment="1">
      <alignment wrapText="1"/>
    </xf>
    <xf numFmtId="4" fontId="5" fillId="0" borderId="11" xfId="2" applyNumberFormat="1" applyFont="1" applyFill="1" applyBorder="1" applyAlignment="1">
      <alignment wrapText="1"/>
    </xf>
    <xf numFmtId="3" fontId="2" fillId="0" borderId="0" xfId="2" applyNumberFormat="1" applyFont="1" applyFill="1" applyAlignment="1">
      <alignment wrapText="1"/>
    </xf>
    <xf numFmtId="4" fontId="5" fillId="0" borderId="11" xfId="1" applyNumberFormat="1" applyFont="1" applyFill="1" applyBorder="1" applyAlignment="1"/>
    <xf numFmtId="3" fontId="2" fillId="0" borderId="0" xfId="1" applyNumberFormat="1" applyFont="1" applyFill="1" applyAlignment="1"/>
    <xf numFmtId="1" fontId="2" fillId="0" borderId="0" xfId="1" applyNumberFormat="1" applyFont="1" applyFill="1" applyAlignment="1"/>
    <xf numFmtId="3" fontId="5" fillId="0" borderId="11" xfId="1" applyNumberFormat="1" applyFont="1" applyFill="1" applyBorder="1" applyAlignment="1"/>
    <xf numFmtId="3" fontId="12" fillId="0" borderId="8" xfId="1" applyNumberFormat="1" applyFont="1" applyFill="1" applyBorder="1" applyAlignment="1"/>
    <xf numFmtId="0" fontId="2" fillId="0" borderId="11" xfId="1" applyFont="1" applyFill="1" applyBorder="1" applyAlignment="1"/>
    <xf numFmtId="3" fontId="2" fillId="0" borderId="11" xfId="1" applyNumberFormat="1" applyFont="1" applyFill="1" applyBorder="1" applyAlignment="1"/>
    <xf numFmtId="0" fontId="2" fillId="0" borderId="0" xfId="1" applyFont="1" applyFill="1" applyAlignment="1">
      <alignment horizontal="right" wrapText="1"/>
    </xf>
    <xf numFmtId="0" fontId="3" fillId="0" borderId="0" xfId="2" applyFont="1" applyFill="1" applyAlignment="1">
      <alignment horizontal="center" wrapText="1"/>
    </xf>
    <xf numFmtId="0" fontId="6" fillId="0" borderId="11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 wrapText="1"/>
    </xf>
  </cellXfs>
  <cellStyles count="5">
    <cellStyle name="Normal" xfId="0" builtinId="0" customBuiltin="1"/>
    <cellStyle name="Normal 11 2" xfId="1"/>
    <cellStyle name="Normal 2 2 2" xfId="2"/>
    <cellStyle name="Normal 3 2" xfId="3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workbookViewId="0"/>
  </sheetViews>
  <sheetFormatPr defaultRowHeight="15" x14ac:dyDescent="0.25"/>
  <cols>
    <col min="1" max="1" width="14.42578125" style="2" customWidth="1"/>
    <col min="2" max="2" width="16.42578125" style="2" customWidth="1"/>
    <col min="3" max="3" width="48.28515625" style="2" customWidth="1"/>
    <col min="4" max="17" width="13.7109375" style="2" customWidth="1"/>
    <col min="18" max="18" width="11.7109375" style="2" customWidth="1"/>
    <col min="19" max="19" width="11.140625" style="2" bestFit="1" customWidth="1"/>
    <col min="20" max="20" width="9.85546875" style="2" customWidth="1"/>
    <col min="21" max="21" width="9.140625" style="2" customWidth="1"/>
    <col min="22" max="16384" width="9.140625" style="2"/>
  </cols>
  <sheetData>
    <row r="1" spans="1:18" ht="2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1" t="s">
        <v>0</v>
      </c>
      <c r="P1" s="201"/>
      <c r="Q1" s="201"/>
      <c r="R1" s="201"/>
    </row>
    <row r="2" spans="1:18" ht="22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1"/>
      <c r="P2" s="201"/>
      <c r="Q2" s="201"/>
      <c r="R2" s="201"/>
    </row>
    <row r="3" spans="1:18" customFormat="1" ht="19.5" customHeight="1" x14ac:dyDescent="0.3">
      <c r="A3" s="202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"/>
    </row>
    <row r="4" spans="1:18" customFormat="1" thickBot="1" x14ac:dyDescent="0.25">
      <c r="A4" s="3"/>
      <c r="B4" s="3"/>
      <c r="C4" s="3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customFormat="1" ht="63" customHeight="1" x14ac:dyDescent="0.25">
      <c r="A5" s="8" t="s">
        <v>2</v>
      </c>
      <c r="B5" s="9" t="s">
        <v>3</v>
      </c>
      <c r="C5" s="10" t="s">
        <v>4</v>
      </c>
      <c r="D5" s="11">
        <v>2021</v>
      </c>
      <c r="E5" s="12">
        <v>2022</v>
      </c>
      <c r="F5" s="9">
        <v>2023</v>
      </c>
      <c r="G5" s="12">
        <v>2024</v>
      </c>
      <c r="H5" s="12">
        <v>2025</v>
      </c>
      <c r="I5" s="9">
        <v>2026</v>
      </c>
      <c r="J5" s="9">
        <v>2027</v>
      </c>
      <c r="K5" s="9">
        <v>2028</v>
      </c>
      <c r="L5" s="9">
        <v>2029</v>
      </c>
      <c r="M5" s="9">
        <v>2030</v>
      </c>
      <c r="N5" s="11">
        <v>2031</v>
      </c>
      <c r="O5" s="9">
        <v>2032</v>
      </c>
      <c r="P5" s="9">
        <v>2033</v>
      </c>
      <c r="Q5" s="12">
        <v>2034</v>
      </c>
      <c r="R5" s="13" t="s">
        <v>5</v>
      </c>
    </row>
    <row r="6" spans="1:18" customFormat="1" ht="15.75" x14ac:dyDescent="0.25">
      <c r="A6" s="14"/>
      <c r="B6" s="15"/>
      <c r="C6" s="16" t="s">
        <v>6</v>
      </c>
      <c r="D6" s="17">
        <f t="shared" ref="D6:R6" si="0">SUM((D15:D46),(D48:D99),(D101:D120),(D122:D123))</f>
        <v>11753810.350499999</v>
      </c>
      <c r="E6" s="17">
        <f t="shared" si="0"/>
        <v>11927230.8483875</v>
      </c>
      <c r="F6" s="17">
        <f t="shared" si="0"/>
        <v>14366296.540000001</v>
      </c>
      <c r="G6" s="17">
        <f t="shared" si="0"/>
        <v>14089098.640000001</v>
      </c>
      <c r="H6" s="17">
        <f t="shared" si="0"/>
        <v>12474334.488</v>
      </c>
      <c r="I6" s="17">
        <f t="shared" si="0"/>
        <v>11660395.588</v>
      </c>
      <c r="J6" s="17">
        <f t="shared" si="0"/>
        <v>11214459.533</v>
      </c>
      <c r="K6" s="17">
        <f t="shared" si="0"/>
        <v>10894496.988</v>
      </c>
      <c r="L6" s="17">
        <f t="shared" si="0"/>
        <v>10369296.188000001</v>
      </c>
      <c r="M6" s="17">
        <f t="shared" si="0"/>
        <v>9852876.3880000003</v>
      </c>
      <c r="N6" s="17">
        <f t="shared" si="0"/>
        <v>9378704.7880000006</v>
      </c>
      <c r="O6" s="17">
        <f t="shared" si="0"/>
        <v>8111582.5039999988</v>
      </c>
      <c r="P6" s="17">
        <f t="shared" si="0"/>
        <v>6940745.9989999998</v>
      </c>
      <c r="Q6" s="17">
        <f t="shared" si="0"/>
        <v>6026081.3509999998</v>
      </c>
      <c r="R6" s="18">
        <f t="shared" si="0"/>
        <v>22938538.170000002</v>
      </c>
    </row>
    <row r="7" spans="1:18" customFormat="1" ht="31.5" x14ac:dyDescent="0.25">
      <c r="A7" s="19"/>
      <c r="B7" s="20"/>
      <c r="C7" s="21" t="s">
        <v>7</v>
      </c>
      <c r="D7" s="22">
        <f t="shared" ref="D7:Q7" si="1">D6/D13</f>
        <v>0.1593355109967135</v>
      </c>
      <c r="E7" s="22">
        <f t="shared" si="1"/>
        <v>0.16168641192366559</v>
      </c>
      <c r="F7" s="22">
        <f t="shared" si="1"/>
        <v>0.19475056446132316</v>
      </c>
      <c r="G7" s="22">
        <f t="shared" si="1"/>
        <v>0.19099284949684467</v>
      </c>
      <c r="H7" s="23">
        <f t="shared" si="1"/>
        <v>0.16910298879417049</v>
      </c>
      <c r="I7" s="22">
        <f t="shared" si="1"/>
        <v>0.15806917365812093</v>
      </c>
      <c r="J7" s="22">
        <f t="shared" si="1"/>
        <v>0.15202403194862746</v>
      </c>
      <c r="K7" s="22">
        <f t="shared" si="1"/>
        <v>0.14768659633522954</v>
      </c>
      <c r="L7" s="22">
        <f t="shared" si="1"/>
        <v>0.14056693595715283</v>
      </c>
      <c r="M7" s="22">
        <f t="shared" si="1"/>
        <v>0.13356631145598244</v>
      </c>
      <c r="N7" s="23">
        <f t="shared" si="1"/>
        <v>0.12713840663761727</v>
      </c>
      <c r="O7" s="22">
        <f t="shared" si="1"/>
        <v>0.10996120447118327</v>
      </c>
      <c r="P7" s="22">
        <f t="shared" si="1"/>
        <v>9.4089259352565208E-2</v>
      </c>
      <c r="Q7" s="22">
        <f t="shared" si="1"/>
        <v>8.168999862487196E-2</v>
      </c>
      <c r="R7" s="24"/>
    </row>
    <row r="8" spans="1:18" customFormat="1" ht="19.5" customHeight="1" x14ac:dyDescent="0.25">
      <c r="A8" s="25"/>
      <c r="B8" s="26"/>
      <c r="C8" s="26" t="s">
        <v>8</v>
      </c>
      <c r="D8" s="27"/>
      <c r="E8" s="27"/>
      <c r="F8" s="28"/>
      <c r="G8" s="27"/>
      <c r="H8" s="27"/>
      <c r="I8" s="29"/>
      <c r="J8" s="29"/>
      <c r="K8" s="29"/>
      <c r="L8" s="29"/>
      <c r="M8" s="29"/>
      <c r="N8" s="30"/>
      <c r="O8" s="29"/>
      <c r="P8" s="29"/>
      <c r="Q8" s="30"/>
      <c r="R8" s="31"/>
    </row>
    <row r="9" spans="1:18" customFormat="1" ht="19.5" customHeight="1" x14ac:dyDescent="0.25">
      <c r="A9" s="25"/>
      <c r="B9" s="26"/>
      <c r="C9" s="203" t="s">
        <v>9</v>
      </c>
      <c r="D9" s="28">
        <f t="shared" ref="D9:R9" si="2">SUM((D48:D99),(D101:D120))</f>
        <v>9369854</v>
      </c>
      <c r="E9" s="28">
        <f t="shared" si="2"/>
        <v>8127720</v>
      </c>
      <c r="F9" s="28">
        <f t="shared" si="2"/>
        <v>7589759</v>
      </c>
      <c r="G9" s="28">
        <f t="shared" si="2"/>
        <v>7422627</v>
      </c>
      <c r="H9" s="28">
        <f t="shared" si="2"/>
        <v>4697595</v>
      </c>
      <c r="I9" s="28">
        <f t="shared" si="2"/>
        <v>3812921</v>
      </c>
      <c r="J9" s="28">
        <f t="shared" si="2"/>
        <v>3345418.29</v>
      </c>
      <c r="K9" s="28">
        <f t="shared" si="2"/>
        <v>3120380</v>
      </c>
      <c r="L9" s="28">
        <f t="shared" si="2"/>
        <v>2664151</v>
      </c>
      <c r="M9" s="28">
        <f t="shared" si="2"/>
        <v>2270003</v>
      </c>
      <c r="N9" s="28">
        <f t="shared" si="2"/>
        <v>2040141</v>
      </c>
      <c r="O9" s="28">
        <f t="shared" si="2"/>
        <v>1944274</v>
      </c>
      <c r="P9" s="28">
        <f t="shared" si="2"/>
        <v>1971997</v>
      </c>
      <c r="Q9" s="27">
        <f t="shared" si="2"/>
        <v>1181235</v>
      </c>
      <c r="R9" s="18">
        <f t="shared" si="2"/>
        <v>4516759</v>
      </c>
    </row>
    <row r="10" spans="1:18" customFormat="1" ht="19.5" customHeight="1" x14ac:dyDescent="0.25">
      <c r="A10" s="25"/>
      <c r="B10" s="26"/>
      <c r="C10" s="203"/>
      <c r="D10" s="32">
        <f t="shared" ref="D10:Q10" si="3">D9/D13</f>
        <v>0.12701842470948929</v>
      </c>
      <c r="E10" s="32">
        <f t="shared" si="3"/>
        <v>0.1101799655448004</v>
      </c>
      <c r="F10" s="32">
        <f t="shared" si="3"/>
        <v>0.10288732696418415</v>
      </c>
      <c r="G10" s="33">
        <f t="shared" si="3"/>
        <v>0.10062167337357897</v>
      </c>
      <c r="H10" s="33">
        <f t="shared" si="3"/>
        <v>6.368094068735472E-2</v>
      </c>
      <c r="I10" s="32">
        <f t="shared" si="3"/>
        <v>5.1688235372902354E-2</v>
      </c>
      <c r="J10" s="32">
        <f t="shared" si="3"/>
        <v>4.5350734514125128E-2</v>
      </c>
      <c r="K10" s="32">
        <f t="shared" si="3"/>
        <v>4.2300099029824394E-2</v>
      </c>
      <c r="L10" s="32">
        <f t="shared" si="3"/>
        <v>3.6115425406651011E-2</v>
      </c>
      <c r="M10" s="32">
        <f t="shared" si="3"/>
        <v>3.0772326350636287E-2</v>
      </c>
      <c r="N10" s="33">
        <f t="shared" si="3"/>
        <v>2.7656300301503331E-2</v>
      </c>
      <c r="O10" s="32">
        <f t="shared" si="3"/>
        <v>2.6356720252377206E-2</v>
      </c>
      <c r="P10" s="32">
        <f t="shared" si="3"/>
        <v>2.6732535263819347E-2</v>
      </c>
      <c r="Q10" s="32">
        <f t="shared" si="3"/>
        <v>1.6012907875801861E-2</v>
      </c>
      <c r="R10" s="31"/>
    </row>
    <row r="11" spans="1:18" customFormat="1" ht="19.5" customHeight="1" x14ac:dyDescent="0.25">
      <c r="A11" s="25"/>
      <c r="B11" s="26"/>
      <c r="C11" s="204" t="s">
        <v>10</v>
      </c>
      <c r="D11" s="28">
        <f t="shared" ref="D11:R11" si="4">SUM((D15:D46),(D122:D123))</f>
        <v>2383956.3504999997</v>
      </c>
      <c r="E11" s="28">
        <f t="shared" si="4"/>
        <v>3799510.8483875003</v>
      </c>
      <c r="F11" s="28">
        <f t="shared" si="4"/>
        <v>6776537.540000001</v>
      </c>
      <c r="G11" s="28">
        <f t="shared" si="4"/>
        <v>6666471.6400000006</v>
      </c>
      <c r="H11" s="28">
        <f t="shared" si="4"/>
        <v>7776739.4879999999</v>
      </c>
      <c r="I11" s="28">
        <f t="shared" si="4"/>
        <v>7847474.5880000005</v>
      </c>
      <c r="J11" s="28">
        <f t="shared" si="4"/>
        <v>7869041.2430000007</v>
      </c>
      <c r="K11" s="28">
        <f t="shared" si="4"/>
        <v>7774116.9879999999</v>
      </c>
      <c r="L11" s="28">
        <f t="shared" si="4"/>
        <v>7705145.188000001</v>
      </c>
      <c r="M11" s="28">
        <f t="shared" si="4"/>
        <v>7582873.3880000003</v>
      </c>
      <c r="N11" s="28">
        <f t="shared" si="4"/>
        <v>7338563.7880000006</v>
      </c>
      <c r="O11" s="28">
        <f t="shared" si="4"/>
        <v>6167308.5039999988</v>
      </c>
      <c r="P11" s="28">
        <f t="shared" si="4"/>
        <v>4968748.9989999998</v>
      </c>
      <c r="Q11" s="27">
        <f t="shared" si="4"/>
        <v>4844846.3509999998</v>
      </c>
      <c r="R11" s="18">
        <f t="shared" si="4"/>
        <v>18421779.170000002</v>
      </c>
    </row>
    <row r="12" spans="1:18" customFormat="1" ht="19.5" customHeight="1" x14ac:dyDescent="0.25">
      <c r="A12" s="25"/>
      <c r="B12" s="26"/>
      <c r="C12" s="204"/>
      <c r="D12" s="32">
        <f t="shared" ref="D12:Q12" si="5">D11/D13</f>
        <v>3.2317086287224225E-2</v>
      </c>
      <c r="E12" s="32">
        <f t="shared" si="5"/>
        <v>5.1506446378865187E-2</v>
      </c>
      <c r="F12" s="32">
        <f t="shared" si="5"/>
        <v>9.1863237497138997E-2</v>
      </c>
      <c r="G12" s="33">
        <f t="shared" si="5"/>
        <v>9.0371176123265701E-2</v>
      </c>
      <c r="H12" s="33">
        <f t="shared" si="5"/>
        <v>0.10542204810681578</v>
      </c>
      <c r="I12" s="32">
        <f t="shared" si="5"/>
        <v>0.10638093828521859</v>
      </c>
      <c r="J12" s="32">
        <f t="shared" si="5"/>
        <v>0.10667329743450235</v>
      </c>
      <c r="K12" s="32">
        <f t="shared" si="5"/>
        <v>0.10538649730540514</v>
      </c>
      <c r="L12" s="32">
        <f t="shared" si="5"/>
        <v>0.10445151055050184</v>
      </c>
      <c r="M12" s="32">
        <f t="shared" si="5"/>
        <v>0.10279398510534614</v>
      </c>
      <c r="N12" s="33">
        <f t="shared" si="5"/>
        <v>9.9482106336113943E-2</v>
      </c>
      <c r="O12" s="33">
        <f t="shared" si="5"/>
        <v>8.3604484218806063E-2</v>
      </c>
      <c r="P12" s="32">
        <f t="shared" si="5"/>
        <v>6.7356724088745865E-2</v>
      </c>
      <c r="Q12" s="32">
        <f t="shared" si="5"/>
        <v>6.5677090749070091E-2</v>
      </c>
      <c r="R12" s="31"/>
    </row>
    <row r="13" spans="1:18" customFormat="1" ht="33.75" customHeight="1" thickBot="1" x14ac:dyDescent="0.25">
      <c r="A13" s="34"/>
      <c r="B13" s="35"/>
      <c r="C13" s="36" t="s">
        <v>11</v>
      </c>
      <c r="D13" s="37">
        <v>73767676</v>
      </c>
      <c r="E13" s="37">
        <v>73767676</v>
      </c>
      <c r="F13" s="37">
        <v>73767676</v>
      </c>
      <c r="G13" s="37">
        <v>73767676</v>
      </c>
      <c r="H13" s="37">
        <v>73767676</v>
      </c>
      <c r="I13" s="37">
        <v>73767676</v>
      </c>
      <c r="J13" s="37">
        <v>73767676</v>
      </c>
      <c r="K13" s="37">
        <v>73767676</v>
      </c>
      <c r="L13" s="37">
        <v>73767676</v>
      </c>
      <c r="M13" s="37">
        <v>73767676</v>
      </c>
      <c r="N13" s="37">
        <v>73767676</v>
      </c>
      <c r="O13" s="37">
        <v>73767676</v>
      </c>
      <c r="P13" s="37">
        <v>73767676</v>
      </c>
      <c r="Q13" s="37">
        <v>73767676</v>
      </c>
      <c r="R13" s="38">
        <v>0</v>
      </c>
    </row>
    <row r="14" spans="1:18" customFormat="1" ht="15.75" x14ac:dyDescent="0.25">
      <c r="A14" s="39">
        <f>SUM(A15:A46)</f>
        <v>72877344</v>
      </c>
      <c r="B14" s="40"/>
      <c r="C14" s="40" t="s">
        <v>12</v>
      </c>
      <c r="D14" s="41">
        <f t="shared" ref="D14:R14" si="6">SUM(D15:D46)</f>
        <v>1533256.3504999999</v>
      </c>
      <c r="E14" s="41">
        <f t="shared" si="6"/>
        <v>2961500.8483875003</v>
      </c>
      <c r="F14" s="41">
        <f t="shared" si="6"/>
        <v>5951217.540000001</v>
      </c>
      <c r="G14" s="41">
        <f t="shared" si="6"/>
        <v>5853841.6400000006</v>
      </c>
      <c r="H14" s="41">
        <f t="shared" si="6"/>
        <v>6976799.4879999999</v>
      </c>
      <c r="I14" s="41">
        <f t="shared" si="6"/>
        <v>7060224.5880000005</v>
      </c>
      <c r="J14" s="41">
        <f t="shared" si="6"/>
        <v>7094481.2430000007</v>
      </c>
      <c r="K14" s="41">
        <f t="shared" si="6"/>
        <v>7012246.9879999999</v>
      </c>
      <c r="L14" s="41">
        <f t="shared" si="6"/>
        <v>6955965.188000001</v>
      </c>
      <c r="M14" s="41">
        <f t="shared" si="6"/>
        <v>6846383.3880000003</v>
      </c>
      <c r="N14" s="41">
        <f t="shared" si="6"/>
        <v>6614763.7880000006</v>
      </c>
      <c r="O14" s="41">
        <f t="shared" si="6"/>
        <v>5456198.5039999988</v>
      </c>
      <c r="P14" s="41">
        <f t="shared" si="6"/>
        <v>4270328.9989999998</v>
      </c>
      <c r="Q14" s="42">
        <f t="shared" si="6"/>
        <v>4159116.3509999998</v>
      </c>
      <c r="R14" s="43">
        <f t="shared" si="6"/>
        <v>9175939.1699999999</v>
      </c>
    </row>
    <row r="15" spans="1:18" customFormat="1" ht="47.25" x14ac:dyDescent="0.25">
      <c r="A15" s="44">
        <v>5165603</v>
      </c>
      <c r="B15" s="45" t="s">
        <v>13</v>
      </c>
      <c r="C15" s="46" t="s">
        <v>14</v>
      </c>
      <c r="D15" s="47">
        <v>0</v>
      </c>
      <c r="E15" s="47">
        <f>295700-295700</f>
        <v>0</v>
      </c>
      <c r="F15" s="47">
        <v>350000</v>
      </c>
      <c r="G15" s="47">
        <v>350000</v>
      </c>
      <c r="H15" s="47">
        <v>350000</v>
      </c>
      <c r="I15" s="47">
        <v>350000</v>
      </c>
      <c r="J15" s="47">
        <v>350000</v>
      </c>
      <c r="K15" s="47">
        <v>350000</v>
      </c>
      <c r="L15" s="47">
        <v>350000</v>
      </c>
      <c r="M15" s="48">
        <v>350000</v>
      </c>
      <c r="N15" s="47">
        <v>350000</v>
      </c>
      <c r="O15" s="48">
        <v>350000</v>
      </c>
      <c r="P15" s="48">
        <v>350000</v>
      </c>
      <c r="Q15" s="47">
        <v>350000</v>
      </c>
      <c r="R15" s="49">
        <v>965603</v>
      </c>
    </row>
    <row r="16" spans="1:18" customFormat="1" ht="15.75" x14ac:dyDescent="0.25">
      <c r="A16" s="50"/>
      <c r="B16" s="51"/>
      <c r="C16" s="52" t="s">
        <v>15</v>
      </c>
      <c r="D16" s="53">
        <f>(A15/3/2)*0.027</f>
        <v>23245.213500000002</v>
      </c>
      <c r="E16" s="54">
        <f>(D16+A15/2)*0.027</f>
        <v>70363.261264500004</v>
      </c>
      <c r="F16" s="54">
        <f>(A15-D15-E15)*0.027</f>
        <v>139471.28099999999</v>
      </c>
      <c r="G16" s="54">
        <f>(A15-D15-E15-F15)*0.027</f>
        <v>130021.281</v>
      </c>
      <c r="H16" s="54">
        <f>(A15-D15-E15-F15-G15)*0.027</f>
        <v>120571.281</v>
      </c>
      <c r="I16" s="55">
        <f>(A15-D15-E15-F15-G15-H15)*0.027</f>
        <v>111121.281</v>
      </c>
      <c r="J16" s="54">
        <v>94069</v>
      </c>
      <c r="K16" s="55">
        <f>(A15-D15-E15-F15-G15-H15-I15-J15)*0.027</f>
        <v>92221.281000000003</v>
      </c>
      <c r="L16" s="54">
        <f>(A15-D15-E15-F15-G15-H15-I15-J15-K15)*0.027</f>
        <v>82771.281000000003</v>
      </c>
      <c r="M16" s="55">
        <f>(A15-D15-E15-F15-G15-H15-I15-J15-K15-L15)*0.027</f>
        <v>73321.281000000003</v>
      </c>
      <c r="N16" s="54">
        <f>(A15-D15-E15-F15-G15-H15-I15-J15-K15-L15-M15)*0.027</f>
        <v>63871.281000000003</v>
      </c>
      <c r="O16" s="56">
        <f>(A15-D15-E15-F15-G15-H15-I15-J15-K15-L15-M15-N15)*0.027</f>
        <v>54421.281000000003</v>
      </c>
      <c r="P16" s="56">
        <f>(A15-D15-E15-F15-G15-H15-I15-J15-K15-L15-M15-N15-O15)*0.027</f>
        <v>44971.281000000003</v>
      </c>
      <c r="Q16" s="57">
        <f>(A15-D15-E15-F15-G15-H15-I15-J15-K15-L15-M15-N15-O15-P15)*0.027</f>
        <v>35521.281000000003</v>
      </c>
      <c r="R16" s="58">
        <f>568142-103299-89412</f>
        <v>375431</v>
      </c>
    </row>
    <row r="17" spans="1:18" customFormat="1" ht="47.25" x14ac:dyDescent="0.25">
      <c r="A17" s="44">
        <f>1635935+3067391</f>
        <v>4703326</v>
      </c>
      <c r="B17" s="45" t="s">
        <v>13</v>
      </c>
      <c r="C17" s="59" t="s">
        <v>16</v>
      </c>
      <c r="D17" s="60"/>
      <c r="E17" s="60"/>
      <c r="F17" s="60">
        <v>470400</v>
      </c>
      <c r="G17" s="60">
        <v>470400</v>
      </c>
      <c r="H17" s="60">
        <v>470400</v>
      </c>
      <c r="I17" s="60">
        <v>470400</v>
      </c>
      <c r="J17" s="60">
        <v>470400</v>
      </c>
      <c r="K17" s="60">
        <v>470400</v>
      </c>
      <c r="L17" s="60">
        <v>470400</v>
      </c>
      <c r="M17" s="61">
        <v>470400</v>
      </c>
      <c r="N17" s="60">
        <v>470400</v>
      </c>
      <c r="O17" s="48">
        <v>469726</v>
      </c>
      <c r="P17" s="48"/>
      <c r="Q17" s="47"/>
      <c r="R17" s="62"/>
    </row>
    <row r="18" spans="1:18" customFormat="1" ht="15.75" x14ac:dyDescent="0.25">
      <c r="A18" s="63"/>
      <c r="B18" s="64"/>
      <c r="C18" s="65" t="s">
        <v>15</v>
      </c>
      <c r="D18" s="53">
        <f>(A17/3/2)*0.027</f>
        <v>21164.966999999997</v>
      </c>
      <c r="E18" s="53">
        <f>(D18+A17/2)*0.027</f>
        <v>64066.355109000004</v>
      </c>
      <c r="F18" s="53">
        <f>(A17-D17)*0.027</f>
        <v>126989.802</v>
      </c>
      <c r="G18" s="53">
        <f>(A17-D17-F17)*0.027</f>
        <v>114289.00199999999</v>
      </c>
      <c r="H18" s="53">
        <f>(A17-D17-F17-G17)*0.027</f>
        <v>101588.202</v>
      </c>
      <c r="I18" s="53">
        <f>(A17-D17-F17-G17-H17)*0.027</f>
        <v>88887.402000000002</v>
      </c>
      <c r="J18" s="53">
        <f>(A17-E17-F17-G17-H17-I17)*0.027</f>
        <v>76186.601999999999</v>
      </c>
      <c r="K18" s="53">
        <f>(A17-E17-F17-G17-H17-I17-J17)*0.027</f>
        <v>63485.801999999996</v>
      </c>
      <c r="L18" s="53">
        <f>(A17-E17-F17-G17-H17-I17-J17-K17)*0.027</f>
        <v>50785.002</v>
      </c>
      <c r="M18" s="66">
        <f>(A17-E17-F17-G17-H17-I17-J17-K17-L17)*0.027</f>
        <v>38084.201999999997</v>
      </c>
      <c r="N18" s="53">
        <f>(A17-E17-F17-G17-H17-I17-J17-K17-L17-M17)*0.027</f>
        <v>25383.401999999998</v>
      </c>
      <c r="O18" s="67">
        <f>(A17-E17-F17-G17-H17-I17-J17-K17-L17-M17-N17)*0.027</f>
        <v>12682.601999999999</v>
      </c>
      <c r="P18" s="67"/>
      <c r="Q18" s="68"/>
      <c r="R18" s="58"/>
    </row>
    <row r="19" spans="1:18" customFormat="1" ht="31.5" x14ac:dyDescent="0.25">
      <c r="A19" s="44">
        <f>259885+270364</f>
        <v>530249</v>
      </c>
      <c r="B19" s="45" t="s">
        <v>13</v>
      </c>
      <c r="C19" s="9" t="s">
        <v>17</v>
      </c>
      <c r="D19" s="60"/>
      <c r="E19" s="60"/>
      <c r="F19" s="60">
        <v>53050</v>
      </c>
      <c r="G19" s="60">
        <v>53050</v>
      </c>
      <c r="H19" s="60">
        <v>53050</v>
      </c>
      <c r="I19" s="60">
        <v>53050</v>
      </c>
      <c r="J19" s="60">
        <v>53050</v>
      </c>
      <c r="K19" s="60">
        <v>53050</v>
      </c>
      <c r="L19" s="60">
        <v>53050</v>
      </c>
      <c r="M19" s="61">
        <v>53050</v>
      </c>
      <c r="N19" s="60">
        <v>53050</v>
      </c>
      <c r="O19" s="48">
        <v>52799</v>
      </c>
      <c r="P19" s="48"/>
      <c r="Q19" s="47"/>
      <c r="R19" s="62"/>
    </row>
    <row r="20" spans="1:18" customFormat="1" ht="15.75" x14ac:dyDescent="0.25">
      <c r="A20" s="69"/>
      <c r="B20" s="70"/>
      <c r="C20" s="65" t="s">
        <v>15</v>
      </c>
      <c r="D20" s="71">
        <f>(A19/3/2)*0.027</f>
        <v>2386.1205</v>
      </c>
      <c r="E20" s="72">
        <f>(D20+A19/2)*0.027</f>
        <v>7222.7867535000005</v>
      </c>
      <c r="F20" s="71">
        <f>(A19-D19)*0.027</f>
        <v>14316.723</v>
      </c>
      <c r="G20" s="73">
        <f>(A19-D19-F19)*0.027</f>
        <v>12884.373</v>
      </c>
      <c r="H20" s="73">
        <f>(A19-D19-F19-G19)*0.027</f>
        <v>11452.022999999999</v>
      </c>
      <c r="I20" s="71">
        <f>(A19-D19-F19-G19-H19)*0.027</f>
        <v>10019.673000000001</v>
      </c>
      <c r="J20" s="71">
        <f>(A19-E19-F19-G19-H19-I19)*0.027</f>
        <v>8587.3230000000003</v>
      </c>
      <c r="K20" s="71">
        <f>(A19-E19-F19-G19-H19-I19-J19)*0.027</f>
        <v>7154.973</v>
      </c>
      <c r="L20" s="71">
        <f>(A19-E19-F19-G19-H19-I19-J19-K19)*0.027</f>
        <v>5722.6229999999996</v>
      </c>
      <c r="M20" s="74">
        <f>(A19-E19-F19-G19-H19-I19-J19-K19-L19)*0.027</f>
        <v>4290.2730000000001</v>
      </c>
      <c r="N20" s="71">
        <f>(A19-E19-F19-G19-H19-I19-J19-K19-L19-M19)*0.027</f>
        <v>2857.9229999999998</v>
      </c>
      <c r="O20" s="72">
        <f>(A19-E19-F19-G19-H19-I19-J19-K19-L19-M19-N19)*0.027</f>
        <v>1425.5730000000001</v>
      </c>
      <c r="P20" s="72"/>
      <c r="Q20" s="73"/>
      <c r="R20" s="75"/>
    </row>
    <row r="21" spans="1:18" customFormat="1" ht="15.75" x14ac:dyDescent="0.25">
      <c r="A21" s="44">
        <f>2799450+1863630</f>
        <v>4663080</v>
      </c>
      <c r="B21" s="45" t="s">
        <v>13</v>
      </c>
      <c r="C21" s="9" t="s">
        <v>18</v>
      </c>
      <c r="D21" s="60"/>
      <c r="E21" s="60"/>
      <c r="F21" s="60">
        <v>460000</v>
      </c>
      <c r="G21" s="60">
        <v>460000</v>
      </c>
      <c r="H21" s="60">
        <v>460000</v>
      </c>
      <c r="I21" s="60">
        <v>460000</v>
      </c>
      <c r="J21" s="60">
        <v>460000</v>
      </c>
      <c r="K21" s="60">
        <v>460000</v>
      </c>
      <c r="L21" s="60">
        <v>460000</v>
      </c>
      <c r="M21" s="61">
        <v>460000</v>
      </c>
      <c r="N21" s="60">
        <v>480000</v>
      </c>
      <c r="O21" s="48">
        <v>503080</v>
      </c>
      <c r="P21" s="48"/>
      <c r="Q21" s="47"/>
      <c r="R21" s="62"/>
    </row>
    <row r="22" spans="1:18" customFormat="1" ht="15.75" x14ac:dyDescent="0.25">
      <c r="A22" s="50"/>
      <c r="B22" s="51"/>
      <c r="C22" s="65" t="s">
        <v>15</v>
      </c>
      <c r="D22" s="54">
        <f>(A21/3/2)*0.027</f>
        <v>20983.86</v>
      </c>
      <c r="E22" s="54">
        <f>(D22+A21/2)*0.027</f>
        <v>63518.144219999995</v>
      </c>
      <c r="F22" s="54">
        <f>(A21-D21)*0.027</f>
        <v>125903.16</v>
      </c>
      <c r="G22" s="54">
        <f>(A21-D21-F21)*0.027</f>
        <v>113483.16</v>
      </c>
      <c r="H22" s="54">
        <f>(A21-D21-F21-G21)*0.027</f>
        <v>101063.16</v>
      </c>
      <c r="I22" s="54">
        <f>(A21-D21-F21-G21-H21)*0.027</f>
        <v>88643.16</v>
      </c>
      <c r="J22" s="54">
        <f>(A21-E21-F21-G21-H21-I21)*0.027</f>
        <v>76223.16</v>
      </c>
      <c r="K22" s="54">
        <f>(A21-E21-F21-G21-H21-I21-J21)*0.027</f>
        <v>63803.159999999996</v>
      </c>
      <c r="L22" s="54">
        <f>(A21-E21-F21-G21-H21-I21-J21-K21)*0.027</f>
        <v>51383.159999999996</v>
      </c>
      <c r="M22" s="55">
        <f>(A21-E21-F21-G21-H21-I21-J21-K21-L21)*0.027</f>
        <v>38963.159999999996</v>
      </c>
      <c r="N22" s="54">
        <f>(A21-E21-F21-G21-H21-I21-J21-K21-L21-M21)*0.027</f>
        <v>26543.16</v>
      </c>
      <c r="O22" s="56">
        <f>(A21-E21-F21-G21-H21-I21-J21-K21-L21-M21-N21)*0.027</f>
        <v>13583.16</v>
      </c>
      <c r="P22" s="56"/>
      <c r="Q22" s="57"/>
      <c r="R22" s="58"/>
    </row>
    <row r="23" spans="1:18" customFormat="1" ht="31.5" x14ac:dyDescent="0.25">
      <c r="A23" s="44">
        <f>6130980+2039130</f>
        <v>8170110</v>
      </c>
      <c r="B23" s="45" t="s">
        <v>13</v>
      </c>
      <c r="C23" s="9" t="s">
        <v>19</v>
      </c>
      <c r="D23" s="60"/>
      <c r="E23" s="60"/>
      <c r="F23" s="60">
        <v>544700</v>
      </c>
      <c r="G23" s="60">
        <v>544700</v>
      </c>
      <c r="H23" s="60">
        <v>544700</v>
      </c>
      <c r="I23" s="60">
        <v>544700</v>
      </c>
      <c r="J23" s="60">
        <v>544700</v>
      </c>
      <c r="K23" s="60">
        <v>544700</v>
      </c>
      <c r="L23" s="60">
        <v>544700</v>
      </c>
      <c r="M23" s="61">
        <v>544700</v>
      </c>
      <c r="N23" s="60">
        <v>544700</v>
      </c>
      <c r="O23" s="48">
        <v>544700</v>
      </c>
      <c r="P23" s="48">
        <v>544700</v>
      </c>
      <c r="Q23" s="47">
        <v>544700</v>
      </c>
      <c r="R23" s="62">
        <v>1633710</v>
      </c>
    </row>
    <row r="24" spans="1:18" customFormat="1" ht="15.75" x14ac:dyDescent="0.25">
      <c r="A24" s="69"/>
      <c r="B24" s="70"/>
      <c r="C24" s="65" t="s">
        <v>15</v>
      </c>
      <c r="D24" s="71">
        <f>(A23/3/2)*0.027</f>
        <v>36765.495000000003</v>
      </c>
      <c r="E24" s="71">
        <f>(D24+A23/2)*0.027</f>
        <v>111289.15336500001</v>
      </c>
      <c r="F24" s="71">
        <f>(A23-D23)*0.027</f>
        <v>220592.97</v>
      </c>
      <c r="G24" s="71">
        <f>(A23-D23-F23)*0.027</f>
        <v>205886.07</v>
      </c>
      <c r="H24" s="71">
        <f>(A23-D23-F23-G23)*0.027</f>
        <v>191179.16999999998</v>
      </c>
      <c r="I24" s="71">
        <f>(A23-D23-F23-G23-H23)*0.027</f>
        <v>176472.27</v>
      </c>
      <c r="J24" s="71">
        <f>(A23-E23-F23-G23-H23-I23)*0.027</f>
        <v>161765.37</v>
      </c>
      <c r="K24" s="71">
        <f>(A23-E23-F23-G23-H23-I23-J23)*0.027</f>
        <v>147058.47</v>
      </c>
      <c r="L24" s="71">
        <f>(A23-E23-F23-G23-H23-I23-J23-K23)*0.027</f>
        <v>132351.57</v>
      </c>
      <c r="M24" s="74">
        <f>(A23-E23-F23-G23-H23-I23-J23-K23-L23)*0.027</f>
        <v>117644.67</v>
      </c>
      <c r="N24" s="71">
        <f>(A23-E23-F23-G23-H23-I23-J23-K23-L23-M23)*0.027</f>
        <v>102937.77</v>
      </c>
      <c r="O24" s="72">
        <f>(A23-E23-F23-G23-H23-I23-J23-K23-L23-M23-N23)*0.027</f>
        <v>88230.87</v>
      </c>
      <c r="P24" s="72">
        <f>(A23-E23-F23-G23-H23-I23-J23-K23-L23-M23-N23-O23)*0.027</f>
        <v>73523.97</v>
      </c>
      <c r="Q24" s="73">
        <f>(A23-E23-F23-G23-H23-I23-J23-K23-L23-M23-N23-O23-P23)*0.027</f>
        <v>58817.07</v>
      </c>
      <c r="R24" s="75">
        <f>(A23-E23-F23-G23-H23-I23-J23-K23-L23-M23-N23-O23-P23-Q23)*0.027</f>
        <v>44110.17</v>
      </c>
    </row>
    <row r="25" spans="1:18" customFormat="1" ht="15.75" x14ac:dyDescent="0.25">
      <c r="A25" s="44">
        <v>500000</v>
      </c>
      <c r="B25" s="45">
        <v>2021</v>
      </c>
      <c r="C25" s="9" t="s">
        <v>20</v>
      </c>
      <c r="D25" s="60"/>
      <c r="E25" s="60">
        <v>50000</v>
      </c>
      <c r="F25" s="60">
        <v>50000</v>
      </c>
      <c r="G25" s="60">
        <v>50000</v>
      </c>
      <c r="H25" s="60">
        <v>50000</v>
      </c>
      <c r="I25" s="60">
        <v>50000</v>
      </c>
      <c r="J25" s="60">
        <v>50000</v>
      </c>
      <c r="K25" s="60">
        <v>50000</v>
      </c>
      <c r="L25" s="60">
        <v>50000</v>
      </c>
      <c r="M25" s="61">
        <v>50000</v>
      </c>
      <c r="N25" s="60">
        <v>50000</v>
      </c>
      <c r="O25" s="48"/>
      <c r="P25" s="48"/>
      <c r="Q25" s="47"/>
      <c r="R25" s="62"/>
    </row>
    <row r="26" spans="1:18" customFormat="1" ht="15.75" x14ac:dyDescent="0.25">
      <c r="A26" s="69"/>
      <c r="B26" s="70"/>
      <c r="C26" s="65" t="s">
        <v>15</v>
      </c>
      <c r="D26" s="71">
        <f>(A25/3/2)*0.027</f>
        <v>2250</v>
      </c>
      <c r="E26" s="71">
        <f>(A25-D26)*0.027</f>
        <v>13439.25</v>
      </c>
      <c r="F26" s="71">
        <f>(A25-D25-E25)*0.027</f>
        <v>12150</v>
      </c>
      <c r="G26" s="71">
        <f>(A25-D25-E25-F25)*0.027</f>
        <v>10800</v>
      </c>
      <c r="H26" s="71">
        <f>(A25-D25-E25-F25-G25)*0.027</f>
        <v>9450</v>
      </c>
      <c r="I26" s="71">
        <f>(A25-D25-E25-F25-G25-H25)*0.027</f>
        <v>8100</v>
      </c>
      <c r="J26" s="71">
        <f>(A25-D25-E25-F25-G25-H25-I25)*0.027</f>
        <v>6750</v>
      </c>
      <c r="K26" s="71">
        <f>(A25-D25-E25-F25-G25-H25-I25-J25)*0.027</f>
        <v>5400</v>
      </c>
      <c r="L26" s="71">
        <f>(A25-D25-E25-F25-G25-H25-I25-J25-K25)*0.027</f>
        <v>4050</v>
      </c>
      <c r="M26" s="74">
        <f>(A25-D25-E25-F25-G25-H25-I25-J25-K25-L25)*0.027</f>
        <v>2700</v>
      </c>
      <c r="N26" s="71">
        <f>(A25-D25-E25-F25-G25-H25-I25-J25-K25-L25-M25)*0.027</f>
        <v>1350</v>
      </c>
      <c r="O26" s="72"/>
      <c r="P26" s="72"/>
      <c r="Q26" s="73"/>
      <c r="R26" s="75"/>
    </row>
    <row r="27" spans="1:18" customFormat="1" ht="15.75" x14ac:dyDescent="0.25">
      <c r="A27" s="44">
        <v>300000</v>
      </c>
      <c r="B27" s="45">
        <v>2021</v>
      </c>
      <c r="C27" s="9" t="s">
        <v>21</v>
      </c>
      <c r="D27" s="60"/>
      <c r="E27" s="60">
        <v>30000</v>
      </c>
      <c r="F27" s="60">
        <v>30000</v>
      </c>
      <c r="G27" s="60">
        <v>30000</v>
      </c>
      <c r="H27" s="60">
        <v>30000</v>
      </c>
      <c r="I27" s="60">
        <v>30000</v>
      </c>
      <c r="J27" s="60">
        <v>30000</v>
      </c>
      <c r="K27" s="60">
        <v>30000</v>
      </c>
      <c r="L27" s="60">
        <v>30000</v>
      </c>
      <c r="M27" s="61">
        <v>30000</v>
      </c>
      <c r="N27" s="60">
        <v>30000</v>
      </c>
      <c r="O27" s="48"/>
      <c r="P27" s="48"/>
      <c r="Q27" s="47"/>
      <c r="R27" s="62"/>
    </row>
    <row r="28" spans="1:18" customFormat="1" ht="15.75" x14ac:dyDescent="0.25">
      <c r="A28" s="69"/>
      <c r="B28" s="70"/>
      <c r="C28" s="52" t="s">
        <v>15</v>
      </c>
      <c r="D28" s="71">
        <f>(A27/3/2)*0.027</f>
        <v>1350</v>
      </c>
      <c r="E28" s="71">
        <f>(A27-D28)*0.027</f>
        <v>8063.55</v>
      </c>
      <c r="F28" s="71">
        <f>(A27-D27-E27)*0.027</f>
        <v>7290</v>
      </c>
      <c r="G28" s="71">
        <f>(A27-D27-E27-F27)*0.027</f>
        <v>6480</v>
      </c>
      <c r="H28" s="71">
        <f>(A27-D27-E27-F27-G27)*0.027</f>
        <v>5670</v>
      </c>
      <c r="I28" s="71">
        <f>(A27-D27-E27-F27-G27-H27)*0.027</f>
        <v>4860</v>
      </c>
      <c r="J28" s="71">
        <f>(A27-D27-E27-F27-G27-H27-I27)*0.027</f>
        <v>4050</v>
      </c>
      <c r="K28" s="71">
        <f>(A27-D27-E27-F27-G27-H27-I27-J27)*0.027</f>
        <v>3240</v>
      </c>
      <c r="L28" s="71">
        <f>(A27-D27-E27-F27-G27-H27-I27-J27-K27)*0.027</f>
        <v>2430</v>
      </c>
      <c r="M28" s="74">
        <f>(A27-D27-E27-F27-G27-H27-I27-J27-K27-L27)*0.027</f>
        <v>1620</v>
      </c>
      <c r="N28" s="71">
        <f>(A27-D27-E27-F27-G27-H27-I27-J27-K27-L27-M27)*0.027</f>
        <v>810</v>
      </c>
      <c r="O28" s="72"/>
      <c r="P28" s="72"/>
      <c r="Q28" s="73"/>
      <c r="R28" s="75"/>
    </row>
    <row r="29" spans="1:18" customFormat="1" ht="31.5" x14ac:dyDescent="0.25">
      <c r="A29" s="44">
        <v>700000</v>
      </c>
      <c r="B29" s="45">
        <v>2021</v>
      </c>
      <c r="C29" s="9" t="s">
        <v>22</v>
      </c>
      <c r="D29" s="60"/>
      <c r="E29" s="60">
        <v>70000</v>
      </c>
      <c r="F29" s="60">
        <v>70000</v>
      </c>
      <c r="G29" s="60">
        <v>70000</v>
      </c>
      <c r="H29" s="60">
        <v>70000</v>
      </c>
      <c r="I29" s="60">
        <v>70000</v>
      </c>
      <c r="J29" s="60">
        <v>70000</v>
      </c>
      <c r="K29" s="60">
        <v>70000</v>
      </c>
      <c r="L29" s="60">
        <v>70000</v>
      </c>
      <c r="M29" s="61">
        <v>70000</v>
      </c>
      <c r="N29" s="60">
        <v>70000</v>
      </c>
      <c r="O29" s="48"/>
      <c r="P29" s="48"/>
      <c r="Q29" s="47"/>
      <c r="R29" s="62"/>
    </row>
    <row r="30" spans="1:18" customFormat="1" ht="15.75" x14ac:dyDescent="0.25">
      <c r="A30" s="69"/>
      <c r="B30" s="70"/>
      <c r="C30" s="52" t="s">
        <v>15</v>
      </c>
      <c r="D30" s="71">
        <f>(A29/3/2)*0.027</f>
        <v>3150</v>
      </c>
      <c r="E30" s="71">
        <f>(A29-D30)*0.027</f>
        <v>18814.95</v>
      </c>
      <c r="F30" s="71">
        <f>(A29-D29-E29)*0.027</f>
        <v>17010</v>
      </c>
      <c r="G30" s="71">
        <f>(A29-D29-E29-F29)*0.027</f>
        <v>15120</v>
      </c>
      <c r="H30" s="71">
        <f>(A29-D29-E29-F29-G29)*0.027</f>
        <v>13230</v>
      </c>
      <c r="I30" s="71">
        <f>(A29-D29-E29-F29-G29-H29)*0.027</f>
        <v>11340</v>
      </c>
      <c r="J30" s="71">
        <f>(A29-D29-E29-F29-G29-H29-I29)*0.027</f>
        <v>9450</v>
      </c>
      <c r="K30" s="71">
        <f>(A29-D29-E29-F29-G29-H29-I29-J29)*0.027</f>
        <v>7560</v>
      </c>
      <c r="L30" s="71">
        <f>(A29-D29-E29-F29-G29-H29-I29-J29-K29)*0.027</f>
        <v>5670</v>
      </c>
      <c r="M30" s="74">
        <f>(A29-D29-E29-F29-G29-H29-I29-J29-K29-L29)*0.027</f>
        <v>3780</v>
      </c>
      <c r="N30" s="71">
        <f>(A29-D29-E29-F29-G29-H29-I29-J29-K29-L29-M29)*0.027</f>
        <v>1890</v>
      </c>
      <c r="O30" s="72"/>
      <c r="P30" s="72"/>
      <c r="Q30" s="73"/>
      <c r="R30" s="75"/>
    </row>
    <row r="31" spans="1:18" customFormat="1" ht="31.5" x14ac:dyDescent="0.25">
      <c r="A31" s="44">
        <v>4616217</v>
      </c>
      <c r="B31" s="45">
        <v>2021</v>
      </c>
      <c r="C31" s="9" t="s">
        <v>23</v>
      </c>
      <c r="D31" s="60"/>
      <c r="E31" s="60">
        <v>470700</v>
      </c>
      <c r="F31" s="60">
        <v>470700</v>
      </c>
      <c r="G31" s="60">
        <v>470700</v>
      </c>
      <c r="H31" s="60">
        <v>470700</v>
      </c>
      <c r="I31" s="60">
        <v>470700</v>
      </c>
      <c r="J31" s="60">
        <v>470700</v>
      </c>
      <c r="K31" s="60">
        <v>470700</v>
      </c>
      <c r="L31" s="60">
        <v>470700</v>
      </c>
      <c r="M31" s="61">
        <v>470700</v>
      </c>
      <c r="N31" s="60">
        <v>379917</v>
      </c>
      <c r="O31" s="48"/>
      <c r="P31" s="48"/>
      <c r="Q31" s="47"/>
      <c r="R31" s="62"/>
    </row>
    <row r="32" spans="1:18" customFormat="1" ht="15.75" x14ac:dyDescent="0.25">
      <c r="A32" s="50"/>
      <c r="B32" s="51"/>
      <c r="C32" s="52" t="s">
        <v>15</v>
      </c>
      <c r="D32" s="54">
        <f>(A31/3/2)*0.027</f>
        <v>20772.976500000001</v>
      </c>
      <c r="E32" s="54">
        <f>(A31-D32)*0.027</f>
        <v>124076.9886345</v>
      </c>
      <c r="F32" s="54">
        <f>(A31-D31-E31)*0.027</f>
        <v>111928.959</v>
      </c>
      <c r="G32" s="54">
        <f>(A31-D31-E31-F31)*0.027</f>
        <v>99220.058999999994</v>
      </c>
      <c r="H32" s="54">
        <f>(A31-D31-E31-F31-G31)*0.027</f>
        <v>86511.159</v>
      </c>
      <c r="I32" s="54">
        <f>(A31-D31-E31-F31-G31-H31)*0.027</f>
        <v>73802.259000000005</v>
      </c>
      <c r="J32" s="54">
        <f>(A31-D31-E31-F31-G31-H31-I31)*0.027</f>
        <v>61093.358999999997</v>
      </c>
      <c r="K32" s="54">
        <f>(A31-D31-E31-F31-G31-H31-I31-J31)*0.027</f>
        <v>48384.459000000003</v>
      </c>
      <c r="L32" s="54">
        <f>(A31-D31-E31-F31-G31-H31-I31-J31-K31)*0.027</f>
        <v>35675.559000000001</v>
      </c>
      <c r="M32" s="55">
        <f>(A31-D31-E31-F31-G31-H31-I31-J31-K31-L31)*0.027</f>
        <v>22966.659</v>
      </c>
      <c r="N32" s="54">
        <f>(A31-D31-E31-F31-G31-H31-I31-J31-K31-L31-M31)*0.027</f>
        <v>10257.759</v>
      </c>
      <c r="O32" s="56"/>
      <c r="P32" s="56"/>
      <c r="Q32" s="57"/>
      <c r="R32" s="75"/>
    </row>
    <row r="33" spans="1:18" customFormat="1" ht="47.25" x14ac:dyDescent="0.25">
      <c r="A33" s="76">
        <v>2698915</v>
      </c>
      <c r="B33" s="77">
        <v>2021</v>
      </c>
      <c r="C33" s="46" t="s">
        <v>24</v>
      </c>
      <c r="D33" s="78">
        <v>0</v>
      </c>
      <c r="E33" s="78">
        <v>200000</v>
      </c>
      <c r="F33" s="78">
        <f>418600-218600</f>
        <v>200000</v>
      </c>
      <c r="G33" s="78">
        <f>418600-218600</f>
        <v>200000</v>
      </c>
      <c r="H33" s="78">
        <v>300000</v>
      </c>
      <c r="I33" s="78">
        <f>418600-118600</f>
        <v>300000</v>
      </c>
      <c r="J33" s="78">
        <v>300000</v>
      </c>
      <c r="K33" s="78">
        <v>300000</v>
      </c>
      <c r="L33" s="78">
        <v>300000</v>
      </c>
      <c r="M33" s="79">
        <v>300000</v>
      </c>
      <c r="N33" s="78">
        <v>298915</v>
      </c>
      <c r="O33" s="79"/>
      <c r="P33" s="79"/>
      <c r="Q33" s="78"/>
      <c r="R33" s="31"/>
    </row>
    <row r="34" spans="1:18" customFormat="1" ht="15.75" x14ac:dyDescent="0.25">
      <c r="A34" s="69"/>
      <c r="B34" s="70"/>
      <c r="C34" s="52" t="s">
        <v>15</v>
      </c>
      <c r="D34" s="73">
        <f>(A33/3/2)*0.027</f>
        <v>12145.1175</v>
      </c>
      <c r="E34" s="73">
        <f>(A33-D34)*0.027</f>
        <v>72542.786827499993</v>
      </c>
      <c r="F34" s="73">
        <f>(A33-E33)*0.027</f>
        <v>67470.705000000002</v>
      </c>
      <c r="G34" s="73">
        <f>(A33-E33-F33)*0.027</f>
        <v>62070.705000000002</v>
      </c>
      <c r="H34" s="73">
        <f>(A33-E33-F33-G33)*0.027</f>
        <v>56670.705000000002</v>
      </c>
      <c r="I34" s="73">
        <f>(A33-E33-F33-G33-H33)*0.027</f>
        <v>48570.705000000002</v>
      </c>
      <c r="J34" s="73">
        <f>(A33-E33-F33-G33-H33-I33)*0.027</f>
        <v>40470.705000000002</v>
      </c>
      <c r="K34" s="72">
        <f>(A33-E33-F33-G33-H33-I33-J33)*0.027</f>
        <v>32370.704999999998</v>
      </c>
      <c r="L34" s="72">
        <f>(A33-E33-F33-G33-H33-I33-J33-K33)*0.027</f>
        <v>24270.704999999998</v>
      </c>
      <c r="M34" s="72">
        <f>(A33-E33-F33-G33-H33-I33-J33-K33-L33)*0.027</f>
        <v>16170.705</v>
      </c>
      <c r="N34" s="73">
        <f>(A33-E33-F33-G33-H33-I33-J33-K33-L33-M33)*0.027</f>
        <v>8070.7049999999999</v>
      </c>
      <c r="O34" s="72"/>
      <c r="P34" s="72"/>
      <c r="Q34" s="80"/>
      <c r="R34" s="81"/>
    </row>
    <row r="35" spans="1:18" customFormat="1" ht="47.25" x14ac:dyDescent="0.25">
      <c r="A35" s="76">
        <v>1566060</v>
      </c>
      <c r="B35" s="77" t="s">
        <v>13</v>
      </c>
      <c r="C35" s="46" t="s">
        <v>25</v>
      </c>
      <c r="D35" s="78">
        <v>0</v>
      </c>
      <c r="E35" s="78">
        <f>236100-123300-7900+7400+3200-32200</f>
        <v>83300</v>
      </c>
      <c r="F35" s="78">
        <f>236100-123300-7900+7400+3200-32200</f>
        <v>83300</v>
      </c>
      <c r="G35" s="78">
        <f>236100-123300-7900+7400+3200-32200</f>
        <v>83300</v>
      </c>
      <c r="H35" s="78">
        <f>236100-123200-8000+7400+3200-32200</f>
        <v>83300</v>
      </c>
      <c r="I35" s="78">
        <v>160000</v>
      </c>
      <c r="J35" s="78">
        <f>236100+7400+3200-32200</f>
        <v>214500</v>
      </c>
      <c r="K35" s="78">
        <f>236100+7400+3200-32200</f>
        <v>214500</v>
      </c>
      <c r="L35" s="78">
        <f>236100+7400+3200-32200</f>
        <v>214500</v>
      </c>
      <c r="M35" s="79">
        <f>236100+7400+3200-32300</f>
        <v>214400</v>
      </c>
      <c r="N35" s="78">
        <v>214960</v>
      </c>
      <c r="O35" s="79"/>
      <c r="P35" s="79"/>
      <c r="Q35" s="78"/>
      <c r="R35" s="31"/>
    </row>
    <row r="36" spans="1:18" customFormat="1" ht="15.75" x14ac:dyDescent="0.25">
      <c r="A36" s="69"/>
      <c r="B36" s="70"/>
      <c r="C36" s="52" t="s">
        <v>26</v>
      </c>
      <c r="D36" s="73">
        <v>17754</v>
      </c>
      <c r="E36" s="73">
        <f>(A35-D35)*0.027-8699</f>
        <v>33584.620000000003</v>
      </c>
      <c r="F36" s="73">
        <f>(A35-D35-E35)*0.027-7829</f>
        <v>32205.519999999997</v>
      </c>
      <c r="G36" s="73">
        <f>(A35-D35-E35-F35)*0.027-6960</f>
        <v>30825.42</v>
      </c>
      <c r="H36" s="73">
        <f>(A35-D35-E35-F35-G35)*0.027-6091</f>
        <v>29445.32</v>
      </c>
      <c r="I36" s="72">
        <f>(A35-D35-E35-F35-G35-H35)*0.027-5221</f>
        <v>28066.22</v>
      </c>
      <c r="J36" s="72">
        <f>(A35-D35-E35-F35-G35-H35-I35)*0.027-4352</f>
        <v>24615.22</v>
      </c>
      <c r="K36" s="72">
        <f>(A35-D35-E35-F35-G35-H35-I35-J35)*0.027-3482</f>
        <v>19693.72</v>
      </c>
      <c r="L36" s="72">
        <f>(A35-D35-E35-F35-G35-H35-I35-J35-K35)*0.027-2613</f>
        <v>14771.220000000001</v>
      </c>
      <c r="M36" s="72">
        <f>(A35-D35-E35-F35-G35-H35-I35-J35-K35-L35)*0.027-1744</f>
        <v>9848.7199999999993</v>
      </c>
      <c r="N36" s="73">
        <f>(A35-D35-E35-F35-G35-H35-I35-J35-K35-L35-M35)*0.027-871</f>
        <v>4932.92</v>
      </c>
      <c r="O36" s="72"/>
      <c r="P36" s="72"/>
      <c r="Q36" s="73"/>
      <c r="R36" s="81"/>
    </row>
    <row r="37" spans="1:18" customFormat="1" ht="47.25" x14ac:dyDescent="0.25">
      <c r="A37" s="76">
        <v>1501689</v>
      </c>
      <c r="B37" s="77" t="s">
        <v>13</v>
      </c>
      <c r="C37" s="46" t="s">
        <v>27</v>
      </c>
      <c r="D37" s="79">
        <v>0</v>
      </c>
      <c r="E37" s="79">
        <v>0</v>
      </c>
      <c r="F37" s="79">
        <v>100000</v>
      </c>
      <c r="G37" s="79">
        <v>100000</v>
      </c>
      <c r="H37" s="79">
        <v>100000</v>
      </c>
      <c r="I37" s="79">
        <v>150000</v>
      </c>
      <c r="J37" s="79">
        <v>150500</v>
      </c>
      <c r="K37" s="79">
        <v>150500</v>
      </c>
      <c r="L37" s="79">
        <v>150500</v>
      </c>
      <c r="M37" s="79">
        <v>200000</v>
      </c>
      <c r="N37" s="78">
        <v>200000</v>
      </c>
      <c r="O37" s="79">
        <v>200189</v>
      </c>
      <c r="P37" s="79"/>
      <c r="Q37" s="78"/>
      <c r="R37" s="31"/>
    </row>
    <row r="38" spans="1:18" customFormat="1" ht="15.75" x14ac:dyDescent="0.25">
      <c r="A38" s="69"/>
      <c r="B38" s="70"/>
      <c r="C38" s="52" t="s">
        <v>15</v>
      </c>
      <c r="D38" s="72">
        <f>(A37/3/2)*0.027</f>
        <v>6757.6004999999996</v>
      </c>
      <c r="E38" s="72">
        <f>(D38+A37/2)*0.027</f>
        <v>20455.256713499999</v>
      </c>
      <c r="F38" s="72">
        <f>(A37-E37)*0.027</f>
        <v>40545.603000000003</v>
      </c>
      <c r="G38" s="72">
        <f>(A37-E37-F37)*0.027</f>
        <v>37845.603000000003</v>
      </c>
      <c r="H38" s="72">
        <f>(A37-E37-F37-G37)*0.027</f>
        <v>35145.603000000003</v>
      </c>
      <c r="I38" s="72">
        <f>(A37-E37-F37-G37-H37)*0.027</f>
        <v>32445.602999999999</v>
      </c>
      <c r="J38" s="72">
        <f>(A37-E37-F37-G37-H37-I37)*0.027</f>
        <v>28395.602999999999</v>
      </c>
      <c r="K38" s="72">
        <f>(A37-E37-F37-G37-H37-I37-J37)*0.027</f>
        <v>24332.102999999999</v>
      </c>
      <c r="L38" s="72">
        <f>(A37-E37-F37-G37-H37-I37-J37-K37)*0.027</f>
        <v>20268.602999999999</v>
      </c>
      <c r="M38" s="72">
        <f>(A37-E37-F37-G37-H37-I37-J37-K37-L37)*0.027</f>
        <v>16205.102999999999</v>
      </c>
      <c r="N38" s="73">
        <f>(A37-E37-F37-G37-H37-I37-J37-K37-L37-M37)*0.027</f>
        <v>10805.102999999999</v>
      </c>
      <c r="O38" s="73">
        <f>(A37-E37-F37-G37-H37-I37-J37-K37-L37-M37-N37)*0.027</f>
        <v>5405.1030000000001</v>
      </c>
      <c r="P38" s="73"/>
      <c r="Q38" s="73"/>
      <c r="R38" s="81"/>
    </row>
    <row r="39" spans="1:18" customFormat="1" ht="47.25" x14ac:dyDescent="0.25">
      <c r="A39" s="76">
        <v>365539</v>
      </c>
      <c r="B39" s="77">
        <v>2022</v>
      </c>
      <c r="C39" s="46" t="s">
        <v>28</v>
      </c>
      <c r="D39" s="48">
        <v>0</v>
      </c>
      <c r="E39" s="82">
        <v>0</v>
      </c>
      <c r="F39" s="78">
        <v>36550</v>
      </c>
      <c r="G39" s="78">
        <v>36550</v>
      </c>
      <c r="H39" s="78">
        <v>36550</v>
      </c>
      <c r="I39" s="78">
        <v>36550</v>
      </c>
      <c r="J39" s="78">
        <v>36550</v>
      </c>
      <c r="K39" s="78">
        <v>36550</v>
      </c>
      <c r="L39" s="79">
        <v>36550</v>
      </c>
      <c r="M39" s="79">
        <v>36550</v>
      </c>
      <c r="N39" s="79">
        <v>36550</v>
      </c>
      <c r="O39" s="78">
        <v>36589</v>
      </c>
      <c r="P39" s="79"/>
      <c r="Q39" s="78"/>
      <c r="R39" s="83"/>
    </row>
    <row r="40" spans="1:18" customFormat="1" ht="15.75" x14ac:dyDescent="0.25">
      <c r="A40" s="69"/>
      <c r="B40" s="70"/>
      <c r="C40" s="52" t="s">
        <v>15</v>
      </c>
      <c r="D40" s="72"/>
      <c r="E40" s="72">
        <f>(D40+A39/2)*0.027</f>
        <v>4934.7764999999999</v>
      </c>
      <c r="F40" s="73">
        <f>(A39-D39)*0.027</f>
        <v>9869.5529999999999</v>
      </c>
      <c r="G40" s="73">
        <f>(A39-D39-F39)*0.027</f>
        <v>8882.7029999999995</v>
      </c>
      <c r="H40" s="73">
        <f>(A39-D39-F39-G39)*0.027</f>
        <v>7895.8530000000001</v>
      </c>
      <c r="I40" s="73">
        <f>(A39-D39-F39-G39-H39)*0.027</f>
        <v>6909.0029999999997</v>
      </c>
      <c r="J40" s="73">
        <f>(A39-D39-F39-G39-H39-I39)*0.027</f>
        <v>5922.1530000000002</v>
      </c>
      <c r="K40" s="73">
        <f>(A39-D39-F39-G39-H39-I39-J39)*0.027</f>
        <v>4935.3029999999999</v>
      </c>
      <c r="L40" s="72">
        <f>(A39-D39-F39-G39-H39-I39-J39-K39)*0.027</f>
        <v>3948.453</v>
      </c>
      <c r="M40" s="72">
        <f>(A39-D39-F39-G39-H39-I39-J39-K39-L39)*0.027</f>
        <v>2961.6030000000001</v>
      </c>
      <c r="N40" s="72">
        <f>(A39-D39-F39-G39-H39-I39-J39-K39-L39-M39)*0.027</f>
        <v>1974.7529999999999</v>
      </c>
      <c r="O40" s="73">
        <f>(A39-D39-F39-G39-H39-I39-J39-K39-L39-M39-N39)*0.027</f>
        <v>987.90300000000002</v>
      </c>
      <c r="P40" s="72"/>
      <c r="Q40" s="73"/>
      <c r="R40" s="31"/>
    </row>
    <row r="41" spans="1:18" customFormat="1" ht="15.75" x14ac:dyDescent="0.25">
      <c r="A41" s="44">
        <v>7000000</v>
      </c>
      <c r="B41" s="45" t="s">
        <v>13</v>
      </c>
      <c r="C41" s="9" t="s">
        <v>29</v>
      </c>
      <c r="D41" s="48"/>
      <c r="E41" s="48"/>
      <c r="F41" s="48">
        <v>350000</v>
      </c>
      <c r="G41" s="48">
        <v>350000</v>
      </c>
      <c r="H41" s="48">
        <v>350000</v>
      </c>
      <c r="I41" s="48">
        <v>350000</v>
      </c>
      <c r="J41" s="48">
        <v>350000</v>
      </c>
      <c r="K41" s="48">
        <v>350000</v>
      </c>
      <c r="L41" s="48">
        <v>350000</v>
      </c>
      <c r="M41" s="48">
        <v>350000</v>
      </c>
      <c r="N41" s="47">
        <v>350000</v>
      </c>
      <c r="O41" s="48">
        <v>350000</v>
      </c>
      <c r="P41" s="48">
        <v>350000</v>
      </c>
      <c r="Q41" s="47">
        <v>350000</v>
      </c>
      <c r="R41" s="83">
        <f>3850000-350000-350000-350000+350000-350000</f>
        <v>2800000</v>
      </c>
    </row>
    <row r="42" spans="1:18" customFormat="1" ht="15.75" x14ac:dyDescent="0.25">
      <c r="A42" s="84"/>
      <c r="B42" s="85"/>
      <c r="C42" s="86" t="s">
        <v>26</v>
      </c>
      <c r="D42" s="87">
        <f>(A41/3/2)*0.027</f>
        <v>31500</v>
      </c>
      <c r="E42" s="87">
        <f>(D42+A41/2)*0.027</f>
        <v>95350.5</v>
      </c>
      <c r="F42" s="87">
        <f>(A41-E41)*0.027</f>
        <v>189000</v>
      </c>
      <c r="G42" s="87">
        <f>(A41-E41-F41)*0.027</f>
        <v>179550</v>
      </c>
      <c r="H42" s="87">
        <f>(A41-E41-F41-G41)*0.027</f>
        <v>170100</v>
      </c>
      <c r="I42" s="87">
        <f>(A41-E41-F41-G41-H41)*0.027</f>
        <v>160650</v>
      </c>
      <c r="J42" s="87">
        <f>(A41-E41-F41-G41-H41-I41)*0.027</f>
        <v>151200</v>
      </c>
      <c r="K42" s="87">
        <f>(A41-E41-F41-G41-H41-I41-J41)*0.027</f>
        <v>141750</v>
      </c>
      <c r="L42" s="87">
        <f>(A41-E41-F41-G41-H41-I41-J41-K41)*0.027</f>
        <v>132300</v>
      </c>
      <c r="M42" s="87">
        <f>(A41-E41-F41-G41-H41-I41-J41-K41-L41)*0.027</f>
        <v>122850</v>
      </c>
      <c r="N42" s="88">
        <f>(A41-E41-F41-G41-H41-I41-J41-K41-L41-M41)*0.027</f>
        <v>113400</v>
      </c>
      <c r="O42" s="87">
        <f>SUM(A41-E41-F41-G41-H41-I41-J41-K41-L41-M41-N41)*0.027</f>
        <v>103950</v>
      </c>
      <c r="P42" s="87">
        <f>SUM(A41-E41-F41-G41-H41-I41-J41-K41-L41-M41-N41-O41)*0.027</f>
        <v>94500</v>
      </c>
      <c r="Q42" s="88">
        <f>SUM(A41-F41-G41-H41-I41-J41-K41-L41-M41-N41-O41-P41)*0.027</f>
        <v>85050</v>
      </c>
      <c r="R42" s="81">
        <f>519750-94500-85050+189000+179550-94500</f>
        <v>614250</v>
      </c>
    </row>
    <row r="43" spans="1:18" s="89" customFormat="1" ht="67.5" customHeight="1" x14ac:dyDescent="0.25">
      <c r="A43" s="44">
        <f>2469793+1151439</f>
        <v>3621232</v>
      </c>
      <c r="B43" s="45" t="s">
        <v>13</v>
      </c>
      <c r="C43" s="9" t="s">
        <v>30</v>
      </c>
      <c r="D43" s="61">
        <v>0</v>
      </c>
      <c r="E43" s="60">
        <v>0</v>
      </c>
      <c r="F43" s="60">
        <f t="shared" ref="F43:N43" si="7">247000+123000</f>
        <v>370000</v>
      </c>
      <c r="G43" s="60">
        <f t="shared" si="7"/>
        <v>370000</v>
      </c>
      <c r="H43" s="60">
        <f t="shared" si="7"/>
        <v>370000</v>
      </c>
      <c r="I43" s="60">
        <f t="shared" si="7"/>
        <v>370000</v>
      </c>
      <c r="J43" s="60">
        <f t="shared" si="7"/>
        <v>370000</v>
      </c>
      <c r="K43" s="60">
        <f t="shared" si="7"/>
        <v>370000</v>
      </c>
      <c r="L43" s="60">
        <f t="shared" si="7"/>
        <v>370000</v>
      </c>
      <c r="M43" s="60">
        <f t="shared" si="7"/>
        <v>370000</v>
      </c>
      <c r="N43" s="60">
        <f t="shared" si="7"/>
        <v>370000</v>
      </c>
      <c r="O43" s="61">
        <f>246793+44439</f>
        <v>291232</v>
      </c>
      <c r="P43" s="61"/>
      <c r="Q43" s="60"/>
      <c r="R43" s="62"/>
    </row>
    <row r="44" spans="1:18" s="89" customFormat="1" ht="15.75" x14ac:dyDescent="0.25">
      <c r="A44" s="69"/>
      <c r="B44" s="90"/>
      <c r="C44" s="52" t="s">
        <v>15</v>
      </c>
      <c r="D44" s="73">
        <v>33031</v>
      </c>
      <c r="E44" s="73">
        <f>(D44+(A43/2))*0.027</f>
        <v>49778.468999999997</v>
      </c>
      <c r="F44" s="71">
        <f>(A43-D43-E43)*0.027</f>
        <v>97773.263999999996</v>
      </c>
      <c r="G44" s="71">
        <f>(A43-D43-E43-F43)*0.027</f>
        <v>87783.263999999996</v>
      </c>
      <c r="H44" s="71">
        <f>(A43-D43-E43-F43-G43)*0.027</f>
        <v>77793.263999999996</v>
      </c>
      <c r="I44" s="74">
        <f>(A43-D43-E43-F43-G43-H43)*0.027</f>
        <v>67803.263999999996</v>
      </c>
      <c r="J44" s="71">
        <v>94069</v>
      </c>
      <c r="K44" s="74">
        <f>(A43-D43-E43-F43-G43-H43-I43-J43)*0.027</f>
        <v>47823.264000000003</v>
      </c>
      <c r="L44" s="71">
        <f>(A43-D43-E43-F43-G43-H43-I43-J43-K43)*0.027</f>
        <v>37833.264000000003</v>
      </c>
      <c r="M44" s="74">
        <f>(A43-D43-E43-F43-G43-H43-I43-J43-K43-L43)*0.027</f>
        <v>27843.263999999999</v>
      </c>
      <c r="N44" s="71">
        <f>(A43-D43-E43-F43-G43-H43-I43-J43-K43-L43-M43)*0.027</f>
        <v>17853.263999999999</v>
      </c>
      <c r="O44" s="74">
        <f>(A43-F43-G43-H43-I43-J43-K43-L43-M43-N43)*0.027</f>
        <v>7863.2640000000001</v>
      </c>
      <c r="P44" s="74"/>
      <c r="Q44" s="71"/>
      <c r="R44" s="75"/>
    </row>
    <row r="45" spans="1:18" s="89" customFormat="1" ht="31.5" x14ac:dyDescent="0.25">
      <c r="A45" s="44">
        <f>21000000+12000000+3775324+62896000-62896000-10000000</f>
        <v>26775324</v>
      </c>
      <c r="B45" s="45" t="s">
        <v>31</v>
      </c>
      <c r="C45" s="9" t="s">
        <v>32</v>
      </c>
      <c r="D45" s="47">
        <v>1000000</v>
      </c>
      <c r="E45" s="47">
        <v>1000000</v>
      </c>
      <c r="F45" s="47">
        <v>900000</v>
      </c>
      <c r="G45" s="47">
        <v>900000</v>
      </c>
      <c r="H45" s="47">
        <v>1600000</v>
      </c>
      <c r="I45" s="47">
        <v>1700000</v>
      </c>
      <c r="J45" s="47">
        <v>1800000</v>
      </c>
      <c r="K45" s="47">
        <v>1900000</v>
      </c>
      <c r="L45" s="47">
        <v>2000000</v>
      </c>
      <c r="M45" s="47">
        <v>2000000</v>
      </c>
      <c r="N45" s="47">
        <v>2000000</v>
      </c>
      <c r="O45" s="47">
        <v>2100000</v>
      </c>
      <c r="P45" s="47">
        <v>2600000</v>
      </c>
      <c r="Q45" s="47">
        <f>2600000</f>
        <v>2600000</v>
      </c>
      <c r="R45" s="62">
        <v>2675324</v>
      </c>
    </row>
    <row r="46" spans="1:18" s="89" customFormat="1" ht="18" customHeight="1" thickBot="1" x14ac:dyDescent="0.25">
      <c r="A46" s="69"/>
      <c r="B46" s="70"/>
      <c r="C46" s="70"/>
      <c r="D46" s="73">
        <v>300000</v>
      </c>
      <c r="E46" s="72">
        <v>300000</v>
      </c>
      <c r="F46" s="73">
        <v>200000</v>
      </c>
      <c r="G46" s="73">
        <v>200000</v>
      </c>
      <c r="H46" s="73">
        <f>(A45-D45-E45-F45-G45)*0.027</f>
        <v>620333.74800000002</v>
      </c>
      <c r="I46" s="73">
        <f>(A45-D45-E45-F45-G45-H45)*0.027</f>
        <v>577133.74800000002</v>
      </c>
      <c r="J46" s="73">
        <f>(A45-D45-E45-F45-G45-H45-I45)*0.027</f>
        <v>531233.74800000002</v>
      </c>
      <c r="K46" s="72">
        <f>(A45-D45-E45-F45-G45-H45-I45-J45)*0.027</f>
        <v>482633.74800000002</v>
      </c>
      <c r="L46" s="72">
        <f>(A45-D45-E45-F45-G45-H45-I45-J45-K45)*0.027</f>
        <v>431333.74800000002</v>
      </c>
      <c r="M46" s="72">
        <f>(A45-D45-E45-F45-G45-H45-I45-J45-K45-L45)*0.027</f>
        <v>377333.74800000002</v>
      </c>
      <c r="N46" s="72">
        <f>(A45-D45-E45-F45-G45-H45-I45-J45-K45-L45-M45)*0.027</f>
        <v>323333.74800000002</v>
      </c>
      <c r="O46" s="72">
        <f>(A45-D45-E45-F45-G45-H45-I45-J45-K45-L45-M45-N45)*0.027</f>
        <v>269333.74800000002</v>
      </c>
      <c r="P46" s="72">
        <f>(A45-D45-E45-F45-G45-H45-I45-J45-K45-L45-M45-N45-O45)*0.027</f>
        <v>212633.74799999999</v>
      </c>
      <c r="Q46" s="73">
        <f>135028</f>
        <v>135028</v>
      </c>
      <c r="R46" s="75">
        <v>67511</v>
      </c>
    </row>
    <row r="47" spans="1:18" customFormat="1" ht="22.5" customHeight="1" thickBot="1" x14ac:dyDescent="0.25">
      <c r="A47" s="91">
        <f>SUM(A48:A99)</f>
        <v>63573566.289999999</v>
      </c>
      <c r="B47" s="92"/>
      <c r="C47" s="93" t="s">
        <v>33</v>
      </c>
      <c r="D47" s="94">
        <f t="shared" ref="D47:R47" si="8">SUM(D48:D99)</f>
        <v>6866007</v>
      </c>
      <c r="E47" s="94">
        <f t="shared" si="8"/>
        <v>6971309</v>
      </c>
      <c r="F47" s="94">
        <f t="shared" si="8"/>
        <v>6453964</v>
      </c>
      <c r="G47" s="94">
        <f t="shared" si="8"/>
        <v>6307446</v>
      </c>
      <c r="H47" s="94">
        <f t="shared" si="8"/>
        <v>3603027</v>
      </c>
      <c r="I47" s="94">
        <f t="shared" si="8"/>
        <v>2738977</v>
      </c>
      <c r="J47" s="94">
        <f t="shared" si="8"/>
        <v>2292278.29</v>
      </c>
      <c r="K47" s="94">
        <f t="shared" si="8"/>
        <v>2110808</v>
      </c>
      <c r="L47" s="94">
        <f t="shared" si="8"/>
        <v>1720553</v>
      </c>
      <c r="M47" s="94">
        <f t="shared" si="8"/>
        <v>1345846</v>
      </c>
      <c r="N47" s="94">
        <f t="shared" si="8"/>
        <v>1135425</v>
      </c>
      <c r="O47" s="94">
        <f t="shared" si="8"/>
        <v>1058999</v>
      </c>
      <c r="P47" s="94">
        <f t="shared" si="8"/>
        <v>1106163</v>
      </c>
      <c r="Q47" s="94">
        <f t="shared" si="8"/>
        <v>334842</v>
      </c>
      <c r="R47" s="95">
        <f t="shared" si="8"/>
        <v>216389</v>
      </c>
    </row>
    <row r="48" spans="1:18" s="89" customFormat="1" ht="50.25" customHeight="1" x14ac:dyDescent="0.25">
      <c r="A48" s="96">
        <v>2148174</v>
      </c>
      <c r="B48" s="97" t="s">
        <v>34</v>
      </c>
      <c r="C48" s="97" t="s">
        <v>35</v>
      </c>
      <c r="D48" s="98">
        <v>241890</v>
      </c>
      <c r="E48" s="99">
        <v>170377</v>
      </c>
      <c r="F48" s="98"/>
      <c r="G48" s="99"/>
      <c r="H48" s="99"/>
      <c r="I48" s="48"/>
      <c r="J48" s="48"/>
      <c r="K48" s="48"/>
      <c r="L48" s="48"/>
      <c r="M48" s="48"/>
      <c r="N48" s="47"/>
      <c r="O48" s="48"/>
      <c r="P48" s="48"/>
      <c r="Q48" s="47"/>
      <c r="R48" s="62"/>
    </row>
    <row r="49" spans="1:18" s="89" customFormat="1" ht="15.75" x14ac:dyDescent="0.25">
      <c r="A49" s="100"/>
      <c r="B49" s="101"/>
      <c r="C49" s="102" t="s">
        <v>36</v>
      </c>
      <c r="D49" s="103">
        <v>7557</v>
      </c>
      <c r="E49" s="103">
        <v>3123</v>
      </c>
      <c r="F49" s="104"/>
      <c r="G49" s="103"/>
      <c r="H49" s="103"/>
      <c r="I49" s="87"/>
      <c r="J49" s="87"/>
      <c r="K49" s="87"/>
      <c r="L49" s="87"/>
      <c r="M49" s="87"/>
      <c r="N49" s="88"/>
      <c r="O49" s="87"/>
      <c r="P49" s="87"/>
      <c r="Q49" s="88"/>
      <c r="R49" s="105"/>
    </row>
    <row r="50" spans="1:18" s="89" customFormat="1" ht="47.25" x14ac:dyDescent="0.25">
      <c r="A50" s="96">
        <v>1244225</v>
      </c>
      <c r="B50" s="97" t="s">
        <v>37</v>
      </c>
      <c r="C50" s="97" t="s">
        <v>38</v>
      </c>
      <c r="D50" s="99">
        <v>82989</v>
      </c>
      <c r="E50" s="99">
        <v>16668</v>
      </c>
      <c r="F50" s="98"/>
      <c r="G50" s="99"/>
      <c r="H50" s="99"/>
      <c r="I50" s="48"/>
      <c r="J50" s="48"/>
      <c r="K50" s="48"/>
      <c r="L50" s="48"/>
      <c r="M50" s="48"/>
      <c r="N50" s="47"/>
      <c r="O50" s="48"/>
      <c r="P50" s="48"/>
      <c r="Q50" s="47"/>
      <c r="R50" s="62"/>
    </row>
    <row r="51" spans="1:18" s="89" customFormat="1" ht="15.75" x14ac:dyDescent="0.25">
      <c r="A51" s="100"/>
      <c r="B51" s="101"/>
      <c r="C51" s="102" t="s">
        <v>39</v>
      </c>
      <c r="D51" s="103">
        <v>2691</v>
      </c>
      <c r="E51" s="103">
        <v>450</v>
      </c>
      <c r="F51" s="104"/>
      <c r="G51" s="103"/>
      <c r="H51" s="103"/>
      <c r="I51" s="87"/>
      <c r="J51" s="87"/>
      <c r="K51" s="87"/>
      <c r="L51" s="87"/>
      <c r="M51" s="87"/>
      <c r="N51" s="88"/>
      <c r="O51" s="87"/>
      <c r="P51" s="87"/>
      <c r="Q51" s="88"/>
      <c r="R51" s="75"/>
    </row>
    <row r="52" spans="1:18" s="89" customFormat="1" ht="51" customHeight="1" x14ac:dyDescent="0.25">
      <c r="A52" s="44">
        <v>12083954</v>
      </c>
      <c r="B52" s="45" t="s">
        <v>40</v>
      </c>
      <c r="C52" s="45" t="s">
        <v>41</v>
      </c>
      <c r="D52" s="99">
        <v>669388</v>
      </c>
      <c r="E52" s="99">
        <v>669388</v>
      </c>
      <c r="F52" s="99">
        <v>669388</v>
      </c>
      <c r="G52" s="99">
        <v>669388</v>
      </c>
      <c r="H52" s="99">
        <v>669388</v>
      </c>
      <c r="I52" s="99">
        <v>669388</v>
      </c>
      <c r="J52" s="99">
        <v>669388</v>
      </c>
      <c r="K52" s="99">
        <v>669388</v>
      </c>
      <c r="L52" s="99">
        <v>669388</v>
      </c>
      <c r="M52" s="98">
        <v>669388</v>
      </c>
      <c r="N52" s="99">
        <v>669388</v>
      </c>
      <c r="O52" s="98">
        <v>669388</v>
      </c>
      <c r="P52" s="48">
        <f>2056851-669388-669388</f>
        <v>718075</v>
      </c>
      <c r="Q52" s="47"/>
      <c r="R52" s="62"/>
    </row>
    <row r="53" spans="1:18" s="89" customFormat="1" ht="15.75" x14ac:dyDescent="0.25">
      <c r="A53" s="84"/>
      <c r="B53" s="85">
        <v>2016</v>
      </c>
      <c r="C53" s="106" t="s">
        <v>42</v>
      </c>
      <c r="D53" s="88">
        <v>236269</v>
      </c>
      <c r="E53" s="88">
        <v>218196</v>
      </c>
      <c r="F53" s="88">
        <v>200122</v>
      </c>
      <c r="G53" s="88">
        <v>182049</v>
      </c>
      <c r="H53" s="88">
        <v>163976</v>
      </c>
      <c r="I53" s="88">
        <v>145902</v>
      </c>
      <c r="J53" s="88">
        <v>127829</v>
      </c>
      <c r="K53" s="88">
        <v>109755</v>
      </c>
      <c r="L53" s="88">
        <v>91682</v>
      </c>
      <c r="M53" s="87">
        <v>73608</v>
      </c>
      <c r="N53" s="88">
        <v>55535</v>
      </c>
      <c r="O53" s="87">
        <v>37461</v>
      </c>
      <c r="P53" s="87">
        <f>137587-55535-37461</f>
        <v>44591</v>
      </c>
      <c r="Q53" s="88"/>
      <c r="R53" s="105"/>
    </row>
    <row r="54" spans="1:18" s="89" customFormat="1" ht="15.75" x14ac:dyDescent="0.25">
      <c r="A54" s="96">
        <v>2985430</v>
      </c>
      <c r="B54" s="97" t="s">
        <v>43</v>
      </c>
      <c r="C54" s="97" t="s">
        <v>44</v>
      </c>
      <c r="D54" s="99">
        <v>376289</v>
      </c>
      <c r="E54" s="47">
        <v>562083</v>
      </c>
      <c r="F54" s="48">
        <v>27516</v>
      </c>
      <c r="G54" s="47">
        <v>27509</v>
      </c>
      <c r="H54" s="47"/>
      <c r="I54" s="48"/>
      <c r="J54" s="48"/>
      <c r="K54" s="48"/>
      <c r="L54" s="48"/>
      <c r="M54" s="48"/>
      <c r="N54" s="47"/>
      <c r="O54" s="48"/>
      <c r="P54" s="48"/>
      <c r="Q54" s="47"/>
      <c r="R54" s="62"/>
    </row>
    <row r="55" spans="1:18" s="89" customFormat="1" ht="18" customHeight="1" thickBot="1" x14ac:dyDescent="0.25">
      <c r="A55" s="100"/>
      <c r="B55" s="107"/>
      <c r="C55" s="102" t="s">
        <v>45</v>
      </c>
      <c r="D55" s="103">
        <v>26822</v>
      </c>
      <c r="E55" s="88">
        <v>16662</v>
      </c>
      <c r="F55" s="87">
        <v>1486</v>
      </c>
      <c r="G55" s="88">
        <v>743</v>
      </c>
      <c r="H55" s="88"/>
      <c r="I55" s="87"/>
      <c r="J55" s="87"/>
      <c r="K55" s="87"/>
      <c r="L55" s="87"/>
      <c r="M55" s="87"/>
      <c r="N55" s="88"/>
      <c r="O55" s="87"/>
      <c r="P55" s="87"/>
      <c r="Q55" s="88"/>
      <c r="R55" s="75"/>
    </row>
    <row r="56" spans="1:18" s="89" customFormat="1" ht="63" x14ac:dyDescent="0.25">
      <c r="A56" s="44">
        <v>2178272</v>
      </c>
      <c r="B56" s="45" t="s">
        <v>46</v>
      </c>
      <c r="C56" s="45" t="s">
        <v>47</v>
      </c>
      <c r="D56" s="47">
        <v>262540</v>
      </c>
      <c r="E56" s="47">
        <v>207540</v>
      </c>
      <c r="F56" s="48">
        <v>209457</v>
      </c>
      <c r="G56" s="47">
        <v>189171</v>
      </c>
      <c r="H56" s="47">
        <v>33517</v>
      </c>
      <c r="I56" s="48"/>
      <c r="J56" s="48"/>
      <c r="K56" s="48"/>
      <c r="L56" s="48"/>
      <c r="M56" s="48"/>
      <c r="N56" s="47"/>
      <c r="O56" s="48"/>
      <c r="P56" s="48"/>
      <c r="Q56" s="47"/>
      <c r="R56" s="62"/>
    </row>
    <row r="57" spans="1:18" s="89" customFormat="1" ht="15.75" x14ac:dyDescent="0.25">
      <c r="A57" s="84"/>
      <c r="B57" s="85"/>
      <c r="C57" s="106" t="s">
        <v>15</v>
      </c>
      <c r="D57" s="88">
        <v>24360</v>
      </c>
      <c r="E57" s="88">
        <v>17271</v>
      </c>
      <c r="F57" s="87">
        <v>11668</v>
      </c>
      <c r="G57" s="87">
        <v>6013</v>
      </c>
      <c r="H57" s="87">
        <v>905</v>
      </c>
      <c r="I57" s="87"/>
      <c r="J57" s="87"/>
      <c r="K57" s="87"/>
      <c r="L57" s="87"/>
      <c r="M57" s="87"/>
      <c r="N57" s="88"/>
      <c r="O57" s="87"/>
      <c r="P57" s="87"/>
      <c r="Q57" s="88"/>
      <c r="R57" s="105"/>
    </row>
    <row r="58" spans="1:18" s="89" customFormat="1" ht="47.25" x14ac:dyDescent="0.25">
      <c r="A58" s="44">
        <v>4986010</v>
      </c>
      <c r="B58" s="45" t="s">
        <v>48</v>
      </c>
      <c r="C58" s="45" t="s">
        <v>49</v>
      </c>
      <c r="D58" s="47">
        <v>550500</v>
      </c>
      <c r="E58" s="47">
        <v>600500</v>
      </c>
      <c r="F58" s="48">
        <v>600500</v>
      </c>
      <c r="G58" s="47">
        <v>532510</v>
      </c>
      <c r="H58" s="47"/>
      <c r="I58" s="48"/>
      <c r="J58" s="48"/>
      <c r="K58" s="48"/>
      <c r="L58" s="48"/>
      <c r="M58" s="48"/>
      <c r="N58" s="47"/>
      <c r="O58" s="48"/>
      <c r="P58" s="48"/>
      <c r="Q58" s="47"/>
      <c r="R58" s="62"/>
    </row>
    <row r="59" spans="1:18" s="89" customFormat="1" ht="15.75" x14ac:dyDescent="0.25">
      <c r="A59" s="84"/>
      <c r="B59" s="85">
        <v>2016</v>
      </c>
      <c r="C59" s="106" t="s">
        <v>15</v>
      </c>
      <c r="D59" s="88">
        <v>61668</v>
      </c>
      <c r="E59" s="88">
        <v>46805</v>
      </c>
      <c r="F59" s="88">
        <v>30591</v>
      </c>
      <c r="G59" s="88">
        <v>14378</v>
      </c>
      <c r="H59" s="88"/>
      <c r="I59" s="87"/>
      <c r="J59" s="87"/>
      <c r="K59" s="87"/>
      <c r="L59" s="87"/>
      <c r="M59" s="87"/>
      <c r="N59" s="88"/>
      <c r="O59" s="87"/>
      <c r="P59" s="87"/>
      <c r="Q59" s="88"/>
      <c r="R59" s="75"/>
    </row>
    <row r="60" spans="1:18" s="89" customFormat="1" ht="31.5" x14ac:dyDescent="0.25">
      <c r="A60" s="44">
        <v>5369974</v>
      </c>
      <c r="B60" s="97" t="s">
        <v>48</v>
      </c>
      <c r="C60" s="97" t="s">
        <v>50</v>
      </c>
      <c r="D60" s="99">
        <v>650000</v>
      </c>
      <c r="E60" s="99">
        <v>650000</v>
      </c>
      <c r="F60" s="99">
        <v>700000</v>
      </c>
      <c r="G60" s="98">
        <v>769974</v>
      </c>
      <c r="H60" s="99"/>
      <c r="I60" s="48"/>
      <c r="J60" s="48"/>
      <c r="K60" s="48"/>
      <c r="L60" s="48"/>
      <c r="M60" s="48"/>
      <c r="N60" s="47"/>
      <c r="O60" s="48"/>
      <c r="P60" s="48"/>
      <c r="Q60" s="47"/>
      <c r="R60" s="62"/>
    </row>
    <row r="61" spans="1:18" s="89" customFormat="1" ht="16.5" customHeight="1" thickBot="1" x14ac:dyDescent="0.25">
      <c r="A61" s="84"/>
      <c r="B61" s="107"/>
      <c r="C61" s="108" t="s">
        <v>51</v>
      </c>
      <c r="D61" s="103">
        <v>74789</v>
      </c>
      <c r="E61" s="103">
        <v>57239</v>
      </c>
      <c r="F61" s="104">
        <v>39689</v>
      </c>
      <c r="G61" s="103">
        <v>20789</v>
      </c>
      <c r="H61" s="103"/>
      <c r="I61" s="87"/>
      <c r="J61" s="87"/>
      <c r="K61" s="87"/>
      <c r="L61" s="87"/>
      <c r="M61" s="87"/>
      <c r="N61" s="88"/>
      <c r="O61" s="87"/>
      <c r="P61" s="87"/>
      <c r="Q61" s="88"/>
      <c r="R61" s="105"/>
    </row>
    <row r="62" spans="1:18" s="110" customFormat="1" ht="31.5" x14ac:dyDescent="0.25">
      <c r="A62" s="44">
        <f>3549134-88557+189120</f>
        <v>3649697</v>
      </c>
      <c r="B62" s="45" t="s">
        <v>48</v>
      </c>
      <c r="C62" s="45" t="s">
        <v>52</v>
      </c>
      <c r="D62" s="47">
        <f>300000</f>
        <v>300000</v>
      </c>
      <c r="E62" s="47">
        <f>300000</f>
        <v>300000</v>
      </c>
      <c r="F62" s="48">
        <v>520000</v>
      </c>
      <c r="G62" s="47">
        <v>540577</v>
      </c>
      <c r="H62" s="99"/>
      <c r="I62" s="98"/>
      <c r="J62" s="98"/>
      <c r="K62" s="98"/>
      <c r="L62" s="98"/>
      <c r="M62" s="98"/>
      <c r="N62" s="99"/>
      <c r="O62" s="98"/>
      <c r="P62" s="98"/>
      <c r="Q62" s="47"/>
      <c r="R62" s="109"/>
    </row>
    <row r="63" spans="1:18" s="110" customFormat="1" ht="15.75" x14ac:dyDescent="0.25">
      <c r="A63" s="84"/>
      <c r="B63" s="85"/>
      <c r="C63" s="106" t="s">
        <v>15</v>
      </c>
      <c r="D63" s="88">
        <v>32308</v>
      </c>
      <c r="E63" s="88">
        <v>24208</v>
      </c>
      <c r="F63" s="87">
        <v>16108</v>
      </c>
      <c r="G63" s="88">
        <v>7468</v>
      </c>
      <c r="H63" s="88"/>
      <c r="I63" s="104"/>
      <c r="J63" s="104"/>
      <c r="K63" s="104"/>
      <c r="L63" s="104"/>
      <c r="M63" s="104"/>
      <c r="N63" s="103"/>
      <c r="O63" s="104"/>
      <c r="P63" s="104"/>
      <c r="Q63" s="88"/>
      <c r="R63" s="111"/>
    </row>
    <row r="64" spans="1:18" s="110" customFormat="1" ht="31.5" x14ac:dyDescent="0.25">
      <c r="A64" s="76">
        <v>2404762</v>
      </c>
      <c r="B64" s="77">
        <v>2015</v>
      </c>
      <c r="C64" s="45" t="s">
        <v>53</v>
      </c>
      <c r="D64" s="78">
        <v>243000</v>
      </c>
      <c r="E64" s="78">
        <v>243000</v>
      </c>
      <c r="F64" s="78">
        <v>243000</v>
      </c>
      <c r="G64" s="78">
        <v>243000</v>
      </c>
      <c r="H64" s="78">
        <v>241762</v>
      </c>
      <c r="I64" s="112"/>
      <c r="J64" s="112"/>
      <c r="K64" s="112"/>
      <c r="L64" s="112"/>
      <c r="M64" s="112"/>
      <c r="N64" s="113"/>
      <c r="O64" s="112"/>
      <c r="P64" s="112"/>
      <c r="Q64" s="57"/>
      <c r="R64" s="109"/>
    </row>
    <row r="65" spans="1:18" s="110" customFormat="1" ht="15.75" x14ac:dyDescent="0.25">
      <c r="A65" s="69"/>
      <c r="B65" s="70"/>
      <c r="C65" s="106" t="s">
        <v>51</v>
      </c>
      <c r="D65" s="73">
        <v>32772</v>
      </c>
      <c r="E65" s="73">
        <v>26211</v>
      </c>
      <c r="F65" s="72">
        <v>19650</v>
      </c>
      <c r="G65" s="73">
        <v>13089</v>
      </c>
      <c r="H65" s="73">
        <v>6528</v>
      </c>
      <c r="I65" s="114"/>
      <c r="J65" s="114"/>
      <c r="K65" s="114"/>
      <c r="L65" s="114"/>
      <c r="M65" s="114"/>
      <c r="N65" s="115"/>
      <c r="O65" s="114"/>
      <c r="P65" s="114"/>
      <c r="Q65" s="73"/>
      <c r="R65" s="116"/>
    </row>
    <row r="66" spans="1:18" s="110" customFormat="1" ht="47.25" x14ac:dyDescent="0.25">
      <c r="A66" s="44">
        <v>5274194</v>
      </c>
      <c r="B66" s="45" t="s">
        <v>54</v>
      </c>
      <c r="C66" s="117" t="s">
        <v>55</v>
      </c>
      <c r="D66" s="48">
        <v>546041</v>
      </c>
      <c r="E66" s="48">
        <v>546041</v>
      </c>
      <c r="F66" s="48">
        <v>546041</v>
      </c>
      <c r="G66" s="48">
        <v>546041</v>
      </c>
      <c r="H66" s="48">
        <v>546041</v>
      </c>
      <c r="I66" s="48">
        <v>321875</v>
      </c>
      <c r="J66" s="47"/>
      <c r="K66" s="48"/>
      <c r="L66" s="47"/>
      <c r="M66" s="48"/>
      <c r="N66" s="47"/>
      <c r="O66" s="48"/>
      <c r="P66" s="48"/>
      <c r="Q66" s="47"/>
      <c r="R66" s="109"/>
    </row>
    <row r="67" spans="1:18" s="110" customFormat="1" ht="15.75" x14ac:dyDescent="0.25">
      <c r="A67" s="84"/>
      <c r="B67" s="85"/>
      <c r="C67" s="118" t="s">
        <v>15</v>
      </c>
      <c r="D67" s="87">
        <v>88459</v>
      </c>
      <c r="E67" s="87">
        <v>73716</v>
      </c>
      <c r="F67" s="87">
        <v>58972</v>
      </c>
      <c r="G67" s="87">
        <v>44229</v>
      </c>
      <c r="H67" s="87">
        <v>29486</v>
      </c>
      <c r="I67" s="87">
        <v>14743</v>
      </c>
      <c r="J67" s="88"/>
      <c r="K67" s="87"/>
      <c r="L67" s="88"/>
      <c r="M67" s="87"/>
      <c r="N67" s="88"/>
      <c r="O67" s="87"/>
      <c r="P67" s="87"/>
      <c r="Q67" s="88"/>
      <c r="R67" s="111"/>
    </row>
    <row r="68" spans="1:18" s="110" customFormat="1" ht="31.5" x14ac:dyDescent="0.25">
      <c r="A68" s="44">
        <v>1156633</v>
      </c>
      <c r="B68" s="45">
        <v>2016</v>
      </c>
      <c r="C68" s="45" t="s">
        <v>56</v>
      </c>
      <c r="D68" s="47">
        <v>121216</v>
      </c>
      <c r="E68" s="47">
        <v>121216</v>
      </c>
      <c r="F68" s="47">
        <v>121216</v>
      </c>
      <c r="G68" s="47">
        <v>121216</v>
      </c>
      <c r="H68" s="47">
        <v>93452</v>
      </c>
      <c r="I68" s="47">
        <v>93453</v>
      </c>
      <c r="J68" s="47"/>
      <c r="K68" s="48"/>
      <c r="L68" s="47"/>
      <c r="M68" s="48"/>
      <c r="N68" s="47"/>
      <c r="O68" s="48"/>
      <c r="P68" s="48"/>
      <c r="Q68" s="47"/>
      <c r="R68" s="109"/>
    </row>
    <row r="69" spans="1:18" s="110" customFormat="1" ht="15.75" x14ac:dyDescent="0.25">
      <c r="A69" s="84"/>
      <c r="B69" s="85"/>
      <c r="C69" s="106" t="s">
        <v>15</v>
      </c>
      <c r="D69" s="88">
        <v>18138</v>
      </c>
      <c r="E69" s="88">
        <v>14865</v>
      </c>
      <c r="F69" s="88">
        <v>11592</v>
      </c>
      <c r="G69" s="88">
        <v>8319</v>
      </c>
      <c r="H69" s="88">
        <v>5046</v>
      </c>
      <c r="I69" s="88">
        <v>2523</v>
      </c>
      <c r="J69" s="88"/>
      <c r="K69" s="87"/>
      <c r="L69" s="88"/>
      <c r="M69" s="87"/>
      <c r="N69" s="88"/>
      <c r="O69" s="87"/>
      <c r="P69" s="87"/>
      <c r="Q69" s="88"/>
      <c r="R69" s="116"/>
    </row>
    <row r="70" spans="1:18" s="89" customFormat="1" ht="39" customHeight="1" x14ac:dyDescent="0.25">
      <c r="A70" s="44">
        <v>722842.29</v>
      </c>
      <c r="B70" s="45">
        <v>2017</v>
      </c>
      <c r="C70" s="45" t="s">
        <v>57</v>
      </c>
      <c r="D70" s="47">
        <v>70000</v>
      </c>
      <c r="E70" s="47">
        <v>74000</v>
      </c>
      <c r="F70" s="47">
        <v>75000</v>
      </c>
      <c r="G70" s="47">
        <v>75000</v>
      </c>
      <c r="H70" s="47">
        <v>75000</v>
      </c>
      <c r="I70" s="47">
        <v>75000</v>
      </c>
      <c r="J70" s="47">
        <v>63842.29</v>
      </c>
      <c r="K70" s="47"/>
      <c r="L70" s="47"/>
      <c r="M70" s="48"/>
      <c r="N70" s="47"/>
      <c r="O70" s="48"/>
      <c r="P70" s="48"/>
      <c r="Q70" s="47"/>
      <c r="R70" s="62"/>
    </row>
    <row r="71" spans="1:18" s="89" customFormat="1" ht="17.25" customHeight="1" thickBot="1" x14ac:dyDescent="0.25">
      <c r="A71" s="84"/>
      <c r="B71" s="85"/>
      <c r="C71" s="106" t="s">
        <v>15</v>
      </c>
      <c r="D71" s="88">
        <v>13712</v>
      </c>
      <c r="E71" s="88">
        <v>11822</v>
      </c>
      <c r="F71" s="88">
        <v>9824</v>
      </c>
      <c r="G71" s="88">
        <v>7799</v>
      </c>
      <c r="H71" s="88">
        <v>5774</v>
      </c>
      <c r="I71" s="88">
        <v>3749</v>
      </c>
      <c r="J71" s="88">
        <v>1724</v>
      </c>
      <c r="K71" s="87"/>
      <c r="L71" s="87"/>
      <c r="M71" s="87"/>
      <c r="N71" s="88"/>
      <c r="O71" s="87"/>
      <c r="P71" s="87"/>
      <c r="Q71" s="88"/>
      <c r="R71" s="75"/>
    </row>
    <row r="72" spans="1:18" s="89" customFormat="1" ht="36" customHeight="1" x14ac:dyDescent="0.25">
      <c r="A72" s="44">
        <v>1950509</v>
      </c>
      <c r="B72" s="45">
        <v>2018</v>
      </c>
      <c r="C72" s="9" t="s">
        <v>58</v>
      </c>
      <c r="D72" s="48">
        <v>110000</v>
      </c>
      <c r="E72" s="48">
        <v>200000</v>
      </c>
      <c r="F72" s="48">
        <v>200000</v>
      </c>
      <c r="G72" s="48">
        <v>200000</v>
      </c>
      <c r="H72" s="48">
        <v>200000</v>
      </c>
      <c r="I72" s="48">
        <v>200000</v>
      </c>
      <c r="J72" s="48">
        <v>250000</v>
      </c>
      <c r="K72" s="48">
        <v>190509</v>
      </c>
      <c r="L72" s="48"/>
      <c r="M72" s="48"/>
      <c r="N72" s="47"/>
      <c r="O72" s="48"/>
      <c r="P72" s="48"/>
      <c r="Q72" s="47"/>
      <c r="R72" s="62"/>
    </row>
    <row r="73" spans="1:18" s="89" customFormat="1" ht="17.25" customHeight="1" thickBot="1" x14ac:dyDescent="0.25">
      <c r="A73" s="69"/>
      <c r="B73" s="70"/>
      <c r="C73" s="86" t="s">
        <v>15</v>
      </c>
      <c r="D73" s="72">
        <v>43579</v>
      </c>
      <c r="E73" s="72">
        <v>40610</v>
      </c>
      <c r="F73" s="72">
        <v>35209</v>
      </c>
      <c r="G73" s="72">
        <v>29809</v>
      </c>
      <c r="H73" s="72">
        <v>24409</v>
      </c>
      <c r="I73" s="72">
        <v>19009</v>
      </c>
      <c r="J73" s="72">
        <v>13610</v>
      </c>
      <c r="K73" s="72">
        <v>6860</v>
      </c>
      <c r="L73" s="72"/>
      <c r="M73" s="72"/>
      <c r="N73" s="73"/>
      <c r="O73" s="72"/>
      <c r="P73" s="72"/>
      <c r="Q73" s="73"/>
      <c r="R73" s="105"/>
    </row>
    <row r="74" spans="1:18" s="89" customFormat="1" ht="81.75" customHeight="1" x14ac:dyDescent="0.25">
      <c r="A74" s="44">
        <f>831574+674172</f>
        <v>1505746</v>
      </c>
      <c r="B74" s="45">
        <v>2018</v>
      </c>
      <c r="C74" s="9" t="s">
        <v>59</v>
      </c>
      <c r="D74" s="47">
        <v>198692</v>
      </c>
      <c r="E74" s="47">
        <f>435981-435981</f>
        <v>0</v>
      </c>
      <c r="F74" s="47"/>
      <c r="G74" s="47"/>
      <c r="H74" s="47"/>
      <c r="I74" s="47"/>
      <c r="J74" s="47"/>
      <c r="K74" s="48"/>
      <c r="L74" s="47"/>
      <c r="M74" s="48"/>
      <c r="N74" s="47"/>
      <c r="O74" s="48"/>
      <c r="P74" s="48"/>
      <c r="Q74" s="47"/>
      <c r="R74" s="62"/>
    </row>
    <row r="75" spans="1:18" s="89" customFormat="1" ht="17.25" customHeight="1" thickBot="1" x14ac:dyDescent="0.25">
      <c r="A75" s="69"/>
      <c r="B75" s="70"/>
      <c r="C75" s="119" t="s">
        <v>15</v>
      </c>
      <c r="D75" s="73">
        <v>5365</v>
      </c>
      <c r="E75" s="73">
        <f>11771-11771</f>
        <v>0</v>
      </c>
      <c r="F75" s="73"/>
      <c r="G75" s="73"/>
      <c r="H75" s="73"/>
      <c r="I75" s="73"/>
      <c r="J75" s="73"/>
      <c r="K75" s="72"/>
      <c r="L75" s="73"/>
      <c r="M75" s="72"/>
      <c r="N75" s="73"/>
      <c r="O75" s="72"/>
      <c r="P75" s="72"/>
      <c r="Q75" s="73"/>
      <c r="R75" s="75"/>
    </row>
    <row r="76" spans="1:18" s="89" customFormat="1" ht="32.25" customHeight="1" x14ac:dyDescent="0.25">
      <c r="A76" s="44">
        <v>1010523</v>
      </c>
      <c r="B76" s="45" t="s">
        <v>60</v>
      </c>
      <c r="C76" s="9" t="s">
        <v>61</v>
      </c>
      <c r="D76" s="47">
        <v>101456</v>
      </c>
      <c r="E76" s="47">
        <v>101455</v>
      </c>
      <c r="F76" s="47">
        <v>101455</v>
      </c>
      <c r="G76" s="47">
        <v>101455</v>
      </c>
      <c r="H76" s="47">
        <v>101455</v>
      </c>
      <c r="I76" s="47">
        <v>135274</v>
      </c>
      <c r="J76" s="47">
        <v>135273</v>
      </c>
      <c r="K76" s="48">
        <v>131244</v>
      </c>
      <c r="L76" s="47"/>
      <c r="M76" s="48"/>
      <c r="N76" s="47"/>
      <c r="O76" s="48"/>
      <c r="P76" s="48"/>
      <c r="Q76" s="47"/>
      <c r="R76" s="62"/>
    </row>
    <row r="77" spans="1:18" s="89" customFormat="1" ht="17.25" customHeight="1" thickBot="1" x14ac:dyDescent="0.25">
      <c r="A77" s="50"/>
      <c r="B77" s="51"/>
      <c r="C77" s="120" t="s">
        <v>15</v>
      </c>
      <c r="D77" s="57">
        <v>24654</v>
      </c>
      <c r="E77" s="57">
        <v>21914</v>
      </c>
      <c r="F77" s="57">
        <v>19175</v>
      </c>
      <c r="G77" s="57">
        <v>16436</v>
      </c>
      <c r="H77" s="57">
        <v>13696</v>
      </c>
      <c r="I77" s="57">
        <v>10957</v>
      </c>
      <c r="J77" s="57">
        <v>7305</v>
      </c>
      <c r="K77" s="56">
        <v>3544</v>
      </c>
      <c r="L77" s="57"/>
      <c r="M77" s="56"/>
      <c r="N77" s="57"/>
      <c r="O77" s="56"/>
      <c r="P77" s="56"/>
      <c r="Q77" s="57"/>
      <c r="R77" s="105"/>
    </row>
    <row r="78" spans="1:18" customFormat="1" ht="47.25" x14ac:dyDescent="0.25">
      <c r="A78" s="121">
        <v>450058</v>
      </c>
      <c r="B78" s="122">
        <v>2019</v>
      </c>
      <c r="C78" s="46" t="s">
        <v>62</v>
      </c>
      <c r="D78" s="123">
        <v>90012</v>
      </c>
      <c r="E78" s="123">
        <v>90012</v>
      </c>
      <c r="F78" s="123">
        <v>90011</v>
      </c>
      <c r="G78" s="123">
        <v>90011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4"/>
      <c r="R78" s="83"/>
    </row>
    <row r="79" spans="1:18" s="89" customFormat="1" ht="17.25" customHeight="1" thickBot="1" x14ac:dyDescent="0.25">
      <c r="A79" s="125"/>
      <c r="B79" s="70"/>
      <c r="C79" s="52" t="s">
        <v>15</v>
      </c>
      <c r="D79" s="72">
        <v>9721</v>
      </c>
      <c r="E79" s="72">
        <v>7291</v>
      </c>
      <c r="F79" s="72">
        <v>4861</v>
      </c>
      <c r="G79" s="72">
        <v>2430</v>
      </c>
      <c r="H79" s="72"/>
      <c r="I79" s="72"/>
      <c r="J79" s="72"/>
      <c r="K79" s="72"/>
      <c r="L79" s="72"/>
      <c r="M79" s="72"/>
      <c r="N79" s="72"/>
      <c r="O79" s="72"/>
      <c r="P79" s="72"/>
      <c r="Q79" s="73"/>
      <c r="R79" s="75"/>
    </row>
    <row r="80" spans="1:18" s="89" customFormat="1" ht="49.5" customHeight="1" x14ac:dyDescent="0.25">
      <c r="A80" s="44">
        <f>534114+342953-261116+261116-40706</f>
        <v>836361</v>
      </c>
      <c r="B80" s="45" t="s">
        <v>63</v>
      </c>
      <c r="C80" s="126" t="s">
        <v>64</v>
      </c>
      <c r="D80" s="47"/>
      <c r="E80" s="48">
        <f>87700-66438-5073</f>
        <v>16189</v>
      </c>
      <c r="F80" s="47">
        <v>87700</v>
      </c>
      <c r="G80" s="48">
        <v>87700</v>
      </c>
      <c r="H80" s="47">
        <v>87700</v>
      </c>
      <c r="I80" s="48">
        <v>87700</v>
      </c>
      <c r="J80" s="47">
        <v>87700</v>
      </c>
      <c r="K80" s="48">
        <v>87700</v>
      </c>
      <c r="L80" s="47">
        <v>87700</v>
      </c>
      <c r="M80" s="48">
        <v>87700</v>
      </c>
      <c r="N80" s="47">
        <f>87767-1-40706</f>
        <v>47060</v>
      </c>
      <c r="O80" s="48"/>
      <c r="P80" s="48"/>
      <c r="Q80" s="47"/>
      <c r="R80" s="62"/>
    </row>
    <row r="81" spans="1:18" s="89" customFormat="1" ht="17.25" customHeight="1" thickBot="1" x14ac:dyDescent="0.25">
      <c r="A81" s="127"/>
      <c r="B81" s="85"/>
      <c r="C81" s="52" t="s">
        <v>15</v>
      </c>
      <c r="D81" s="88">
        <v>12056</v>
      </c>
      <c r="E81" s="87">
        <v>23681</v>
      </c>
      <c r="F81" s="88">
        <v>21313</v>
      </c>
      <c r="G81" s="87">
        <v>18945</v>
      </c>
      <c r="H81" s="88">
        <v>16577</v>
      </c>
      <c r="I81" s="87">
        <v>14209</v>
      </c>
      <c r="J81" s="88">
        <v>11841</v>
      </c>
      <c r="K81" s="87">
        <v>9473</v>
      </c>
      <c r="L81" s="88">
        <v>7106</v>
      </c>
      <c r="M81" s="87">
        <v>4738</v>
      </c>
      <c r="N81" s="88">
        <v>2639</v>
      </c>
      <c r="O81" s="87"/>
      <c r="P81" s="87"/>
      <c r="Q81" s="88"/>
      <c r="R81" s="105"/>
    </row>
    <row r="82" spans="1:18" s="89" customFormat="1" ht="54" customHeight="1" x14ac:dyDescent="0.25">
      <c r="A82" s="44">
        <v>322175</v>
      </c>
      <c r="B82" s="45" t="s">
        <v>63</v>
      </c>
      <c r="C82" s="9" t="s">
        <v>65</v>
      </c>
      <c r="D82" s="47">
        <v>57584</v>
      </c>
      <c r="E82" s="48">
        <v>32200</v>
      </c>
      <c r="F82" s="47">
        <v>32200</v>
      </c>
      <c r="G82" s="48">
        <v>32200</v>
      </c>
      <c r="H82" s="47">
        <v>32200</v>
      </c>
      <c r="I82" s="48">
        <v>32200</v>
      </c>
      <c r="J82" s="47">
        <v>32200</v>
      </c>
      <c r="K82" s="48">
        <v>32200</v>
      </c>
      <c r="L82" s="47">
        <v>32200</v>
      </c>
      <c r="M82" s="48">
        <f>32300-25309</f>
        <v>6991</v>
      </c>
      <c r="N82" s="47">
        <f>32275-32275</f>
        <v>0</v>
      </c>
      <c r="O82" s="48"/>
      <c r="P82" s="48"/>
      <c r="Q82" s="47"/>
      <c r="R82" s="62"/>
    </row>
    <row r="83" spans="1:18" s="89" customFormat="1" ht="17.25" customHeight="1" thickBot="1" x14ac:dyDescent="0.25">
      <c r="A83" s="128"/>
      <c r="B83" s="51"/>
      <c r="C83" s="65" t="s">
        <v>26</v>
      </c>
      <c r="D83" s="57">
        <v>4429</v>
      </c>
      <c r="E83" s="56">
        <v>8699</v>
      </c>
      <c r="F83" s="57">
        <v>7829</v>
      </c>
      <c r="G83" s="56">
        <v>6960</v>
      </c>
      <c r="H83" s="57">
        <v>6091</v>
      </c>
      <c r="I83" s="56">
        <v>5221</v>
      </c>
      <c r="J83" s="57">
        <v>4352</v>
      </c>
      <c r="K83" s="56">
        <v>3482</v>
      </c>
      <c r="L83" s="57">
        <v>2613</v>
      </c>
      <c r="M83" s="56">
        <v>1744</v>
      </c>
      <c r="N83" s="57">
        <f>871-871</f>
        <v>0</v>
      </c>
      <c r="O83" s="56"/>
      <c r="P83" s="56"/>
      <c r="Q83" s="57"/>
      <c r="R83" s="75"/>
    </row>
    <row r="84" spans="1:18" s="89" customFormat="1" ht="47.25" x14ac:dyDescent="0.25">
      <c r="A84" s="44">
        <v>1289745</v>
      </c>
      <c r="B84" s="45" t="s">
        <v>66</v>
      </c>
      <c r="C84" s="9" t="s">
        <v>67</v>
      </c>
      <c r="D84" s="48">
        <v>129000</v>
      </c>
      <c r="E84" s="48">
        <v>129000</v>
      </c>
      <c r="F84" s="48">
        <v>129000</v>
      </c>
      <c r="G84" s="48">
        <v>129000</v>
      </c>
      <c r="H84" s="48">
        <v>129000</v>
      </c>
      <c r="I84" s="48">
        <v>129000</v>
      </c>
      <c r="J84" s="48">
        <v>129000</v>
      </c>
      <c r="K84" s="48">
        <v>129000</v>
      </c>
      <c r="L84" s="48">
        <v>129000</v>
      </c>
      <c r="M84" s="48">
        <v>128745</v>
      </c>
      <c r="N84" s="48"/>
      <c r="O84" s="48"/>
      <c r="P84" s="48"/>
      <c r="Q84" s="47"/>
      <c r="R84" s="62"/>
    </row>
    <row r="85" spans="1:18" s="89" customFormat="1" ht="15.75" x14ac:dyDescent="0.25">
      <c r="A85" s="69"/>
      <c r="B85" s="70"/>
      <c r="C85" s="52" t="s">
        <v>26</v>
      </c>
      <c r="D85" s="72">
        <v>34823</v>
      </c>
      <c r="E85" s="72">
        <v>31340</v>
      </c>
      <c r="F85" s="72">
        <v>27857</v>
      </c>
      <c r="G85" s="72">
        <v>24374</v>
      </c>
      <c r="H85" s="72">
        <v>20891</v>
      </c>
      <c r="I85" s="72">
        <v>17408</v>
      </c>
      <c r="J85" s="72">
        <v>13925</v>
      </c>
      <c r="K85" s="72">
        <v>10442</v>
      </c>
      <c r="L85" s="72">
        <v>6959</v>
      </c>
      <c r="M85" s="72">
        <v>3476</v>
      </c>
      <c r="N85" s="72"/>
      <c r="O85" s="72"/>
      <c r="P85" s="72"/>
      <c r="Q85" s="73"/>
      <c r="R85" s="105"/>
    </row>
    <row r="86" spans="1:18" s="89" customFormat="1" ht="47.25" x14ac:dyDescent="0.25">
      <c r="A86" s="76">
        <f>1135705+129698-159468-309289</f>
        <v>796646</v>
      </c>
      <c r="B86" s="77" t="s">
        <v>66</v>
      </c>
      <c r="C86" s="46" t="s">
        <v>68</v>
      </c>
      <c r="D86" s="78">
        <v>159300</v>
      </c>
      <c r="E86" s="78">
        <v>159300</v>
      </c>
      <c r="F86" s="78">
        <v>159300</v>
      </c>
      <c r="G86" s="78">
        <v>159300</v>
      </c>
      <c r="H86" s="78">
        <v>159446</v>
      </c>
      <c r="I86" s="78"/>
      <c r="J86" s="79"/>
      <c r="K86" s="79"/>
      <c r="L86" s="79"/>
      <c r="M86" s="79"/>
      <c r="N86" s="78"/>
      <c r="O86" s="79"/>
      <c r="P86" s="79"/>
      <c r="Q86" s="78"/>
      <c r="R86" s="62"/>
    </row>
    <row r="87" spans="1:18" s="89" customFormat="1" ht="15.75" x14ac:dyDescent="0.25">
      <c r="A87" s="69"/>
      <c r="B87" s="70"/>
      <c r="C87" s="52" t="s">
        <v>15</v>
      </c>
      <c r="D87" s="72">
        <v>21509</v>
      </c>
      <c r="E87" s="72">
        <v>17208</v>
      </c>
      <c r="F87" s="72">
        <v>12907</v>
      </c>
      <c r="G87" s="72">
        <v>8606</v>
      </c>
      <c r="H87" s="72">
        <v>4305</v>
      </c>
      <c r="I87" s="72"/>
      <c r="J87" s="72"/>
      <c r="K87" s="72"/>
      <c r="L87" s="72"/>
      <c r="M87" s="72"/>
      <c r="N87" s="73"/>
      <c r="O87" s="72"/>
      <c r="P87" s="72"/>
      <c r="Q87" s="73"/>
      <c r="R87" s="75"/>
    </row>
    <row r="88" spans="1:18" s="89" customFormat="1" ht="47.25" x14ac:dyDescent="0.25">
      <c r="A88" s="44">
        <f>816390-46604</f>
        <v>769786</v>
      </c>
      <c r="B88" s="45" t="s">
        <v>66</v>
      </c>
      <c r="C88" s="46" t="s">
        <v>69</v>
      </c>
      <c r="D88" s="48">
        <v>154000</v>
      </c>
      <c r="E88" s="48">
        <v>154000</v>
      </c>
      <c r="F88" s="48">
        <v>154000</v>
      </c>
      <c r="G88" s="48">
        <v>154000</v>
      </c>
      <c r="H88" s="48">
        <v>153786</v>
      </c>
      <c r="I88" s="48"/>
      <c r="J88" s="48"/>
      <c r="K88" s="48"/>
      <c r="L88" s="48"/>
      <c r="M88" s="48"/>
      <c r="N88" s="48"/>
      <c r="O88" s="48"/>
      <c r="P88" s="48"/>
      <c r="Q88" s="47"/>
      <c r="R88" s="62"/>
    </row>
    <row r="89" spans="1:18" s="89" customFormat="1" ht="15.75" x14ac:dyDescent="0.25">
      <c r="A89" s="69"/>
      <c r="B89" s="70"/>
      <c r="C89" s="52" t="s">
        <v>15</v>
      </c>
      <c r="D89" s="72">
        <v>20784</v>
      </c>
      <c r="E89" s="72">
        <v>16626</v>
      </c>
      <c r="F89" s="72">
        <v>12468</v>
      </c>
      <c r="G89" s="72">
        <v>8310</v>
      </c>
      <c r="H89" s="72">
        <v>4152</v>
      </c>
      <c r="I89" s="72"/>
      <c r="J89" s="72"/>
      <c r="K89" s="72"/>
      <c r="L89" s="72"/>
      <c r="M89" s="72"/>
      <c r="N89" s="72"/>
      <c r="O89" s="72"/>
      <c r="P89" s="72"/>
      <c r="Q89" s="73"/>
      <c r="R89" s="105"/>
    </row>
    <row r="90" spans="1:18" s="89" customFormat="1" ht="31.5" x14ac:dyDescent="0.25">
      <c r="A90" s="44">
        <v>3717631</v>
      </c>
      <c r="B90" s="45" t="s">
        <v>63</v>
      </c>
      <c r="C90" s="9" t="s">
        <v>70</v>
      </c>
      <c r="D90" s="47">
        <v>445860</v>
      </c>
      <c r="E90" s="48">
        <v>700000</v>
      </c>
      <c r="F90" s="47">
        <v>514000</v>
      </c>
      <c r="G90" s="48">
        <v>514000</v>
      </c>
      <c r="H90" s="47">
        <v>312000</v>
      </c>
      <c r="I90" s="48">
        <v>312000</v>
      </c>
      <c r="J90" s="47">
        <v>312000</v>
      </c>
      <c r="K90" s="48">
        <v>312000</v>
      </c>
      <c r="L90" s="47">
        <f>312000-16229</f>
        <v>295771</v>
      </c>
      <c r="M90" s="48">
        <f>214839-214839</f>
        <v>0</v>
      </c>
      <c r="N90" s="47">
        <f>214792-214792</f>
        <v>0</v>
      </c>
      <c r="O90" s="48"/>
      <c r="P90" s="48"/>
      <c r="Q90" s="47"/>
      <c r="R90" s="62"/>
    </row>
    <row r="91" spans="1:18" s="89" customFormat="1" ht="15.75" x14ac:dyDescent="0.25">
      <c r="A91" s="69"/>
      <c r="B91" s="70"/>
      <c r="C91" s="52" t="s">
        <v>15</v>
      </c>
      <c r="D91" s="73">
        <v>51104</v>
      </c>
      <c r="E91" s="72">
        <v>100376</v>
      </c>
      <c r="F91" s="73">
        <v>81476</v>
      </c>
      <c r="G91" s="72">
        <v>67598</v>
      </c>
      <c r="H91" s="73">
        <v>53720</v>
      </c>
      <c r="I91" s="72">
        <v>45296</v>
      </c>
      <c r="J91" s="73">
        <v>36872</v>
      </c>
      <c r="K91" s="72">
        <v>28448</v>
      </c>
      <c r="L91" s="73">
        <v>20024</v>
      </c>
      <c r="M91" s="72">
        <f>11600-11600</f>
        <v>0</v>
      </c>
      <c r="N91" s="73">
        <f>5799-5799</f>
        <v>0</v>
      </c>
      <c r="O91" s="72"/>
      <c r="P91" s="72"/>
      <c r="Q91" s="73"/>
      <c r="R91" s="75"/>
    </row>
    <row r="92" spans="1:18" s="89" customFormat="1" ht="47.25" x14ac:dyDescent="0.25">
      <c r="A92" s="44">
        <v>130269</v>
      </c>
      <c r="B92" s="9">
        <v>2020</v>
      </c>
      <c r="C92" s="9" t="s">
        <v>71</v>
      </c>
      <c r="D92" s="47">
        <v>0</v>
      </c>
      <c r="E92" s="47">
        <v>0</v>
      </c>
      <c r="F92" s="60">
        <v>65134</v>
      </c>
      <c r="G92" s="60">
        <v>65135</v>
      </c>
      <c r="H92" s="47"/>
      <c r="I92" s="48"/>
      <c r="J92" s="47"/>
      <c r="K92" s="48"/>
      <c r="L92" s="47"/>
      <c r="M92" s="48"/>
      <c r="N92" s="47"/>
      <c r="O92" s="48"/>
      <c r="P92" s="48"/>
      <c r="Q92" s="48"/>
      <c r="R92" s="62"/>
    </row>
    <row r="93" spans="1:18" s="89" customFormat="1" ht="15.75" x14ac:dyDescent="0.25">
      <c r="A93" s="84"/>
      <c r="B93" s="129"/>
      <c r="C93" s="86" t="s">
        <v>15</v>
      </c>
      <c r="D93" s="88">
        <v>3518</v>
      </c>
      <c r="E93" s="88">
        <v>3518</v>
      </c>
      <c r="F93" s="130">
        <v>3518</v>
      </c>
      <c r="G93" s="130">
        <v>1759</v>
      </c>
      <c r="H93" s="88"/>
      <c r="I93" s="87"/>
      <c r="J93" s="88"/>
      <c r="K93" s="87"/>
      <c r="L93" s="88"/>
      <c r="M93" s="87"/>
      <c r="N93" s="88"/>
      <c r="O93" s="87"/>
      <c r="P93" s="87"/>
      <c r="Q93" s="88"/>
      <c r="R93" s="105"/>
    </row>
    <row r="94" spans="1:18" s="89" customFormat="1" ht="31.5" x14ac:dyDescent="0.25">
      <c r="A94" s="131">
        <v>167971</v>
      </c>
      <c r="B94" s="16">
        <v>2020</v>
      </c>
      <c r="C94" s="16" t="s">
        <v>72</v>
      </c>
      <c r="D94" s="132">
        <v>0</v>
      </c>
      <c r="E94" s="132">
        <v>0</v>
      </c>
      <c r="F94" s="133">
        <v>83985</v>
      </c>
      <c r="G94" s="133">
        <v>83986</v>
      </c>
      <c r="H94" s="47"/>
      <c r="I94" s="48"/>
      <c r="J94" s="47"/>
      <c r="K94" s="48"/>
      <c r="L94" s="47"/>
      <c r="M94" s="48"/>
      <c r="N94" s="47"/>
      <c r="O94" s="48"/>
      <c r="P94" s="48"/>
      <c r="Q94" s="48"/>
      <c r="R94" s="62"/>
    </row>
    <row r="95" spans="1:18" s="89" customFormat="1" ht="15.75" x14ac:dyDescent="0.25">
      <c r="A95" s="84"/>
      <c r="B95" s="129"/>
      <c r="C95" s="86" t="s">
        <v>15</v>
      </c>
      <c r="D95" s="88">
        <v>4536</v>
      </c>
      <c r="E95" s="88">
        <v>4536</v>
      </c>
      <c r="F95" s="130">
        <v>4536</v>
      </c>
      <c r="G95" s="130">
        <v>2268</v>
      </c>
      <c r="H95" s="88"/>
      <c r="I95" s="87"/>
      <c r="J95" s="88"/>
      <c r="K95" s="87"/>
      <c r="L95" s="88"/>
      <c r="M95" s="87"/>
      <c r="N95" s="88"/>
      <c r="O95" s="87"/>
      <c r="P95" s="87"/>
      <c r="Q95" s="88"/>
      <c r="R95" s="75"/>
    </row>
    <row r="96" spans="1:18" s="89" customFormat="1" ht="47.25" x14ac:dyDescent="0.25">
      <c r="A96" s="131">
        <v>121779</v>
      </c>
      <c r="B96" s="9" t="s">
        <v>73</v>
      </c>
      <c r="C96" s="16" t="s">
        <v>74</v>
      </c>
      <c r="D96" s="132">
        <v>0</v>
      </c>
      <c r="E96" s="132">
        <v>0</v>
      </c>
      <c r="F96" s="133">
        <v>60890</v>
      </c>
      <c r="G96" s="133">
        <v>60889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62"/>
    </row>
    <row r="97" spans="1:18" s="89" customFormat="1" ht="15.75" x14ac:dyDescent="0.25">
      <c r="A97" s="50"/>
      <c r="C97" s="120" t="s">
        <v>15</v>
      </c>
      <c r="D97" s="57">
        <v>3289</v>
      </c>
      <c r="E97" s="57">
        <v>3289</v>
      </c>
      <c r="F97" s="54">
        <v>3289</v>
      </c>
      <c r="G97" s="54">
        <v>1636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105"/>
    </row>
    <row r="98" spans="1:18" s="110" customFormat="1" ht="31.5" x14ac:dyDescent="0.25">
      <c r="A98" s="76">
        <v>6300200</v>
      </c>
      <c r="B98" s="134">
        <v>2015</v>
      </c>
      <c r="C98" s="134" t="s">
        <v>75</v>
      </c>
      <c r="D98" s="135">
        <v>320500</v>
      </c>
      <c r="E98" s="136">
        <v>320500</v>
      </c>
      <c r="F98" s="135">
        <v>320500</v>
      </c>
      <c r="G98" s="136">
        <v>320500</v>
      </c>
      <c r="H98" s="135">
        <v>320500</v>
      </c>
      <c r="I98" s="136">
        <v>320500</v>
      </c>
      <c r="J98" s="135">
        <v>320500</v>
      </c>
      <c r="K98" s="136">
        <v>320500</v>
      </c>
      <c r="L98" s="135">
        <v>320500</v>
      </c>
      <c r="M98" s="136">
        <v>320500</v>
      </c>
      <c r="N98" s="135">
        <v>320500</v>
      </c>
      <c r="O98" s="136">
        <v>320500</v>
      </c>
      <c r="P98" s="136">
        <v>320500</v>
      </c>
      <c r="Q98" s="78">
        <v>320500</v>
      </c>
      <c r="R98" s="109">
        <v>210700</v>
      </c>
    </row>
    <row r="99" spans="1:18" s="110" customFormat="1" ht="15.75" x14ac:dyDescent="0.25">
      <c r="A99" s="137"/>
      <c r="B99" s="138"/>
      <c r="C99" s="108" t="s">
        <v>51</v>
      </c>
      <c r="D99" s="115">
        <v>126838</v>
      </c>
      <c r="E99" s="115">
        <v>118184</v>
      </c>
      <c r="F99" s="114">
        <v>109531</v>
      </c>
      <c r="G99" s="115">
        <v>100877</v>
      </c>
      <c r="H99" s="115">
        <v>92224</v>
      </c>
      <c r="I99" s="72">
        <v>83570</v>
      </c>
      <c r="J99" s="72">
        <v>74917</v>
      </c>
      <c r="K99" s="72">
        <v>66263</v>
      </c>
      <c r="L99" s="72">
        <v>57610</v>
      </c>
      <c r="M99" s="72">
        <v>48956</v>
      </c>
      <c r="N99" s="73">
        <v>40303</v>
      </c>
      <c r="O99" s="72">
        <v>31650</v>
      </c>
      <c r="P99" s="72">
        <v>22997</v>
      </c>
      <c r="Q99" s="73">
        <f>14342</f>
        <v>14342</v>
      </c>
      <c r="R99" s="111">
        <v>5689</v>
      </c>
    </row>
    <row r="100" spans="1:18" s="89" customFormat="1" ht="20.25" customHeight="1" thickBot="1" x14ac:dyDescent="0.25">
      <c r="A100" s="139">
        <f>SUM(A101:A120)</f>
        <v>16670221</v>
      </c>
      <c r="B100" s="140"/>
      <c r="C100" s="141" t="s">
        <v>76</v>
      </c>
      <c r="D100" s="142">
        <f t="shared" ref="D100:R100" si="9">SUM(D101:D120)</f>
        <v>2503847</v>
      </c>
      <c r="E100" s="142">
        <f t="shared" si="9"/>
        <v>1156411</v>
      </c>
      <c r="F100" s="142">
        <f t="shared" si="9"/>
        <v>1135795</v>
      </c>
      <c r="G100" s="142">
        <f t="shared" si="9"/>
        <v>1115181</v>
      </c>
      <c r="H100" s="142">
        <f t="shared" si="9"/>
        <v>1094568</v>
      </c>
      <c r="I100" s="142">
        <f t="shared" si="9"/>
        <v>1073944</v>
      </c>
      <c r="J100" s="142">
        <f t="shared" si="9"/>
        <v>1053140</v>
      </c>
      <c r="K100" s="142">
        <f t="shared" si="9"/>
        <v>1009572</v>
      </c>
      <c r="L100" s="142">
        <f t="shared" si="9"/>
        <v>943598</v>
      </c>
      <c r="M100" s="142">
        <f t="shared" si="9"/>
        <v>924157</v>
      </c>
      <c r="N100" s="142">
        <f t="shared" si="9"/>
        <v>904716</v>
      </c>
      <c r="O100" s="142">
        <f t="shared" si="9"/>
        <v>885275</v>
      </c>
      <c r="P100" s="142">
        <f t="shared" si="9"/>
        <v>865834</v>
      </c>
      <c r="Q100" s="142">
        <f t="shared" si="9"/>
        <v>846393</v>
      </c>
      <c r="R100" s="143">
        <f t="shared" si="9"/>
        <v>4300370</v>
      </c>
    </row>
    <row r="101" spans="1:18" s="89" customFormat="1" ht="15.75" x14ac:dyDescent="0.25">
      <c r="A101" s="144">
        <v>1280192</v>
      </c>
      <c r="B101" s="145" t="s">
        <v>77</v>
      </c>
      <c r="C101" s="145" t="s">
        <v>78</v>
      </c>
      <c r="D101" s="146">
        <v>77508</v>
      </c>
      <c r="E101" s="146">
        <v>76343</v>
      </c>
      <c r="F101" s="147">
        <v>75178</v>
      </c>
      <c r="G101" s="146">
        <v>74013</v>
      </c>
      <c r="H101" s="146">
        <v>72848</v>
      </c>
      <c r="I101" s="148">
        <v>71683</v>
      </c>
      <c r="J101" s="148">
        <v>70518</v>
      </c>
      <c r="K101" s="148">
        <v>46534</v>
      </c>
      <c r="L101" s="148"/>
      <c r="M101" s="148"/>
      <c r="N101" s="149"/>
      <c r="O101" s="148"/>
      <c r="P101" s="148"/>
      <c r="Q101" s="149"/>
      <c r="R101" s="105"/>
    </row>
    <row r="102" spans="1:18" s="89" customFormat="1" ht="31.5" x14ac:dyDescent="0.25">
      <c r="A102" s="96">
        <v>1708</v>
      </c>
      <c r="B102" s="97">
        <v>2015</v>
      </c>
      <c r="C102" s="97" t="s">
        <v>79</v>
      </c>
      <c r="D102" s="98">
        <v>171</v>
      </c>
      <c r="E102" s="98">
        <v>171</v>
      </c>
      <c r="F102" s="98">
        <v>171</v>
      </c>
      <c r="G102" s="98">
        <v>171</v>
      </c>
      <c r="H102" s="98">
        <v>171</v>
      </c>
      <c r="I102" s="98">
        <v>171</v>
      </c>
      <c r="J102" s="48">
        <v>71</v>
      </c>
      <c r="K102" s="48"/>
      <c r="L102" s="48"/>
      <c r="M102" s="48"/>
      <c r="N102" s="47"/>
      <c r="O102" s="48"/>
      <c r="P102" s="48"/>
      <c r="Q102" s="47"/>
      <c r="R102" s="62"/>
    </row>
    <row r="103" spans="1:18" s="89" customFormat="1" ht="15.75" x14ac:dyDescent="0.25">
      <c r="A103" s="137"/>
      <c r="B103" s="138"/>
      <c r="C103" s="108" t="s">
        <v>80</v>
      </c>
      <c r="D103" s="114">
        <v>26</v>
      </c>
      <c r="E103" s="114">
        <v>22</v>
      </c>
      <c r="F103" s="114">
        <v>17</v>
      </c>
      <c r="G103" s="114">
        <v>13</v>
      </c>
      <c r="H103" s="114">
        <v>9</v>
      </c>
      <c r="I103" s="72">
        <v>4</v>
      </c>
      <c r="J103" s="72">
        <v>1</v>
      </c>
      <c r="K103" s="72"/>
      <c r="L103" s="72"/>
      <c r="M103" s="72"/>
      <c r="N103" s="73"/>
      <c r="O103" s="72"/>
      <c r="P103" s="72"/>
      <c r="Q103" s="73"/>
      <c r="R103" s="75"/>
    </row>
    <row r="104" spans="1:18" s="89" customFormat="1" ht="31.5" x14ac:dyDescent="0.25">
      <c r="A104" s="44">
        <v>1707</v>
      </c>
      <c r="B104" s="150">
        <v>2015</v>
      </c>
      <c r="C104" s="9" t="s">
        <v>81</v>
      </c>
      <c r="D104" s="151">
        <v>171</v>
      </c>
      <c r="E104" s="151">
        <v>171</v>
      </c>
      <c r="F104" s="151">
        <v>171</v>
      </c>
      <c r="G104" s="151">
        <v>171</v>
      </c>
      <c r="H104" s="151">
        <v>171</v>
      </c>
      <c r="I104" s="151">
        <v>171</v>
      </c>
      <c r="J104" s="151">
        <v>71</v>
      </c>
      <c r="K104" s="152"/>
      <c r="L104" s="152"/>
      <c r="M104" s="152"/>
      <c r="N104" s="153"/>
      <c r="O104" s="152"/>
      <c r="P104" s="152"/>
      <c r="Q104" s="153"/>
      <c r="R104" s="62"/>
    </row>
    <row r="105" spans="1:18" customFormat="1" ht="17.25" customHeight="1" thickBot="1" x14ac:dyDescent="0.25">
      <c r="A105" s="137"/>
      <c r="B105" s="154"/>
      <c r="C105" s="108" t="s">
        <v>82</v>
      </c>
      <c r="D105" s="114">
        <v>26</v>
      </c>
      <c r="E105" s="114">
        <v>22</v>
      </c>
      <c r="F105" s="114">
        <v>17</v>
      </c>
      <c r="G105" s="114">
        <v>13</v>
      </c>
      <c r="H105" s="114">
        <v>9</v>
      </c>
      <c r="I105" s="72">
        <v>4</v>
      </c>
      <c r="J105" s="72">
        <v>1</v>
      </c>
      <c r="K105" s="72"/>
      <c r="L105" s="72"/>
      <c r="M105" s="72"/>
      <c r="N105" s="73"/>
      <c r="O105" s="72"/>
      <c r="P105" s="72"/>
      <c r="Q105" s="73"/>
      <c r="R105" s="31"/>
    </row>
    <row r="106" spans="1:18" customFormat="1" ht="47.25" x14ac:dyDescent="0.25">
      <c r="A106" s="96">
        <v>13860510</v>
      </c>
      <c r="B106" s="155" t="s">
        <v>83</v>
      </c>
      <c r="C106" s="97" t="s">
        <v>84</v>
      </c>
      <c r="D106" s="99">
        <v>539992</v>
      </c>
      <c r="E106" s="99">
        <v>720028</v>
      </c>
      <c r="F106" s="99">
        <v>720028</v>
      </c>
      <c r="G106" s="99">
        <v>720028</v>
      </c>
      <c r="H106" s="99">
        <v>720028</v>
      </c>
      <c r="I106" s="99">
        <v>720028</v>
      </c>
      <c r="J106" s="99">
        <v>720028</v>
      </c>
      <c r="K106" s="99">
        <v>720028</v>
      </c>
      <c r="L106" s="99">
        <v>720028</v>
      </c>
      <c r="M106" s="99">
        <v>720028</v>
      </c>
      <c r="N106" s="99">
        <v>720028</v>
      </c>
      <c r="O106" s="98">
        <v>720028</v>
      </c>
      <c r="P106" s="98">
        <v>720028</v>
      </c>
      <c r="Q106" s="60">
        <v>720028</v>
      </c>
      <c r="R106" s="83">
        <f>A106-SUM(D106:Q106)</f>
        <v>3960154</v>
      </c>
    </row>
    <row r="107" spans="1:18" customFormat="1" ht="17.25" customHeight="1" thickBot="1" x14ac:dyDescent="0.25">
      <c r="A107" s="100"/>
      <c r="B107" s="156"/>
      <c r="C107" s="106" t="s">
        <v>15</v>
      </c>
      <c r="D107" s="103">
        <v>374234</v>
      </c>
      <c r="E107" s="103">
        <v>359654</v>
      </c>
      <c r="F107" s="104">
        <v>340213</v>
      </c>
      <c r="G107" s="103">
        <v>320772</v>
      </c>
      <c r="H107" s="103">
        <v>301332</v>
      </c>
      <c r="I107" s="87">
        <v>281883</v>
      </c>
      <c r="J107" s="87">
        <v>262450</v>
      </c>
      <c r="K107" s="87">
        <v>243010</v>
      </c>
      <c r="L107" s="87">
        <v>223570</v>
      </c>
      <c r="M107" s="87">
        <v>204129</v>
      </c>
      <c r="N107" s="88">
        <v>184688</v>
      </c>
      <c r="O107" s="87">
        <v>165247</v>
      </c>
      <c r="P107" s="87">
        <v>145806</v>
      </c>
      <c r="Q107" s="88">
        <f>126365</f>
        <v>126365</v>
      </c>
      <c r="R107" s="75">
        <f>126365+106924+87484+68044+48603+29161-126365</f>
        <v>340216</v>
      </c>
    </row>
    <row r="108" spans="1:18" customFormat="1" ht="18" customHeight="1" thickBot="1" x14ac:dyDescent="0.25">
      <c r="A108" s="84"/>
      <c r="B108" s="85"/>
      <c r="C108" s="140" t="s">
        <v>85</v>
      </c>
      <c r="D108" s="157"/>
      <c r="E108" s="157"/>
      <c r="F108" s="158"/>
      <c r="G108" s="157"/>
      <c r="H108" s="157"/>
      <c r="I108" s="159"/>
      <c r="J108" s="159"/>
      <c r="K108" s="159"/>
      <c r="L108" s="159"/>
      <c r="M108" s="159"/>
      <c r="N108" s="160"/>
      <c r="O108" s="159"/>
      <c r="P108" s="159"/>
      <c r="Q108" s="160"/>
      <c r="R108" s="161"/>
    </row>
    <row r="109" spans="1:18" customFormat="1" ht="18" customHeight="1" x14ac:dyDescent="0.25">
      <c r="A109" s="44">
        <v>25174</v>
      </c>
      <c r="B109" s="97" t="s">
        <v>73</v>
      </c>
      <c r="C109" s="162" t="s">
        <v>86</v>
      </c>
      <c r="D109" s="47">
        <v>10789</v>
      </c>
      <c r="E109" s="99"/>
      <c r="F109" s="98"/>
      <c r="G109" s="99"/>
      <c r="H109" s="99"/>
      <c r="I109" s="48"/>
      <c r="J109" s="48"/>
      <c r="K109" s="48"/>
      <c r="L109" s="48"/>
      <c r="M109" s="48"/>
      <c r="N109" s="47"/>
      <c r="O109" s="48"/>
      <c r="P109" s="48"/>
      <c r="Q109" s="47"/>
      <c r="R109" s="83"/>
    </row>
    <row r="110" spans="1:18" customFormat="1" ht="31.5" x14ac:dyDescent="0.25">
      <c r="A110" s="69">
        <v>100000</v>
      </c>
      <c r="B110" s="138">
        <v>2021</v>
      </c>
      <c r="C110" s="163" t="s">
        <v>87</v>
      </c>
      <c r="D110" s="73">
        <v>100000</v>
      </c>
      <c r="E110" s="115"/>
      <c r="F110" s="114"/>
      <c r="G110" s="115"/>
      <c r="H110" s="115"/>
      <c r="I110" s="72"/>
      <c r="J110" s="72"/>
      <c r="K110" s="72"/>
      <c r="L110" s="72"/>
      <c r="M110" s="72"/>
      <c r="N110" s="73"/>
      <c r="O110" s="72"/>
      <c r="P110" s="72"/>
      <c r="Q110" s="73"/>
      <c r="R110" s="81"/>
    </row>
    <row r="111" spans="1:18" customFormat="1" ht="63" x14ac:dyDescent="0.25">
      <c r="A111" s="164">
        <v>26801</v>
      </c>
      <c r="B111" s="145">
        <v>2021</v>
      </c>
      <c r="C111" s="165" t="s">
        <v>88</v>
      </c>
      <c r="D111" s="149">
        <v>26801</v>
      </c>
      <c r="E111" s="146"/>
      <c r="F111" s="146"/>
      <c r="G111" s="146"/>
      <c r="H111" s="146"/>
      <c r="I111" s="149"/>
      <c r="J111" s="149"/>
      <c r="K111" s="149"/>
      <c r="L111" s="149"/>
      <c r="M111" s="149"/>
      <c r="N111" s="149"/>
      <c r="O111" s="149"/>
      <c r="P111" s="149"/>
      <c r="Q111" s="149"/>
      <c r="R111" s="31"/>
    </row>
    <row r="112" spans="1:18" s="167" customFormat="1" ht="63.75" customHeight="1" thickBot="1" x14ac:dyDescent="0.25">
      <c r="A112" s="164">
        <v>27855</v>
      </c>
      <c r="B112" s="145">
        <v>2021</v>
      </c>
      <c r="C112" s="165" t="s">
        <v>89</v>
      </c>
      <c r="D112" s="149">
        <v>27855</v>
      </c>
      <c r="E112" s="146"/>
      <c r="F112" s="146"/>
      <c r="G112" s="146"/>
      <c r="H112" s="146"/>
      <c r="I112" s="149"/>
      <c r="J112" s="149"/>
      <c r="K112" s="149"/>
      <c r="L112" s="149"/>
      <c r="M112" s="149"/>
      <c r="N112" s="149"/>
      <c r="O112" s="149"/>
      <c r="P112" s="149"/>
      <c r="Q112" s="149"/>
      <c r="R112" s="166"/>
    </row>
    <row r="113" spans="1:18" s="167" customFormat="1" ht="63.75" hidden="1" customHeight="1" x14ac:dyDescent="0.25">
      <c r="A113" s="164">
        <v>11665</v>
      </c>
      <c r="B113" s="145">
        <v>2021</v>
      </c>
      <c r="C113" s="165" t="s">
        <v>90</v>
      </c>
      <c r="D113" s="149">
        <v>11665</v>
      </c>
      <c r="E113" s="146"/>
      <c r="F113" s="146"/>
      <c r="G113" s="146"/>
      <c r="H113" s="146"/>
      <c r="I113" s="149"/>
      <c r="J113" s="149"/>
      <c r="K113" s="149"/>
      <c r="L113" s="149"/>
      <c r="M113" s="149"/>
      <c r="N113" s="149"/>
      <c r="O113" s="149"/>
      <c r="P113" s="149"/>
      <c r="Q113" s="149"/>
      <c r="R113" s="166"/>
    </row>
    <row r="114" spans="1:18" s="167" customFormat="1" ht="63.75" customHeight="1" thickBot="1" x14ac:dyDescent="0.25">
      <c r="A114" s="164">
        <v>56826</v>
      </c>
      <c r="B114" s="168">
        <v>2021</v>
      </c>
      <c r="C114" s="169" t="s">
        <v>91</v>
      </c>
      <c r="D114" s="148">
        <v>56826</v>
      </c>
      <c r="E114" s="147"/>
      <c r="F114" s="147"/>
      <c r="G114" s="147"/>
      <c r="H114" s="147"/>
      <c r="I114" s="148"/>
      <c r="J114" s="148"/>
      <c r="K114" s="148"/>
      <c r="L114" s="148"/>
      <c r="M114" s="148"/>
      <c r="N114" s="148"/>
      <c r="O114" s="148"/>
      <c r="P114" s="148"/>
      <c r="Q114" s="149"/>
      <c r="R114" s="166"/>
    </row>
    <row r="115" spans="1:18" s="167" customFormat="1" ht="63.75" customHeight="1" thickBot="1" x14ac:dyDescent="0.25">
      <c r="A115" s="164">
        <v>14520</v>
      </c>
      <c r="B115" s="168">
        <v>2021</v>
      </c>
      <c r="C115" s="169" t="s">
        <v>92</v>
      </c>
      <c r="D115" s="148">
        <v>14520</v>
      </c>
      <c r="E115" s="147"/>
      <c r="F115" s="147"/>
      <c r="G115" s="147"/>
      <c r="H115" s="147"/>
      <c r="I115" s="148"/>
      <c r="J115" s="148"/>
      <c r="K115" s="148"/>
      <c r="L115" s="148"/>
      <c r="M115" s="148"/>
      <c r="N115" s="148"/>
      <c r="O115" s="148"/>
      <c r="P115" s="148"/>
      <c r="Q115" s="149"/>
      <c r="R115" s="166"/>
    </row>
    <row r="116" spans="1:18" s="167" customFormat="1" ht="31.5" x14ac:dyDescent="0.25">
      <c r="A116" s="164">
        <v>40805</v>
      </c>
      <c r="B116" s="145">
        <v>2021</v>
      </c>
      <c r="C116" s="169" t="s">
        <v>93</v>
      </c>
      <c r="D116" s="149">
        <v>40805</v>
      </c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66"/>
    </row>
    <row r="117" spans="1:18" s="167" customFormat="1" ht="47.25" x14ac:dyDescent="0.25">
      <c r="A117" s="164">
        <v>174031</v>
      </c>
      <c r="B117" s="145">
        <v>2021</v>
      </c>
      <c r="C117" s="170" t="s">
        <v>94</v>
      </c>
      <c r="D117" s="149">
        <v>174031</v>
      </c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66"/>
    </row>
    <row r="118" spans="1:18" s="167" customFormat="1" ht="15.75" x14ac:dyDescent="0.25">
      <c r="A118" s="171">
        <v>9239</v>
      </c>
      <c r="B118" s="172">
        <v>2021</v>
      </c>
      <c r="C118" s="170" t="s">
        <v>95</v>
      </c>
      <c r="D118" s="149">
        <v>9239</v>
      </c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66"/>
    </row>
    <row r="119" spans="1:18" s="167" customFormat="1" ht="63" x14ac:dyDescent="0.25">
      <c r="A119" s="173">
        <v>1000000</v>
      </c>
      <c r="B119" s="174">
        <v>2021</v>
      </c>
      <c r="C119" s="170" t="s">
        <v>96</v>
      </c>
      <c r="D119" s="149">
        <v>1000000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66"/>
    </row>
    <row r="120" spans="1:18" s="167" customFormat="1" ht="47.25" x14ac:dyDescent="0.25">
      <c r="A120" s="50">
        <v>39188</v>
      </c>
      <c r="B120" s="175">
        <v>2021</v>
      </c>
      <c r="C120" s="176" t="s">
        <v>97</v>
      </c>
      <c r="D120" s="57">
        <v>39188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177"/>
    </row>
    <row r="121" spans="1:18" s="167" customFormat="1" ht="15.75" x14ac:dyDescent="0.25">
      <c r="A121" s="91">
        <f>SUM(A122:A123)</f>
        <v>14100000</v>
      </c>
      <c r="B121" s="178"/>
      <c r="C121" s="179" t="s">
        <v>98</v>
      </c>
      <c r="D121" s="142">
        <f t="shared" ref="D121:R121" si="10">SUM(D122:D123)</f>
        <v>850700</v>
      </c>
      <c r="E121" s="142">
        <f t="shared" si="10"/>
        <v>838010</v>
      </c>
      <c r="F121" s="142">
        <f t="shared" si="10"/>
        <v>825320</v>
      </c>
      <c r="G121" s="142">
        <f t="shared" si="10"/>
        <v>812630</v>
      </c>
      <c r="H121" s="142">
        <f t="shared" si="10"/>
        <v>799940</v>
      </c>
      <c r="I121" s="142">
        <f t="shared" si="10"/>
        <v>787250</v>
      </c>
      <c r="J121" s="142">
        <f t="shared" si="10"/>
        <v>774560</v>
      </c>
      <c r="K121" s="142">
        <f t="shared" si="10"/>
        <v>761870</v>
      </c>
      <c r="L121" s="142">
        <f t="shared" si="10"/>
        <v>749180</v>
      </c>
      <c r="M121" s="142">
        <f t="shared" si="10"/>
        <v>736490</v>
      </c>
      <c r="N121" s="142">
        <f t="shared" si="10"/>
        <v>723800</v>
      </c>
      <c r="O121" s="142">
        <f t="shared" si="10"/>
        <v>711110</v>
      </c>
      <c r="P121" s="142">
        <f t="shared" si="10"/>
        <v>698420</v>
      </c>
      <c r="Q121" s="142">
        <f t="shared" si="10"/>
        <v>685730</v>
      </c>
      <c r="R121" s="143">
        <f t="shared" si="10"/>
        <v>9245840</v>
      </c>
    </row>
    <row r="122" spans="1:18" s="167" customFormat="1" ht="47.25" x14ac:dyDescent="0.25">
      <c r="A122" s="131">
        <v>14100000</v>
      </c>
      <c r="B122" s="180" t="s">
        <v>99</v>
      </c>
      <c r="C122" s="181" t="s">
        <v>84</v>
      </c>
      <c r="D122" s="132">
        <v>470000</v>
      </c>
      <c r="E122" s="132">
        <v>470000</v>
      </c>
      <c r="F122" s="182">
        <v>470000</v>
      </c>
      <c r="G122" s="132">
        <v>470000</v>
      </c>
      <c r="H122" s="132">
        <v>470000</v>
      </c>
      <c r="I122" s="182">
        <v>470000</v>
      </c>
      <c r="J122" s="182">
        <v>470000</v>
      </c>
      <c r="K122" s="182">
        <v>470000</v>
      </c>
      <c r="L122" s="182">
        <v>470000</v>
      </c>
      <c r="M122" s="182">
        <v>470000</v>
      </c>
      <c r="N122" s="132">
        <v>470000</v>
      </c>
      <c r="O122" s="182">
        <v>470000</v>
      </c>
      <c r="P122" s="182">
        <v>470000</v>
      </c>
      <c r="Q122" s="132">
        <f>470000</f>
        <v>470000</v>
      </c>
      <c r="R122" s="62">
        <f>470000+470000+470000+470000+470000+470000+470000+470000+470000+470000+470000+470000+470000+470000+470000+470000+470000-470000</f>
        <v>7520000</v>
      </c>
    </row>
    <row r="123" spans="1:18" s="167" customFormat="1" ht="15.75" x14ac:dyDescent="0.25">
      <c r="A123" s="84"/>
      <c r="B123" s="85"/>
      <c r="C123" s="106" t="s">
        <v>15</v>
      </c>
      <c r="D123" s="88">
        <f>(A122)*0.027</f>
        <v>380700</v>
      </c>
      <c r="E123" s="88">
        <f>(A122-D122)*0.027</f>
        <v>368010</v>
      </c>
      <c r="F123" s="87">
        <f>(A122-D122-E122)*0.027</f>
        <v>355320</v>
      </c>
      <c r="G123" s="88">
        <f>(A122-D122-E122-F122)*0.027</f>
        <v>342630</v>
      </c>
      <c r="H123" s="88">
        <f>(A122-D122-E122-F122-G122)*0.027</f>
        <v>329940</v>
      </c>
      <c r="I123" s="87">
        <f>(A122-D122-E122-F122-G122-H122)*0.027</f>
        <v>317250</v>
      </c>
      <c r="J123" s="87">
        <f>(A122-D122-E122-F122-G122-H122-I122)*0.027</f>
        <v>304560</v>
      </c>
      <c r="K123" s="87">
        <f>(A122-D122-E122-F122-G122-H122-I122-J122)*0.027</f>
        <v>291870</v>
      </c>
      <c r="L123" s="87">
        <f>(A122-D122-E122-F122-G122-H122-I122-J122-K122)*0.027</f>
        <v>279180</v>
      </c>
      <c r="M123" s="87">
        <f>(A122-D122-E122-F122-G122-H122-I122-J122-K122-L122)*0.027</f>
        <v>266490</v>
      </c>
      <c r="N123" s="88">
        <f>(A122-D122-E122-F122-G122-H122-I122-J122-K122-L122-M122)*0.027</f>
        <v>253800</v>
      </c>
      <c r="O123" s="87">
        <f>(A122-D122-E122-F122-G122-H122-I122-J122-K122-L122-M122-N122)*0.027</f>
        <v>241110</v>
      </c>
      <c r="P123" s="87">
        <f>(A122-D122-E122-F122-G122-H122-I122-J122-K122-L122-M122-N122-O122)*0.027</f>
        <v>228420</v>
      </c>
      <c r="Q123" s="88">
        <f>215730</f>
        <v>215730</v>
      </c>
      <c r="R123" s="183">
        <f>215730+203040+190350+177660+164970+152280+139590+126900+114210+101520+88830+76140+63450+50760+38070+25380+12690-215730</f>
        <v>1725840</v>
      </c>
    </row>
    <row r="124" spans="1:18" s="167" customFormat="1" ht="15.75" x14ac:dyDescent="0.25">
      <c r="A124" s="184"/>
      <c r="B124" s="185"/>
      <c r="C124" s="186" t="s">
        <v>100</v>
      </c>
      <c r="D124" s="87">
        <f t="shared" ref="D124:R124" si="11">SUM(D14+D47+D100+D121)</f>
        <v>11753810.350500001</v>
      </c>
      <c r="E124" s="87">
        <f t="shared" si="11"/>
        <v>11927230.8483875</v>
      </c>
      <c r="F124" s="87">
        <f t="shared" si="11"/>
        <v>14366296.540000001</v>
      </c>
      <c r="G124" s="87">
        <f t="shared" si="11"/>
        <v>14089098.640000001</v>
      </c>
      <c r="H124" s="87">
        <f t="shared" si="11"/>
        <v>12474334.488</v>
      </c>
      <c r="I124" s="87">
        <f t="shared" si="11"/>
        <v>11660395.588</v>
      </c>
      <c r="J124" s="87">
        <f t="shared" si="11"/>
        <v>11214459.533</v>
      </c>
      <c r="K124" s="87">
        <f t="shared" si="11"/>
        <v>10894496.988</v>
      </c>
      <c r="L124" s="87">
        <f t="shared" si="11"/>
        <v>10369296.188000001</v>
      </c>
      <c r="M124" s="87">
        <f t="shared" si="11"/>
        <v>9852876.3880000003</v>
      </c>
      <c r="N124" s="87">
        <f t="shared" si="11"/>
        <v>9378704.7880000006</v>
      </c>
      <c r="O124" s="87">
        <f t="shared" si="11"/>
        <v>8111582.5039999988</v>
      </c>
      <c r="P124" s="87">
        <f t="shared" si="11"/>
        <v>6940745.9989999998</v>
      </c>
      <c r="Q124" s="88">
        <f t="shared" si="11"/>
        <v>6026081.3509999998</v>
      </c>
      <c r="R124" s="183">
        <f t="shared" si="11"/>
        <v>22938538.170000002</v>
      </c>
    </row>
    <row r="125" spans="1:18" s="167" customFormat="1" ht="15.75" x14ac:dyDescent="0.25">
      <c r="A125" s="187"/>
      <c r="B125" s="187"/>
      <c r="C125" s="187"/>
      <c r="D125" s="188"/>
      <c r="E125" s="188"/>
      <c r="F125" s="188"/>
      <c r="G125" s="189"/>
      <c r="H125" s="189"/>
      <c r="I125" s="189"/>
      <c r="J125" s="189"/>
      <c r="K125" s="189"/>
      <c r="L125" s="189"/>
      <c r="M125" s="189"/>
      <c r="N125" s="190"/>
      <c r="O125" s="190"/>
      <c r="P125" s="190"/>
      <c r="Q125" s="190"/>
    </row>
    <row r="126" spans="1:18" s="167" customFormat="1" ht="15.75" hidden="1" x14ac:dyDescent="0.25">
      <c r="A126" s="89"/>
      <c r="B126" s="89"/>
      <c r="C126" s="187" t="s">
        <v>101</v>
      </c>
      <c r="D126" s="188">
        <f t="shared" ref="D126:Q126" si="12">SUM(D48,D50,D52,D54,D56,D58,D60,D62,D64,D66,D68,D70,D72,D74,D76,D78,D80,D82,D84,D86,D88,D90,D98)</f>
        <v>5880257</v>
      </c>
      <c r="E126" s="188">
        <f t="shared" si="12"/>
        <v>6063469</v>
      </c>
      <c r="F126" s="188">
        <f t="shared" si="12"/>
        <v>5500284</v>
      </c>
      <c r="G126" s="188">
        <f t="shared" si="12"/>
        <v>5502552</v>
      </c>
      <c r="H126" s="188">
        <f t="shared" si="12"/>
        <v>3155247</v>
      </c>
      <c r="I126" s="188">
        <f t="shared" si="12"/>
        <v>2376390</v>
      </c>
      <c r="J126" s="188">
        <f t="shared" si="12"/>
        <v>1999903.29</v>
      </c>
      <c r="K126" s="188">
        <f t="shared" si="12"/>
        <v>1872541</v>
      </c>
      <c r="L126" s="188">
        <f t="shared" si="12"/>
        <v>1534559</v>
      </c>
      <c r="M126" s="188">
        <f t="shared" si="12"/>
        <v>1213324</v>
      </c>
      <c r="N126" s="188">
        <f t="shared" si="12"/>
        <v>1036948</v>
      </c>
      <c r="O126" s="188">
        <f t="shared" si="12"/>
        <v>989888</v>
      </c>
      <c r="P126" s="188">
        <f t="shared" si="12"/>
        <v>1038575</v>
      </c>
      <c r="Q126" s="188">
        <f t="shared" si="12"/>
        <v>320500</v>
      </c>
    </row>
    <row r="127" spans="1:18" s="167" customFormat="1" ht="15.75" hidden="1" x14ac:dyDescent="0.25">
      <c r="A127" s="89"/>
      <c r="B127" s="89"/>
      <c r="C127" s="187" t="s">
        <v>102</v>
      </c>
      <c r="D127" s="188">
        <f t="shared" ref="D127:Q127" si="13">SUM(D49,D51,D53,D55,D57,D59,D61,D63,D65,D67,D69,D71,D73,D75,D77,D79,D81,D83,D85,D87,D89,D91,D99)</f>
        <v>974407</v>
      </c>
      <c r="E127" s="188">
        <f t="shared" si="13"/>
        <v>896497</v>
      </c>
      <c r="F127" s="188">
        <f t="shared" si="13"/>
        <v>732328</v>
      </c>
      <c r="G127" s="188">
        <f t="shared" si="13"/>
        <v>589221</v>
      </c>
      <c r="H127" s="188">
        <f t="shared" si="13"/>
        <v>447780</v>
      </c>
      <c r="I127" s="188">
        <f t="shared" si="13"/>
        <v>362587</v>
      </c>
      <c r="J127" s="188">
        <f t="shared" si="13"/>
        <v>292375</v>
      </c>
      <c r="K127" s="188">
        <f t="shared" si="13"/>
        <v>238267</v>
      </c>
      <c r="L127" s="188">
        <f t="shared" si="13"/>
        <v>185994</v>
      </c>
      <c r="M127" s="188">
        <f t="shared" si="13"/>
        <v>132522</v>
      </c>
      <c r="N127" s="188">
        <f t="shared" si="13"/>
        <v>98477</v>
      </c>
      <c r="O127" s="188">
        <f t="shared" si="13"/>
        <v>69111</v>
      </c>
      <c r="P127" s="188">
        <f t="shared" si="13"/>
        <v>67588</v>
      </c>
      <c r="Q127" s="188">
        <f t="shared" si="13"/>
        <v>14342</v>
      </c>
    </row>
    <row r="128" spans="1:18" s="167" customFormat="1" ht="15" customHeight="1" x14ac:dyDescent="0.25">
      <c r="A128" s="89"/>
      <c r="B128" s="89"/>
      <c r="C128" s="187"/>
      <c r="D128" s="187"/>
      <c r="E128" s="187"/>
      <c r="F128" s="188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</row>
    <row r="129" spans="1:17" s="167" customFormat="1" ht="15.75" hidden="1" x14ac:dyDescent="0.25">
      <c r="A129" s="89"/>
      <c r="B129" s="89"/>
      <c r="C129" s="187"/>
      <c r="D129" s="29">
        <v>14100000</v>
      </c>
      <c r="E129" s="29"/>
      <c r="F129" s="188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</row>
    <row r="130" spans="1:17" s="167" customFormat="1" ht="15.75" hidden="1" x14ac:dyDescent="0.25">
      <c r="A130" s="89"/>
      <c r="B130" s="89"/>
      <c r="C130" s="187"/>
      <c r="D130" s="182"/>
      <c r="E130" s="182"/>
      <c r="F130" s="188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</row>
    <row r="131" spans="1:17" s="167" customFormat="1" hidden="1" x14ac:dyDescent="0.25">
      <c r="A131" s="89"/>
      <c r="B131" s="89"/>
      <c r="C131" s="89">
        <v>1</v>
      </c>
      <c r="D131" s="191">
        <v>470000</v>
      </c>
      <c r="E131" s="192">
        <f>D129*0.027</f>
        <v>380700</v>
      </c>
      <c r="F131" s="193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</row>
    <row r="132" spans="1:17" s="167" customFormat="1" hidden="1" x14ac:dyDescent="0.25">
      <c r="A132" s="1"/>
      <c r="B132" s="1"/>
      <c r="C132" s="1">
        <v>2</v>
      </c>
      <c r="D132" s="191">
        <v>470000</v>
      </c>
      <c r="E132" s="192">
        <f>(D129-D131)*0.027</f>
        <v>368010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167" customFormat="1" hidden="1" x14ac:dyDescent="0.25">
      <c r="A133" s="1"/>
      <c r="B133" s="1"/>
      <c r="C133" s="1">
        <v>3</v>
      </c>
      <c r="D133" s="191">
        <v>470000</v>
      </c>
      <c r="E133" s="194">
        <f>(D129-D131-D132)*0.027</f>
        <v>355320</v>
      </c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1:17" s="167" customFormat="1" hidden="1" x14ac:dyDescent="0.25">
      <c r="A134" s="1"/>
      <c r="B134" s="1"/>
      <c r="C134" s="1">
        <v>4</v>
      </c>
      <c r="D134" s="191">
        <v>470000</v>
      </c>
      <c r="E134" s="194">
        <f>(D129-D131-D132-D133)*0.027</f>
        <v>342630</v>
      </c>
      <c r="F134" s="1"/>
      <c r="G134" s="195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167" customFormat="1" hidden="1" x14ac:dyDescent="0.25">
      <c r="A135" s="1"/>
      <c r="B135" s="1"/>
      <c r="C135" s="1">
        <v>5</v>
      </c>
      <c r="D135" s="191">
        <v>470000</v>
      </c>
      <c r="E135" s="194">
        <f>(D129-D131-D132-D133-D134)*0.027</f>
        <v>329940</v>
      </c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1:17" s="167" customFormat="1" hidden="1" x14ac:dyDescent="0.25">
      <c r="A136" s="1"/>
      <c r="B136" s="1"/>
      <c r="C136" s="1">
        <v>6</v>
      </c>
      <c r="D136" s="191">
        <v>470000</v>
      </c>
      <c r="E136" s="194">
        <f>(D129-D131-D132-D133-D134-D135)*0.027</f>
        <v>317250</v>
      </c>
      <c r="F136" s="1"/>
      <c r="G136" s="1"/>
      <c r="H136" s="196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167" customFormat="1" hidden="1" x14ac:dyDescent="0.25">
      <c r="A137" s="1"/>
      <c r="B137" s="1"/>
      <c r="C137" s="1">
        <v>7</v>
      </c>
      <c r="D137" s="191">
        <v>470000</v>
      </c>
      <c r="E137" s="194">
        <f>(D129-D131-D132-D133-D134-D135-D136)*0.027</f>
        <v>304560</v>
      </c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1:17" s="167" customFormat="1" hidden="1" x14ac:dyDescent="0.25">
      <c r="A138" s="1"/>
      <c r="B138" s="1"/>
      <c r="C138" s="1">
        <v>8</v>
      </c>
      <c r="D138" s="191">
        <v>470000</v>
      </c>
      <c r="E138" s="194">
        <f>(D129-D131-D132-D133-D134-D135-D136-D137)*0.027</f>
        <v>291870</v>
      </c>
      <c r="F138" s="1"/>
      <c r="G138" s="1"/>
      <c r="H138" s="196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167" customFormat="1" hidden="1" x14ac:dyDescent="0.25">
      <c r="A139" s="1"/>
      <c r="B139" s="1"/>
      <c r="C139" s="1">
        <v>9</v>
      </c>
      <c r="D139" s="191">
        <v>470000</v>
      </c>
      <c r="E139" s="194">
        <f>(D129-D131-D132-D133-D134-D135-D136-D137-D138)*0.027</f>
        <v>279180</v>
      </c>
      <c r="F139" s="1"/>
      <c r="G139" s="1"/>
      <c r="H139" s="196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167" customFormat="1" hidden="1" x14ac:dyDescent="0.25">
      <c r="A140" s="1"/>
      <c r="B140" s="1"/>
      <c r="C140" s="1">
        <v>10</v>
      </c>
      <c r="D140" s="191">
        <v>470000</v>
      </c>
      <c r="E140" s="194">
        <f>(D129-D131-D132-D133-D134-D135-D136-D137-D138-D139)*0.027</f>
        <v>266490</v>
      </c>
      <c r="F140" s="1"/>
      <c r="G140" s="1"/>
      <c r="H140" s="196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167" customFormat="1" hidden="1" x14ac:dyDescent="0.25">
      <c r="A141" s="1"/>
      <c r="B141" s="1"/>
      <c r="C141" s="1">
        <v>11</v>
      </c>
      <c r="D141" s="191">
        <v>470000</v>
      </c>
      <c r="E141" s="194">
        <f>(D129-D131-D132-D133-D134-D135-D136-D137-D138-D139-D140)*0.027</f>
        <v>253800</v>
      </c>
      <c r="F141" s="1"/>
      <c r="G141" s="1"/>
      <c r="H141" s="196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167" customFormat="1" hidden="1" x14ac:dyDescent="0.25">
      <c r="A142" s="1"/>
      <c r="B142" s="1"/>
      <c r="C142" s="1">
        <v>12</v>
      </c>
      <c r="D142" s="191">
        <v>470000</v>
      </c>
      <c r="E142" s="194">
        <f>(D129-D131-D132-D133-D134-D135-D136-D137-D138-D139-D140-D141)*0.027</f>
        <v>241110</v>
      </c>
      <c r="F142" s="1"/>
      <c r="G142" s="1"/>
      <c r="H142" s="196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167" customFormat="1" hidden="1" x14ac:dyDescent="0.25">
      <c r="A143" s="1"/>
      <c r="B143" s="1"/>
      <c r="C143" s="1">
        <v>13</v>
      </c>
      <c r="D143" s="191">
        <v>470000</v>
      </c>
      <c r="E143" s="194">
        <f>(D129-D131-D132-D133-D134-D135-D136-D137-D138-D139-D140-D141-D142)*0.027</f>
        <v>228420</v>
      </c>
      <c r="F143" s="1"/>
      <c r="G143" s="1"/>
      <c r="H143" s="196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167" customFormat="1" hidden="1" x14ac:dyDescent="0.25">
      <c r="A144" s="1"/>
      <c r="B144" s="1"/>
      <c r="C144" s="1">
        <v>14</v>
      </c>
      <c r="D144" s="191">
        <v>470000</v>
      </c>
      <c r="E144" s="194">
        <f>(D129-D131-D132-D133-D134-D135-D136-D137-D138-D139-D140-D141-D142-D143)*0.027</f>
        <v>215730</v>
      </c>
      <c r="F144" s="1"/>
      <c r="G144" s="1"/>
      <c r="H144" s="196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167" customFormat="1" hidden="1" x14ac:dyDescent="0.25">
      <c r="A145" s="1"/>
      <c r="B145" s="1"/>
      <c r="C145" s="1">
        <v>15</v>
      </c>
      <c r="D145" s="191">
        <v>470000</v>
      </c>
      <c r="E145" s="194">
        <f>(D129-D131-D132-D133-D134-D135-D136-D137-D138-D139-D140-D141-D142-D143-D144)*0.027</f>
        <v>203040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167" customFormat="1" hidden="1" x14ac:dyDescent="0.25">
      <c r="A146" s="1"/>
      <c r="B146" s="1"/>
      <c r="C146" s="1">
        <v>16</v>
      </c>
      <c r="D146" s="191">
        <v>470000</v>
      </c>
      <c r="E146" s="194">
        <f>(D129-D131-D132-D133-D134-D135-D136-D137-D138-D139-D140-D141-D142-D143-D144-D145)*0.027</f>
        <v>190350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167" customFormat="1" hidden="1" x14ac:dyDescent="0.25">
      <c r="A147" s="1"/>
      <c r="B147" s="1"/>
      <c r="C147" s="1">
        <v>17</v>
      </c>
      <c r="D147" s="191">
        <v>470000</v>
      </c>
      <c r="E147" s="194">
        <f>(D129-D131-D132-D133-D134-D135-D136-D137-D138-D139-D140-D141-D142-D143-D144-D145-D146)*0.027</f>
        <v>177660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167" customFormat="1" hidden="1" x14ac:dyDescent="0.25">
      <c r="A148" s="1"/>
      <c r="B148" s="1"/>
      <c r="C148" s="1">
        <v>18</v>
      </c>
      <c r="D148" s="191">
        <v>470000</v>
      </c>
      <c r="E148" s="194">
        <f>(D129-D131-D132-D133-D134-D135-D136-D137-D138-D139-D140-D141-D142-D143-D144-D145-D146-D147)*0.027</f>
        <v>164970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167" customFormat="1" hidden="1" x14ac:dyDescent="0.25">
      <c r="A149" s="1"/>
      <c r="B149" s="1"/>
      <c r="C149" s="1">
        <v>19</v>
      </c>
      <c r="D149" s="191">
        <v>470000</v>
      </c>
      <c r="E149" s="194">
        <f>(D129-D131-D132-D133-D134-D135-D136-D137-D138-D139-D140-D141-D142-D143-D144-D145-D146-D147-D148)*0.027</f>
        <v>152280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167" customFormat="1" hidden="1" x14ac:dyDescent="0.25">
      <c r="A150" s="1"/>
      <c r="B150" s="1"/>
      <c r="C150" s="1">
        <v>20</v>
      </c>
      <c r="D150" s="197">
        <v>470000</v>
      </c>
      <c r="E150" s="194">
        <f>(D129-D131-D132-D133-D134-D135-D136-D137-D138-D139-D140-D141-D142-D143-D144-D145-D146-D147-D148-D149)*0.027</f>
        <v>139590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167" customFormat="1" hidden="1" x14ac:dyDescent="0.25">
      <c r="A151" s="1"/>
      <c r="B151" s="1"/>
      <c r="C151" s="1">
        <v>21</v>
      </c>
      <c r="D151" s="197">
        <v>470000</v>
      </c>
      <c r="E151" s="194">
        <f>(D129-D131-D132-D133-D134-D135-D136-D137-D138-D139-D140-D141-D142-D143-D144-D145-D146-D147-D148-D149-D150)*0.027</f>
        <v>126900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167" customFormat="1" hidden="1" x14ac:dyDescent="0.25">
      <c r="A152" s="1"/>
      <c r="B152" s="1"/>
      <c r="C152" s="1">
        <v>22</v>
      </c>
      <c r="D152" s="197">
        <v>470000</v>
      </c>
      <c r="E152" s="194">
        <f>(D129-D131-D132-D133-D134-D135-D136-D137-D138-D139-D140-D141-D142-D143-D144-D145-D146-D147-D148-D149-D150-D151)*0.027</f>
        <v>114210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167" customFormat="1" hidden="1" x14ac:dyDescent="0.25">
      <c r="A153" s="2"/>
      <c r="B153" s="2"/>
      <c r="C153" s="1">
        <v>23</v>
      </c>
      <c r="D153" s="197">
        <v>470000</v>
      </c>
      <c r="E153" s="194">
        <f>(D129-D131-D132-D133-D134-D135-D136-D137-D138-D139-D140-D141-D142-D143-D144-D145-D146-D147-D148-D149-D150-D151-D152)*0.027</f>
        <v>101520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167" customFormat="1" hidden="1" x14ac:dyDescent="0.25">
      <c r="A154" s="2"/>
      <c r="B154" s="2"/>
      <c r="C154" s="1">
        <v>24</v>
      </c>
      <c r="D154" s="197">
        <v>470000</v>
      </c>
      <c r="E154" s="194">
        <f>(D129-D131-D132-D133-D134-D135-D136-D137-D138-D139-D140-D141-D142-D143-D144-D145-D146-D147-D148-D149-D150-D151-D152-D153)*0.027</f>
        <v>88830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167" customFormat="1" hidden="1" x14ac:dyDescent="0.25">
      <c r="A155" s="2"/>
      <c r="B155" s="2"/>
      <c r="C155" s="1">
        <v>25</v>
      </c>
      <c r="D155" s="197">
        <v>470000</v>
      </c>
      <c r="E155" s="194">
        <f>(D129-D131-D132-D133-D134-D135-D136-D137-D138-D139-D140-D141-D142-D143-D144-D145-D146-D147-D148-D149-D150-D151-D152-D153-D154)*0.027</f>
        <v>76140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67" customFormat="1" hidden="1" x14ac:dyDescent="0.25">
      <c r="A156" s="2"/>
      <c r="B156" s="2"/>
      <c r="C156" s="1">
        <v>26</v>
      </c>
      <c r="D156" s="197">
        <v>470000</v>
      </c>
      <c r="E156" s="194">
        <f>(D129-D131-D132-D133-D134-D135-D136-D137-D138-D139-D140-D141-D142-D143-D144-D145-D146-D147-D148-D149-D150-D151-D152-D153-D154-D155)*0.027</f>
        <v>63450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s="167" customFormat="1" hidden="1" x14ac:dyDescent="0.25">
      <c r="A157" s="2"/>
      <c r="B157" s="2"/>
      <c r="C157" s="1">
        <v>27</v>
      </c>
      <c r="D157" s="197">
        <v>470000</v>
      </c>
      <c r="E157" s="194">
        <f>(D129-D131-D132-D133-D134-D135-D136-D137-D138-D139-D140-D141-D142-D143-D144-D145-D146-D147-D148-D149-D150-D151-D152-D153-D154-D155-D156)*0.027</f>
        <v>50760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167" customFormat="1" hidden="1" x14ac:dyDescent="0.25">
      <c r="A158" s="2"/>
      <c r="B158" s="2"/>
      <c r="C158" s="1">
        <v>28</v>
      </c>
      <c r="D158" s="197">
        <v>470000</v>
      </c>
      <c r="E158" s="194">
        <f>(D129-D131-D132-D133-D134-D135-D136-D137-D138-D139-D140-D141-D142-D143-D144-D145-D146-D147-D148-D149-D150-D151-D152-D153-D154-D155-D156-D157)*0.027</f>
        <v>38070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167" customFormat="1" hidden="1" x14ac:dyDescent="0.25">
      <c r="A159" s="2"/>
      <c r="B159" s="2"/>
      <c r="C159" s="1">
        <v>29</v>
      </c>
      <c r="D159" s="197">
        <v>470000</v>
      </c>
      <c r="E159" s="194">
        <f>(D129-D131-D132-D133-D134-D135-D136-D137-D138-D139-D140-D141-D142-D143-D144-D145-D146-D147-D148-D149-D150-D151-D152-D153-D154-D155-D156-D157-D158)*0.027</f>
        <v>25380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67" customFormat="1" hidden="1" x14ac:dyDescent="0.25">
      <c r="A160" s="2"/>
      <c r="B160" s="2"/>
      <c r="C160" s="1">
        <v>30</v>
      </c>
      <c r="D160" s="197">
        <v>470000</v>
      </c>
      <c r="E160" s="194">
        <f>(D129-D131-D132-D133-D134-D135-D136-D137-D138-D139-D140-D141-D142-D143-D144-D145-D146-D147-D148-D149-D150-D151-D152-D153-D154-D155-D156-D157-D158-D159)*0.027</f>
        <v>12690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s="167" customFormat="1" hidden="1" x14ac:dyDescent="0.25">
      <c r="A161" s="2"/>
      <c r="B161" s="2"/>
      <c r="C161" s="1"/>
      <c r="D161" s="198">
        <f>SUM(D131:D160)</f>
        <v>14100000</v>
      </c>
      <c r="E161" s="198">
        <f>SUM(E131:E160)</f>
        <v>5900850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167" customFormat="1" hidden="1" x14ac:dyDescent="0.25">
      <c r="A162" s="2"/>
      <c r="B162" s="2"/>
      <c r="C162" s="1"/>
      <c r="D162" s="199"/>
      <c r="E162" s="19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s="167" customFormat="1" hidden="1" x14ac:dyDescent="0.25">
      <c r="A163" s="2"/>
      <c r="B163" s="2"/>
      <c r="C163" s="1"/>
      <c r="D163" s="200">
        <f>SUM(D161-D129)</f>
        <v>0</v>
      </c>
      <c r="E163" s="19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167" customFormat="1" x14ac:dyDescent="0.25">
      <c r="A164" s="2"/>
      <c r="B164" s="2"/>
      <c r="C164" s="1"/>
      <c r="D164" s="195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</sheetData>
  <mergeCells count="4">
    <mergeCell ref="O1:R2"/>
    <mergeCell ref="A3:Q3"/>
    <mergeCell ref="C9:C10"/>
    <mergeCell ref="C11:C12"/>
  </mergeCells>
  <pageMargins left="0.19685039370078702" right="0.11811023622047202" top="0.59055118110236204" bottom="0.39370078740157505" header="0.23622047244094502" footer="0.23622047244094502"/>
  <pageSetup paperSize="0" scale="49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4_piel_</vt:lpstr>
      <vt:lpstr>'4_piel_'!Print_Titles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Polina Oganesjana</cp:lastModifiedBy>
  <cp:lastPrinted>2020-12-18T11:54:03Z</cp:lastPrinted>
  <dcterms:created xsi:type="dcterms:W3CDTF">2020-12-16T06:44:42Z</dcterms:created>
  <dcterms:modified xsi:type="dcterms:W3CDTF">2020-12-29T15:24:47Z</dcterms:modified>
</cp:coreProperties>
</file>