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R:\domes_sede\PROJEKTI\DS_2025_12_18\F_J.Miberga_409\"/>
    </mc:Choice>
  </mc:AlternateContent>
  <xr:revisionPtr revIDLastSave="0" documentId="14_{570A9781-4A89-4D13-8E26-29329D786AAB}" xr6:coauthVersionLast="47" xr6:coauthVersionMax="47" xr10:uidLastSave="{00000000-0000-0000-0000-000000000000}"/>
  <bookViews>
    <workbookView xWindow="-38510" yWindow="-110" windowWidth="38620" windowHeight="21100" xr2:uid="{00000000-000D-0000-FFFF-FFFF00000000}"/>
  </bookViews>
  <sheets>
    <sheet name="IP 2023-2029" sheetId="1" r:id="rId1"/>
    <sheet name="2023-2025" sheetId="2" r:id="rId2"/>
    <sheet name="2024-2026" sheetId="3" r:id="rId3"/>
    <sheet name="2025-2027"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8" i="4" l="1"/>
  <c r="V188" i="4"/>
  <c r="P188" i="4"/>
  <c r="O188" i="4"/>
  <c r="Y187" i="4"/>
  <c r="W187" i="4"/>
  <c r="U187" i="4"/>
  <c r="T187" i="4"/>
  <c r="S187" i="4"/>
  <c r="R187" i="4"/>
  <c r="Q187" i="4"/>
  <c r="N187" i="4"/>
  <c r="M187" i="4"/>
  <c r="L187" i="4"/>
  <c r="K187" i="4"/>
  <c r="J187" i="4"/>
  <c r="P187" i="4" s="1"/>
  <c r="I187" i="4"/>
  <c r="G187" i="4"/>
  <c r="F187" i="4"/>
  <c r="V186" i="4"/>
  <c r="P186" i="4"/>
  <c r="O186" i="4"/>
  <c r="V185" i="4"/>
  <c r="O185" i="4"/>
  <c r="V184" i="4"/>
  <c r="O184" i="4"/>
  <c r="P184" i="4" s="1"/>
  <c r="V183" i="4"/>
  <c r="O183" i="4"/>
  <c r="P183" i="4" s="1"/>
  <c r="V182" i="4"/>
  <c r="O182" i="4"/>
  <c r="V181" i="4"/>
  <c r="O181" i="4"/>
  <c r="X181" i="4" s="1"/>
  <c r="Z181" i="4" s="1"/>
  <c r="J181" i="4"/>
  <c r="J179" i="4" s="1"/>
  <c r="Y180" i="4"/>
  <c r="Y179" i="4" s="1"/>
  <c r="V180" i="4"/>
  <c r="O180" i="4"/>
  <c r="W179" i="4"/>
  <c r="U179" i="4"/>
  <c r="U178" i="4" s="1"/>
  <c r="T179" i="4"/>
  <c r="S179" i="4"/>
  <c r="R179" i="4"/>
  <c r="Q179" i="4"/>
  <c r="N179" i="4"/>
  <c r="M179" i="4"/>
  <c r="L179" i="4"/>
  <c r="K179" i="4"/>
  <c r="I179" i="4"/>
  <c r="G179" i="4"/>
  <c r="F179" i="4"/>
  <c r="V177" i="4"/>
  <c r="O177" i="4"/>
  <c r="V176" i="4"/>
  <c r="P176" i="4"/>
  <c r="O176" i="4"/>
  <c r="V175" i="4"/>
  <c r="O175" i="4"/>
  <c r="X175" i="4" s="1"/>
  <c r="Z175" i="4" s="1"/>
  <c r="V174" i="4"/>
  <c r="O174" i="4"/>
  <c r="Y173" i="4"/>
  <c r="W173" i="4"/>
  <c r="U173" i="4"/>
  <c r="T173" i="4"/>
  <c r="S173" i="4"/>
  <c r="R173" i="4"/>
  <c r="Q173" i="4"/>
  <c r="N173" i="4"/>
  <c r="M173" i="4"/>
  <c r="L173" i="4"/>
  <c r="K173" i="4"/>
  <c r="J173" i="4"/>
  <c r="I173" i="4"/>
  <c r="G173" i="4"/>
  <c r="G171" i="4" s="1"/>
  <c r="F173" i="4"/>
  <c r="F171" i="4" s="1"/>
  <c r="V172" i="4"/>
  <c r="P172" i="4"/>
  <c r="O172" i="4"/>
  <c r="W171" i="4"/>
  <c r="W165" i="4" s="1"/>
  <c r="U171" i="4"/>
  <c r="T171" i="4"/>
  <c r="S171" i="4"/>
  <c r="R171" i="4"/>
  <c r="Q171" i="4"/>
  <c r="N171" i="4"/>
  <c r="M171" i="4"/>
  <c r="L171" i="4"/>
  <c r="K171" i="4"/>
  <c r="J171" i="4"/>
  <c r="I171" i="4"/>
  <c r="V170" i="4"/>
  <c r="O170" i="4"/>
  <c r="X170" i="4" s="1"/>
  <c r="Z170" i="4" s="1"/>
  <c r="V169" i="4"/>
  <c r="O169" i="4"/>
  <c r="X169" i="4" s="1"/>
  <c r="Z169" i="4" s="1"/>
  <c r="V168" i="4"/>
  <c r="P168" i="4"/>
  <c r="O168" i="4"/>
  <c r="X168" i="4" s="1"/>
  <c r="Z168" i="4" s="1"/>
  <c r="V167" i="4"/>
  <c r="P167" i="4"/>
  <c r="O167" i="4"/>
  <c r="Y166" i="4"/>
  <c r="W166" i="4"/>
  <c r="U166" i="4"/>
  <c r="T166" i="4"/>
  <c r="S166" i="4"/>
  <c r="R166" i="4"/>
  <c r="Q166" i="4"/>
  <c r="Q165" i="4" s="1"/>
  <c r="N166" i="4"/>
  <c r="N165" i="4" s="1"/>
  <c r="M166" i="4"/>
  <c r="L166" i="4"/>
  <c r="K166" i="4"/>
  <c r="J166" i="4"/>
  <c r="J165" i="4" s="1"/>
  <c r="I166" i="4"/>
  <c r="G166" i="4"/>
  <c r="F166" i="4"/>
  <c r="V164" i="4"/>
  <c r="P164" i="4"/>
  <c r="O164" i="4"/>
  <c r="V163" i="4"/>
  <c r="P163" i="4"/>
  <c r="O163" i="4"/>
  <c r="V162" i="4"/>
  <c r="P162" i="4"/>
  <c r="O162" i="4"/>
  <c r="V161" i="4"/>
  <c r="P161" i="4"/>
  <c r="O161" i="4"/>
  <c r="X161" i="4" s="1"/>
  <c r="Z161" i="4" s="1"/>
  <c r="V160" i="4"/>
  <c r="P160" i="4"/>
  <c r="O160" i="4"/>
  <c r="V159" i="4"/>
  <c r="P159" i="4"/>
  <c r="O159" i="4"/>
  <c r="V158" i="4"/>
  <c r="P158" i="4"/>
  <c r="O158" i="4"/>
  <c r="V157" i="4"/>
  <c r="P157" i="4"/>
  <c r="O157" i="4"/>
  <c r="V156" i="4"/>
  <c r="P156" i="4"/>
  <c r="O156" i="4"/>
  <c r="X156" i="4" s="1"/>
  <c r="Z156" i="4" s="1"/>
  <c r="V155" i="4"/>
  <c r="P155" i="4"/>
  <c r="O155" i="4"/>
  <c r="X155" i="4" s="1"/>
  <c r="Z155" i="4" s="1"/>
  <c r="AA155" i="4" s="1"/>
  <c r="V154" i="4"/>
  <c r="P154" i="4"/>
  <c r="O154" i="4"/>
  <c r="X154" i="4" s="1"/>
  <c r="Z154" i="4" s="1"/>
  <c r="V153" i="4"/>
  <c r="P153" i="4"/>
  <c r="O153" i="4"/>
  <c r="X153" i="4" s="1"/>
  <c r="Z153" i="4" s="1"/>
  <c r="AA153" i="4" s="1"/>
  <c r="V152" i="4"/>
  <c r="P152" i="4"/>
  <c r="O152" i="4"/>
  <c r="V151" i="4"/>
  <c r="P151" i="4"/>
  <c r="O151" i="4"/>
  <c r="V150" i="4"/>
  <c r="P150" i="4"/>
  <c r="O150" i="4"/>
  <c r="X150" i="4" s="1"/>
  <c r="Z150" i="4" s="1"/>
  <c r="AA150" i="4" s="1"/>
  <c r="V149" i="4"/>
  <c r="P149" i="4"/>
  <c r="O149" i="4"/>
  <c r="V148" i="4"/>
  <c r="P148" i="4"/>
  <c r="O148" i="4"/>
  <c r="V147" i="4"/>
  <c r="O147" i="4"/>
  <c r="V146" i="4"/>
  <c r="P146" i="4"/>
  <c r="O146" i="4"/>
  <c r="V145" i="4"/>
  <c r="P145" i="4"/>
  <c r="O145" i="4"/>
  <c r="X145" i="4" s="1"/>
  <c r="Z145" i="4" s="1"/>
  <c r="V144" i="4"/>
  <c r="P144" i="4"/>
  <c r="O144" i="4"/>
  <c r="V143" i="4"/>
  <c r="P143" i="4"/>
  <c r="O143" i="4"/>
  <c r="V142" i="4"/>
  <c r="P142" i="4"/>
  <c r="O142" i="4"/>
  <c r="V141" i="4"/>
  <c r="P141" i="4"/>
  <c r="O141" i="4"/>
  <c r="Y140" i="4"/>
  <c r="Y139" i="4" s="1"/>
  <c r="W140" i="4"/>
  <c r="W139" i="4" s="1"/>
  <c r="U140" i="4"/>
  <c r="U139" i="4" s="1"/>
  <c r="T140" i="4"/>
  <c r="T139" i="4" s="1"/>
  <c r="S140" i="4"/>
  <c r="S139" i="4" s="1"/>
  <c r="R140" i="4"/>
  <c r="R139" i="4" s="1"/>
  <c r="Q140" i="4"/>
  <c r="Q139" i="4" s="1"/>
  <c r="N140" i="4"/>
  <c r="N139" i="4" s="1"/>
  <c r="M140" i="4"/>
  <c r="M139" i="4" s="1"/>
  <c r="L140" i="4"/>
  <c r="K140" i="4"/>
  <c r="K139" i="4" s="1"/>
  <c r="J140" i="4"/>
  <c r="J139" i="4" s="1"/>
  <c r="I140" i="4"/>
  <c r="I139" i="4" s="1"/>
  <c r="G140" i="4"/>
  <c r="G139" i="4" s="1"/>
  <c r="F140" i="4"/>
  <c r="F139" i="4" s="1"/>
  <c r="V138" i="4"/>
  <c r="P138" i="4"/>
  <c r="O138" i="4"/>
  <c r="X138" i="4" s="1"/>
  <c r="Z138" i="4" s="1"/>
  <c r="V137" i="4"/>
  <c r="O137" i="4"/>
  <c r="X137" i="4" s="1"/>
  <c r="Z137" i="4" s="1"/>
  <c r="V136" i="4"/>
  <c r="O136" i="4"/>
  <c r="V135" i="4"/>
  <c r="P135" i="4"/>
  <c r="O135" i="4"/>
  <c r="X135" i="4" s="1"/>
  <c r="Z135" i="4" s="1"/>
  <c r="Y134" i="4"/>
  <c r="W134" i="4"/>
  <c r="U134" i="4"/>
  <c r="T134" i="4"/>
  <c r="S134" i="4"/>
  <c r="R134" i="4"/>
  <c r="Q134" i="4"/>
  <c r="N134" i="4"/>
  <c r="M134" i="4"/>
  <c r="L134" i="4"/>
  <c r="K134" i="4"/>
  <c r="J134" i="4"/>
  <c r="I134" i="4"/>
  <c r="G134" i="4"/>
  <c r="F134" i="4"/>
  <c r="V133" i="4"/>
  <c r="P133" i="4"/>
  <c r="O133" i="4"/>
  <c r="V132" i="4"/>
  <c r="P132" i="4"/>
  <c r="O132" i="4"/>
  <c r="Y131" i="4"/>
  <c r="W131" i="4"/>
  <c r="U131" i="4"/>
  <c r="T131" i="4"/>
  <c r="S131" i="4"/>
  <c r="R131" i="4"/>
  <c r="Q131" i="4"/>
  <c r="N131" i="4"/>
  <c r="M131" i="4"/>
  <c r="L131" i="4"/>
  <c r="K131" i="4"/>
  <c r="J131" i="4"/>
  <c r="I131" i="4"/>
  <c r="G131" i="4"/>
  <c r="F131" i="4"/>
  <c r="V130" i="4"/>
  <c r="O130" i="4"/>
  <c r="V129" i="4"/>
  <c r="O129" i="4"/>
  <c r="Y128" i="4"/>
  <c r="W128" i="4"/>
  <c r="U128" i="4"/>
  <c r="T128" i="4"/>
  <c r="S128" i="4"/>
  <c r="R128" i="4"/>
  <c r="Q128" i="4"/>
  <c r="N128" i="4"/>
  <c r="M128" i="4"/>
  <c r="L128" i="4"/>
  <c r="K128" i="4"/>
  <c r="I128" i="4"/>
  <c r="G128" i="4"/>
  <c r="F128" i="4"/>
  <c r="P127" i="4"/>
  <c r="O127" i="4"/>
  <c r="X127" i="4" s="1"/>
  <c r="V126" i="4"/>
  <c r="N126" i="4"/>
  <c r="V125" i="4"/>
  <c r="O125" i="4"/>
  <c r="V124" i="4"/>
  <c r="P124" i="4"/>
  <c r="O124" i="4"/>
  <c r="Y123" i="4"/>
  <c r="W123" i="4"/>
  <c r="U123" i="4"/>
  <c r="T123" i="4"/>
  <c r="S123" i="4"/>
  <c r="R123" i="4"/>
  <c r="Q123" i="4"/>
  <c r="M123" i="4"/>
  <c r="L123" i="4"/>
  <c r="K123" i="4"/>
  <c r="J123" i="4"/>
  <c r="I123" i="4"/>
  <c r="G123" i="4"/>
  <c r="F123" i="4"/>
  <c r="V122" i="4"/>
  <c r="O122" i="4"/>
  <c r="X122" i="4" s="1"/>
  <c r="Z122" i="4" s="1"/>
  <c r="V121" i="4"/>
  <c r="O121" i="4"/>
  <c r="V120" i="4"/>
  <c r="O120" i="4"/>
  <c r="X120" i="4" s="1"/>
  <c r="Z120" i="4" s="1"/>
  <c r="V119" i="4"/>
  <c r="P119" i="4"/>
  <c r="O119" i="4"/>
  <c r="X119" i="4" s="1"/>
  <c r="Z119" i="4" s="1"/>
  <c r="V118" i="4"/>
  <c r="P118" i="4"/>
  <c r="O118" i="4"/>
  <c r="X118" i="4" s="1"/>
  <c r="Z118" i="4" s="1"/>
  <c r="AA118" i="4" s="1"/>
  <c r="V117" i="4"/>
  <c r="O117" i="4"/>
  <c r="V116" i="4"/>
  <c r="O116" i="4"/>
  <c r="X116" i="4" s="1"/>
  <c r="Z116" i="4" s="1"/>
  <c r="AA116" i="4" s="1"/>
  <c r="Y115" i="4"/>
  <c r="W115" i="4"/>
  <c r="U115" i="4"/>
  <c r="T115" i="4"/>
  <c r="S115" i="4"/>
  <c r="R115" i="4"/>
  <c r="Q115" i="4"/>
  <c r="N115" i="4"/>
  <c r="M115" i="4"/>
  <c r="L115" i="4"/>
  <c r="K115" i="4"/>
  <c r="J115" i="4"/>
  <c r="I115" i="4"/>
  <c r="G115" i="4"/>
  <c r="F115" i="4"/>
  <c r="V113" i="4"/>
  <c r="P113" i="4"/>
  <c r="O113" i="4"/>
  <c r="X113" i="4" s="1"/>
  <c r="Z113" i="4" s="1"/>
  <c r="V112" i="4"/>
  <c r="P112" i="4"/>
  <c r="O112" i="4"/>
  <c r="Y111" i="4"/>
  <c r="W111" i="4"/>
  <c r="U111" i="4"/>
  <c r="T111" i="4"/>
  <c r="S111" i="4"/>
  <c r="R111" i="4"/>
  <c r="Q111" i="4"/>
  <c r="N111" i="4"/>
  <c r="M111" i="4"/>
  <c r="L111" i="4"/>
  <c r="K111" i="4"/>
  <c r="J111" i="4"/>
  <c r="I111" i="4"/>
  <c r="G111" i="4"/>
  <c r="F111" i="4"/>
  <c r="V110" i="4"/>
  <c r="O110" i="4"/>
  <c r="V109" i="4"/>
  <c r="P109" i="4"/>
  <c r="O109" i="4"/>
  <c r="Y108" i="4"/>
  <c r="W108" i="4"/>
  <c r="U108" i="4"/>
  <c r="T108" i="4"/>
  <c r="S108" i="4"/>
  <c r="R108" i="4"/>
  <c r="Q108" i="4"/>
  <c r="N108" i="4"/>
  <c r="M108" i="4"/>
  <c r="L108" i="4"/>
  <c r="K108" i="4"/>
  <c r="J108" i="4"/>
  <c r="I108" i="4"/>
  <c r="G108" i="4"/>
  <c r="F108" i="4"/>
  <c r="V107" i="4"/>
  <c r="O107" i="4"/>
  <c r="X107" i="4" s="1"/>
  <c r="Z107" i="4" s="1"/>
  <c r="V106" i="4"/>
  <c r="P106" i="4"/>
  <c r="O106" i="4"/>
  <c r="V105" i="4"/>
  <c r="P105" i="4"/>
  <c r="O105" i="4"/>
  <c r="Y104" i="4"/>
  <c r="W104" i="4"/>
  <c r="U104" i="4"/>
  <c r="T104" i="4"/>
  <c r="S104" i="4"/>
  <c r="R104" i="4"/>
  <c r="Q104" i="4"/>
  <c r="N104" i="4"/>
  <c r="M104" i="4"/>
  <c r="L104" i="4"/>
  <c r="K104" i="4"/>
  <c r="J104" i="4"/>
  <c r="I104" i="4"/>
  <c r="G104" i="4"/>
  <c r="F104" i="4"/>
  <c r="V102" i="4"/>
  <c r="P102" i="4"/>
  <c r="O102" i="4"/>
  <c r="Y101" i="4"/>
  <c r="W101" i="4"/>
  <c r="U101" i="4"/>
  <c r="T101" i="4"/>
  <c r="S101" i="4"/>
  <c r="R101" i="4"/>
  <c r="Q101" i="4"/>
  <c r="N101" i="4"/>
  <c r="M101" i="4"/>
  <c r="L101" i="4"/>
  <c r="K101" i="4"/>
  <c r="J101" i="4"/>
  <c r="I101" i="4"/>
  <c r="G101" i="4"/>
  <c r="F101" i="4"/>
  <c r="V100" i="4"/>
  <c r="P100" i="4"/>
  <c r="O100" i="4"/>
  <c r="X100" i="4" s="1"/>
  <c r="Z100" i="4" s="1"/>
  <c r="V99" i="4"/>
  <c r="P99" i="4"/>
  <c r="O99" i="4"/>
  <c r="Y98" i="4"/>
  <c r="W98" i="4"/>
  <c r="U98" i="4"/>
  <c r="T98" i="4"/>
  <c r="S98" i="4"/>
  <c r="R98" i="4"/>
  <c r="Q98" i="4"/>
  <c r="N98" i="4"/>
  <c r="M98" i="4"/>
  <c r="L98" i="4"/>
  <c r="K98" i="4"/>
  <c r="J98" i="4"/>
  <c r="I98" i="4"/>
  <c r="G98" i="4"/>
  <c r="F98" i="4"/>
  <c r="V97" i="4"/>
  <c r="P97" i="4"/>
  <c r="O97" i="4"/>
  <c r="V96" i="4"/>
  <c r="O96" i="4"/>
  <c r="X96" i="4" s="1"/>
  <c r="Z96" i="4" s="1"/>
  <c r="AA96" i="4" s="1"/>
  <c r="AA95" i="4"/>
  <c r="V95" i="4"/>
  <c r="O95" i="4"/>
  <c r="V94" i="4"/>
  <c r="O94" i="4"/>
  <c r="X94" i="4" s="1"/>
  <c r="Z94" i="4" s="1"/>
  <c r="AA94" i="4" s="1"/>
  <c r="V93" i="4"/>
  <c r="O93" i="4"/>
  <c r="X93" i="4" s="1"/>
  <c r="Z93" i="4" s="1"/>
  <c r="V92" i="4"/>
  <c r="P92" i="4"/>
  <c r="O92" i="4"/>
  <c r="X92" i="4" s="1"/>
  <c r="Z92" i="4" s="1"/>
  <c r="V91" i="4"/>
  <c r="O91" i="4"/>
  <c r="V90" i="4"/>
  <c r="O90" i="4"/>
  <c r="X90" i="4" s="1"/>
  <c r="Z90" i="4" s="1"/>
  <c r="V89" i="4"/>
  <c r="P89" i="4"/>
  <c r="O89" i="4"/>
  <c r="V88" i="4"/>
  <c r="O88" i="4"/>
  <c r="V87" i="4"/>
  <c r="O87" i="4"/>
  <c r="V86" i="4"/>
  <c r="P86" i="4"/>
  <c r="O86" i="4"/>
  <c r="X86" i="4" s="1"/>
  <c r="Z86" i="4" s="1"/>
  <c r="V85" i="4"/>
  <c r="O85" i="4"/>
  <c r="V84" i="4"/>
  <c r="O84" i="4"/>
  <c r="V83" i="4"/>
  <c r="P83" i="4"/>
  <c r="O83" i="4"/>
  <c r="X83" i="4" s="1"/>
  <c r="Z83" i="4" s="1"/>
  <c r="AA83" i="4" s="1"/>
  <c r="V82" i="4"/>
  <c r="P82" i="4"/>
  <c r="O82" i="4"/>
  <c r="G82" i="4"/>
  <c r="G69" i="4" s="1"/>
  <c r="V81" i="4"/>
  <c r="O81" i="4"/>
  <c r="V80" i="4"/>
  <c r="P80" i="4"/>
  <c r="O80" i="4"/>
  <c r="X80" i="4" s="1"/>
  <c r="Z80" i="4" s="1"/>
  <c r="V79" i="4"/>
  <c r="O79" i="4"/>
  <c r="X79" i="4" s="1"/>
  <c r="Z79" i="4" s="1"/>
  <c r="V78" i="4"/>
  <c r="O78" i="4"/>
  <c r="V77" i="4"/>
  <c r="O77" i="4"/>
  <c r="X77" i="4" s="1"/>
  <c r="Z77" i="4" s="1"/>
  <c r="V76" i="4"/>
  <c r="O76" i="4"/>
  <c r="X76" i="4" s="1"/>
  <c r="Z76" i="4" s="1"/>
  <c r="V75" i="4"/>
  <c r="O75" i="4"/>
  <c r="V74" i="4"/>
  <c r="O74" i="4"/>
  <c r="V73" i="4"/>
  <c r="P73" i="4"/>
  <c r="O73" i="4"/>
  <c r="V72" i="4"/>
  <c r="O72" i="4"/>
  <c r="X72" i="4" s="1"/>
  <c r="Z72" i="4" s="1"/>
  <c r="V71" i="4"/>
  <c r="O71" i="4"/>
  <c r="V70" i="4"/>
  <c r="P70" i="4"/>
  <c r="X70" i="4" s="1"/>
  <c r="Z70" i="4" s="1"/>
  <c r="AA70" i="4" s="1"/>
  <c r="O70" i="4"/>
  <c r="Y69" i="4"/>
  <c r="W69" i="4"/>
  <c r="U69" i="4"/>
  <c r="T69" i="4"/>
  <c r="S69" i="4"/>
  <c r="R69" i="4"/>
  <c r="Q69" i="4"/>
  <c r="N69" i="4"/>
  <c r="M69" i="4"/>
  <c r="L69" i="4"/>
  <c r="K69" i="4"/>
  <c r="J69" i="4"/>
  <c r="I69" i="4"/>
  <c r="F69" i="4"/>
  <c r="V67" i="4"/>
  <c r="P67" i="4"/>
  <c r="O67" i="4"/>
  <c r="X67" i="4" s="1"/>
  <c r="Z67" i="4" s="1"/>
  <c r="V66" i="4"/>
  <c r="O66" i="4"/>
  <c r="X66" i="4" s="1"/>
  <c r="Z66" i="4" s="1"/>
  <c r="V65" i="4"/>
  <c r="O65" i="4"/>
  <c r="V64" i="4"/>
  <c r="O64" i="4"/>
  <c r="V63" i="4"/>
  <c r="O63" i="4"/>
  <c r="X63" i="4" s="1"/>
  <c r="Z63" i="4" s="1"/>
  <c r="Y62" i="4"/>
  <c r="W62" i="4"/>
  <c r="U62" i="4"/>
  <c r="T62" i="4"/>
  <c r="S62" i="4"/>
  <c r="R62" i="4"/>
  <c r="Q62" i="4"/>
  <c r="N62" i="4"/>
  <c r="M62" i="4"/>
  <c r="L62" i="4"/>
  <c r="K62" i="4"/>
  <c r="J62" i="4"/>
  <c r="I62" i="4"/>
  <c r="G62" i="4"/>
  <c r="F62" i="4"/>
  <c r="V61" i="4"/>
  <c r="P61" i="4"/>
  <c r="O61" i="4"/>
  <c r="X61" i="4" s="1"/>
  <c r="Z61" i="4" s="1"/>
  <c r="V60" i="4"/>
  <c r="P60" i="4"/>
  <c r="O60" i="4"/>
  <c r="V59" i="4"/>
  <c r="O59" i="4"/>
  <c r="X59" i="4" s="1"/>
  <c r="Z59" i="4" s="1"/>
  <c r="V58" i="4"/>
  <c r="O58" i="4"/>
  <c r="X58" i="4" s="1"/>
  <c r="Z58" i="4" s="1"/>
  <c r="V57" i="4"/>
  <c r="P57" i="4"/>
  <c r="O57" i="4"/>
  <c r="V56" i="4"/>
  <c r="P56" i="4"/>
  <c r="O56" i="4"/>
  <c r="X56" i="4" s="1"/>
  <c r="Z56" i="4" s="1"/>
  <c r="V55" i="4"/>
  <c r="P55" i="4"/>
  <c r="O55" i="4"/>
  <c r="V54" i="4"/>
  <c r="P54" i="4"/>
  <c r="O54" i="4"/>
  <c r="AA53" i="4"/>
  <c r="V53" i="4"/>
  <c r="P53" i="4"/>
  <c r="O53" i="4"/>
  <c r="X53" i="4" s="1"/>
  <c r="Z53" i="4" s="1"/>
  <c r="V52" i="4"/>
  <c r="O52" i="4"/>
  <c r="V51" i="4"/>
  <c r="O51" i="4"/>
  <c r="X51" i="4" s="1"/>
  <c r="Z51" i="4" s="1"/>
  <c r="V50" i="4"/>
  <c r="P50" i="4"/>
  <c r="O50" i="4"/>
  <c r="V49" i="4"/>
  <c r="O49" i="4"/>
  <c r="X49" i="4" s="1"/>
  <c r="Z49" i="4" s="1"/>
  <c r="V48" i="4"/>
  <c r="P48" i="4"/>
  <c r="O48" i="4"/>
  <c r="V47" i="4"/>
  <c r="P47" i="4"/>
  <c r="O47" i="4"/>
  <c r="V46" i="4"/>
  <c r="O46" i="4"/>
  <c r="X46" i="4" s="1"/>
  <c r="Z46" i="4" s="1"/>
  <c r="V45" i="4"/>
  <c r="P45" i="4"/>
  <c r="O45" i="4"/>
  <c r="V44" i="4"/>
  <c r="P44" i="4"/>
  <c r="O44" i="4"/>
  <c r="V43" i="4"/>
  <c r="P43" i="4"/>
  <c r="O43" i="4"/>
  <c r="Y42" i="4"/>
  <c r="W42" i="4"/>
  <c r="U42" i="4"/>
  <c r="T42" i="4"/>
  <c r="S42" i="4"/>
  <c r="R42" i="4"/>
  <c r="Q42" i="4"/>
  <c r="N42" i="4"/>
  <c r="M42" i="4"/>
  <c r="L42" i="4"/>
  <c r="K42" i="4"/>
  <c r="J42" i="4"/>
  <c r="I42" i="4"/>
  <c r="G42" i="4"/>
  <c r="F42" i="4"/>
  <c r="V41" i="4"/>
  <c r="P41" i="4"/>
  <c r="O41" i="4"/>
  <c r="V40" i="4"/>
  <c r="P40" i="4"/>
  <c r="O40" i="4"/>
  <c r="V39" i="4"/>
  <c r="P39" i="4"/>
  <c r="O39" i="4"/>
  <c r="V38" i="4"/>
  <c r="P38" i="4"/>
  <c r="O38" i="4"/>
  <c r="X38" i="4" s="1"/>
  <c r="Z38" i="4" s="1"/>
  <c r="V37" i="4"/>
  <c r="P37" i="4"/>
  <c r="O37" i="4"/>
  <c r="X37" i="4" s="1"/>
  <c r="Z37" i="4" s="1"/>
  <c r="V36" i="4"/>
  <c r="O36" i="4"/>
  <c r="X36" i="4" s="1"/>
  <c r="Z36" i="4" s="1"/>
  <c r="V35" i="4"/>
  <c r="O35" i="4"/>
  <c r="X35" i="4" s="1"/>
  <c r="Z35" i="4" s="1"/>
  <c r="V34" i="4"/>
  <c r="P34" i="4"/>
  <c r="O34" i="4"/>
  <c r="V33" i="4"/>
  <c r="P33" i="4"/>
  <c r="O33" i="4"/>
  <c r="X33" i="4" s="1"/>
  <c r="G33" i="4"/>
  <c r="G31" i="4" s="1"/>
  <c r="V32" i="4"/>
  <c r="O32" i="4"/>
  <c r="Y31" i="4"/>
  <c r="W31" i="4"/>
  <c r="U31" i="4"/>
  <c r="T31" i="4"/>
  <c r="S31" i="4"/>
  <c r="R31" i="4"/>
  <c r="Q31" i="4"/>
  <c r="N31" i="4"/>
  <c r="M31" i="4"/>
  <c r="L31" i="4"/>
  <c r="K31" i="4"/>
  <c r="J31" i="4"/>
  <c r="I31" i="4"/>
  <c r="F31" i="4"/>
  <c r="V30" i="4"/>
  <c r="P30" i="4"/>
  <c r="O30" i="4"/>
  <c r="Z29" i="4"/>
  <c r="AA29" i="4" s="1"/>
  <c r="V29" i="4"/>
  <c r="L29" i="4"/>
  <c r="P29" i="4" s="1"/>
  <c r="V28" i="4"/>
  <c r="P28" i="4"/>
  <c r="O28" i="4"/>
  <c r="V27" i="4"/>
  <c r="P27" i="4"/>
  <c r="O27" i="4"/>
  <c r="V26" i="4"/>
  <c r="O26" i="4"/>
  <c r="V25" i="4"/>
  <c r="P25" i="4"/>
  <c r="O25" i="4"/>
  <c r="V24" i="4"/>
  <c r="O24" i="4"/>
  <c r="X24" i="4" s="1"/>
  <c r="Z24" i="4" s="1"/>
  <c r="V23" i="4"/>
  <c r="P23" i="4"/>
  <c r="O23" i="4"/>
  <c r="V22" i="4"/>
  <c r="P22" i="4"/>
  <c r="O22" i="4"/>
  <c r="V21" i="4"/>
  <c r="P21" i="4"/>
  <c r="O21" i="4"/>
  <c r="X21" i="4" s="1"/>
  <c r="Z21" i="4" s="1"/>
  <c r="V20" i="4"/>
  <c r="P20" i="4"/>
  <c r="O20" i="4"/>
  <c r="V19" i="4"/>
  <c r="O19" i="4"/>
  <c r="X19" i="4" s="1"/>
  <c r="Z19" i="4" s="1"/>
  <c r="V18" i="4"/>
  <c r="O18" i="4"/>
  <c r="X18" i="4" s="1"/>
  <c r="Z18" i="4" s="1"/>
  <c r="V17" i="4"/>
  <c r="O17" i="4"/>
  <c r="V16" i="4"/>
  <c r="P16" i="4"/>
  <c r="O16" i="4"/>
  <c r="AA15" i="4"/>
  <c r="V15" i="4"/>
  <c r="P15" i="4"/>
  <c r="O15" i="4"/>
  <c r="V14" i="4"/>
  <c r="O14" i="4"/>
  <c r="V13" i="4"/>
  <c r="O13" i="4"/>
  <c r="V12" i="4"/>
  <c r="P12" i="4"/>
  <c r="O12" i="4"/>
  <c r="V11" i="4"/>
  <c r="O11" i="4"/>
  <c r="V10" i="4"/>
  <c r="O10" i="4"/>
  <c r="X10" i="4" s="1"/>
  <c r="Z10" i="4" s="1"/>
  <c r="Y9" i="4"/>
  <c r="W9" i="4"/>
  <c r="U9" i="4"/>
  <c r="T9" i="4"/>
  <c r="S9" i="4"/>
  <c r="R9" i="4"/>
  <c r="Q9" i="4"/>
  <c r="N9" i="4"/>
  <c r="M9" i="4"/>
  <c r="K9" i="4"/>
  <c r="J9" i="4"/>
  <c r="I9" i="4"/>
  <c r="G9" i="4"/>
  <c r="F9" i="4"/>
  <c r="R165" i="4" l="1"/>
  <c r="M114" i="4"/>
  <c r="X52" i="4"/>
  <c r="Z52" i="4" s="1"/>
  <c r="V42" i="4"/>
  <c r="U103" i="4"/>
  <c r="X106" i="4"/>
  <c r="Z106" i="4" s="1"/>
  <c r="T165" i="4"/>
  <c r="U165" i="4"/>
  <c r="X182" i="4"/>
  <c r="Z182" i="4" s="1"/>
  <c r="T103" i="4"/>
  <c r="W178" i="4"/>
  <c r="P42" i="4"/>
  <c r="N68" i="4"/>
  <c r="V134" i="4"/>
  <c r="X75" i="4"/>
  <c r="Z75" i="4" s="1"/>
  <c r="O42" i="4"/>
  <c r="X42" i="4" s="1"/>
  <c r="Z42" i="4" s="1"/>
  <c r="X162" i="4"/>
  <c r="Z162" i="4" s="1"/>
  <c r="N178" i="4"/>
  <c r="X188" i="4"/>
  <c r="Z188" i="4" s="1"/>
  <c r="W103" i="4"/>
  <c r="L9" i="4"/>
  <c r="W8" i="4"/>
  <c r="V31" i="4"/>
  <c r="X48" i="4"/>
  <c r="Z48" i="4" s="1"/>
  <c r="X74" i="4"/>
  <c r="Z74" i="4" s="1"/>
  <c r="X78" i="4"/>
  <c r="Z78" i="4" s="1"/>
  <c r="X91" i="4"/>
  <c r="Z91" i="4" s="1"/>
  <c r="O101" i="4"/>
  <c r="X136" i="4"/>
  <c r="Z136" i="4" s="1"/>
  <c r="X146" i="4"/>
  <c r="Z146" i="4" s="1"/>
  <c r="AA146" i="4" s="1"/>
  <c r="X149" i="4"/>
  <c r="Z149" i="4" s="1"/>
  <c r="Y178" i="4"/>
  <c r="L68" i="4"/>
  <c r="Y8" i="4"/>
  <c r="X13" i="4"/>
  <c r="Z13" i="4" s="1"/>
  <c r="P62" i="4"/>
  <c r="G68" i="4"/>
  <c r="V98" i="4"/>
  <c r="P101" i="4"/>
  <c r="R103" i="4"/>
  <c r="X17" i="4"/>
  <c r="Z17" i="4" s="1"/>
  <c r="F165" i="4"/>
  <c r="X159" i="4"/>
  <c r="Z159" i="4" s="1"/>
  <c r="G165" i="4"/>
  <c r="O128" i="4"/>
  <c r="X147" i="4"/>
  <c r="Z147" i="4" s="1"/>
  <c r="AA147" i="4" s="1"/>
  <c r="X12" i="4"/>
  <c r="Z12" i="4" s="1"/>
  <c r="F178" i="4"/>
  <c r="N103" i="4"/>
  <c r="G178" i="4"/>
  <c r="X45" i="4"/>
  <c r="Z45" i="4" s="1"/>
  <c r="X85" i="4"/>
  <c r="Z85" i="4" s="1"/>
  <c r="T178" i="4"/>
  <c r="X82" i="4"/>
  <c r="Z82" i="4" s="1"/>
  <c r="AA82" i="4" s="1"/>
  <c r="J8" i="4"/>
  <c r="X47" i="4"/>
  <c r="Z47" i="4" s="1"/>
  <c r="X142" i="4"/>
  <c r="Z142" i="4" s="1"/>
  <c r="AA142" i="4" s="1"/>
  <c r="X87" i="4"/>
  <c r="Z87" i="4" s="1"/>
  <c r="M178" i="4"/>
  <c r="X60" i="4"/>
  <c r="Z60" i="4" s="1"/>
  <c r="P108" i="4"/>
  <c r="K8" i="4"/>
  <c r="X55" i="4"/>
  <c r="Z55" i="4" s="1"/>
  <c r="X39" i="4"/>
  <c r="Z39" i="4" s="1"/>
  <c r="AA39" i="4" s="1"/>
  <c r="X71" i="4"/>
  <c r="Z71" i="4" s="1"/>
  <c r="V171" i="4"/>
  <c r="F103" i="4"/>
  <c r="X27" i="4"/>
  <c r="Z27" i="4" s="1"/>
  <c r="M8" i="4"/>
  <c r="X132" i="4"/>
  <c r="Z132" i="4" s="1"/>
  <c r="G114" i="4"/>
  <c r="U68" i="4"/>
  <c r="X43" i="4"/>
  <c r="Z43" i="4" s="1"/>
  <c r="F68" i="4"/>
  <c r="X89" i="4"/>
  <c r="Z89" i="4" s="1"/>
  <c r="X133" i="4"/>
  <c r="Z133" i="4" s="1"/>
  <c r="X144" i="4"/>
  <c r="Z144" i="4" s="1"/>
  <c r="AA144" i="4" s="1"/>
  <c r="R178" i="4"/>
  <c r="X186" i="4"/>
  <c r="Z186" i="4" s="1"/>
  <c r="N8" i="4"/>
  <c r="X23" i="4"/>
  <c r="Z23" i="4" s="1"/>
  <c r="X40" i="4"/>
  <c r="Z40" i="4" s="1"/>
  <c r="X97" i="4"/>
  <c r="Z97" i="4" s="1"/>
  <c r="X99" i="4"/>
  <c r="Z99" i="4" s="1"/>
  <c r="X112" i="4"/>
  <c r="Z112" i="4" s="1"/>
  <c r="X158" i="4"/>
  <c r="Z158" i="4" s="1"/>
  <c r="X164" i="4"/>
  <c r="Z164" i="4" s="1"/>
  <c r="S178" i="4"/>
  <c r="X22" i="4"/>
  <c r="Z22" i="4" s="1"/>
  <c r="X41" i="4"/>
  <c r="Z41" i="4" s="1"/>
  <c r="X54" i="4"/>
  <c r="Z54" i="4" s="1"/>
  <c r="AA54" i="4" s="1"/>
  <c r="V62" i="4"/>
  <c r="T68" i="4"/>
  <c r="O98" i="4"/>
  <c r="W68" i="4"/>
  <c r="X105" i="4"/>
  <c r="Z105" i="4" s="1"/>
  <c r="X109" i="4"/>
  <c r="Z109" i="4" s="1"/>
  <c r="F114" i="4"/>
  <c r="V128" i="4"/>
  <c r="O131" i="4"/>
  <c r="O134" i="4"/>
  <c r="I8" i="4"/>
  <c r="S8" i="4"/>
  <c r="X11" i="4"/>
  <c r="Z11" i="4" s="1"/>
  <c r="X20" i="4"/>
  <c r="Z20" i="4" s="1"/>
  <c r="X30" i="4"/>
  <c r="Z30" i="4" s="1"/>
  <c r="X50" i="4"/>
  <c r="Z50" i="4" s="1"/>
  <c r="AA50" i="4" s="1"/>
  <c r="O62" i="4"/>
  <c r="X64" i="4"/>
  <c r="Z64" i="4" s="1"/>
  <c r="K68" i="4"/>
  <c r="X84" i="4"/>
  <c r="Z84" i="4" s="1"/>
  <c r="X95" i="4"/>
  <c r="Z95" i="4" s="1"/>
  <c r="G103" i="4"/>
  <c r="K114" i="4"/>
  <c r="L165" i="4"/>
  <c r="X172" i="4"/>
  <c r="Z172" i="4" s="1"/>
  <c r="AA172" i="4" s="1"/>
  <c r="X174" i="4"/>
  <c r="Z174" i="4" s="1"/>
  <c r="X177" i="4"/>
  <c r="Z177" i="4" s="1"/>
  <c r="X183" i="4"/>
  <c r="Z183" i="4" s="1"/>
  <c r="X15" i="4"/>
  <c r="Z15" i="4" s="1"/>
  <c r="X102" i="4"/>
  <c r="Z102" i="4" s="1"/>
  <c r="V123" i="4"/>
  <c r="X125" i="4"/>
  <c r="Z125" i="4" s="1"/>
  <c r="X130" i="4"/>
  <c r="Z130" i="4" s="1"/>
  <c r="X152" i="4"/>
  <c r="Z152" i="4" s="1"/>
  <c r="AA152" i="4" s="1"/>
  <c r="X163" i="4"/>
  <c r="Z163" i="4" s="1"/>
  <c r="O171" i="4"/>
  <c r="X171" i="4" s="1"/>
  <c r="L178" i="4"/>
  <c r="R8" i="4"/>
  <c r="P31" i="4"/>
  <c r="U8" i="4"/>
  <c r="X25" i="4"/>
  <c r="Z25" i="4" s="1"/>
  <c r="X28" i="4"/>
  <c r="Z28" i="4" s="1"/>
  <c r="X32" i="4"/>
  <c r="Z32" i="4" s="1"/>
  <c r="X65" i="4"/>
  <c r="Z65" i="4" s="1"/>
  <c r="I68" i="4"/>
  <c r="V101" i="4"/>
  <c r="S103" i="4"/>
  <c r="X110" i="4"/>
  <c r="Z110" i="4" s="1"/>
  <c r="Y114" i="4"/>
  <c r="X121" i="4"/>
  <c r="Z121" i="4" s="1"/>
  <c r="U114" i="4"/>
  <c r="X157" i="4"/>
  <c r="Z157" i="4" s="1"/>
  <c r="X167" i="4"/>
  <c r="Z167" i="4" s="1"/>
  <c r="P182" i="4"/>
  <c r="V173" i="4"/>
  <c r="X16" i="4"/>
  <c r="Z16" i="4" s="1"/>
  <c r="X73" i="4"/>
  <c r="Z73" i="4" s="1"/>
  <c r="X88" i="4"/>
  <c r="Z88" i="4" s="1"/>
  <c r="AA88" i="4" s="1"/>
  <c r="R114" i="4"/>
  <c r="X143" i="4"/>
  <c r="Z143" i="4" s="1"/>
  <c r="AA143" i="4" s="1"/>
  <c r="X160" i="4"/>
  <c r="Z160" i="4" s="1"/>
  <c r="X176" i="4"/>
  <c r="Z176" i="4" s="1"/>
  <c r="X185" i="4"/>
  <c r="Z185" i="4" s="1"/>
  <c r="F8" i="4"/>
  <c r="X26" i="4"/>
  <c r="Z26" i="4" s="1"/>
  <c r="Z33" i="4"/>
  <c r="AA33" i="4" s="1"/>
  <c r="O69" i="4"/>
  <c r="S68" i="4"/>
  <c r="M103" i="4"/>
  <c r="S114" i="4"/>
  <c r="X117" i="4"/>
  <c r="Z117" i="4" s="1"/>
  <c r="AA117" i="4" s="1"/>
  <c r="X129" i="4"/>
  <c r="Z129" i="4" s="1"/>
  <c r="W114" i="4"/>
  <c r="P185" i="4"/>
  <c r="X14" i="4"/>
  <c r="Z14" i="4" s="1"/>
  <c r="V9" i="4"/>
  <c r="L8" i="4"/>
  <c r="G8" i="4"/>
  <c r="T8" i="4"/>
  <c r="O108" i="4"/>
  <c r="I103" i="4"/>
  <c r="N123" i="4"/>
  <c r="N114" i="4" s="1"/>
  <c r="P126" i="4"/>
  <c r="O9" i="4"/>
  <c r="J68" i="4"/>
  <c r="P69" i="4"/>
  <c r="L103" i="4"/>
  <c r="O115" i="4"/>
  <c r="I114" i="4"/>
  <c r="O126" i="4"/>
  <c r="X126" i="4" s="1"/>
  <c r="Z126" i="4" s="1"/>
  <c r="V179" i="4"/>
  <c r="X184" i="4"/>
  <c r="Z184" i="4" s="1"/>
  <c r="P115" i="4"/>
  <c r="J114" i="4"/>
  <c r="T114" i="4"/>
  <c r="X141" i="4"/>
  <c r="Z141" i="4" s="1"/>
  <c r="AA141" i="4" s="1"/>
  <c r="M68" i="4"/>
  <c r="P98" i="4"/>
  <c r="K103" i="4"/>
  <c r="O31" i="4"/>
  <c r="X31" i="4" s="1"/>
  <c r="Z31" i="4" s="1"/>
  <c r="X124" i="4"/>
  <c r="Z124" i="4" s="1"/>
  <c r="V131" i="4"/>
  <c r="V140" i="4"/>
  <c r="X148" i="4"/>
  <c r="Z148" i="4" s="1"/>
  <c r="V187" i="4"/>
  <c r="Q178" i="4"/>
  <c r="V69" i="4"/>
  <c r="R68" i="4"/>
  <c r="P9" i="4"/>
  <c r="V104" i="4"/>
  <c r="L114" i="4"/>
  <c r="O166" i="4"/>
  <c r="S165" i="4"/>
  <c r="V165" i="4" s="1"/>
  <c r="V166" i="4"/>
  <c r="O173" i="4"/>
  <c r="P179" i="4"/>
  <c r="J178" i="4"/>
  <c r="L139" i="4"/>
  <c r="P139" i="4" s="1"/>
  <c r="O140" i="4"/>
  <c r="Q8" i="4"/>
  <c r="X34" i="4"/>
  <c r="Z34" i="4" s="1"/>
  <c r="X57" i="4"/>
  <c r="Z57" i="4" s="1"/>
  <c r="AA57" i="4" s="1"/>
  <c r="Y103" i="4"/>
  <c r="O111" i="4"/>
  <c r="V111" i="4"/>
  <c r="X151" i="4"/>
  <c r="Z151" i="4" s="1"/>
  <c r="M165" i="4"/>
  <c r="P171" i="4"/>
  <c r="O179" i="4"/>
  <c r="K178" i="4"/>
  <c r="P181" i="4"/>
  <c r="O187" i="4"/>
  <c r="I178" i="4"/>
  <c r="P104" i="4"/>
  <c r="J103" i="4"/>
  <c r="V115" i="4"/>
  <c r="Q114" i="4"/>
  <c r="X180" i="4"/>
  <c r="Z180" i="4" s="1"/>
  <c r="P180" i="4"/>
  <c r="X44" i="4"/>
  <c r="Z44" i="4" s="1"/>
  <c r="X81" i="4"/>
  <c r="Z81" i="4" s="1"/>
  <c r="O104" i="4"/>
  <c r="V108" i="4"/>
  <c r="Q103" i="4"/>
  <c r="P111" i="4"/>
  <c r="P131" i="4"/>
  <c r="P134" i="4"/>
  <c r="V139" i="4"/>
  <c r="P140" i="4"/>
  <c r="P166" i="4"/>
  <c r="K165" i="4"/>
  <c r="P173" i="4"/>
  <c r="I165" i="4"/>
  <c r="Q68" i="4"/>
  <c r="Y68" i="4"/>
  <c r="Y171" i="4"/>
  <c r="Y165" i="4" s="1"/>
  <c r="O29" i="4"/>
  <c r="X29" i="4" s="1"/>
  <c r="X98" i="4" l="1"/>
  <c r="Z98" i="4" s="1"/>
  <c r="X128" i="4"/>
  <c r="Z128" i="4" s="1"/>
  <c r="X134" i="4"/>
  <c r="Z134" i="4" s="1"/>
  <c r="P68" i="4"/>
  <c r="T7" i="4"/>
  <c r="X173" i="4"/>
  <c r="Z173" i="4" s="1"/>
  <c r="X101" i="4"/>
  <c r="Z101" i="4" s="1"/>
  <c r="X69" i="4"/>
  <c r="Z69" i="4" s="1"/>
  <c r="W7" i="4"/>
  <c r="X187" i="4"/>
  <c r="Z187" i="4" s="1"/>
  <c r="P123" i="4"/>
  <c r="X131" i="4"/>
  <c r="Z131" i="4" s="1"/>
  <c r="G7" i="4"/>
  <c r="F7" i="4"/>
  <c r="V68" i="4"/>
  <c r="P103" i="4"/>
  <c r="N7" i="4"/>
  <c r="P8" i="4"/>
  <c r="V178" i="4"/>
  <c r="S7" i="4"/>
  <c r="O68" i="4"/>
  <c r="X68" i="4" s="1"/>
  <c r="Z68" i="4" s="1"/>
  <c r="O123" i="4"/>
  <c r="X123" i="4" s="1"/>
  <c r="Z123" i="4" s="1"/>
  <c r="V103" i="4"/>
  <c r="X62" i="4"/>
  <c r="Z62" i="4" s="1"/>
  <c r="X9" i="4"/>
  <c r="Z9" i="4" s="1"/>
  <c r="X111" i="4"/>
  <c r="Z111" i="4" s="1"/>
  <c r="O103" i="4"/>
  <c r="X103" i="4" s="1"/>
  <c r="Z103" i="4" s="1"/>
  <c r="X108" i="4"/>
  <c r="Z108" i="4" s="1"/>
  <c r="X179" i="4"/>
  <c r="Z179" i="4" s="1"/>
  <c r="P178" i="4"/>
  <c r="R7" i="4"/>
  <c r="O139" i="4"/>
  <c r="X139" i="4" s="1"/>
  <c r="Z139" i="4" s="1"/>
  <c r="U7" i="4"/>
  <c r="V114" i="4"/>
  <c r="K7" i="4"/>
  <c r="Z171" i="4"/>
  <c r="O178" i="4"/>
  <c r="O8" i="4"/>
  <c r="L7" i="4"/>
  <c r="O165" i="4"/>
  <c r="X165" i="4" s="1"/>
  <c r="Z165" i="4" s="1"/>
  <c r="O114" i="4"/>
  <c r="X115" i="4"/>
  <c r="Z115" i="4" s="1"/>
  <c r="Y7" i="4"/>
  <c r="P165" i="4"/>
  <c r="J7" i="4"/>
  <c r="V8" i="4"/>
  <c r="Q7" i="4"/>
  <c r="M7" i="4"/>
  <c r="X104" i="4"/>
  <c r="Z104" i="4" s="1"/>
  <c r="X140" i="4"/>
  <c r="Z140" i="4" s="1"/>
  <c r="P114" i="4"/>
  <c r="I7" i="4"/>
  <c r="X166" i="4"/>
  <c r="Z166" i="4" s="1"/>
  <c r="X114" i="4" l="1"/>
  <c r="Z114" i="4" s="1"/>
  <c r="X8" i="4"/>
  <c r="Z8" i="4" s="1"/>
  <c r="X178" i="4"/>
  <c r="Z178" i="4" s="1"/>
  <c r="V7" i="4"/>
  <c r="O7" i="4"/>
  <c r="P7" i="4"/>
  <c r="X7" i="4" l="1"/>
  <c r="Z7" i="4" s="1"/>
  <c r="T181" i="3"/>
  <c r="N181" i="3"/>
  <c r="W180" i="3"/>
  <c r="U180" i="3"/>
  <c r="S180" i="3"/>
  <c r="R180" i="3"/>
  <c r="Q180" i="3"/>
  <c r="P180" i="3"/>
  <c r="O180" i="3"/>
  <c r="M180" i="3"/>
  <c r="L180" i="3"/>
  <c r="K180" i="3"/>
  <c r="J180" i="3"/>
  <c r="I180" i="3"/>
  <c r="G180" i="3"/>
  <c r="F180" i="3"/>
  <c r="T179" i="3"/>
  <c r="N179" i="3"/>
  <c r="T178" i="3"/>
  <c r="N178" i="3"/>
  <c r="T177" i="3"/>
  <c r="N177" i="3"/>
  <c r="T176" i="3"/>
  <c r="N176" i="3"/>
  <c r="T175" i="3"/>
  <c r="N175" i="3"/>
  <c r="T174" i="3"/>
  <c r="N174" i="3"/>
  <c r="W173" i="3"/>
  <c r="U173" i="3"/>
  <c r="U172" i="3" s="1"/>
  <c r="S173" i="3"/>
  <c r="R173" i="3"/>
  <c r="Q173" i="3"/>
  <c r="P173" i="3"/>
  <c r="O173" i="3"/>
  <c r="M173" i="3"/>
  <c r="L173" i="3"/>
  <c r="K173" i="3"/>
  <c r="J173" i="3"/>
  <c r="I173" i="3"/>
  <c r="G173" i="3"/>
  <c r="F173" i="3"/>
  <c r="T171" i="3"/>
  <c r="N171" i="3"/>
  <c r="T170" i="3"/>
  <c r="N170" i="3"/>
  <c r="T169" i="3"/>
  <c r="N169" i="3"/>
  <c r="T168" i="3"/>
  <c r="N168" i="3"/>
  <c r="W167" i="3"/>
  <c r="W165" i="3" s="1"/>
  <c r="U167" i="3"/>
  <c r="U165" i="3" s="1"/>
  <c r="S167" i="3"/>
  <c r="R167" i="3"/>
  <c r="Q167" i="3"/>
  <c r="P167" i="3"/>
  <c r="O167" i="3"/>
  <c r="M167" i="3"/>
  <c r="L167" i="3"/>
  <c r="K167" i="3"/>
  <c r="J167" i="3"/>
  <c r="I167" i="3"/>
  <c r="G167" i="3"/>
  <c r="G165" i="3" s="1"/>
  <c r="F167" i="3"/>
  <c r="F165" i="3" s="1"/>
  <c r="T166" i="3"/>
  <c r="N166" i="3"/>
  <c r="S165" i="3"/>
  <c r="R165" i="3"/>
  <c r="Q165" i="3"/>
  <c r="P165" i="3"/>
  <c r="O165" i="3"/>
  <c r="M165" i="3"/>
  <c r="L165" i="3"/>
  <c r="K165" i="3"/>
  <c r="J165" i="3"/>
  <c r="I165" i="3"/>
  <c r="T164" i="3"/>
  <c r="N164" i="3"/>
  <c r="T163" i="3"/>
  <c r="N163" i="3"/>
  <c r="T162" i="3"/>
  <c r="N162" i="3"/>
  <c r="T161" i="3"/>
  <c r="N161" i="3"/>
  <c r="W160" i="3"/>
  <c r="U160" i="3"/>
  <c r="S160" i="3"/>
  <c r="R160" i="3"/>
  <c r="Q160" i="3"/>
  <c r="P160" i="3"/>
  <c r="O160" i="3"/>
  <c r="M160" i="3"/>
  <c r="L160" i="3"/>
  <c r="K160" i="3"/>
  <c r="J160" i="3"/>
  <c r="I160" i="3"/>
  <c r="G160" i="3"/>
  <c r="F160" i="3"/>
  <c r="T158" i="3"/>
  <c r="N158" i="3"/>
  <c r="T157" i="3"/>
  <c r="N157" i="3"/>
  <c r="T156" i="3"/>
  <c r="N156" i="3"/>
  <c r="T155" i="3"/>
  <c r="N155" i="3"/>
  <c r="T154" i="3"/>
  <c r="N154" i="3"/>
  <c r="T153" i="3"/>
  <c r="N153" i="3"/>
  <c r="T152" i="3"/>
  <c r="N152" i="3"/>
  <c r="T151" i="3"/>
  <c r="N151" i="3"/>
  <c r="T150" i="3"/>
  <c r="N150" i="3"/>
  <c r="T149" i="3"/>
  <c r="N149" i="3"/>
  <c r="T148" i="3"/>
  <c r="N148" i="3"/>
  <c r="T147" i="3"/>
  <c r="N147" i="3"/>
  <c r="T146" i="3"/>
  <c r="N146" i="3"/>
  <c r="T145" i="3"/>
  <c r="N145" i="3"/>
  <c r="T144" i="3"/>
  <c r="N144" i="3"/>
  <c r="T143" i="3"/>
  <c r="N143" i="3"/>
  <c r="T142" i="3"/>
  <c r="N142" i="3"/>
  <c r="T141" i="3"/>
  <c r="N141" i="3"/>
  <c r="T140" i="3"/>
  <c r="N140" i="3"/>
  <c r="T139" i="3"/>
  <c r="N139" i="3"/>
  <c r="T138" i="3"/>
  <c r="N138" i="3"/>
  <c r="T137" i="3"/>
  <c r="N137" i="3"/>
  <c r="T136" i="3"/>
  <c r="N136" i="3"/>
  <c r="W135" i="3"/>
  <c r="W134" i="3" s="1"/>
  <c r="U135" i="3"/>
  <c r="U134" i="3" s="1"/>
  <c r="S135" i="3"/>
  <c r="S134" i="3" s="1"/>
  <c r="R135" i="3"/>
  <c r="R134" i="3" s="1"/>
  <c r="Q135" i="3"/>
  <c r="Q134" i="3" s="1"/>
  <c r="P135" i="3"/>
  <c r="P134" i="3" s="1"/>
  <c r="O135" i="3"/>
  <c r="O134" i="3" s="1"/>
  <c r="M135" i="3"/>
  <c r="M134" i="3" s="1"/>
  <c r="L135" i="3"/>
  <c r="L134" i="3" s="1"/>
  <c r="K135" i="3"/>
  <c r="K134" i="3" s="1"/>
  <c r="J135" i="3"/>
  <c r="J134" i="3" s="1"/>
  <c r="I135" i="3"/>
  <c r="G135" i="3"/>
  <c r="G134" i="3" s="1"/>
  <c r="F135" i="3"/>
  <c r="F134" i="3" s="1"/>
  <c r="T133" i="3"/>
  <c r="N133" i="3"/>
  <c r="T132" i="3"/>
  <c r="N132" i="3"/>
  <c r="V132" i="3" s="1"/>
  <c r="X132" i="3" s="1"/>
  <c r="T131" i="3"/>
  <c r="N131" i="3"/>
  <c r="T130" i="3"/>
  <c r="N130" i="3"/>
  <c r="W129" i="3"/>
  <c r="U129" i="3"/>
  <c r="S129" i="3"/>
  <c r="R129" i="3"/>
  <c r="Q129" i="3"/>
  <c r="P129" i="3"/>
  <c r="O129" i="3"/>
  <c r="M129" i="3"/>
  <c r="L129" i="3"/>
  <c r="K129" i="3"/>
  <c r="J129" i="3"/>
  <c r="I129" i="3"/>
  <c r="G129" i="3"/>
  <c r="F129" i="3"/>
  <c r="T128" i="3"/>
  <c r="N128" i="3"/>
  <c r="G128" i="3"/>
  <c r="G127" i="3" s="1"/>
  <c r="W127" i="3"/>
  <c r="U127" i="3"/>
  <c r="S127" i="3"/>
  <c r="R127" i="3"/>
  <c r="Q127" i="3"/>
  <c r="P127" i="3"/>
  <c r="O127" i="3"/>
  <c r="M127" i="3"/>
  <c r="L127" i="3"/>
  <c r="K127" i="3"/>
  <c r="J127" i="3"/>
  <c r="I127" i="3"/>
  <c r="F127" i="3"/>
  <c r="T126" i="3"/>
  <c r="N126" i="3"/>
  <c r="T125" i="3"/>
  <c r="N125" i="3"/>
  <c r="W124" i="3"/>
  <c r="U124" i="3"/>
  <c r="S124" i="3"/>
  <c r="R124" i="3"/>
  <c r="Q124" i="3"/>
  <c r="P124" i="3"/>
  <c r="O124" i="3"/>
  <c r="M124" i="3"/>
  <c r="L124" i="3"/>
  <c r="K124" i="3"/>
  <c r="J124" i="3"/>
  <c r="I124" i="3"/>
  <c r="G124" i="3"/>
  <c r="F124" i="3"/>
  <c r="V123" i="3"/>
  <c r="T122" i="3"/>
  <c r="N122" i="3"/>
  <c r="T121" i="3"/>
  <c r="N121" i="3"/>
  <c r="V121" i="3" s="1"/>
  <c r="X121" i="3" s="1"/>
  <c r="T120" i="3"/>
  <c r="N120" i="3"/>
  <c r="W119" i="3"/>
  <c r="U119" i="3"/>
  <c r="S119" i="3"/>
  <c r="R119" i="3"/>
  <c r="Q119" i="3"/>
  <c r="P119" i="3"/>
  <c r="O119" i="3"/>
  <c r="M119" i="3"/>
  <c r="L119" i="3"/>
  <c r="K119" i="3"/>
  <c r="J119" i="3"/>
  <c r="I119" i="3"/>
  <c r="G119" i="3"/>
  <c r="F119" i="3"/>
  <c r="T118" i="3"/>
  <c r="N118" i="3"/>
  <c r="T117" i="3"/>
  <c r="N117" i="3"/>
  <c r="T116" i="3"/>
  <c r="N116" i="3"/>
  <c r="T115" i="3"/>
  <c r="N115" i="3"/>
  <c r="T114" i="3"/>
  <c r="M114" i="3"/>
  <c r="N114" i="3" s="1"/>
  <c r="T113" i="3"/>
  <c r="N113" i="3"/>
  <c r="G113" i="3"/>
  <c r="T112" i="3"/>
  <c r="J112" i="3"/>
  <c r="J111" i="3" s="1"/>
  <c r="G112" i="3"/>
  <c r="W111" i="3"/>
  <c r="U111" i="3"/>
  <c r="S111" i="3"/>
  <c r="R111" i="3"/>
  <c r="Q111" i="3"/>
  <c r="P111" i="3"/>
  <c r="O111" i="3"/>
  <c r="L111" i="3"/>
  <c r="K111" i="3"/>
  <c r="I111" i="3"/>
  <c r="F111" i="3"/>
  <c r="T109" i="3"/>
  <c r="N109" i="3"/>
  <c r="T108" i="3"/>
  <c r="N108" i="3"/>
  <c r="V108" i="3" s="1"/>
  <c r="X108" i="3" s="1"/>
  <c r="W107" i="3"/>
  <c r="U107" i="3"/>
  <c r="S107" i="3"/>
  <c r="R107" i="3"/>
  <c r="Q107" i="3"/>
  <c r="P107" i="3"/>
  <c r="O107" i="3"/>
  <c r="M107" i="3"/>
  <c r="L107" i="3"/>
  <c r="K107" i="3"/>
  <c r="J107" i="3"/>
  <c r="I107" i="3"/>
  <c r="G107" i="3"/>
  <c r="F107" i="3"/>
  <c r="T106" i="3"/>
  <c r="N106" i="3"/>
  <c r="V106" i="3" s="1"/>
  <c r="X106" i="3" s="1"/>
  <c r="W105" i="3"/>
  <c r="W104" i="3" s="1"/>
  <c r="U105" i="3"/>
  <c r="U104" i="3" s="1"/>
  <c r="T105" i="3"/>
  <c r="N105" i="3"/>
  <c r="G105" i="3"/>
  <c r="G104" i="3" s="1"/>
  <c r="S104" i="3"/>
  <c r="R104" i="3"/>
  <c r="Q104" i="3"/>
  <c r="P104" i="3"/>
  <c r="O104" i="3"/>
  <c r="M104" i="3"/>
  <c r="L104" i="3"/>
  <c r="K104" i="3"/>
  <c r="J104" i="3"/>
  <c r="I104" i="3"/>
  <c r="F104" i="3"/>
  <c r="T103" i="3"/>
  <c r="N103" i="3"/>
  <c r="T102" i="3"/>
  <c r="N102" i="3"/>
  <c r="T101" i="3"/>
  <c r="N101" i="3"/>
  <c r="V101" i="3" s="1"/>
  <c r="X101" i="3" s="1"/>
  <c r="W100" i="3"/>
  <c r="U100" i="3"/>
  <c r="S100" i="3"/>
  <c r="R100" i="3"/>
  <c r="Q100" i="3"/>
  <c r="P100" i="3"/>
  <c r="O100" i="3"/>
  <c r="M100" i="3"/>
  <c r="L100" i="3"/>
  <c r="K100" i="3"/>
  <c r="J100" i="3"/>
  <c r="I100" i="3"/>
  <c r="G100" i="3"/>
  <c r="F100" i="3"/>
  <c r="T98" i="3"/>
  <c r="N98" i="3"/>
  <c r="W97" i="3"/>
  <c r="U97" i="3"/>
  <c r="S97" i="3"/>
  <c r="R97" i="3"/>
  <c r="Q97" i="3"/>
  <c r="P97" i="3"/>
  <c r="O97" i="3"/>
  <c r="M97" i="3"/>
  <c r="L97" i="3"/>
  <c r="K97" i="3"/>
  <c r="J97" i="3"/>
  <c r="I97" i="3"/>
  <c r="G97" i="3"/>
  <c r="F97" i="3"/>
  <c r="T96" i="3"/>
  <c r="N96" i="3"/>
  <c r="W95" i="3"/>
  <c r="U95" i="3"/>
  <c r="S95" i="3"/>
  <c r="R95" i="3"/>
  <c r="Q95" i="3"/>
  <c r="P95" i="3"/>
  <c r="O95" i="3"/>
  <c r="M95" i="3"/>
  <c r="L95" i="3"/>
  <c r="K95" i="3"/>
  <c r="J95" i="3"/>
  <c r="I95" i="3"/>
  <c r="G95" i="3"/>
  <c r="F95" i="3"/>
  <c r="T94" i="3"/>
  <c r="N94" i="3"/>
  <c r="T93" i="3"/>
  <c r="N93" i="3"/>
  <c r="Y92" i="3"/>
  <c r="T92" i="3"/>
  <c r="N92" i="3"/>
  <c r="T91" i="3"/>
  <c r="N91" i="3"/>
  <c r="V91" i="3" s="1"/>
  <c r="X91" i="3" s="1"/>
  <c r="Y91" i="3" s="1"/>
  <c r="T90" i="3"/>
  <c r="N90" i="3"/>
  <c r="T89" i="3"/>
  <c r="N89" i="3"/>
  <c r="T88" i="3"/>
  <c r="N88" i="3"/>
  <c r="T87" i="3"/>
  <c r="N87" i="3"/>
  <c r="T86" i="3"/>
  <c r="N86" i="3"/>
  <c r="T85" i="3"/>
  <c r="N85" i="3"/>
  <c r="T84" i="3"/>
  <c r="N84" i="3"/>
  <c r="T83" i="3"/>
  <c r="N83" i="3"/>
  <c r="V83" i="3" s="1"/>
  <c r="X83" i="3" s="1"/>
  <c r="T82" i="3"/>
  <c r="N82" i="3"/>
  <c r="T81" i="3"/>
  <c r="N81" i="3"/>
  <c r="T80" i="3"/>
  <c r="N80" i="3"/>
  <c r="F80" i="3"/>
  <c r="F66" i="3" s="1"/>
  <c r="T79" i="3"/>
  <c r="N79" i="3"/>
  <c r="G79" i="3"/>
  <c r="G66" i="3" s="1"/>
  <c r="T78" i="3"/>
  <c r="N78" i="3"/>
  <c r="V78" i="3" s="1"/>
  <c r="X78" i="3" s="1"/>
  <c r="T77" i="3"/>
  <c r="N77" i="3"/>
  <c r="T76" i="3"/>
  <c r="N76" i="3"/>
  <c r="T75" i="3"/>
  <c r="N75" i="3"/>
  <c r="T74" i="3"/>
  <c r="N74" i="3"/>
  <c r="V74" i="3" s="1"/>
  <c r="X74" i="3" s="1"/>
  <c r="T73" i="3"/>
  <c r="N73" i="3"/>
  <c r="T72" i="3"/>
  <c r="N72" i="3"/>
  <c r="T71" i="3"/>
  <c r="N71" i="3"/>
  <c r="T70" i="3"/>
  <c r="N70" i="3"/>
  <c r="V70" i="3" s="1"/>
  <c r="X70" i="3" s="1"/>
  <c r="T69" i="3"/>
  <c r="N69" i="3"/>
  <c r="T68" i="3"/>
  <c r="N68" i="3"/>
  <c r="T67" i="3"/>
  <c r="N67" i="3"/>
  <c r="W66" i="3"/>
  <c r="U66" i="3"/>
  <c r="S66" i="3"/>
  <c r="R66" i="3"/>
  <c r="Q66" i="3"/>
  <c r="P66" i="3"/>
  <c r="O66" i="3"/>
  <c r="M66" i="3"/>
  <c r="L66" i="3"/>
  <c r="K66" i="3"/>
  <c r="J66" i="3"/>
  <c r="I66" i="3"/>
  <c r="T64" i="3"/>
  <c r="N64" i="3"/>
  <c r="V64" i="3" s="1"/>
  <c r="X64" i="3" s="1"/>
  <c r="T63" i="3"/>
  <c r="N63" i="3"/>
  <c r="T62" i="3"/>
  <c r="N62" i="3"/>
  <c r="T61" i="3"/>
  <c r="N61" i="3"/>
  <c r="T60" i="3"/>
  <c r="N60" i="3"/>
  <c r="V60" i="3" s="1"/>
  <c r="X60" i="3" s="1"/>
  <c r="W59" i="3"/>
  <c r="U59" i="3"/>
  <c r="S59" i="3"/>
  <c r="R59" i="3"/>
  <c r="Q59" i="3"/>
  <c r="P59" i="3"/>
  <c r="O59" i="3"/>
  <c r="M59" i="3"/>
  <c r="L59" i="3"/>
  <c r="K59" i="3"/>
  <c r="J59" i="3"/>
  <c r="I59" i="3"/>
  <c r="G59" i="3"/>
  <c r="F59" i="3"/>
  <c r="T58" i="3"/>
  <c r="N58" i="3"/>
  <c r="T57" i="3"/>
  <c r="N57" i="3"/>
  <c r="T56" i="3"/>
  <c r="N56" i="3"/>
  <c r="V56" i="3" s="1"/>
  <c r="X56" i="3" s="1"/>
  <c r="T55" i="3"/>
  <c r="N55" i="3"/>
  <c r="T54" i="3"/>
  <c r="N54" i="3"/>
  <c r="T53" i="3"/>
  <c r="N53" i="3"/>
  <c r="T52" i="3"/>
  <c r="N52" i="3"/>
  <c r="T51" i="3"/>
  <c r="N51" i="3"/>
  <c r="Y50" i="3"/>
  <c r="T50" i="3"/>
  <c r="N50" i="3"/>
  <c r="T49" i="3"/>
  <c r="N49" i="3"/>
  <c r="V49" i="3" s="1"/>
  <c r="G49" i="3"/>
  <c r="T48" i="3"/>
  <c r="N48" i="3"/>
  <c r="T47" i="3"/>
  <c r="N47" i="3"/>
  <c r="V47" i="3" s="1"/>
  <c r="X47" i="3" s="1"/>
  <c r="Y47" i="3" s="1"/>
  <c r="T46" i="3"/>
  <c r="N46" i="3"/>
  <c r="G46" i="3"/>
  <c r="T45" i="3"/>
  <c r="N45" i="3"/>
  <c r="T44" i="3"/>
  <c r="N44" i="3"/>
  <c r="T43" i="3"/>
  <c r="N43" i="3"/>
  <c r="G43" i="3"/>
  <c r="T42" i="3"/>
  <c r="N42" i="3"/>
  <c r="V42" i="3" s="1"/>
  <c r="X42" i="3" s="1"/>
  <c r="T41" i="3"/>
  <c r="N41" i="3"/>
  <c r="T40" i="3"/>
  <c r="N40" i="3"/>
  <c r="W39" i="3"/>
  <c r="U39" i="3"/>
  <c r="S39" i="3"/>
  <c r="R39" i="3"/>
  <c r="Q39" i="3"/>
  <c r="P39" i="3"/>
  <c r="O39" i="3"/>
  <c r="M39" i="3"/>
  <c r="L39" i="3"/>
  <c r="K39" i="3"/>
  <c r="J39" i="3"/>
  <c r="I39" i="3"/>
  <c r="F39" i="3"/>
  <c r="T38" i="3"/>
  <c r="N38" i="3"/>
  <c r="T37" i="3"/>
  <c r="N37" i="3"/>
  <c r="T36" i="3"/>
  <c r="N36" i="3"/>
  <c r="V36" i="3" s="1"/>
  <c r="X36" i="3" s="1"/>
  <c r="T35" i="3"/>
  <c r="N35" i="3"/>
  <c r="T34" i="3"/>
  <c r="N34" i="3"/>
  <c r="T33" i="3"/>
  <c r="N33" i="3"/>
  <c r="T32" i="3"/>
  <c r="N32" i="3"/>
  <c r="V32" i="3" s="1"/>
  <c r="X32" i="3" s="1"/>
  <c r="T31" i="3"/>
  <c r="N31" i="3"/>
  <c r="T30" i="3"/>
  <c r="N30" i="3"/>
  <c r="W29" i="3"/>
  <c r="U29" i="3"/>
  <c r="S29" i="3"/>
  <c r="R29" i="3"/>
  <c r="Q29" i="3"/>
  <c r="P29" i="3"/>
  <c r="O29" i="3"/>
  <c r="M29" i="3"/>
  <c r="L29" i="3"/>
  <c r="K29" i="3"/>
  <c r="J29" i="3"/>
  <c r="I29" i="3"/>
  <c r="G29" i="3"/>
  <c r="F29" i="3"/>
  <c r="T28" i="3"/>
  <c r="N28" i="3"/>
  <c r="T27" i="3"/>
  <c r="N27" i="3"/>
  <c r="T26" i="3"/>
  <c r="N26" i="3"/>
  <c r="V26" i="3" s="1"/>
  <c r="X26" i="3" s="1"/>
  <c r="T25" i="3"/>
  <c r="N25" i="3"/>
  <c r="T24" i="3"/>
  <c r="N24" i="3"/>
  <c r="T23" i="3"/>
  <c r="N23" i="3"/>
  <c r="T22" i="3"/>
  <c r="N22" i="3"/>
  <c r="T21" i="3"/>
  <c r="N21" i="3"/>
  <c r="T20" i="3"/>
  <c r="N20" i="3"/>
  <c r="T19" i="3"/>
  <c r="N19" i="3"/>
  <c r="T18" i="3"/>
  <c r="N18" i="3"/>
  <c r="V18" i="3" s="1"/>
  <c r="X18" i="3" s="1"/>
  <c r="T17" i="3"/>
  <c r="N17" i="3"/>
  <c r="T16" i="3"/>
  <c r="N16" i="3"/>
  <c r="T15" i="3"/>
  <c r="N15" i="3"/>
  <c r="G15" i="3"/>
  <c r="T14" i="3"/>
  <c r="N14" i="3"/>
  <c r="T13" i="3"/>
  <c r="N13" i="3"/>
  <c r="T12" i="3"/>
  <c r="N12" i="3"/>
  <c r="T11" i="3"/>
  <c r="N11" i="3"/>
  <c r="T10" i="3"/>
  <c r="N10" i="3"/>
  <c r="T9" i="3"/>
  <c r="N9" i="3"/>
  <c r="W8" i="3"/>
  <c r="U8" i="3"/>
  <c r="S8" i="3"/>
  <c r="R8" i="3"/>
  <c r="Q8" i="3"/>
  <c r="P8" i="3"/>
  <c r="O8" i="3"/>
  <c r="M8" i="3"/>
  <c r="L8" i="3"/>
  <c r="K8" i="3"/>
  <c r="J8" i="3"/>
  <c r="I8" i="3"/>
  <c r="G8" i="3"/>
  <c r="F8" i="3"/>
  <c r="T153" i="2"/>
  <c r="N153" i="2"/>
  <c r="U152" i="2"/>
  <c r="S152" i="2"/>
  <c r="R152" i="2"/>
  <c r="Q152" i="2"/>
  <c r="P152" i="2"/>
  <c r="O152" i="2"/>
  <c r="M152" i="2"/>
  <c r="L152" i="2"/>
  <c r="K152" i="2"/>
  <c r="J152" i="2"/>
  <c r="I152" i="2"/>
  <c r="F152" i="2"/>
  <c r="T151" i="2"/>
  <c r="N151" i="2"/>
  <c r="T150" i="2"/>
  <c r="N150" i="2"/>
  <c r="T149" i="2"/>
  <c r="N149" i="2"/>
  <c r="T148" i="2"/>
  <c r="N148" i="2"/>
  <c r="T147" i="2"/>
  <c r="N147" i="2"/>
  <c r="T146" i="2"/>
  <c r="N146" i="2"/>
  <c r="U145" i="2"/>
  <c r="U144" i="2" s="1"/>
  <c r="S145" i="2"/>
  <c r="R145" i="2"/>
  <c r="Q145" i="2"/>
  <c r="P145" i="2"/>
  <c r="O145" i="2"/>
  <c r="M145" i="2"/>
  <c r="L145" i="2"/>
  <c r="K145" i="2"/>
  <c r="J145" i="2"/>
  <c r="I145" i="2"/>
  <c r="F145" i="2"/>
  <c r="N143" i="2"/>
  <c r="P143" i="2" s="1"/>
  <c r="T142" i="2"/>
  <c r="N142" i="2"/>
  <c r="T141" i="2"/>
  <c r="N141" i="2"/>
  <c r="W140" i="2"/>
  <c r="U140" i="2"/>
  <c r="S140" i="2"/>
  <c r="R140" i="2"/>
  <c r="Q140" i="2"/>
  <c r="O140" i="2"/>
  <c r="M140" i="2"/>
  <c r="L140" i="2"/>
  <c r="K140" i="2"/>
  <c r="J140" i="2"/>
  <c r="I140" i="2"/>
  <c r="F140" i="2"/>
  <c r="T139" i="2"/>
  <c r="N139" i="2"/>
  <c r="X138" i="2"/>
  <c r="T138" i="2"/>
  <c r="N138" i="2"/>
  <c r="N137" i="2"/>
  <c r="O137" i="2" s="1"/>
  <c r="O135" i="2" s="1"/>
  <c r="T136" i="2"/>
  <c r="N136" i="2"/>
  <c r="V136" i="2" s="1"/>
  <c r="W135" i="2"/>
  <c r="U135" i="2"/>
  <c r="S135" i="2"/>
  <c r="R135" i="2"/>
  <c r="Q135" i="2"/>
  <c r="P135" i="2"/>
  <c r="M135" i="2"/>
  <c r="L135" i="2"/>
  <c r="K135" i="2"/>
  <c r="J135" i="2"/>
  <c r="I135" i="2"/>
  <c r="F135" i="2"/>
  <c r="T133" i="2"/>
  <c r="N133" i="2"/>
  <c r="T132" i="2"/>
  <c r="N132" i="2"/>
  <c r="V132" i="2" s="1"/>
  <c r="T131" i="2"/>
  <c r="N131" i="2"/>
  <c r="T130" i="2"/>
  <c r="N130" i="2"/>
  <c r="T129" i="2"/>
  <c r="N129" i="2"/>
  <c r="T128" i="2"/>
  <c r="N128" i="2"/>
  <c r="V128" i="2" s="1"/>
  <c r="W128" i="2" s="1"/>
  <c r="T127" i="2"/>
  <c r="N127" i="2"/>
  <c r="T126" i="2"/>
  <c r="N126" i="2"/>
  <c r="T125" i="2"/>
  <c r="N125" i="2"/>
  <c r="T124" i="2"/>
  <c r="N124" i="2"/>
  <c r="T123" i="2"/>
  <c r="N123" i="2"/>
  <c r="T122" i="2"/>
  <c r="N122" i="2"/>
  <c r="T121" i="2"/>
  <c r="N121" i="2"/>
  <c r="T120" i="2"/>
  <c r="N120" i="2"/>
  <c r="T119" i="2"/>
  <c r="N119" i="2"/>
  <c r="T118" i="2"/>
  <c r="N118" i="2"/>
  <c r="T117" i="2"/>
  <c r="N117" i="2"/>
  <c r="T116" i="2"/>
  <c r="N116" i="2"/>
  <c r="T115" i="2"/>
  <c r="N115" i="2"/>
  <c r="T114" i="2"/>
  <c r="N114" i="2"/>
  <c r="U113" i="2"/>
  <c r="U112" i="2" s="1"/>
  <c r="U111" i="2" s="1"/>
  <c r="P113" i="2"/>
  <c r="P112" i="2" s="1"/>
  <c r="P111" i="2" s="1"/>
  <c r="O113" i="2"/>
  <c r="O112" i="2" s="1"/>
  <c r="N113" i="2"/>
  <c r="S112" i="2"/>
  <c r="S111" i="2" s="1"/>
  <c r="R112" i="2"/>
  <c r="R111" i="2" s="1"/>
  <c r="Q112" i="2"/>
  <c r="Q111" i="2" s="1"/>
  <c r="M112" i="2"/>
  <c r="M111" i="2" s="1"/>
  <c r="L112" i="2"/>
  <c r="L111" i="2" s="1"/>
  <c r="K112" i="2"/>
  <c r="K111" i="2" s="1"/>
  <c r="J112" i="2"/>
  <c r="J111" i="2" s="1"/>
  <c r="I112" i="2"/>
  <c r="F112" i="2"/>
  <c r="F111" i="2" s="1"/>
  <c r="T110" i="2"/>
  <c r="N110" i="2"/>
  <c r="T109" i="2"/>
  <c r="N109" i="2"/>
  <c r="U108" i="2"/>
  <c r="S108" i="2"/>
  <c r="R108" i="2"/>
  <c r="Q108" i="2"/>
  <c r="P108" i="2"/>
  <c r="O108" i="2"/>
  <c r="M108" i="2"/>
  <c r="L108" i="2"/>
  <c r="K108" i="2"/>
  <c r="J108" i="2"/>
  <c r="I108" i="2"/>
  <c r="F108" i="2"/>
  <c r="T107" i="2"/>
  <c r="N107" i="2"/>
  <c r="W106" i="2"/>
  <c r="U106" i="2"/>
  <c r="S106" i="2"/>
  <c r="R106" i="2"/>
  <c r="Q106" i="2"/>
  <c r="P106" i="2"/>
  <c r="O106" i="2"/>
  <c r="M106" i="2"/>
  <c r="L106" i="2"/>
  <c r="K106" i="2"/>
  <c r="J106" i="2"/>
  <c r="I106" i="2"/>
  <c r="F106" i="2"/>
  <c r="T105" i="2"/>
  <c r="N105" i="2"/>
  <c r="T104" i="2"/>
  <c r="N104" i="2"/>
  <c r="U103" i="2"/>
  <c r="S103" i="2"/>
  <c r="R103" i="2"/>
  <c r="Q103" i="2"/>
  <c r="P103" i="2"/>
  <c r="O103" i="2"/>
  <c r="M103" i="2"/>
  <c r="L103" i="2"/>
  <c r="K103" i="2"/>
  <c r="J103" i="2"/>
  <c r="I103" i="2"/>
  <c r="F103" i="2"/>
  <c r="U102" i="2"/>
  <c r="U99" i="2" s="1"/>
  <c r="S102" i="2"/>
  <c r="S99" i="2" s="1"/>
  <c r="Q102" i="2"/>
  <c r="M102" i="2"/>
  <c r="M99" i="2" s="1"/>
  <c r="T101" i="2"/>
  <c r="N101" i="2"/>
  <c r="T100" i="2"/>
  <c r="N100" i="2"/>
  <c r="W99" i="2"/>
  <c r="R99" i="2"/>
  <c r="P99" i="2"/>
  <c r="O99" i="2"/>
  <c r="L99" i="2"/>
  <c r="K99" i="2"/>
  <c r="J99" i="2"/>
  <c r="I99" i="2"/>
  <c r="F99" i="2"/>
  <c r="T98" i="2"/>
  <c r="N98" i="2"/>
  <c r="T97" i="2"/>
  <c r="N97" i="2"/>
  <c r="U96" i="2"/>
  <c r="U91" i="2" s="1"/>
  <c r="T96" i="2"/>
  <c r="N96" i="2"/>
  <c r="T95" i="2"/>
  <c r="N95" i="2"/>
  <c r="T94" i="2"/>
  <c r="N94" i="2"/>
  <c r="T93" i="2"/>
  <c r="N93" i="2"/>
  <c r="T92" i="2"/>
  <c r="N92" i="2"/>
  <c r="S91" i="2"/>
  <c r="R91" i="2"/>
  <c r="Q91" i="2"/>
  <c r="P91" i="2"/>
  <c r="O91" i="2"/>
  <c r="M91" i="2"/>
  <c r="L91" i="2"/>
  <c r="K91" i="2"/>
  <c r="J91" i="2"/>
  <c r="I91" i="2"/>
  <c r="F91" i="2"/>
  <c r="T89" i="2"/>
  <c r="V89" i="2" s="1"/>
  <c r="X89" i="2" s="1"/>
  <c r="T88" i="2"/>
  <c r="N88" i="2"/>
  <c r="W87" i="2"/>
  <c r="U87" i="2"/>
  <c r="S87" i="2"/>
  <c r="R87" i="2"/>
  <c r="Q87" i="2"/>
  <c r="P87" i="2"/>
  <c r="O87" i="2"/>
  <c r="M87" i="2"/>
  <c r="L87" i="2"/>
  <c r="K87" i="2"/>
  <c r="J87" i="2"/>
  <c r="I87" i="2"/>
  <c r="F87" i="2"/>
  <c r="T86" i="2"/>
  <c r="N86" i="2"/>
  <c r="T85" i="2"/>
  <c r="N85" i="2"/>
  <c r="F85" i="2"/>
  <c r="F84" i="2" s="1"/>
  <c r="W84" i="2"/>
  <c r="U84" i="2"/>
  <c r="S84" i="2"/>
  <c r="R84" i="2"/>
  <c r="Q84" i="2"/>
  <c r="P84" i="2"/>
  <c r="O84" i="2"/>
  <c r="M84" i="2"/>
  <c r="L84" i="2"/>
  <c r="K84" i="2"/>
  <c r="J84" i="2"/>
  <c r="I84" i="2"/>
  <c r="N83" i="2"/>
  <c r="V83" i="2" s="1"/>
  <c r="T82" i="2"/>
  <c r="N82" i="2"/>
  <c r="W81" i="2"/>
  <c r="U81" i="2"/>
  <c r="S81" i="2"/>
  <c r="R81" i="2"/>
  <c r="Q81" i="2"/>
  <c r="P81" i="2"/>
  <c r="O81" i="2"/>
  <c r="M81" i="2"/>
  <c r="L81" i="2"/>
  <c r="K81" i="2"/>
  <c r="J81" i="2"/>
  <c r="I81" i="2"/>
  <c r="F81" i="2"/>
  <c r="T79" i="2"/>
  <c r="N79" i="2"/>
  <c r="W78" i="2"/>
  <c r="U78" i="2"/>
  <c r="S78" i="2"/>
  <c r="R78" i="2"/>
  <c r="Q78" i="2"/>
  <c r="P78" i="2"/>
  <c r="O78" i="2"/>
  <c r="M78" i="2"/>
  <c r="L78" i="2"/>
  <c r="K78" i="2"/>
  <c r="J78" i="2"/>
  <c r="I78" i="2"/>
  <c r="F78" i="2"/>
  <c r="T77" i="2"/>
  <c r="N77" i="2"/>
  <c r="W76" i="2"/>
  <c r="U76" i="2"/>
  <c r="S76" i="2"/>
  <c r="R76" i="2"/>
  <c r="Q76" i="2"/>
  <c r="P76" i="2"/>
  <c r="O76" i="2"/>
  <c r="M76" i="2"/>
  <c r="L76" i="2"/>
  <c r="K76" i="2"/>
  <c r="J76" i="2"/>
  <c r="I76" i="2"/>
  <c r="F76" i="2"/>
  <c r="X75" i="2"/>
  <c r="N75" i="2"/>
  <c r="N74" i="2"/>
  <c r="O74" i="2" s="1"/>
  <c r="T74" i="2" s="1"/>
  <c r="T73" i="2"/>
  <c r="N73" i="2"/>
  <c r="T72" i="2"/>
  <c r="N72" i="2"/>
  <c r="V72" i="2" s="1"/>
  <c r="T71" i="2"/>
  <c r="N71" i="2"/>
  <c r="T70" i="2"/>
  <c r="N70" i="2"/>
  <c r="T69" i="2"/>
  <c r="N69" i="2"/>
  <c r="T68" i="2"/>
  <c r="N68" i="2"/>
  <c r="V68" i="2" s="1"/>
  <c r="T67" i="2"/>
  <c r="N67" i="2"/>
  <c r="T66" i="2"/>
  <c r="N66" i="2"/>
  <c r="T65" i="2"/>
  <c r="N65" i="2"/>
  <c r="T64" i="2"/>
  <c r="N64" i="2"/>
  <c r="V64" i="2" s="1"/>
  <c r="X63" i="2"/>
  <c r="T63" i="2"/>
  <c r="N63" i="2"/>
  <c r="T62" i="2"/>
  <c r="N62" i="2"/>
  <c r="V62" i="2" s="1"/>
  <c r="T61" i="2"/>
  <c r="N61" i="2"/>
  <c r="T60" i="2"/>
  <c r="N60" i="2"/>
  <c r="T59" i="2"/>
  <c r="N59" i="2"/>
  <c r="T58" i="2"/>
  <c r="N58" i="2"/>
  <c r="T57" i="2"/>
  <c r="N57" i="2"/>
  <c r="N56" i="2"/>
  <c r="O56" i="2" s="1"/>
  <c r="W55" i="2"/>
  <c r="U55" i="2"/>
  <c r="S55" i="2"/>
  <c r="R55" i="2"/>
  <c r="Q55" i="2"/>
  <c r="P55" i="2"/>
  <c r="M55" i="2"/>
  <c r="L55" i="2"/>
  <c r="K55" i="2"/>
  <c r="J55" i="2"/>
  <c r="I55" i="2"/>
  <c r="F55" i="2"/>
  <c r="T53" i="2"/>
  <c r="N53" i="2"/>
  <c r="T52" i="2"/>
  <c r="N52" i="2"/>
  <c r="T51" i="2"/>
  <c r="N51" i="2"/>
  <c r="T50" i="2"/>
  <c r="N50" i="2"/>
  <c r="W49" i="2"/>
  <c r="U49" i="2"/>
  <c r="S49" i="2"/>
  <c r="R49" i="2"/>
  <c r="Q49" i="2"/>
  <c r="P49" i="2"/>
  <c r="O49" i="2"/>
  <c r="M49" i="2"/>
  <c r="L49" i="2"/>
  <c r="K49" i="2"/>
  <c r="J49" i="2"/>
  <c r="I49" i="2"/>
  <c r="F49" i="2"/>
  <c r="T48" i="2"/>
  <c r="N48" i="2"/>
  <c r="T47" i="2"/>
  <c r="N47" i="2"/>
  <c r="T46" i="2"/>
  <c r="N46" i="2"/>
  <c r="T45" i="2"/>
  <c r="N45" i="2"/>
  <c r="T44" i="2"/>
  <c r="N44" i="2"/>
  <c r="T43" i="2"/>
  <c r="N43" i="2"/>
  <c r="T42" i="2"/>
  <c r="N42" i="2"/>
  <c r="T41" i="2"/>
  <c r="N41" i="2"/>
  <c r="T40" i="2"/>
  <c r="N40" i="2"/>
  <c r="T39" i="2"/>
  <c r="N39" i="2"/>
  <c r="T38" i="2"/>
  <c r="N38" i="2"/>
  <c r="U37" i="2"/>
  <c r="S37" i="2"/>
  <c r="T37" i="2" s="1"/>
  <c r="M37" i="2"/>
  <c r="N37" i="2" s="1"/>
  <c r="T36" i="2"/>
  <c r="N36" i="2"/>
  <c r="T35" i="2"/>
  <c r="N35" i="2"/>
  <c r="F35" i="2"/>
  <c r="T34" i="2"/>
  <c r="N34" i="2"/>
  <c r="T33" i="2"/>
  <c r="N33" i="2"/>
  <c r="U32" i="2"/>
  <c r="S32" i="2"/>
  <c r="T32" i="2" s="1"/>
  <c r="M32" i="2"/>
  <c r="N32" i="2" s="1"/>
  <c r="F32" i="2"/>
  <c r="R31" i="2"/>
  <c r="Q31" i="2"/>
  <c r="P31" i="2"/>
  <c r="O31" i="2"/>
  <c r="L31" i="2"/>
  <c r="K31" i="2"/>
  <c r="J31" i="2"/>
  <c r="I31" i="2"/>
  <c r="T30" i="2"/>
  <c r="N30" i="2"/>
  <c r="T29" i="2"/>
  <c r="N29" i="2"/>
  <c r="T28" i="2"/>
  <c r="I28" i="2"/>
  <c r="N28" i="2" s="1"/>
  <c r="T27" i="2"/>
  <c r="I27" i="2"/>
  <c r="T26" i="2"/>
  <c r="N26" i="2"/>
  <c r="W25" i="2"/>
  <c r="U25" i="2"/>
  <c r="S25" i="2"/>
  <c r="R25" i="2"/>
  <c r="Q25" i="2"/>
  <c r="P25" i="2"/>
  <c r="O25" i="2"/>
  <c r="M25" i="2"/>
  <c r="L25" i="2"/>
  <c r="K25" i="2"/>
  <c r="J25" i="2"/>
  <c r="F25" i="2"/>
  <c r="T24" i="2"/>
  <c r="I24" i="2"/>
  <c r="N24" i="2" s="1"/>
  <c r="T23" i="2"/>
  <c r="N23" i="2"/>
  <c r="T22" i="2"/>
  <c r="N22" i="2"/>
  <c r="T21" i="2"/>
  <c r="N21" i="2"/>
  <c r="T20" i="2"/>
  <c r="N20" i="2"/>
  <c r="T19" i="2"/>
  <c r="I19" i="2"/>
  <c r="N19" i="2" s="1"/>
  <c r="T18" i="2"/>
  <c r="N18" i="2"/>
  <c r="T17" i="2"/>
  <c r="N17" i="2"/>
  <c r="T16" i="2"/>
  <c r="N16" i="2"/>
  <c r="T15" i="2"/>
  <c r="I15" i="2"/>
  <c r="T14" i="2"/>
  <c r="N14" i="2"/>
  <c r="T13" i="2"/>
  <c r="N13" i="2"/>
  <c r="T12" i="2"/>
  <c r="N12" i="2"/>
  <c r="T11" i="2"/>
  <c r="N11" i="2"/>
  <c r="T10" i="2"/>
  <c r="N10" i="2"/>
  <c r="T9" i="2"/>
  <c r="N9" i="2"/>
  <c r="V9" i="2" s="1"/>
  <c r="W8" i="2"/>
  <c r="U8" i="2"/>
  <c r="S8" i="2"/>
  <c r="R8" i="2"/>
  <c r="Q8" i="2"/>
  <c r="P8" i="2"/>
  <c r="O8" i="2"/>
  <c r="M8" i="2"/>
  <c r="L8" i="2"/>
  <c r="K8" i="2"/>
  <c r="J8" i="2"/>
  <c r="F8" i="2"/>
  <c r="S144" i="2" l="1"/>
  <c r="V14" i="2"/>
  <c r="V18" i="2"/>
  <c r="V59" i="2"/>
  <c r="V63" i="2"/>
  <c r="V170" i="3"/>
  <c r="X170" i="3" s="1"/>
  <c r="V177" i="3"/>
  <c r="X177" i="3" s="1"/>
  <c r="V10" i="3"/>
  <c r="X10" i="3" s="1"/>
  <c r="V89" i="3"/>
  <c r="X89" i="3" s="1"/>
  <c r="V38" i="2"/>
  <c r="V42" i="2"/>
  <c r="V46" i="2"/>
  <c r="V57" i="2"/>
  <c r="V61" i="2"/>
  <c r="V120" i="2"/>
  <c r="X120" i="2" s="1"/>
  <c r="W120" i="2" s="1"/>
  <c r="V118" i="3"/>
  <c r="X118" i="3" s="1"/>
  <c r="V129" i="2"/>
  <c r="W129" i="2" s="1"/>
  <c r="W65" i="3"/>
  <c r="S134" i="2"/>
  <c r="V62" i="3"/>
  <c r="X62" i="3" s="1"/>
  <c r="J144" i="2"/>
  <c r="K144" i="2"/>
  <c r="V12" i="3"/>
  <c r="X12" i="3" s="1"/>
  <c r="R144" i="2"/>
  <c r="V14" i="3"/>
  <c r="X14" i="3" s="1"/>
  <c r="G111" i="3"/>
  <c r="G110" i="3" s="1"/>
  <c r="V16" i="2"/>
  <c r="V57" i="3"/>
  <c r="X57" i="3" s="1"/>
  <c r="V63" i="3"/>
  <c r="X63" i="3" s="1"/>
  <c r="V67" i="3"/>
  <c r="X67" i="3" s="1"/>
  <c r="V82" i="3"/>
  <c r="X82" i="3" s="1"/>
  <c r="V86" i="3"/>
  <c r="X86" i="3" s="1"/>
  <c r="V116" i="3"/>
  <c r="X116" i="3" s="1"/>
  <c r="V122" i="3"/>
  <c r="X122" i="3" s="1"/>
  <c r="V22" i="2"/>
  <c r="V29" i="2"/>
  <c r="V33" i="2"/>
  <c r="K159" i="3"/>
  <c r="V120" i="3"/>
  <c r="X120" i="3" s="1"/>
  <c r="V19" i="2"/>
  <c r="V26" i="2"/>
  <c r="V41" i="2"/>
  <c r="V60" i="2"/>
  <c r="V119" i="2"/>
  <c r="W119" i="2" s="1"/>
  <c r="V123" i="2"/>
  <c r="X123" i="2" s="1"/>
  <c r="W123" i="2" s="1"/>
  <c r="V127" i="2"/>
  <c r="W127" i="2" s="1"/>
  <c r="V139" i="2"/>
  <c r="V138" i="3"/>
  <c r="X138" i="3" s="1"/>
  <c r="Y138" i="3" s="1"/>
  <c r="V142" i="3"/>
  <c r="X142" i="3" s="1"/>
  <c r="Y142" i="3" s="1"/>
  <c r="V146" i="3"/>
  <c r="X146" i="3" s="1"/>
  <c r="V171" i="3"/>
  <c r="X171" i="3" s="1"/>
  <c r="P54" i="2"/>
  <c r="V114" i="2"/>
  <c r="W114" i="2" s="1"/>
  <c r="V122" i="2"/>
  <c r="W122" i="2" s="1"/>
  <c r="V141" i="2"/>
  <c r="V113" i="3"/>
  <c r="X113" i="3" s="1"/>
  <c r="Y113" i="3" s="1"/>
  <c r="V117" i="3"/>
  <c r="X117" i="3" s="1"/>
  <c r="V136" i="3"/>
  <c r="X136" i="3" s="1"/>
  <c r="Y136" i="3" s="1"/>
  <c r="V148" i="3"/>
  <c r="X148" i="3" s="1"/>
  <c r="Y148" i="3" s="1"/>
  <c r="V152" i="3"/>
  <c r="X152" i="3" s="1"/>
  <c r="V156" i="3"/>
  <c r="X156" i="3" s="1"/>
  <c r="V163" i="3"/>
  <c r="X163" i="3" s="1"/>
  <c r="V9" i="3"/>
  <c r="X9" i="3" s="1"/>
  <c r="T29" i="3"/>
  <c r="V41" i="3"/>
  <c r="X41" i="3" s="1"/>
  <c r="V51" i="3"/>
  <c r="X51" i="3" s="1"/>
  <c r="V61" i="3"/>
  <c r="X61" i="3" s="1"/>
  <c r="V69" i="3"/>
  <c r="X69" i="3" s="1"/>
  <c r="V73" i="3"/>
  <c r="X73" i="3" s="1"/>
  <c r="V84" i="3"/>
  <c r="X84" i="3" s="1"/>
  <c r="V92" i="3"/>
  <c r="X92" i="3" s="1"/>
  <c r="J159" i="3"/>
  <c r="S159" i="3"/>
  <c r="J172" i="3"/>
  <c r="S172" i="3"/>
  <c r="Q7" i="3"/>
  <c r="M134" i="2"/>
  <c r="Q134" i="2"/>
  <c r="T167" i="3"/>
  <c r="Q172" i="3"/>
  <c r="N76" i="2"/>
  <c r="R54" i="2"/>
  <c r="U80" i="2"/>
  <c r="V151" i="2"/>
  <c r="W151" i="2" s="1"/>
  <c r="V21" i="3"/>
  <c r="X21" i="3" s="1"/>
  <c r="V31" i="3"/>
  <c r="X31" i="3" s="1"/>
  <c r="Y31" i="3" s="1"/>
  <c r="V45" i="3"/>
  <c r="X45" i="3" s="1"/>
  <c r="V103" i="3"/>
  <c r="X103" i="3" s="1"/>
  <c r="V105" i="3"/>
  <c r="X105" i="3" s="1"/>
  <c r="T129" i="3"/>
  <c r="V137" i="3"/>
  <c r="X137" i="3" s="1"/>
  <c r="Y137" i="3" s="1"/>
  <c r="V141" i="3"/>
  <c r="X141" i="3" s="1"/>
  <c r="Y141" i="3" s="1"/>
  <c r="V145" i="3"/>
  <c r="X145" i="3" s="1"/>
  <c r="Y145" i="3" s="1"/>
  <c r="V153" i="3"/>
  <c r="X153" i="3" s="1"/>
  <c r="V157" i="3"/>
  <c r="X157" i="3" s="1"/>
  <c r="V164" i="3"/>
  <c r="X164" i="3" s="1"/>
  <c r="N112" i="2"/>
  <c r="L134" i="2"/>
  <c r="F7" i="3"/>
  <c r="V32" i="2"/>
  <c r="V65" i="2"/>
  <c r="V69" i="2"/>
  <c r="X69" i="2" s="1"/>
  <c r="V85" i="2"/>
  <c r="L80" i="2"/>
  <c r="W110" i="3"/>
  <c r="N145" i="2"/>
  <c r="M80" i="2"/>
  <c r="V50" i="2"/>
  <c r="V66" i="2"/>
  <c r="V70" i="2"/>
  <c r="V77" i="2"/>
  <c r="V79" i="2"/>
  <c r="V86" i="2"/>
  <c r="V97" i="2"/>
  <c r="V101" i="2"/>
  <c r="V109" i="2"/>
  <c r="V149" i="2"/>
  <c r="W149" i="2" s="1"/>
  <c r="V19" i="3"/>
  <c r="X19" i="3" s="1"/>
  <c r="V33" i="3"/>
  <c r="X33" i="3" s="1"/>
  <c r="V37" i="3"/>
  <c r="X37" i="3" s="1"/>
  <c r="Y37" i="3" s="1"/>
  <c r="V50" i="3"/>
  <c r="X50" i="3" s="1"/>
  <c r="T97" i="3"/>
  <c r="V143" i="3"/>
  <c r="X143" i="3" s="1"/>
  <c r="V147" i="3"/>
  <c r="X147" i="3" s="1"/>
  <c r="Y147" i="3" s="1"/>
  <c r="V67" i="2"/>
  <c r="X67" i="2" s="1"/>
  <c r="V98" i="2"/>
  <c r="X98" i="2" s="1"/>
  <c r="V107" i="2"/>
  <c r="V16" i="3"/>
  <c r="X16" i="3" s="1"/>
  <c r="V24" i="3"/>
  <c r="X24" i="3" s="1"/>
  <c r="V28" i="3"/>
  <c r="X28" i="3" s="1"/>
  <c r="V44" i="3"/>
  <c r="X44" i="3" s="1"/>
  <c r="V102" i="3"/>
  <c r="X102" i="3" s="1"/>
  <c r="V109" i="3"/>
  <c r="X109" i="3" s="1"/>
  <c r="P172" i="3"/>
  <c r="V175" i="3"/>
  <c r="X175" i="3" s="1"/>
  <c r="T180" i="3"/>
  <c r="P99" i="3"/>
  <c r="Q99" i="3"/>
  <c r="V140" i="3"/>
  <c r="X140" i="3" s="1"/>
  <c r="Y140" i="3" s="1"/>
  <c r="R99" i="3"/>
  <c r="R159" i="3"/>
  <c r="L90" i="2"/>
  <c r="M144" i="2"/>
  <c r="X49" i="3"/>
  <c r="J110" i="3"/>
  <c r="J7" i="3"/>
  <c r="N103" i="2"/>
  <c r="L144" i="2"/>
  <c r="R7" i="3"/>
  <c r="N59" i="3"/>
  <c r="M7" i="3"/>
  <c r="O65" i="3"/>
  <c r="T91" i="2"/>
  <c r="F65" i="3"/>
  <c r="L159" i="3"/>
  <c r="N152" i="2"/>
  <c r="V20" i="2"/>
  <c r="P90" i="2"/>
  <c r="V15" i="3"/>
  <c r="X15" i="3" s="1"/>
  <c r="V25" i="3"/>
  <c r="X25" i="3" s="1"/>
  <c r="V43" i="3"/>
  <c r="X43" i="3" s="1"/>
  <c r="I65" i="3"/>
  <c r="V80" i="3"/>
  <c r="X80" i="3" s="1"/>
  <c r="Y80" i="3" s="1"/>
  <c r="V90" i="3"/>
  <c r="X90" i="3" s="1"/>
  <c r="V144" i="3"/>
  <c r="X144" i="3" s="1"/>
  <c r="Y144" i="3" s="1"/>
  <c r="V131" i="3"/>
  <c r="X131" i="3" s="1"/>
  <c r="M65" i="3"/>
  <c r="N81" i="2"/>
  <c r="I99" i="3"/>
  <c r="M111" i="3"/>
  <c r="M110" i="3" s="1"/>
  <c r="V133" i="3"/>
  <c r="X133" i="3" s="1"/>
  <c r="V166" i="3"/>
  <c r="X166" i="3" s="1"/>
  <c r="Y166" i="3" s="1"/>
  <c r="J65" i="3"/>
  <c r="V115" i="3"/>
  <c r="X115" i="3" s="1"/>
  <c r="U31" i="2"/>
  <c r="U7" i="2" s="1"/>
  <c r="L65" i="3"/>
  <c r="F99" i="3"/>
  <c r="V53" i="3"/>
  <c r="X53" i="3" s="1"/>
  <c r="G99" i="3"/>
  <c r="V13" i="2"/>
  <c r="V23" i="2"/>
  <c r="V28" i="2"/>
  <c r="V34" i="2"/>
  <c r="T39" i="3"/>
  <c r="P65" i="3"/>
  <c r="T111" i="3"/>
  <c r="V73" i="2"/>
  <c r="V46" i="3"/>
  <c r="X46" i="3" s="1"/>
  <c r="K99" i="3"/>
  <c r="V162" i="3"/>
  <c r="X162" i="3" s="1"/>
  <c r="V176" i="3"/>
  <c r="X176" i="3" s="1"/>
  <c r="V47" i="2"/>
  <c r="N167" i="3"/>
  <c r="F172" i="3"/>
  <c r="S80" i="2"/>
  <c r="S65" i="3"/>
  <c r="N97" i="3"/>
  <c r="M99" i="3"/>
  <c r="G172" i="3"/>
  <c r="V58" i="3"/>
  <c r="X58" i="3" s="1"/>
  <c r="K65" i="3"/>
  <c r="V72" i="3"/>
  <c r="X72" i="3" s="1"/>
  <c r="R65" i="3"/>
  <c r="I8" i="2"/>
  <c r="N8" i="2" s="1"/>
  <c r="V30" i="2"/>
  <c r="V88" i="2"/>
  <c r="V105" i="2"/>
  <c r="W105" i="2" s="1"/>
  <c r="W103" i="2" s="1"/>
  <c r="V121" i="2"/>
  <c r="X121" i="2" s="1"/>
  <c r="V131" i="2"/>
  <c r="V142" i="2"/>
  <c r="V11" i="3"/>
  <c r="X11" i="3" s="1"/>
  <c r="V20" i="3"/>
  <c r="X20" i="3" s="1"/>
  <c r="V34" i="3"/>
  <c r="X34" i="3" s="1"/>
  <c r="U65" i="3"/>
  <c r="V85" i="3"/>
  <c r="X85" i="3" s="1"/>
  <c r="Y85" i="3" s="1"/>
  <c r="N127" i="3"/>
  <c r="V139" i="3"/>
  <c r="X139" i="3" s="1"/>
  <c r="Y139" i="3" s="1"/>
  <c r="V149" i="3"/>
  <c r="X149" i="3" s="1"/>
  <c r="U99" i="3"/>
  <c r="V12" i="2"/>
  <c r="T25" i="2"/>
  <c r="V51" i="2"/>
  <c r="V125" i="2"/>
  <c r="W125" i="2" s="1"/>
  <c r="V17" i="3"/>
  <c r="X17" i="3" s="1"/>
  <c r="V38" i="3"/>
  <c r="X38" i="3" s="1"/>
  <c r="V81" i="3"/>
  <c r="X81" i="3" s="1"/>
  <c r="P110" i="3"/>
  <c r="P159" i="3"/>
  <c r="T78" i="2"/>
  <c r="V94" i="2"/>
  <c r="X94" i="2" s="1"/>
  <c r="T102" i="2"/>
  <c r="R134" i="2"/>
  <c r="N8" i="3"/>
  <c r="N29" i="3"/>
  <c r="V35" i="3"/>
  <c r="X35" i="3" s="1"/>
  <c r="V54" i="3"/>
  <c r="X54" i="3" s="1"/>
  <c r="Y54" i="3" s="1"/>
  <c r="V71" i="3"/>
  <c r="X71" i="3" s="1"/>
  <c r="V75" i="3"/>
  <c r="X75" i="3" s="1"/>
  <c r="N95" i="3"/>
  <c r="N107" i="3"/>
  <c r="Q110" i="3"/>
  <c r="G159" i="3"/>
  <c r="Q159" i="3"/>
  <c r="N165" i="3"/>
  <c r="N173" i="3"/>
  <c r="N160" i="3"/>
  <c r="V52" i="2"/>
  <c r="O75" i="2"/>
  <c r="T75" i="2" s="1"/>
  <c r="V75" i="2" s="1"/>
  <c r="I90" i="2"/>
  <c r="R90" i="2"/>
  <c r="N135" i="2"/>
  <c r="V146" i="2"/>
  <c r="W146" i="2" s="1"/>
  <c r="S7" i="3"/>
  <c r="V22" i="3"/>
  <c r="X22" i="3" s="1"/>
  <c r="N39" i="3"/>
  <c r="V48" i="3"/>
  <c r="X48" i="3" s="1"/>
  <c r="T59" i="3"/>
  <c r="T66" i="3"/>
  <c r="V79" i="3"/>
  <c r="X79" i="3" s="1"/>
  <c r="Y79" i="3" s="1"/>
  <c r="V93" i="3"/>
  <c r="X93" i="3" s="1"/>
  <c r="Y93" i="3" s="1"/>
  <c r="J99" i="3"/>
  <c r="S99" i="3"/>
  <c r="F110" i="3"/>
  <c r="R110" i="3"/>
  <c r="V125" i="3"/>
  <c r="X125" i="3" s="1"/>
  <c r="N135" i="3"/>
  <c r="I159" i="3"/>
  <c r="L172" i="3"/>
  <c r="I172" i="3"/>
  <c r="R172" i="3"/>
  <c r="O159" i="3"/>
  <c r="V17" i="2"/>
  <c r="V21" i="2"/>
  <c r="W54" i="2"/>
  <c r="F54" i="2"/>
  <c r="T84" i="2"/>
  <c r="J134" i="2"/>
  <c r="U134" i="2"/>
  <c r="V150" i="2"/>
  <c r="W150" i="2" s="1"/>
  <c r="V153" i="2"/>
  <c r="W153" i="2" s="1"/>
  <c r="W152" i="2" s="1"/>
  <c r="K7" i="3"/>
  <c r="U7" i="3"/>
  <c r="V23" i="3"/>
  <c r="X23" i="3" s="1"/>
  <c r="V68" i="3"/>
  <c r="X68" i="3" s="1"/>
  <c r="V76" i="3"/>
  <c r="X76" i="3" s="1"/>
  <c r="S110" i="3"/>
  <c r="T124" i="3"/>
  <c r="N129" i="3"/>
  <c r="M172" i="3"/>
  <c r="V174" i="3"/>
  <c r="X174" i="3" s="1"/>
  <c r="P7" i="2"/>
  <c r="V10" i="2"/>
  <c r="J7" i="2"/>
  <c r="V39" i="2"/>
  <c r="V43" i="2"/>
  <c r="V53" i="2"/>
  <c r="T81" i="2"/>
  <c r="V82" i="2"/>
  <c r="K90" i="2"/>
  <c r="V92" i="2"/>
  <c r="X92" i="2" s="1"/>
  <c r="V96" i="2"/>
  <c r="W96" i="2" s="1"/>
  <c r="W91" i="2" s="1"/>
  <c r="V100" i="2"/>
  <c r="X100" i="2" s="1"/>
  <c r="W134" i="2"/>
  <c r="O144" i="2"/>
  <c r="V147" i="2"/>
  <c r="W147" i="2" s="1"/>
  <c r="L7" i="3"/>
  <c r="W7" i="3"/>
  <c r="V27" i="3"/>
  <c r="X27" i="3" s="1"/>
  <c r="G39" i="3"/>
  <c r="G7" i="3" s="1"/>
  <c r="V52" i="3"/>
  <c r="X52" i="3" s="1"/>
  <c r="V55" i="3"/>
  <c r="X55" i="3" s="1"/>
  <c r="G65" i="3"/>
  <c r="Q65" i="3"/>
  <c r="V87" i="3"/>
  <c r="X87" i="3" s="1"/>
  <c r="V94" i="3"/>
  <c r="X94" i="3" s="1"/>
  <c r="V96" i="3"/>
  <c r="X96" i="3" s="1"/>
  <c r="V98" i="3"/>
  <c r="X98" i="3" s="1"/>
  <c r="L99" i="3"/>
  <c r="W99" i="3"/>
  <c r="N104" i="3"/>
  <c r="T104" i="3"/>
  <c r="K110" i="3"/>
  <c r="U110" i="3"/>
  <c r="V114" i="3"/>
  <c r="X114" i="3" s="1"/>
  <c r="Y114" i="3" s="1"/>
  <c r="L110" i="3"/>
  <c r="V126" i="3"/>
  <c r="X126" i="3" s="1"/>
  <c r="T127" i="3"/>
  <c r="V128" i="3"/>
  <c r="X128" i="3" s="1"/>
  <c r="V130" i="3"/>
  <c r="X130" i="3" s="1"/>
  <c r="T135" i="3"/>
  <c r="V150" i="3"/>
  <c r="X150" i="3" s="1"/>
  <c r="Y150" i="3" s="1"/>
  <c r="V154" i="3"/>
  <c r="X154" i="3" s="1"/>
  <c r="V158" i="3"/>
  <c r="X158" i="3" s="1"/>
  <c r="T160" i="3"/>
  <c r="V168" i="3"/>
  <c r="X168" i="3" s="1"/>
  <c r="T173" i="3"/>
  <c r="V178" i="3"/>
  <c r="X178" i="3" s="1"/>
  <c r="U159" i="3"/>
  <c r="V40" i="2"/>
  <c r="V48" i="2"/>
  <c r="I80" i="2"/>
  <c r="T87" i="2"/>
  <c r="Q144" i="2"/>
  <c r="V148" i="2"/>
  <c r="W148" i="2" s="1"/>
  <c r="V13" i="3"/>
  <c r="X13" i="3" s="1"/>
  <c r="P7" i="3"/>
  <c r="V30" i="3"/>
  <c r="X30" i="3" s="1"/>
  <c r="V40" i="3"/>
  <c r="X40" i="3" s="1"/>
  <c r="V77" i="3"/>
  <c r="X77" i="3" s="1"/>
  <c r="V88" i="3"/>
  <c r="X88" i="3" s="1"/>
  <c r="T100" i="3"/>
  <c r="T107" i="3"/>
  <c r="T119" i="3"/>
  <c r="N124" i="3"/>
  <c r="V151" i="3"/>
  <c r="X151" i="3" s="1"/>
  <c r="V155" i="3"/>
  <c r="X155" i="3" s="1"/>
  <c r="M159" i="3"/>
  <c r="T165" i="3"/>
  <c r="F159" i="3"/>
  <c r="V169" i="3"/>
  <c r="X169" i="3" s="1"/>
  <c r="V179" i="3"/>
  <c r="X179" i="3" s="1"/>
  <c r="V181" i="3"/>
  <c r="X181" i="3" s="1"/>
  <c r="W159" i="3"/>
  <c r="T134" i="3"/>
  <c r="N112" i="3"/>
  <c r="V112" i="3" s="1"/>
  <c r="X112" i="3" s="1"/>
  <c r="Y112" i="3" s="1"/>
  <c r="N119" i="3"/>
  <c r="K172" i="3"/>
  <c r="T8" i="3"/>
  <c r="N180" i="3"/>
  <c r="N66" i="3"/>
  <c r="N100" i="3"/>
  <c r="I110" i="3"/>
  <c r="O172" i="3"/>
  <c r="V161" i="3"/>
  <c r="X161" i="3" s="1"/>
  <c r="N99" i="3"/>
  <c r="T95" i="3"/>
  <c r="I134" i="3"/>
  <c r="N134" i="3" s="1"/>
  <c r="I7" i="3"/>
  <c r="O110" i="3"/>
  <c r="O99" i="3"/>
  <c r="W172" i="3"/>
  <c r="S54" i="2"/>
  <c r="N108" i="2"/>
  <c r="V118" i="2"/>
  <c r="W118" i="2" s="1"/>
  <c r="K134" i="2"/>
  <c r="N140" i="2"/>
  <c r="F90" i="2"/>
  <c r="T145" i="2"/>
  <c r="V104" i="2"/>
  <c r="N91" i="2"/>
  <c r="V130" i="2"/>
  <c r="W130" i="2" s="1"/>
  <c r="N84" i="2"/>
  <c r="N106" i="2"/>
  <c r="T108" i="2"/>
  <c r="J90" i="2"/>
  <c r="J54" i="2"/>
  <c r="T106" i="2"/>
  <c r="N78" i="2"/>
  <c r="N49" i="2"/>
  <c r="V11" i="2"/>
  <c r="M31" i="2"/>
  <c r="M7" i="2" s="1"/>
  <c r="V36" i="2"/>
  <c r="V44" i="2"/>
  <c r="Q7" i="2"/>
  <c r="K54" i="2"/>
  <c r="P80" i="2"/>
  <c r="T152" i="2"/>
  <c r="V152" i="2" s="1"/>
  <c r="U54" i="2"/>
  <c r="T49" i="2"/>
  <c r="R7" i="2"/>
  <c r="Q80" i="2"/>
  <c r="V24" i="2"/>
  <c r="N55" i="2"/>
  <c r="R80" i="2"/>
  <c r="F80" i="2"/>
  <c r="V93" i="2"/>
  <c r="X93" i="2" s="1"/>
  <c r="V110" i="2"/>
  <c r="W110" i="2" s="1"/>
  <c r="W108" i="2" s="1"/>
  <c r="V115" i="2"/>
  <c r="W115" i="2" s="1"/>
  <c r="V124" i="2"/>
  <c r="W124" i="2" s="1"/>
  <c r="V133" i="2"/>
  <c r="V138" i="2"/>
  <c r="Q99" i="2"/>
  <c r="T99" i="2" s="1"/>
  <c r="J80" i="2"/>
  <c r="F31" i="2"/>
  <c r="F7" i="2" s="1"/>
  <c r="O7" i="2"/>
  <c r="M54" i="2"/>
  <c r="L7" i="2"/>
  <c r="V116" i="2"/>
  <c r="W116" i="2" s="1"/>
  <c r="K80" i="2"/>
  <c r="V58" i="2"/>
  <c r="V37" i="2"/>
  <c r="K7" i="2"/>
  <c r="V45" i="2"/>
  <c r="W45" i="2" s="1"/>
  <c r="W31" i="2" s="1"/>
  <c r="W7" i="2" s="1"/>
  <c r="I25" i="2"/>
  <c r="N25" i="2" s="1"/>
  <c r="S31" i="2"/>
  <c r="S7" i="2" s="1"/>
  <c r="Q54" i="2"/>
  <c r="T76" i="2"/>
  <c r="W80" i="2"/>
  <c r="S90" i="2"/>
  <c r="T8" i="2"/>
  <c r="V71" i="2"/>
  <c r="V95" i="2"/>
  <c r="X95" i="2" s="1"/>
  <c r="V117" i="2"/>
  <c r="W117" i="2" s="1"/>
  <c r="V126" i="2"/>
  <c r="W126" i="2" s="1"/>
  <c r="F134" i="2"/>
  <c r="F144" i="2"/>
  <c r="T56" i="2"/>
  <c r="V56" i="2" s="1"/>
  <c r="O111" i="2"/>
  <c r="T111" i="2" s="1"/>
  <c r="T112" i="2"/>
  <c r="N99" i="2"/>
  <c r="T143" i="2"/>
  <c r="V143" i="2" s="1"/>
  <c r="P140" i="2"/>
  <c r="U90" i="2"/>
  <c r="O134" i="2"/>
  <c r="T135" i="2"/>
  <c r="I54" i="2"/>
  <c r="N102" i="2"/>
  <c r="N27" i="2"/>
  <c r="V27" i="2" s="1"/>
  <c r="L54" i="2"/>
  <c r="O80" i="2"/>
  <c r="M90" i="2"/>
  <c r="I144" i="2"/>
  <c r="O90" i="2"/>
  <c r="N87" i="2"/>
  <c r="T103" i="2"/>
  <c r="T113" i="2"/>
  <c r="V113" i="2" s="1"/>
  <c r="W113" i="2" s="1"/>
  <c r="T137" i="2"/>
  <c r="V137" i="2" s="1"/>
  <c r="P144" i="2"/>
  <c r="V74" i="2"/>
  <c r="I134" i="2"/>
  <c r="N15" i="2"/>
  <c r="V15" i="2" s="1"/>
  <c r="I111" i="2"/>
  <c r="N111" i="2" s="1"/>
  <c r="I92" i="1"/>
  <c r="V180" i="3" l="1"/>
  <c r="X180" i="3" s="1"/>
  <c r="V29" i="3"/>
  <c r="X29" i="3" s="1"/>
  <c r="V167" i="3"/>
  <c r="X167" i="3" s="1"/>
  <c r="V78" i="2"/>
  <c r="V127" i="3"/>
  <c r="X127" i="3" s="1"/>
  <c r="V145" i="2"/>
  <c r="V97" i="3"/>
  <c r="X97" i="3" s="1"/>
  <c r="V129" i="3"/>
  <c r="X129" i="3" s="1"/>
  <c r="W90" i="2"/>
  <c r="T65" i="3"/>
  <c r="V76" i="2"/>
  <c r="V66" i="3"/>
  <c r="X66" i="3" s="1"/>
  <c r="V103" i="2"/>
  <c r="V112" i="2"/>
  <c r="V135" i="3"/>
  <c r="X135" i="3" s="1"/>
  <c r="V25" i="2"/>
  <c r="V84" i="2"/>
  <c r="P6" i="3"/>
  <c r="N134" i="2"/>
  <c r="N65" i="3"/>
  <c r="V65" i="3" s="1"/>
  <c r="X65" i="3" s="1"/>
  <c r="T99" i="3"/>
  <c r="V99" i="3" s="1"/>
  <c r="X99" i="3" s="1"/>
  <c r="T159" i="3"/>
  <c r="N111" i="3"/>
  <c r="V111" i="3" s="1"/>
  <c r="X111" i="3" s="1"/>
  <c r="J6" i="3"/>
  <c r="M6" i="3"/>
  <c r="R6" i="3"/>
  <c r="O55" i="2"/>
  <c r="O54" i="2" s="1"/>
  <c r="L6" i="3"/>
  <c r="V81" i="2"/>
  <c r="V135" i="2"/>
  <c r="V91" i="2"/>
  <c r="V173" i="3"/>
  <c r="X173" i="3" s="1"/>
  <c r="V59" i="3"/>
  <c r="X59" i="3" s="1"/>
  <c r="S6" i="2"/>
  <c r="T172" i="3"/>
  <c r="V87" i="2"/>
  <c r="N144" i="2"/>
  <c r="O7" i="3"/>
  <c r="O6" i="3" s="1"/>
  <c r="V95" i="3"/>
  <c r="X95" i="3" s="1"/>
  <c r="V39" i="3"/>
  <c r="X39" i="3" s="1"/>
  <c r="T144" i="2"/>
  <c r="N110" i="3"/>
  <c r="V100" i="3"/>
  <c r="X100" i="3" s="1"/>
  <c r="V102" i="2"/>
  <c r="F6" i="3"/>
  <c r="T110" i="3"/>
  <c r="G6" i="3"/>
  <c r="T31" i="2"/>
  <c r="V124" i="3"/>
  <c r="X124" i="3" s="1"/>
  <c r="U6" i="3"/>
  <c r="V160" i="3"/>
  <c r="X160" i="3" s="1"/>
  <c r="V8" i="3"/>
  <c r="X8" i="3" s="1"/>
  <c r="N172" i="3"/>
  <c r="S6" i="3"/>
  <c r="K6" i="3"/>
  <c r="W145" i="2"/>
  <c r="W144" i="2" s="1"/>
  <c r="V119" i="3"/>
  <c r="X119" i="3" s="1"/>
  <c r="N159" i="3"/>
  <c r="V104" i="3"/>
  <c r="X104" i="3" s="1"/>
  <c r="Q6" i="3"/>
  <c r="V165" i="3"/>
  <c r="X165" i="3" s="1"/>
  <c r="U6" i="2"/>
  <c r="V107" i="3"/>
  <c r="X107" i="3" s="1"/>
  <c r="W6" i="3"/>
  <c r="V111" i="2"/>
  <c r="N80" i="2"/>
  <c r="Q90" i="2"/>
  <c r="Q6" i="2" s="1"/>
  <c r="F6" i="2"/>
  <c r="V8" i="2"/>
  <c r="J6" i="2"/>
  <c r="K6" i="2"/>
  <c r="R6" i="2"/>
  <c r="V134" i="3"/>
  <c r="X134" i="3" s="1"/>
  <c r="N7" i="3"/>
  <c r="I6" i="3"/>
  <c r="T7" i="2"/>
  <c r="W112" i="2"/>
  <c r="W111" i="2" s="1"/>
  <c r="V106" i="2"/>
  <c r="T80" i="2"/>
  <c r="V49" i="2"/>
  <c r="V99" i="2"/>
  <c r="M6" i="2"/>
  <c r="V108" i="2"/>
  <c r="N31" i="2"/>
  <c r="L6" i="2"/>
  <c r="I7" i="2"/>
  <c r="N7" i="2" s="1"/>
  <c r="N54" i="2"/>
  <c r="N90" i="2"/>
  <c r="T55" i="2"/>
  <c r="V55" i="2" s="1"/>
  <c r="T140" i="2"/>
  <c r="V140" i="2" s="1"/>
  <c r="P134" i="2"/>
  <c r="P6" i="2" s="1"/>
  <c r="V31" i="2" l="1"/>
  <c r="V159" i="3"/>
  <c r="X159" i="3" s="1"/>
  <c r="W6" i="2"/>
  <c r="T7" i="3"/>
  <c r="V80" i="2"/>
  <c r="V144" i="2"/>
  <c r="N6" i="3"/>
  <c r="V110" i="3"/>
  <c r="X110" i="3" s="1"/>
  <c r="V172" i="3"/>
  <c r="X172" i="3" s="1"/>
  <c r="T90" i="2"/>
  <c r="V90" i="2" s="1"/>
  <c r="T6" i="3"/>
  <c r="V7" i="2"/>
  <c r="I6" i="2"/>
  <c r="N6" i="2" s="1"/>
  <c r="V7" i="3"/>
  <c r="X7" i="3" s="1"/>
  <c r="T54" i="2"/>
  <c r="V54" i="2" s="1"/>
  <c r="O6" i="2"/>
  <c r="T6" i="2" s="1"/>
  <c r="T134" i="2"/>
  <c r="V134" i="2" s="1"/>
  <c r="V6" i="3" l="1"/>
  <c r="X6" i="3" s="1"/>
  <c r="V6" i="2"/>
</calcChain>
</file>

<file path=xl/sharedStrings.xml><?xml version="1.0" encoding="utf-8"?>
<sst xmlns="http://schemas.openxmlformats.org/spreadsheetml/2006/main" count="7207" uniqueCount="1481">
  <si>
    <r>
      <rPr>
        <b/>
        <sz val="8.5"/>
        <rFont val="Tahoma"/>
        <family val="2"/>
      </rPr>
      <t>IPA</t>
    </r>
  </si>
  <si>
    <r>
      <rPr>
        <b/>
        <sz val="8.5"/>
        <rFont val="Tahoma"/>
        <family val="2"/>
      </rPr>
      <t>Prognozējamie sagaidāmie projekta rezultāti/piezīmes</t>
    </r>
  </si>
  <si>
    <r>
      <rPr>
        <b/>
        <sz val="8.5"/>
        <rFont val="Tahoma"/>
        <family val="2"/>
      </rPr>
      <t>Rezultatīvie rādītāji</t>
    </r>
  </si>
  <si>
    <r>
      <rPr>
        <b/>
        <sz val="8.5"/>
        <rFont val="Tahoma"/>
        <family val="2"/>
      </rPr>
      <t>Par projekta ieviešanu atbildīgā struktūrvienība, iestāde, kapitālsabiedrība</t>
    </r>
  </si>
  <si>
    <r>
      <rPr>
        <b/>
        <sz val="8.5"/>
        <rFont val="Tahoma"/>
        <family val="2"/>
      </rPr>
      <t>Par projekta ieviešanu līdzatbildīgā struktūrvienība, iestāde, kapitālsabiedrība</t>
    </r>
  </si>
  <si>
    <r>
      <rPr>
        <sz val="8.5"/>
        <rFont val="Trebuchet MS"/>
        <family val="2"/>
      </rPr>
      <t>Iedzīvotājiem brīvā laika pavadīšanai (atsevišķās apkaimēs arī bērnu rotaļlaukumiem) pielāgota publiskā ārtelpa</t>
    </r>
  </si>
  <si>
    <r>
      <rPr>
        <sz val="9"/>
        <rFont val="Trebuchet MS"/>
        <family val="2"/>
      </rPr>
      <t>*Investīciju projekts var tikt sadalīts konkrēti definētos projektos (pēc adreses/kadastra/u.tml.) pie Investīciju plāna precizēšanas.</t>
    </r>
  </si>
  <si>
    <t>Jā</t>
  </si>
  <si>
    <t>Vispārpieņemtu pludmales labiekārtojuma standartu nodrošināšana</t>
  </si>
  <si>
    <t>Infrastruktūras un inženierkomunikāciju izveide/atjaunošana izejās uz jūru*</t>
  </si>
  <si>
    <t>JVA Attīstības pārvaldes Infrastruktūras investīciju projektu nodaļa</t>
  </si>
  <si>
    <t>IAS2030 pasākums: Izveidota infrastruktūra kājāmgājēju kustības nodrošināšanai gar Lielupi visā tās garumā Jūrmalas teritorijā, infrastruktūras risinājumus izvēloties atbilstoši dabas vērtībām: koka laipas uz pāļiem, stingra pamata takas, asfaltēti celiņi</t>
  </si>
  <si>
    <t>Lielupes radīto plūdu un krasta erozijas risku apdraudējumu novēršanas pasākumi Dubultos–Majoros–Dzintaros (SAM 5.1.1.)</t>
  </si>
  <si>
    <t>Saules kolektoru parka izveide saules enerģijas izmantošanai siltumenerģijas ražošanai Salas ielā 3</t>
  </si>
  <si>
    <t>Tiek realizēts, ja tiek piesaistīts ES fondu līdzfinansējums ES fondu plānošanas periodā 2021.–2027. gadam. Tiek izveiodots saules kolektoru parks Salas ielā 3</t>
  </si>
  <si>
    <t>Jaunu klientu piesaiste, pakalpojumu paplašināšana (objektu skaita palielinājums)</t>
  </si>
  <si>
    <t>Ūdensapgādes un kanalizācijas tīklu izbūve pilsētas vietās, kur ūdenssaimniecības tīklu nav. Pievadu un atzaru izbūve no ielas tīkla līdz privātīpašuma robežai. Tiks realizēts, ja tiks piesaistīts ES fondu līdzfinansējums vai cits ārējais finansējums</t>
  </si>
  <si>
    <t>Energoefektivitātes pasākumi sadzīves kanalizācijas novadīšanas un attīrišanas objektos</t>
  </si>
  <si>
    <t>Īstenoti pasākumi ēkas energoefektivitātes paaugstināšanai</t>
  </si>
  <si>
    <t>JVA Īpašumu pārvaldes Pašvaldības īpašumu nodaļa</t>
  </si>
  <si>
    <t>Atjaunots Jūrmalas Pumpuru vidusskolas sporta laukuma segums</t>
  </si>
  <si>
    <t>Profesionālās ievirzes sporta izglītības iestāžu atjaunošana</t>
  </si>
  <si>
    <t>Kultūras centra infrastruktūras pilnveide*</t>
  </si>
  <si>
    <t>Pilnveidota Jūrmalas muzeja un tā filiāļu infrastruktūra</t>
  </si>
  <si>
    <t>Pārbūvēta ēka rehabilitācijas pasākumu nodrošināšanai, tajā skaitā sportistu rehabilitācijai (atbilstoši SIA “Jūrmalas slimnīca” vidēja termiņa darbības stratēģijai 2023.–2025. gadam)</t>
  </si>
  <si>
    <t>SIA “Jūrmalas slimnīca” infrastruktūras un materiāltehniskās bāzes pilnveide</t>
  </si>
  <si>
    <t>1 pašvaldības peldbaseins pilsētas centrālajā daļā, nodrošināta peldētapmācība visā pilsētā</t>
  </si>
  <si>
    <t>Izveidoti vismaz 3 jauni brīvpieejas sporta laukumi pilsētā, atjaunoti/pilnveidoti vismaz 7</t>
  </si>
  <si>
    <t>Veselīga dzīvesveida veicināšanas infrastruktūras izveide un atjaunošana</t>
  </si>
  <si>
    <t>Pašvaldības dzīvojamās mājas Nometņu ielā 2A pārbūve palīdzības dzīvokļu jautājumu risināšanā nodrošināšanai</t>
  </si>
  <si>
    <t>Pašvaldības ēkas Raiņa ielā 62 Jūrmalā pārbūve un energoefektivitātes paaugstināšana</t>
  </si>
  <si>
    <t>Pārbūvēta ēka Raiņa ielā 62, t.sk. veikta energoefektivitātes uzlabošana</t>
  </si>
  <si>
    <t>Velosipēdu ceļu infrastruktūras attīstība Jūrmalas pilsētā*</t>
  </si>
  <si>
    <t>Pilnveidoti, atjaunoti veloceliņi aptuveni 20 km garumā</t>
  </si>
  <si>
    <t>Ielu apgaismošanas elektrotīkla atjaunošana atbilstoši AS “Sadales tīkls” veiktajai pārbūvei</t>
  </si>
  <si>
    <t>Ielu apgaismojuma ierīkošana Jūrmalas valstspilsētas neapgaismotajās ielās</t>
  </si>
  <si>
    <t>10 mobilitātes punkti (t.sk. mikromobilitātes punkti un Park&amp;Ride)</t>
  </si>
  <si>
    <t>7 % no kopējā autoparka</t>
  </si>
  <si>
    <t>Ūdensapgādes pakalpojuma nodrošināšana un uzskaite brīvpieejas dzeramā ūdens objektos</t>
  </si>
  <si>
    <t>Izveidoti vismaz 3 brīvpieejas dzeramā ūdens krāni pilsētā. Nodrošināta brīvpieejas ūdenskrānu apsaimnieko- šana un uzturēšana pilsētā uzstādītājiem ūdens krāniem, tai skaitā modernizētajiem.</t>
  </si>
  <si>
    <t>Ķirurģijas nodaļas un dienas stacionāra pakalpojumu kvalitātes pilnveidošana, pamatlīdzekļu iegāde saimnieciskās darbības nodrošināšanai, slimnīcas B korpusa pagrabstāva atjaunošana, sterilizācijas pakalpojuma kvalitātes uzlabošana, sterilizācijas iekārtu iegāde (B korpusa pagrabstāvā)</t>
  </si>
  <si>
    <t>Ieviestas resursu vadības sistēmas atbilstoši identificētai nepieciešamībai (HORIZON, HoP utt.)</t>
  </si>
  <si>
    <t>Jūrmalas valstspilsētas pašvaldības administratīvo ēku infrastruktūras pilnveides pasākumi tiek atspoguļoti, veicot precizējumus Investīciju plānā</t>
  </si>
  <si>
    <t>Pārbūvēta ēka Kļavu ielā 1A, un tajā tiek nodrošināta Dzimtsarakstu nodaļas darbība</t>
  </si>
  <si>
    <t>JŪRMALAS VALSTSPILSĒTAS INVESTĪCIJU PLĀNS 2023.–2029. GADAM</t>
  </si>
  <si>
    <t>I2.3.3.</t>
  </si>
  <si>
    <t>A</t>
  </si>
  <si>
    <t>X</t>
  </si>
  <si>
    <t>-</t>
  </si>
  <si>
    <t>JVA Attīstības pārvaldes Infrastruktūras
investīciju projektu nodaļa</t>
  </si>
  <si>
    <t>1 pilnībā atjaunota vispārējās izglītī- bas iestāde</t>
  </si>
  <si>
    <t>I2.3.2.</t>
  </si>
  <si>
    <t>16.P3</t>
  </si>
  <si>
    <t>P3.2.1.</t>
  </si>
  <si>
    <t>CO2 emisiju samazinājums - 488.68 t gadā, lētāks kurināmais</t>
  </si>
  <si>
    <t>SIA "Jūrmalas siltums"</t>
  </si>
  <si>
    <t>7.S1</t>
  </si>
  <si>
    <t>A korpuss – 1 sakārtota infrastruktūra</t>
  </si>
  <si>
    <t>PSIA “Veselības un sociālās aprūpes centrs “Sloka””</t>
  </si>
  <si>
    <t>Ēkas Slokas ielā 44 pārbūve</t>
  </si>
  <si>
    <t>Pārbūvēta ēka Slokas ielā 44</t>
  </si>
  <si>
    <t>25.I2</t>
  </si>
  <si>
    <t>26.I2</t>
  </si>
  <si>
    <t>Apgaismojums, infrastruktūra un labiekārtojums brīvā laika pavadīšanai (t.sk. pielāgots atbilstoši Kultūras kvartālam un plānotajai izglītības iestādei Strēlnieku prospektā 32)</t>
  </si>
  <si>
    <t>21.Ē1</t>
  </si>
  <si>
    <t>x</t>
  </si>
  <si>
    <t>Ē1.1.2.
Ē1.1.3.</t>
  </si>
  <si>
    <t>22.Ē1</t>
  </si>
  <si>
    <t>Siltumefekta gāzu emisiju samazināšana Jūrmalas valstspilsētas pašvaldības publisko teritoriju apgaismojuma infrastruktūra</t>
  </si>
  <si>
    <t>Nē</t>
  </si>
  <si>
    <t>JVA Attīstības pārvaldes
Stratēģiskās plānošanas
nodaļa</t>
  </si>
  <si>
    <t>Labiekārtots Dubultu laukums atbilstoši kūrortpilsētas vajadzībām</t>
  </si>
  <si>
    <t>Konkurētspējīga, pieejama un iekļaujoša izglītība (I)</t>
  </si>
  <si>
    <t>Kvalitatīva dzīve ilgstpējīgai sabiedrībai (S)</t>
  </si>
  <si>
    <t>Atvērta un gudra pārvaldība (A)</t>
  </si>
  <si>
    <t>Jūrmalas muzeja infrastruktūras pilnveide*</t>
  </si>
  <si>
    <t>23.Ē1</t>
  </si>
  <si>
    <t>Publisko telpu (t.sk. parki, skvēri, zaļās zonas, daudzdzīvokļu namu pagalmi, Slokas karjers) izveide un atjaunošana apkaimēs*</t>
  </si>
  <si>
    <t>JVA Īpašumu pārvaldes Pašvaldības īpašumu tehniskā nodrošinājuma nodaļa</t>
  </si>
  <si>
    <t>“Jūrmalas kapi”</t>
  </si>
  <si>
    <t>JVA Budžeta  nodaļa</t>
  </si>
  <si>
    <t>Jā/Nē</t>
  </si>
  <si>
    <t>Inovatīvi mobilitātes risinājumi zaļai un drošai pilsētvidei</t>
  </si>
  <si>
    <t>Ē1.2.4.</t>
  </si>
  <si>
    <t>Izstrādāta un ieviesta  vienas drošības uzlabošanas zonas attīstība. Indikatīvi Pumpuros/Jaundubultos starp izglītības iestādēm.</t>
  </si>
  <si>
    <t>Ē1.3.2.</t>
  </si>
  <si>
    <t>JVA Kultūras nodaļa, 
Jūrmalas Centrālā bibliotēka</t>
  </si>
  <si>
    <t>JVA Kultūras nodaļa</t>
  </si>
  <si>
    <t>JVA Pilsētplānošanas pārvalde, 
Īpašumu pārvalde</t>
  </si>
  <si>
    <t>JVA Attīstības pārvaldes Tūrisma un uzņēmējdarbības attīstības nodaļa, 
Stratēģiskās plānošanas nodaļa</t>
  </si>
  <si>
    <t>JVA Komunikācijas pārvalde</t>
  </si>
  <si>
    <t>Jūrmalas robežzīmes uzstādīšana autoceļa A10 (Rīga–Ventspils) 38,45. kilometrā 2024. gadā</t>
  </si>
  <si>
    <t>1.I2</t>
  </si>
  <si>
    <t>2.I2</t>
  </si>
  <si>
    <t>3.I2</t>
  </si>
  <si>
    <t>4.I2</t>
  </si>
  <si>
    <t>5.I2</t>
  </si>
  <si>
    <t>6.I2</t>
  </si>
  <si>
    <t>7.I2</t>
  </si>
  <si>
    <t>8.I2</t>
  </si>
  <si>
    <t>9.I2</t>
  </si>
  <si>
    <t>10.I2</t>
  </si>
  <si>
    <t>11.I2</t>
  </si>
  <si>
    <t>12.I2</t>
  </si>
  <si>
    <t>13.I2</t>
  </si>
  <si>
    <t>14.I2</t>
  </si>
  <si>
    <t>15.I2</t>
  </si>
  <si>
    <t>16.I2</t>
  </si>
  <si>
    <t>17.I2</t>
  </si>
  <si>
    <t>18.I2</t>
  </si>
  <si>
    <t>19.I2</t>
  </si>
  <si>
    <t>20.I2</t>
  </si>
  <si>
    <t>21.I2</t>
  </si>
  <si>
    <t>22.I2</t>
  </si>
  <si>
    <t>23.I2</t>
  </si>
  <si>
    <t>24.I2</t>
  </si>
  <si>
    <t>Pārbūvēta Dzintaru koncertzāles Lielā zāle un labiekārtota teritorija. Daudzveidīga koncertprogramma Dzintaru koncertzālē.</t>
  </si>
  <si>
    <t>P2.6.1</t>
  </si>
  <si>
    <t>L3.2.2.</t>
  </si>
  <si>
    <t>Kvalitatīvi veselības aprūpes pakalpojumi (S2)</t>
  </si>
  <si>
    <t>S3.3.6.</t>
  </si>
  <si>
    <t>Ē2.1.2.</t>
  </si>
  <si>
    <t>17.P3</t>
  </si>
  <si>
    <t>JVA Īpašumu pārvalde</t>
  </si>
  <si>
    <t>JVA Audita un kapitāldaļu pārvaldības nodaļas Kapitāldaļu pārvaldīšanas daļa</t>
  </si>
  <si>
    <t>SIA “Jūrmalas gaisma”, 
JVA Audita un kapitāldaļu pārvaldības nodaļas Kapitāldaļu pārvaldīšanas daļa</t>
  </si>
  <si>
    <t>SIA “Jūrmalas gaisma”,
JVA Audita un kapitāldaļu pārvaldības nodaļas Kapitāldaļu pārvaldīšanas daļa</t>
  </si>
  <si>
    <t>JVA Audita un kapitāldaļu pārvaldības nodaļas Kapitāldaļu pārvaldīšanas daļa,
Attīstības pārvaldes Stratēģiskās plānošanas nodaļa</t>
  </si>
  <si>
    <t>JVA Attīstības pārvaldes Inženierbūvju nodaļa</t>
  </si>
  <si>
    <t>JVA Audita un kapitāldaļu pārvaldības nodaļas Kapitāldaļu pārvaldīšanas daļa, 
Attīstības pārvaldes Stratēģiskās plānošanas nodaļa</t>
  </si>
  <si>
    <t>Jūrmalas Bērnu un jauniešu interešu centrs, 
Izglītības pārvalde</t>
  </si>
  <si>
    <t>JVA Attīstības pārvaldes Inženierbūvju nodaļa, 
Stratēģiskās plānošanas nodaļa</t>
  </si>
  <si>
    <t>JVA Attīstības pārvaldes Infrastruktūras investīciju projektu nodaļa, 
Inženierbūvju nodaļa,
Stratēģiskās plānošanas nodaļa</t>
  </si>
  <si>
    <t>JVA Īpašumu pārvaldes Saimniecības nodaļa</t>
  </si>
  <si>
    <r>
      <rPr>
        <sz val="8.5"/>
        <rFont val="Trebuchet MS"/>
        <family val="2"/>
        <charset val="186"/>
      </rPr>
      <t>JVA Audita un kapitāldaļu pārvaldības nodaļas Kapitāldaļu pārvaldīšanas daļa</t>
    </r>
    <r>
      <rPr>
        <strike/>
        <sz val="8.5"/>
        <rFont val="Trebuchet MS"/>
        <family val="2"/>
        <charset val="186"/>
      </rPr>
      <t xml:space="preserve">,
</t>
    </r>
    <r>
      <rPr>
        <sz val="8.5"/>
        <rFont val="Trebuchet MS"/>
        <family val="2"/>
        <charset val="186"/>
      </rPr>
      <t>SIA "Jūrmalas gaisma"</t>
    </r>
  </si>
  <si>
    <t>JVA Audita un kapitāldaļu pārvaldības nodaļas Kapitāldaļu pārvaldīšanas daļa,
Attīstības pārvaldes Tūrisma un uzņēmējdarbības attīstības nodaļa</t>
  </si>
  <si>
    <t>Jūrmalas Labklājības pārvalde, 
Izglītības pārvalde</t>
  </si>
  <si>
    <t>8.P2</t>
  </si>
  <si>
    <t>P2.5.2.</t>
  </si>
  <si>
    <t>Starptautisks pētījums, vidēja termiņa rezultātu izvērtējuma konference Jūrmalā 2024. gadā, priekšlikumu un izaicinājumu apkopojums notekūdeņu savākšanas un attīrīšanas procesa pilnveidei, lai situāciju ilgtermiņā risinātu teritorijās ar daļēju notekūdeņu novadīšanas tīkla pārklājumu</t>
  </si>
  <si>
    <t>SIA “Jūrmalas ūdens”</t>
  </si>
  <si>
    <t xml:space="preserve">Padziļināts kuģošanas ceļš, nodrošināta Jūrmalas ostas pilnvērtīga darbība. Sasniedzamie rādītāji:
1.zaļā infrastruktūra, kas izveidota vai atjaunināta nolūkā pielāgoties klimata pārmaiņām – 50 ha;
2.jaunizveidota vai nostiprināta piekrastes joslas un upju un ezeru krastu aizsardzība pret plūdiem – 1,2 km;
3.iedzīvotāju skaits, kuriem pieejama jauna vai “zaļā” infrastruktūra (2 km rādiusā) – 6436;
4.iedzīvotāju skaits, kas gūst labumu no pretplūdu pasākumiem – 3773. </t>
  </si>
  <si>
    <t>1 atjaunota atvērtā zona (publiskā teritorija) Jūrmalas pilsētvidē</t>
  </si>
  <si>
    <t>Pašvaldības īpašumu pārvaldīšanas centrs</t>
  </si>
  <si>
    <t>JVA Attīstības pārvalde</t>
  </si>
  <si>
    <t>Nodrošināt pilsētas iedzīvotājiem iespēju pastaigāties ar suņiem bez pavadas tiem paredzētā iežogotā laukumā.</t>
  </si>
  <si>
    <t>Daļēji</t>
  </si>
  <si>
    <t>1 brīvā laika pavadīšanai labiekārtota infrastruktūra apkaimē</t>
  </si>
  <si>
    <t>Rīcības virziens: Uzņēmējdarbībai pievilcīga vide (T2)</t>
  </si>
  <si>
    <t>1.T2</t>
  </si>
  <si>
    <t>Slokas bijušās papīrfabrikas un  tās piegulošās teritorijas revitalizācija uzņēmējdarbības vides atbalstam</t>
  </si>
  <si>
    <t>T2.3.4.</t>
  </si>
  <si>
    <t>B</t>
  </si>
  <si>
    <t>JVA Attīstības pārvaldes Tūrisma un uzņēmējdarbības attīstības nodaļa</t>
  </si>
  <si>
    <t>P1.3.3.</t>
  </si>
  <si>
    <t>JVA Informācijas un komunikācijas tehnoloģiju pārvaldes Sistēmu nodrošinājuma nodaļa</t>
  </si>
  <si>
    <t>P3.3.3.</t>
  </si>
  <si>
    <t>SIA "Jūrmalas ūdens"</t>
  </si>
  <si>
    <t>JVA Attīstības pārvaldes Stratēģiskās plānošanas nodaļa</t>
  </si>
  <si>
    <t>Jūrmalas Labklājības pārvalde</t>
  </si>
  <si>
    <t>JVA Informācijas un komunikācijas tehnoloģiju pārvalde</t>
  </si>
  <si>
    <r>
      <t xml:space="preserve">Asaru parka publiskās ārtelpas attīstība
</t>
    </r>
    <r>
      <rPr>
        <i/>
        <sz val="8.5"/>
        <rFont val="Trebuchet MS"/>
        <family val="2"/>
        <charset val="186"/>
      </rPr>
      <t>Sākotnējais nosaukums: Asaru parka attīstība un infrastruktūras pilnveide (precizēts 2023. gada decembrī)</t>
    </r>
  </si>
  <si>
    <t xml:space="preserve">Tiks precizēts būvprojekta izstrādes laikā:
1.uzņēmējdarbības vides pilnveide  - vismaz divi kas sniedz pakalpojumus bijušās Slokas papīrfabrikas teritorijā;
2. 1 jauns reģistrēts uzņēmums;
3. labiekārtots Lielupes krasts - nodrošināts ūdenssporta/tūrisma/cits pakalpojums.
</t>
  </si>
  <si>
    <t>27.I2</t>
  </si>
  <si>
    <t>I2.1.5.</t>
  </si>
  <si>
    <t>L1.1.5.</t>
  </si>
  <si>
    <t>28.I2</t>
  </si>
  <si>
    <t>Izveidots funkcionāls savienojums (gājēju ietves)</t>
  </si>
  <si>
    <t>Funkcionālā savienojuma izveidošana starp izglītības iestāžu ēkām (Pumpuri-Dubulti)</t>
  </si>
  <si>
    <t>Jūrmalas Izglītības pārvalde</t>
  </si>
  <si>
    <t>20.P1</t>
  </si>
  <si>
    <t>Ezeru ielas peldvietas infrastruktūras atjaunošana un pilnveide (EST-LAT projekts “Ūdens tūrisma aktivitāšu pieejamības veicināšana” )</t>
  </si>
  <si>
    <t>Atjaunots un pilnveidots labiekārtojums populārākajā labiekārtotā peldvietā pie Lielupes.</t>
  </si>
  <si>
    <t>18.P3</t>
  </si>
  <si>
    <t>19.P3</t>
  </si>
  <si>
    <t>Ēku siltināšana Promenādes ielā 1a, Jūrmalā
(1.2.1.3.i.0/1/23/A/CFLA/073)</t>
  </si>
  <si>
    <t>Biroja siltināšana Nometņu ielā 5a, Jūrmalā
(1.2.1.3.i.0/1/23/A/CFLA/072)</t>
  </si>
  <si>
    <t>Kompleksi siltinātas trīs ēkas, atbilstoši saskaņotajām būvniecības iecerēm.
Ēku piegulošajā teritorijā esošais apgaismojums (deviņās āra lampās) mainīts uz energoefektīvākiem risinājumiem. 
Primārās enerģijas patēriņa samazināšana pašvaldību ēkās un infrastruktūrā par 209 697 KWh/gadā.
Samazināts CO2 emisiju apjoms par 36,6 t/gadā.
Projekta rezultātā līdz 2027. gadam ēku uzturēšanai sasniegts izmaksu samazinājums uz vienu pakalpojuma saņēmēju (abonentu) par 15%</t>
  </si>
  <si>
    <t>Kompleksi siltināta viena ēka, atbilstoši saskaņotajai būvniecības iecerei.
Primārās enerģijas patēriņa samazināšana pašvaldību ēkās un infrastruktūrā par 75 755 KWh/gadā.
Samazināts CO2 emisiju apjoms par 15,384 t/gadā.
Projekta rezultātā līdz 2027. gadam ēkas uzturēšanai sasniegts izmaksu samazinājums uz vienu pakalpojuma saņēmēju (abonentu) par 15%</t>
  </si>
  <si>
    <t>Projekta rezultāti tiks precizēti pēc atlases prasībām un finansēšanas nosacījumiem atbalstāmajām aktivitātēm</t>
  </si>
  <si>
    <t>Projekta nosaukums</t>
  </si>
  <si>
    <r>
      <t>JVA Attīstības pārvaldes</t>
    </r>
    <r>
      <rPr>
        <strike/>
        <sz val="8.5"/>
        <rFont val="Trebuchet MS"/>
        <family val="2"/>
        <charset val="186"/>
      </rPr>
      <t xml:space="preserve"> </t>
    </r>
    <r>
      <rPr>
        <sz val="8.5"/>
        <rFont val="Trebuchet MS"/>
        <family val="2"/>
        <charset val="186"/>
      </rPr>
      <t>Inženierbūvju nodaļa</t>
    </r>
  </si>
  <si>
    <t>JVA Kultūras nodaļa,
Audita un kapitāldaļu pārvaldības nodaļas Kapitāldaļu pārvaldīšanas daļa,
Jūrmalas Vaivaru pamatskola, 
SIA “Jūrmalas gaisma”</t>
  </si>
  <si>
    <t>JVA Attīstības pārvalde,
Īpašumu pārvalde,
Pilsētplānošanas pārvalde</t>
  </si>
  <si>
    <t>JVA Attīstības pārvaldes Infrastruktūras investīciju projektu nodaļa, 
Stratēģiskās plānošanas nodaļa,
Tūrisma un uzņēmējdarbības attīstības nodaļa</t>
  </si>
  <si>
    <t>JVA Īpašumu pārvalde,
Attīstības pārvalde</t>
  </si>
  <si>
    <t>SIA “Jūrmalas gaisma”, 
JVA Audita un kapitāldaļu pārvaldības nodaļas Kapitāldaļu pārvaldīšanas daļa,  
Pilsētplānošanas pārvalde, 
Īpašumu pārvaldes Pašvaldības īpašumu nodaļa, 
Jūrmalas Kultūrtelpas un vides dizaina centrs</t>
  </si>
  <si>
    <t>Jūrmalas ostas pārvalde,
JVA Attīstības pārvaldes Stratēģiskās plānošanas nodaļa, 
Infrastruktūras investīciju projektu nodaļa,
Inženierbūvju nodaļa</t>
  </si>
  <si>
    <t>Jūrmalas Izglītības pārvalde (JPII "Bitīte"), 
JVA Īpašumu pārvaldes Pašvaldības īpašumu nodaļa.</t>
  </si>
  <si>
    <t>Jūrmalas Izglītības pārvalde, 
JVA Īpašumu pārvaldes Pašvaldības īpašumu nodaļa, 
Pašvaldības īpašumu tehniskā nodrošinājuma nodaļa, 
JPII “Madara”</t>
  </si>
  <si>
    <t>Jūrmalas Izglītības pārvalde, 
JVA Īpašumu pārvaldes Pašvaldības īpašumu nodaļa, 
Pašvaldības īpašumu tehniskā nodrošinājuma nodaļa, 
JPII “Saulīte”</t>
  </si>
  <si>
    <t>Jūrmalas Izglītības pārvalde, 
JVA Īpašumu pārvaldes Pašvaldības īpašumu nodaļa,
Pašvaldības īpašumu tehniskā nodrošinājuma nodaļa, 
JPII “Mārīte”</t>
  </si>
  <si>
    <t>Jūrmalas Izglītības pārvalde,
JVA Īpašumu pārvaldes Pašvaldības īpašumu nodaļa, 
Pašvaldības īpašumu tehniskā nodrošinājuma nodaļa, 
JPII “Lācītis”</t>
  </si>
  <si>
    <t>Jūrmalas Izglītības pārvalde,
JVA Īpašumu pārvaldes Pašvaldības īpašumu nodaļa, 
Pašvaldības īpašumu tehniskā nodrošinājuma nodaļa, 
JPII “Zvaniņš”</t>
  </si>
  <si>
    <t>Jūrmalas Izglītības pārvalde, 
JVA Īpašumu pārvaldes Pašvaldības īpašumu nodaļa, 
Pašvaldības īpašumu tehniskā nodrošinājuma nodaļa, 
JPII “Podziņa”</t>
  </si>
  <si>
    <t>Jūrmalas Izglītības pārvalde, 
JVA Īpašumu pārvaldes Pašvaldības īpašumu nodaļa, 
Pašvaldības īpašumu tehniskā nodrošinājuma nodaļa, 
JPII “Taurenītis”</t>
  </si>
  <si>
    <t>Jūrmalas Izglītības pārvalde, 
JVA Īpašumu pārvaldes Pašvaldības īpašumu nodaļa, 
Pašvaldības īpašumu tehniskā nodrošinājuma nodaļa, 
JPII “Ābelīte”</t>
  </si>
  <si>
    <t>Jūrmalas Izglītības pārvalde, 
JVA Īpašumu pārvaldes Pašvaldības īpašumu nodaļa, 
Pašvaldības īpašumu tehniskā nodrošinājuma nodaļa</t>
  </si>
  <si>
    <t>Jūrmalas Izglītības pārvalde, 
JVA Īpašumu pārvaldes Pašvaldības īpašumu nodaļa, 
Pašvaldības īpašumu tehniskā nodrošinājuma nodaļa, 
Jūrmalas Vaivaru pamatskola</t>
  </si>
  <si>
    <t>Jūrmalas Izglītības pārvalde, 
JVA Īpašumu pārvaldes Pašvaldības īpašumu nodaļa, 
Pašvaldības īpašumu tehniskā nodrošinājuma nodaļa, 
Jūrmalas Mežmalas pamatskola</t>
  </si>
  <si>
    <t>Jūrmalas Izglītības pārvalde,
JVA Īpašumu pārvaldes Pašvaldības īpašumu nodaļa, 
Pašvaldības īpašumu tehniskā nodrošinājuma nodaļa, 
Jūrmalas Mežmalas pamatskola</t>
  </si>
  <si>
    <t>Jūrmalas Izglītības pārvalde, 
JVA Īpašumu pārvaldes Pašvaldības īpašumu nodaļa, 
Pašvaldības īpašumu tehniskā nodrošinājuma nodaļa, 
Jūrmalas Majoru vidusskola</t>
  </si>
  <si>
    <t>Jūrmalas Izglītības pārvalde, 
Jaundubultu pamatskola</t>
  </si>
  <si>
    <t>Jūrmalas Izglītības pārvalde, 
Mežmalas pamatskola</t>
  </si>
  <si>
    <t>Jūrmalas Izglītības pārvalde, 
Jūrmalas Valsts ģimnāzija</t>
  </si>
  <si>
    <t>Jūrmalas Izglītības pārvalde, 
Aspazijas pamatskola, 
Futbola skola,
Pašvaldības īpašumu pārvaldīšanas centrs</t>
  </si>
  <si>
    <t>Jūrmalas Pašvaldības īpašumu pārvaldīšanas centrs</t>
  </si>
  <si>
    <t>Jūrmalas Izglītības pārvalde, 
Ķemeru pamatskola</t>
  </si>
  <si>
    <t>Jūrmalas Izglītības pārvalde, 
Majoru vidusskola</t>
  </si>
  <si>
    <t>Jūrmalas Izglītības pārvalde,
Pumpuru vidusskola</t>
  </si>
  <si>
    <t>Jūrmalas Izglītības pārvalde, 
Aspazijas pamatskola</t>
  </si>
  <si>
    <t>JVA Attīstības pārvaldes Stratēģiskās plānošanas nodaļa,
Jūrmalas Labklājības pārvalde</t>
  </si>
  <si>
    <t>Jūrmalas Sporta skola, 
Futbola skola,
Izglītības pārvalde, 
Pašvaldības īpašumu pārvaldīšanas centrs</t>
  </si>
  <si>
    <t>Jūrmalas Pašvaldības īpašumu pārvaldīšanas centrs,
Izglītības pārvalde, 
Sporta skola</t>
  </si>
  <si>
    <t>Jūrmalas Izglītības pārvaldes Sporta un labbūtības nodaļa</t>
  </si>
  <si>
    <t>JVA Attīstības pārvaldes Inženierbūvju nodaļa, 
Audita un kapitāldaļu pārvaldības nodaļas Kapitāldaļu pārvaldīšanas daļa</t>
  </si>
  <si>
    <t>JVA Attīstības pārvaldes Inženierbūvju nodaļa,
Infrastruktūras investīciju projektu nodaļa, 
Audita un kapitāldaļu pārvaldības nodaļas Kapitāldaļu pārvaldīšanas daļa,
SIA "Jūrmalas gaisma"</t>
  </si>
  <si>
    <r>
      <rPr>
        <sz val="8.5"/>
        <rFont val="Trebuchet MS"/>
        <family val="2"/>
        <charset val="186"/>
      </rPr>
      <t>JVA Audita un kapitāldaļu pārvaldības nodaļas Kapitāldaļu pārvaldīšanas daļa,</t>
    </r>
    <r>
      <rPr>
        <strike/>
        <sz val="8.5"/>
        <rFont val="Trebuchet MS"/>
        <family val="2"/>
        <charset val="186"/>
      </rPr>
      <t xml:space="preserve">
</t>
    </r>
    <r>
      <rPr>
        <sz val="8.5"/>
        <rFont val="Trebuchet MS"/>
        <family val="2"/>
        <charset val="186"/>
      </rPr>
      <t>SIA "Jūrmalas ūdens"</t>
    </r>
  </si>
  <si>
    <t>JVA Pilsētplānošanas pārvalde,
Dzimtsarakstu nodaļa, 
Īpašumu pārvaldes Pašvaldības īpašumu nodaļa</t>
  </si>
  <si>
    <t>JVA Informācijas un komunikācijas tehnoloģiju pārvaldes Tehniskā nodrošinājuma nodaļa,
Īpašumu pārvaldes Pašvaldības īpašumu tehniskā nodrošinājuma nodaļa</t>
  </si>
  <si>
    <t xml:space="preserve">Tiek prognozēts, ka izstrādātājā projektā “Bērnu pieskatīšanas pakalpojumi Jūrmalā” noteiktais pirmsskolas vecuma bērnu skaits, kam tiks sniegts atbalsts, nesamazināsies vairāk kā par 10%.   </t>
  </si>
  <si>
    <t>Kompleksi siltināta viena ēka. Pilnā apjomā sasniegti projektā izvirzītie mērķi</t>
  </si>
  <si>
    <t>4.S2</t>
  </si>
  <si>
    <t>SIA “Jūrmalas slimnīca” pacientu uzņemšanas telpu un ambulatoro kabinetu infrastruktūras attīstība</t>
  </si>
  <si>
    <t>S2.1.1.
S2.1.2.
S2.3.2.
S4</t>
  </si>
  <si>
    <t xml:space="preserve">Palielināta uzņemšanas spēja pieņemt lielāku apjomu pacientu neatliekamu situāciju, t.sk. kara gadījumā </t>
  </si>
  <si>
    <t>SIA “Jūrmalas slimnīca”</t>
  </si>
  <si>
    <t>1 rehabilitācijas centrs</t>
  </si>
  <si>
    <t>9.P2</t>
  </si>
  <si>
    <t>Apkopoti ar klimatu saistīti dati, veikti pētījumi, pielietoti mākslīgā intelekta risinājumi, kā rezultātā izveidoti risinājumi/s (rīki/s) sabiedrības paradumu maiņai veselības uzlabošanai un klimata risku mazināšanai, kas pēc pilotteritoriju testēšanas rezultātiem tiks testēti Jūrmalā, kā pieredzes pārneses pilsētā</t>
  </si>
  <si>
    <t>JVA Pilsētplānošanas pārvaldes Ģeomātikas un inženieru nodaļa,
Jūrmalas Labklājības pārvalde</t>
  </si>
  <si>
    <t>P2.5.2</t>
  </si>
  <si>
    <t>Pārmaiņu risinājumu ieviešana ar mērķi uzlabot klimatnoturību, kas veicinās sabiedrības veselības rādītāju uzlabošanos Eiropas Savienības boreālajā reģionā 
(“Demonstrating trAnsformative solUtions to empower climate Resilience tOwards impRoved public health stAtus in the EU Boreal Region”)</t>
  </si>
  <si>
    <t>JVA Attīstības pārvaldes Mobilitātes nodaļa</t>
  </si>
  <si>
    <t>S1.3.1.</t>
  </si>
  <si>
    <t>2.I3</t>
  </si>
  <si>
    <t>Koncertflīģeļa iegāde Jūrmalas Mūzikas vidusskolai</t>
  </si>
  <si>
    <t>I3.2.2.</t>
  </si>
  <si>
    <t>Jūrmalas Mūzikas vidusskola</t>
  </si>
  <si>
    <t>7.A1</t>
  </si>
  <si>
    <t>MultiMan (Eiropas Pilsētiniciatīva) - projekts digitālā rīka izstrādei rakšanas darbu plānošanai un lēmumu pieņemšanai pašvaldības līmenī</t>
  </si>
  <si>
    <t>A1.2.4.</t>
  </si>
  <si>
    <t>Vienota pašvaldības digitālā droša un ērta platforma, kurā inženiertīklu dati ir savstarpēji integrējami starp projekta partneriem, t.sk. iedzīvotājiem,
Izveidota iedzīvotāju apziņošanas sistēma</t>
  </si>
  <si>
    <t>JVA Īpašumu pārvaldes Pilsētsaimniecības nodaļa</t>
  </si>
  <si>
    <t>Bērnu laukumu un sporta infrastruktūras izveide un atjaunošana atbilstoši identificētai vajadzībai</t>
  </si>
  <si>
    <t>21.P1</t>
  </si>
  <si>
    <t>Lielupes piekrastes teritorijas saglabāšana, attīstīšana un ilgtspējīgas izmantošanas veicināšana, nomainot Ezeru ielas grants segumu uz cieto segumu</t>
  </si>
  <si>
    <t>P1.3.4.
T1.1.1.</t>
  </si>
  <si>
    <t>izbūvēts: 
-Ezeru ielā cietais segums;
-autostāvvietas un ielas apgaismojuma līnija ar LED gaismekļiem</t>
  </si>
  <si>
    <t>SIA "Jūrmalas gaisma",
JVA Attīstības pārvaldes Inženierbūvju nodaļa,
Audita un kapitāldaļu pārvaldības nodaļas Kapitāldaļu pārvaldīšanas daļa</t>
  </si>
  <si>
    <t>Aktivitātes īstenotas INTERREG Igaunijas - Latvijas pārrobežu sadarbības programmas 2021. – 2027. gadam projekta “Ūdens tūrisma aktivitāšu pieejamības veicināšana/ Riverways II” ietvaros partnerībā ar projekta vadošo partneri – Kurzemes plānošanas reģionu. Plānots veikt Ezeru ielas peldvietas infrastruktūras atjaunošanu un labiekārtošanu – atjaunot piknika vietas, pārģērbšanās kabīnes, informatīvo stendu,  uzlabot pieejamību pontonam (laivu piestātnei), izveidot pielāgotu makšķerēšanas vietu uz pontona, informatīvās norādes, uzstādīt glābšanas riņki un tā stendu.
Saite uz Jūrmalas domes 2024. gada 25. jūlija lēmumu Nr. 381 https://dokumenti.jurmala.lv/docs/m24/l/m240381_m.htm
(Sasaiste ar IP projektiem 21.P1 un 3.Ē1)</t>
  </si>
  <si>
    <t>Jūrmalas valstspilsētas administrācija: finanšu līdzekļi konkursa kārtībā piešķirti daudzdzīvokļu dzīvojamo māju energoauditiem, tehniskās apsekošanas atzinumiem un būvprojektu izstrādei atbilstoši JD 2022.gada 25.oktobra saistošajiem noteikumiem Nr.50 "Par Jūrmalas valstspilsētas pašvaldības līdzfinansējuma apjomu un tā piešķiršanas kārtību daudzdzīvokļu dzīvojamo māju energoefektivitātes uzlabošanas pasākumu veikšanai".</t>
  </si>
  <si>
    <t>Profesinālās ievirzes izglītības infrastruktūras projekta īstenošana mācību procesa kvalitatīvai nodrošināšanai.
Atbilstoši Jūrmalas Mūzikas vidusskolas attīstības stratēģijai 2020.-2025. gadam (Jūrmalas domes 2020. gada 29. oktobra lēmums Nr. 559 https://dokumenti.jurmala.lv/docs/k20/l/k200559.htm)</t>
  </si>
  <si>
    <t>Jūrmalas mūzikas vidusskolā Dubultu koncertzālē tiks nodrošināts koncertflīģelis mācību procesa kavalitatīvai nodrošināšanai</t>
  </si>
  <si>
    <t>Uzlabota Slimnīcas apkalpes zonā dzīvojošo iedzīvotāju veselības aprūpes pakalpojumu pieejamība pakalpojumiem uzņemšanā un ambulatorajā daļā, tai skaitā arī sociālās, teritoriālās atstumtības un nabadzības riskam pakļautajiem iedzīvotājiem.
Ikviens Slimnīcas pacients saņem savām vajadzībām nepieciešamo ārstēšanu savlaicīgi  ar atbilstošu tehnoloģisko nodrošinājumu aprīkotās telpās un atbilstošā kvalitātē, kas vienlaikus sekmēt ekonomiskos ieguvumus attiecībā uz pacientu ārstēšanu nākotnē (samazinās ielaistu, savlaicīgi nediagnosticētu saslimšanu skaits).</t>
  </si>
  <si>
    <t>Oglekļa dioksīda emisijas samazinājums Jūrmalā vismaz 18,82423 tonnas CO2 /gadā.</t>
  </si>
  <si>
    <t>SIA “Jūrmalas siltums”,
SIA “Jūrmalas gaisma”
JVA Attīstības pārvaldes Stratēģiskās plānošanas nodaļa,
Attīstības pārvaldes Inženierbūvju nodaļa,
Pilsētplānošanas pārvaldes Ģeomātikas un inženieru nodaļa,
Audita un kapitāldaļu pārvaldības nodaļas Kapitāldaļu pārvaldīšanas daļa</t>
  </si>
  <si>
    <t>SIA “Jūrmalas gaisma”, 
JVA Audita un kapitāldaļu pārvaldības nodaļas Kapitāldaļu pārvaldīšanas daļa, 
Pilsētplānošanas pārvalde,
Īpašumu pārvaldes Pašvaldības īpašumu tehniskā nodrošinājuma nodaļa</t>
  </si>
  <si>
    <t>JVA Attīstības pārvaldes Stratēģiskās plānošanas nodaļa,
Īpašumu pārvaldes Pilsētsaimniecības nodaļa,
Audita un kapitāldaļu pārvaldības nodaļas Kapitāldaļu pārvaldīšanas daļa
Pilsētplānošanas pārvalde,
SIA “Jūrmalas gaisma”</t>
  </si>
  <si>
    <t>JVA Īpašumu pārvaldes Pilsētsaimniecības nodaļa,
Attīstības pārvaldes Stratēģiskās plānošanas nodaļa, 
Inženierbūvju nodaļa</t>
  </si>
  <si>
    <t>JVA Īpašumu pārvaldes Pilsētsaimniecības nodaļa, 
Pašvaldības īpašumu nodaļa, 
Pilsētplānošanas pārvalde</t>
  </si>
  <si>
    <t>Veikti Lielupes radīto plūdu un krasta erozijas risku apdraudējuma novēršanas pasākumi Dubultu, Majoru un Dzintaru teritorijā. Izbūvētas un atjaunojotas pretplūdu būves Lielupes kreisajā krastā, lai pielāgotu plūdu riskam pakļautās pilsētas teritorijas klimata pārmaiņām, nodrošinātu iedzīvotājiem kvalitatīvāku dzīves vidi, kā arī palielinātu plūdu riskam pakļautā reģiona (Dubulti-Majori-Dzintari) uzņēmēju saimnieciskās darbības konkurētspēju un nodrošinātu uzņēmējdarbības turpmāku pastāvēšanu.
Aktivitātes īstenotas darbības programmas “Izaugsme un nodarbinātība” 5.1.1. specifiskā atbalsta mērķa “Novērst plūdu un krasta erozijas risku apdraudējumu pilsētu teritorijās” projekta “Lielupes radīto plūdu un krasta erozijas risku apdraudējumu novēršanas pasākumi Dubultos-Majoros-Dzintaros” ietvaros.
Saite uz Jūrmalas domes 2018. gada 23. augusta lēmumu Nr. 401 https://dokumenti.jurmala.lv/docs/k18/l/k180401_m.htm</t>
  </si>
  <si>
    <t>Projekts "NURSECOAST-II"  - tūrisma ietekme uz notekūdeņu piesārņojuma klātbūtni Baltijas jūras piekrastes ūdeņos</t>
  </si>
  <si>
    <t>PABEIGTS 2023. gadā
Ūdensapgādes un kanalizācijas tīklu paplašināšana (IV kārta). Ūdenssaimniecības tīklu izbūve dažādās pilsētas apkaimēs, izveidojot centralizētā ūdensapgādes un sadzīves kanalizācijas novadīšanas tīklu un pieslēgumu pievadus un atzarus līdz privātīpašuma robežai.
Plānotie projektā sasniedzamie rādītāji ir sasniegti pietiekamā apmērā, lai projekta mērķis būtu sasniegts.</t>
  </si>
  <si>
    <t>Ēku kopleksās siltināšanas vai energoefektivitātes risinājumu ieviešana ūdenapgādes objektos, kā arī saules paneļu uzstādīšana vai citi atbalstāmi risinājumi zaļās atjaunojamās enerģijas ieguvei, lai ar pašsaražoto enerģiju aizstātu iepērkamo enerģijas apjomu.
Projekts tiks īstenots, ja tiks apstiprināts līdzfinansējums no  Eiropas Struktūrfondiem vai citiem ārējiem finanšu avotiem.
Plānots un projekta pieteikums ir iesniegts INTERREG Baltijas jūras reģiona starptautiskā sadarbības projektu atlasē. Projekta sasniedzamie rezultāti paredz attīstīt ūdens kvalitātes emisiju digitālo dvīni visai Baltijas jūrai. Plānotās aktivitātes sniegs ūdens kvalitātes datu avotu kopā ar analītikas funkcijām, kas palīdz politikas novērtēšanā un lēmumu pieņemšanā valsts iestādēm, viedajām pilsētām, ostām, notekūdeņu attīrīšanas iekārtām.</t>
  </si>
  <si>
    <t>Šķeldas katlu māju izbūve Dubultos
(pabeigts)</t>
  </si>
  <si>
    <t xml:space="preserve">PABEIGTS 2023. gadā
2022./2023.gadā izbūvēta šķeldas katlu māja Slokas ielā 47A, Jūrmalā. </t>
  </si>
  <si>
    <t>Energofektivitātes pasākumi Nometņu ielā 5a, Jūrmalā (4.2.2.0/22/A/012)
(pabeigts)</t>
  </si>
  <si>
    <t>PABEIGTS 2023. gadā
Garāžas ēkas siltināšana Nometņu ielā 5a, Jūrmalā, veicot logu un vārtu nomaiņu, grīdas un griestu siltināšanu.
Projekts īstenots pilnībā, veiktās izmaksas atzītas par atbilstoši veiktām.</t>
  </si>
  <si>
    <t>Objekta Raiņa ielā 53 pārbūve – pirmsskolas izglītības iestāde (Atvase)</t>
  </si>
  <si>
    <t>PABEIGTS 2024. gadā
Atjaunots stadions (tajā skaitā mākslīgā zāliena seguma futbollaukums 60x40 m, sintētiskā seguma skrejceliņš, multifunkcionāls spēļu laukums, pludmales volejbola laukums, tāllēkšanas bedre, vingrošanas laukums, treneru telpa un inventāra noliktava, apgaismojums, bruģēti celiņi).
Objekts ekspluatācijā pieņemts 2024. gada 2. septembrī. Projekta īstenošanās faktiskās izmaksas 1 210,20 tūkst. EUR, no tām pašvaldības finansējums 134,35 tūkst. EUR un valsts budžeta aizdevuma finansējums 1 075,85 tūkst. EUR.</t>
  </si>
  <si>
    <t>PABEIGTS 2024. gadā
Atjaunots stadions (tajā skaitā mākslīgā zāliena futbollaukums 60x40 m, sintētiskā seguma skrejceliņš, multifunkcionāls spēļu laukums, pludmales volejbola laukums, tāllēkšanas bedre, vingrošanas laukums, treneru telpa un inventāra noliktava, apgaismojums, bruģēti celiņi).
Objekts ekspluatācijā pieņemts 2024. gada 2. septembrī. Projekta īstenošanās faktiskās izmaksas 1 210,20 tūkst. EUR, no tām pašvaldības finansējums 134,35 tūkst. EUR un valsts budžeta aizdevuma finansējums 1 075,85 tūkst. EUR.</t>
  </si>
  <si>
    <t>Jūrmalas Valsts ģimnāzijas
ēkas Raiņa ielā 55, Jūrmalā,
pārbūve (ITI SAM 8.1.2.)
(pabeigts)</t>
  </si>
  <si>
    <t>PABEIGTS 2023.gadā
Veikta skolas ēkas pārbūve un infrastruktūras pilnveide, radot pilnībā modernizētu un ergonomisku mācību vidi. Izveidots metodiskais centrs.
Objekta faktisko izmaksu kopsumma ir 6 340,27 tūkst. EUR, no tās pašvaldības finansējums 1 262,48 tūkst. EUR, Eiropas Savienības un valsts budžeta finansējums 5 077,79 tūkst. EUR.
Saite uz Jūrmalas domes 2024. gada 30. maija noslēguma lēmumu Nr. 244 https://dokumenti.jurmala.lv/docs/m24/l/m240244.htm</t>
  </si>
  <si>
    <t>Lielupes pamatskolas pārbūve
un sporta zāles piebūve
(Jūrmalas Aspazijas pamatskola
no 2021.gada 15.jūnija) 
(pabeigts)</t>
  </si>
  <si>
    <t>PABEIGTS 2024. gadā
Veikta Jūrmalas Aspazijas pamatskolas (no 2021.gada 15. jūnija) skolas ēkas pārbūve un sporta zāles piebūves izbūve, realizējot būvprojektu “Lielupes pamatskolas pārbūves un sporta zāles piebūve”. 2021.gadā ir uzsākti būvdarbi, kurus plānots pabeigt 2024.gadā.
Objekts ekspluatācijā pieņemts 2024. gada 21. augustā. Būvdarbu faktiskās kopējās izmaksas 16 656,33 tūkst. EUR, t.sk. pašvaldības finansējums 3 425,57 tūkst. EUR un valsts budžeta aizdevuma finansējums 13 230,76 tūks. EUR.</t>
  </si>
  <si>
    <t>Bērnu pieskatīšanas pakalpojumi Jūrmalas valstspilsētā
(netiks īstenots)</t>
  </si>
  <si>
    <t>Izveidots funkcionāls savienojums starp izglītības iestāžu ēkām Pumpuros/Jaundubultos/Dubultos, izbūvējot gājēju ietves.
Plānots starptautiska projekta ietvaros (IPA - 23.Ē1) identificēt satiksmes drošības uzlabošanas iespējas Poruka prospektā, kas savieno izglītības iestādes.
(Sasaiste ar IP projektu 23.Ē1)</t>
  </si>
  <si>
    <t>JVA Kultūras nodaļa,
Jūrmalas Kultūras centrs,
Pašvaldības īpašumu pārvaldīšanas centrs</t>
  </si>
  <si>
    <t>JVA Kultūras nodaļa, 
Jūrmalas muzejs,
Pašvaldības īpašumu pārvaldīšanas centrs</t>
  </si>
  <si>
    <t>Infrastruktūras pilnveide sabiedrībā balstītu sociālo pakalpojumu sniegšanai personām ar garīga rakstura traucējumiem (ITI SAM 9.3.1.)
(pabeigts)</t>
  </si>
  <si>
    <t>Infrastruktūras pieejamība 34 personām</t>
  </si>
  <si>
    <t>Jaunu grupu dzīvokļu izveide sabiedrībā balstītu sociālo pakalpojumu sniegšanai personām ar garīga rakstura traucējumiem (ITI SAM 9.3.1.)
(pabeigts)</t>
  </si>
  <si>
    <t>PSIA "Veselības un sociālās aprūpes centrs "Sloka"" A korpusa pārbūve
(pabeigts)</t>
  </si>
  <si>
    <t xml:space="preserve">PABEIGTS 2023. gadā
Pārbūvēts A korpuss, iegādāts jauns inventārs un tehnika. (atbilstoši PSIA “Veselības un sociālās aprūpes centrs “Sloka”” vidēja termiņa darbības stratēģijai 2021.-2025.gadam). Ēka nodota ekspluatācijā 2023. gada 29. decembrī. </t>
  </si>
  <si>
    <t>Gājēju un velosipēdu ceļu infrastruktūras atjaunošana posmā no Jaunķemeriem līdz Ķemeriem
(pabeigts)</t>
  </si>
  <si>
    <t>JVA Attīstības pārvaldes Inženierbūvju nodaļa,
Stratēģiskās plānošanas nodaļa, 
Tūrisma un uzņēmējdarbības attīstības nodaļa,
Īpašumu pārvaldes Pilsētsaimniecības nodaļa,
Pilsētplānošanas pārvalde,
Audita un kapitāldaļu pārvaldības nodaļas Kapitāldaļu pārvaldīšanas daļa,
SIA “Jūrmalas gaisma”, 
SIA "Jūrmalas ūdens"</t>
  </si>
  <si>
    <t>JVA Īpašumu pārvaldes Pašvaldības īpašumu tehniskās uzturēšanas nodaļa</t>
  </si>
  <si>
    <t>1 energoefektīva pirmsskolas izglītības iestādes ēka</t>
  </si>
  <si>
    <t>Jūrmalas valstspilsētas pašvaldības ēkas energoefektivitātes paaugstināšana Rūpniecības ielā 19</t>
  </si>
  <si>
    <t>Jūrmalas Pirmsskolas izglītības iestādes “Namiņš” energoefektivitātes uzlabošanas pasākumi</t>
  </si>
  <si>
    <t>Jūrmalas valstspilsētas administrācijas ēkas pārbūve un energoefektivitātes paaugstināšana
Jomas ielā 1/5</t>
  </si>
  <si>
    <t>JVA Pilsētplānošanas pārvalde, 
Attīstības pārvaldes Mobilitātes nodaļa</t>
  </si>
  <si>
    <t>Daudzfunkcionāla dabas tūrisma centra un saimniecības ēkas izbūve</t>
  </si>
  <si>
    <t>Izveidots daudzfunkcionāls dabas tūrisma centrs 3 956,65 m2 platībā un labiekārtota 47 030,00 m2 plašā zemes vienība Emīla Dārziņa ielā 28</t>
  </si>
  <si>
    <t>Izveidots labiekārtots meža parks un pārbūvēti 2 gājēju tiltiņi 185 522 m2 plašā teritorijā Tūristu ielā 17, Ķemeros</t>
  </si>
  <si>
    <t>Ķemeru meža parka pārbūve</t>
  </si>
  <si>
    <t>Attīstīta 1 parka infrastruktūra,
1 brīvā laika pavadīšanas infrastruktūra apkaimē</t>
  </si>
  <si>
    <t>Katrā apkaimē ir 1 brīvā laika pavadīšanai pielāgota publiskā ārtelpa (t.sk. pludmale)</t>
  </si>
  <si>
    <t>1. pielikums 
Jūrmalas valstspilsētas pašvaldības investīciju plānam 2023. - 2029. gadam</t>
  </si>
  <si>
    <t>JŪRMALAS VALSTSPILSĒTAS PAŠVALDĪBAS INVESTĪCIJU PLĀNS 2023.–2025. GADAM</t>
  </si>
  <si>
    <r>
      <rPr>
        <b/>
        <sz val="8.5"/>
        <rFont val="Tahoma"/>
        <family val="2"/>
      </rPr>
      <t>Projekta nosaukums</t>
    </r>
  </si>
  <si>
    <t>AP2029
darbība</t>
  </si>
  <si>
    <t>Projekts uzsākts līdz 2023.g.</t>
  </si>
  <si>
    <t>Veiktās investīci-jas līdz 2023.g.</t>
  </si>
  <si>
    <t>Projekta prioritā-te
(A, B, C)</t>
  </si>
  <si>
    <t>2023.–
2025.</t>
  </si>
  <si>
    <t>2023.</t>
  </si>
  <si>
    <t>2024.</t>
  </si>
  <si>
    <t>2025.</t>
  </si>
  <si>
    <t>Projekta izmaksas KOPĀ (Investīciju plāna periodā)</t>
  </si>
  <si>
    <t>2026.–
2029.</t>
  </si>
  <si>
    <t>Projekta indikatīvais finansējums (tūkstoši EUR)</t>
  </si>
  <si>
    <t>Eiropas Savienības un cits ārējais finansējums</t>
  </si>
  <si>
    <t>Finanšu instrumenti</t>
  </si>
  <si>
    <t>Pašvaldības budžeta līdzekļi</t>
  </si>
  <si>
    <t>Pašvaldības ņemtie kredītlīdzekļi</t>
  </si>
  <si>
    <t>Eiropas Savienības un cits ārējais finansējums**</t>
  </si>
  <si>
    <t>Valsts mērķdo-tācija</t>
  </si>
  <si>
    <t>Cits finansējums</t>
  </si>
  <si>
    <t xml:space="preserve">Kopā </t>
  </si>
  <si>
    <t>Eiropas Savienības un cits ārējais finansē-jums**</t>
  </si>
  <si>
    <t>KOPĀ INVESTĪCIJAS</t>
  </si>
  <si>
    <t xml:space="preserve">Klimatnoturīga pilsētvide </t>
  </si>
  <si>
    <t>P</t>
  </si>
  <si>
    <t>Pilsētas labiekārtojums – publiskā ārtelpa</t>
  </si>
  <si>
    <t>P1</t>
  </si>
  <si>
    <t>1.P1</t>
  </si>
  <si>
    <t>Jūrmalas robežzīmes izveide un uzstādīšana (uz autoceļa A10)</t>
  </si>
  <si>
    <t>P1.1.3.</t>
  </si>
  <si>
    <t>Jūrmalas robežzīmes uzstādīšana autoceļa A10 (Rīga–Ventspils) 38,45. kilometrā 2023. gadā. 
2022.gadā izstrādāts būvprojekts.</t>
  </si>
  <si>
    <t>1 robežzīme pie iebraukšanas Jūrmalā</t>
  </si>
  <si>
    <t>Jūrmalas Kultūrtelpas un vides dizaina centrs</t>
  </si>
  <si>
    <t>2.P1</t>
  </si>
  <si>
    <t>Jaundubultu parka atjaunošana un infrastruktūras pilnveide</t>
  </si>
  <si>
    <t>P1.1.4.</t>
  </si>
  <si>
    <t>Apgaismojums, infrastruktūra un labiekārtojums brīvā laika pavadīšanai (t.sk. pielāgots atbilstoši Kultūras kvartālam un plānotajai izglītības iestādei Strēlnieku prospektā 32).</t>
  </si>
  <si>
    <t>Attīstīta 1 parka infrastruktūra,
1 brīvā laika pavadīšanas infrastruk- tūra apkaimē</t>
  </si>
  <si>
    <t>JVA Īpašumu pārvaldes Pilsētsaimniecības un labiekārtošanas nodaļa</t>
  </si>
  <si>
    <t>JVA Kultūras nodaļa, Jūrmalas Vaivaru pamatskola, SIA “Jūrmalas gaisma”, JVA Audita un kapitāldaļu pārvaldības nodaļas Kapitāldaļu pārvaldīšanas daļa</t>
  </si>
  <si>
    <t>3.P1</t>
  </si>
  <si>
    <t>Asaru parka attīstība un infrastruk- tūras pilnveide</t>
  </si>
  <si>
    <r>
      <t xml:space="preserve">Pilnveidots apgaismojums, izveidota </t>
    </r>
    <r>
      <rPr>
        <i/>
        <sz val="8.5"/>
        <rFont val="Trebuchet MS"/>
        <family val="2"/>
        <charset val="186"/>
      </rPr>
      <t xml:space="preserve">dip-dap </t>
    </r>
    <r>
      <rPr>
        <sz val="8.5"/>
        <rFont val="Trebuchet MS"/>
        <family val="2"/>
        <charset val="186"/>
      </rPr>
      <t>trase (2022. gadā uzsākts), soliņi, piknika vieta (galds ar soliem), nojume āra nodarbībām u.tml.</t>
    </r>
  </si>
  <si>
    <t>Pilnveidota 1 brīvā laika pavadīšanas vieta</t>
  </si>
  <si>
    <t>JVA Īpašumu pārvaldes Pilsēt- saimniecības un labiekārtošanas nodaļa</t>
  </si>
  <si>
    <t>SIA “Jūrmalas gaisma”, JVA Audita un kapitāldaļu pārvaldības nodaļas Kapitāldaļu pārvaldīšanas daļa, Attīstības pārvaldes Tūrisma un uzņēmējdarbības attīstības nodaļa, Infrastruktūras investīciju projektu nodaļa, Stratēģiskās plānošanas nodaļa</t>
  </si>
  <si>
    <t>4.P1</t>
  </si>
  <si>
    <r>
      <rPr>
        <sz val="8.5"/>
        <rFont val="Trebuchet MS"/>
        <family val="2"/>
      </rPr>
      <t>Katrā apkaimē ir 1 brīvā laika pa- vadīšanai pielāgota publiskā ārtelpa (t.sk. pludmale)</t>
    </r>
  </si>
  <si>
    <r>
      <rPr>
        <sz val="8.5"/>
        <rFont val="Trebuchet MS"/>
        <family val="2"/>
      </rPr>
      <t>JVA Īpašumu pārvaldes Pilsēt- saimniecības un labiekārtošanas nodaļa</t>
    </r>
  </si>
  <si>
    <t>SIA “Jūrmalas gaisma”, JVA Audita un kapitāldaļu pārvaldības nodaļas Kapitāldaļu pārvaldīšanas daļa,  JVA Pilsētplānošanas pārvalde, Attīstības pārvaldes Stratēģiskās plānošanas nodaļa</t>
  </si>
  <si>
    <t>5.P1</t>
  </si>
  <si>
    <t>Dubultu laukuma attīstība (Pils laukums)</t>
  </si>
  <si>
    <t>Labiekārtots Dubultu laukums atbilstoši kūrortpilsētas vajadzībām.</t>
  </si>
  <si>
    <t>1 labiekārtota teritorija pilsētas centrā</t>
  </si>
  <si>
    <t>SIA “Jūrmalas gaisma”, JVA Audita un kapitāldaļu pārvaldības nodaļas Kapitāldaļu pārvaldīšanas daļa,  Pilsētplānošanas pārvalde, Īpašumu pārvaldes Pašvaldības īpašumu nodaļa, Kultūrtelpas un vides dizaina centrs</t>
  </si>
  <si>
    <t>6.P1</t>
  </si>
  <si>
    <t>Valteru/Krastciema apkaimes publiskās telpas pilnveide (t.sk. bērnu rotaļu laukums)</t>
  </si>
  <si>
    <t>P1.1.5.</t>
  </si>
  <si>
    <t>Iedzīvotājiem brīvā laika pavadīšanai pielāgota publiskā ārtelpa (t.sk. bērnu rotaļlaukums un brīvpieejas sporta laukums).</t>
  </si>
  <si>
    <t>1 brīvā laika pavadīšanai labiekārto- ta infrastruktūra apkaimē</t>
  </si>
  <si>
    <t>JVA Pilsētplānošanas pārvalde,
SIA “Jūrmalas gaisma”, JVA Audita un kapitāldaļu pārvaldības nodaļas Kapitāldaļu pārvaldīšanas daļa, Attīstības pārvaldes Stratēģiskās plānošanas nodaļa</t>
  </si>
  <si>
    <t>7.P1</t>
  </si>
  <si>
    <t>Bērnu rotaļu laukumu atjaunošana un izveide*</t>
  </si>
  <si>
    <r>
      <rPr>
        <u/>
        <sz val="8.5"/>
        <rFont val="Trebuchet MS"/>
        <family val="2"/>
        <charset val="186"/>
      </rPr>
      <t>2023. gadā:</t>
    </r>
    <r>
      <rPr>
        <sz val="8.5"/>
        <rFont val="Trebuchet MS"/>
        <family val="2"/>
        <charset val="186"/>
      </rPr>
      <t xml:space="preserve">
- Uzstādīts nožogojums rotaļu laukumam Tallinas ielā 42/44.
- Jūrmalas pirmsskolas izglītības iestādēm (JPII "Namiņš" un JPII "Madara" iegādāts un uzstādīts bērnu rotaļu un sporta laukumu aprīkojums, sintētiskais segums. 
2024. gadā:
Atjaunots segums un rotaļu iekārtas esošajos rotaļu laukumos.</t>
    </r>
  </si>
  <si>
    <t>Bērnu laukumu infrastruktūras izveide un atjaunošana atbilstoši identificētai vajadzībai</t>
  </si>
  <si>
    <t>Jūrmalas valstspilsētas pašvaldības pirmsskolas izglītības iestādes</t>
  </si>
  <si>
    <t>8.P1</t>
  </si>
  <si>
    <t>Suņu pastaigu laukuma izveide (Dzintari-Bulduri)</t>
  </si>
  <si>
    <t>P1.1.6.</t>
  </si>
  <si>
    <t>1 suņu pastaigu laukums</t>
  </si>
  <si>
    <t>9.P1</t>
  </si>
  <si>
    <t>Sanitāro mezglu (WC) izveide un uzturēšana cilvēku koncentrēšanās vietās, t.sk. ārpus vasaras sezonas</t>
  </si>
  <si>
    <t>P1.1.7.</t>
  </si>
  <si>
    <t>Sabiedrisko tualešu (WC) izveide un uzturēšana cilvēku koncentrēšanās vietās, t.sk. ārpus vasaras sezonas.</t>
  </si>
  <si>
    <t>Atbilstoši nepieciešamībai</t>
  </si>
  <si>
    <t>11.P1</t>
  </si>
  <si>
    <t>Kapsētu labiekārtošana*</t>
  </si>
  <si>
    <t>P1.1.11.</t>
  </si>
  <si>
    <t>Atjaunota Beberbeķu kapsētas infrastruktūra, labiekārtota teritorija. Labiekārtotas un uzturētas pārējās Jūrmalas valstspilsētas pašvaldības iestādes “Jūrmalas kapi” pārvaldībā esošās kapsētas.
Izvērtēt iespēju kapsētu paplašināšanai, jo esošo piepildījums tuvojas maksimumam.</t>
  </si>
  <si>
    <t>Labiekārtotas pašvaldības kapsētas</t>
  </si>
  <si>
    <t>12.P1</t>
  </si>
  <si>
    <t>P1.2.1.</t>
  </si>
  <si>
    <r>
      <rPr>
        <u/>
        <sz val="8.5"/>
        <rFont val="Trebuchet MS"/>
        <family val="2"/>
        <charset val="186"/>
      </rPr>
      <t>2023.gadā plānots:</t>
    </r>
    <r>
      <rPr>
        <sz val="8.5"/>
        <rFont val="Trebuchet MS"/>
        <family val="2"/>
        <charset val="186"/>
      </rPr>
      <t xml:space="preserve">
- Jaunu pludmales pārģērbšanās kabīnu izgatavošana</t>
    </r>
  </si>
  <si>
    <t>Jaunas pārģērbšanās kabīnes</t>
  </si>
  <si>
    <t>13.P1</t>
  </si>
  <si>
    <t>Pilnveidots apgaismojums, atjaunotas laipas, nodrošinātas inženierkomunikācijas utt.</t>
  </si>
  <si>
    <t>Pilnveidota infrastruktūra un inženierkomunikācijas izejās uz jūru</t>
  </si>
  <si>
    <t>16.P1</t>
  </si>
  <si>
    <t>Lielupes peldvietu, laivu nolaišanas vietu un aktīvās atpūtas vietu izveide, labiekārtošana un uzlabošana*</t>
  </si>
  <si>
    <t>Izveidotas jaunas peldvietas, laivu nolaišanas vietas pie Lielupes, pilnveidots/atjaunots labiekārtojums esošajās peldvietās.</t>
  </si>
  <si>
    <t>Pilnveidotas 4 peldvietas,
attīstītas 2 peldvietas</t>
  </si>
  <si>
    <t>JVA Attīstības pārvaldes Infrastruktūras investīciju projektu nodaļa, 
Stratēģiskās plānošanas nodaļa</t>
  </si>
  <si>
    <t>17.P1</t>
  </si>
  <si>
    <t>Infrastruktūras atjaunošana izejās uz upi*</t>
  </si>
  <si>
    <t>P1.3.4.</t>
  </si>
  <si>
    <t>Pilnveidots/izveidots apgaismojums un atjaunots/ uzlabots ceļa segums.</t>
  </si>
  <si>
    <t>4 izejas uz upi</t>
  </si>
  <si>
    <t>18.P1</t>
  </si>
  <si>
    <t>Jūrmalas ostas infrastruktūras attīstība*</t>
  </si>
  <si>
    <t>P1.3.5.</t>
  </si>
  <si>
    <t>Atbilstoši Jūrmalas ostas stratēģijai (izstrādes procesā).</t>
  </si>
  <si>
    <t>Jūrmalas ostas pārvalde</t>
  </si>
  <si>
    <t>19.P1</t>
  </si>
  <si>
    <t>Drošas kuģošanas nodrošināšana Lielupē</t>
  </si>
  <si>
    <t>P1.3.6.</t>
  </si>
  <si>
    <t>Ikgadēji tiek veikti Lielupes grīvas kuģu kanāla padziļināšanas darbi.</t>
  </si>
  <si>
    <t>Ikgadējie kanāla padziļināšanas darbi</t>
  </si>
  <si>
    <t>Pielāgošanās klimata pārmaiņām</t>
  </si>
  <si>
    <t>P2</t>
  </si>
  <si>
    <t>1.P2</t>
  </si>
  <si>
    <t>Krasta stiprinājuma izbūve Jūrmalas ostas teritorijā</t>
  </si>
  <si>
    <t>P2.1.3.</t>
  </si>
  <si>
    <t>Veikts krasta stiprinājums Tīklu ielā 10 un 17.</t>
  </si>
  <si>
    <t>1 krasta stiprinājums pret plūdu draudiem</t>
  </si>
  <si>
    <t>2.P2</t>
  </si>
  <si>
    <t>Veikti Lielupes radīto plūdu un krasta erozijas risku apdraudējuma novēršanas pasākumi Dubultu, Majoru un Dzintaru teritorijā. Izbūvētas un atjaunojotas pretplūdu būves Lielupes kreisajā krastā, lai pielāgotu plūdu riskam pakļautās pilsētas teritorijas klimata pārmaiņām, nodrošinātu iedzīvotājiem kvalitatīvāku dzīves vidi, kā arī palielinātu plūdu riskam pakļautā reģiona (Dubulti-Majori-Dzintari) uzņēmēju saimnieciskās darbības konkurētspēju un nodrošinātu uzņēmējdarbības turpmāku pastāvēšanu. Kopējās projekta īstenošanai nepieciešamās izmaksas 5 205,55 tūkst. EUR tai skaitā Eiropas Savienības un cits ārējais finansējums 3 441,69 tūkst. EUR (ieskaitot Valsts budžeta dotāciju) un pašvaldības līdzfinansējums
1 763,87 tūkst. EUR (ieskatot neattiecināmās izmaksas un ārpus projekta izmaksas). (Lēmums Nr. 401, 23.08.2018.).</t>
  </si>
  <si>
    <t>Pilsētas centrālās daļas nodrošinājums pret plūdiem – 1 projekts</t>
  </si>
  <si>
    <t>Jūrmalas ostas pārvalde
JVA Īpašumu pārvalde</t>
  </si>
  <si>
    <t>5.P2</t>
  </si>
  <si>
    <t>Iebraukšanas nodevas Jūrmalas valstspilsētā kontroles sistēmas attīstīšana</t>
  </si>
  <si>
    <t>P2.1.4.</t>
  </si>
  <si>
    <r>
      <rPr>
        <u/>
        <sz val="8.5"/>
        <rFont val="Trebuchet MS"/>
        <family val="2"/>
        <charset val="186"/>
      </rPr>
      <t>2023.gadā:</t>
    </r>
    <r>
      <rPr>
        <sz val="8.5"/>
        <rFont val="Trebuchet MS"/>
        <family val="2"/>
        <charset val="186"/>
      </rPr>
      <t xml:space="preserve">
- Caurlaides.jurmala.lv sadaļas pakalpojumu lietojamības funkcionalitātes papildinājumi (10c/h).
- E-pakalpojuma papildinājumu izstrāde (200 c/h) - paziņojumu, saskarņu izmaiņas.
</t>
    </r>
  </si>
  <si>
    <t>JVA Īpašumu pārvaldes Nodokļu nodaļa, Jūrmalas pašvaldības policija</t>
  </si>
  <si>
    <t>6.P2</t>
  </si>
  <si>
    <t>“ReNutriWater” projekts – attīrīto notekūdeņu atkārtota izmantošana dabā</t>
  </si>
  <si>
    <t>P2.2.2.</t>
  </si>
  <si>
    <t>Attīrīti notekūdeņi tiek racionāli izmantoti dabā, tostarp pašvaldība un iedzīvotāji ir tiešie labuma guvēji. Projekts paredz attīrīto notēkūdeņu pastiprinātu monitoringu un atkārtotu izmantošanu pilsētas apzaļumošanas vajadzībām; JŪ laboratorijas kapacitātes celšana</t>
  </si>
  <si>
    <t>Notekūdeņu apjoma samazināšanās</t>
  </si>
  <si>
    <t>7.P2</t>
  </si>
  <si>
    <t>Lietus ūdens kanalizācijas un meliorācijas sistēmas pilnveide un attīstība*</t>
  </si>
  <si>
    <t>P2.6.1.</t>
  </si>
  <si>
    <t>Tiks precizēts pēc plāna izstrādes 2023. gadā</t>
  </si>
  <si>
    <r>
      <rPr>
        <u/>
        <sz val="8.5"/>
        <rFont val="Trebuchet MS"/>
        <family val="2"/>
        <charset val="186"/>
      </rPr>
      <t>2023.gadā:</t>
    </r>
    <r>
      <rPr>
        <sz val="8.5"/>
        <rFont val="Trebuchet MS"/>
        <family val="2"/>
        <charset val="186"/>
      </rPr>
      <t xml:space="preserve">
- Būvprojekta izstrāde meliorācijas sistēmai Katedrāles un E. Dārziņa ielā 15. - veikti būvdarbi.</t>
    </r>
  </si>
  <si>
    <t>JVA Attīstības  pārvaldes Inženierbūvju nodaļa</t>
  </si>
  <si>
    <t>Klimatneitrāla un resursu efektīva apsaimniekošana</t>
  </si>
  <si>
    <t>P3</t>
  </si>
  <si>
    <t>1.P3</t>
  </si>
  <si>
    <t>Katlumāju atjaunošana/attīstīšana</t>
  </si>
  <si>
    <t>Ir uzstādītas attālinātās vadības un vizualizācijas sistēmas katlumājās. Optimizēts šķeldas katlu darbības režīms, palielināts AER īpatsvars, samazinātas izmaksas un CO2 emisijas.</t>
  </si>
  <si>
    <t>Katlumāju attālinātas vadības pieslēg- šana pie esošās tālvadības sistēmas (SCADA)</t>
  </si>
  <si>
    <t>SIA “Jūrmalas siltums”</t>
  </si>
  <si>
    <t>2.P3</t>
  </si>
  <si>
    <t>Novecojušo siltumtrašu posmu nomaiņa (siltumtrašu pārbūve)</t>
  </si>
  <si>
    <t>Siltuma zudumu samazināšana, MWh/normatīvo apkures grādu dienas, avārijas risku mazināšana.</t>
  </si>
  <si>
    <t>Vidēji 500 MWh uz pārbūvējamiem posmiem (~1427 m)</t>
  </si>
  <si>
    <t>3.P3</t>
  </si>
  <si>
    <t>C</t>
  </si>
  <si>
    <t>Tiek realizēts, ja tiek piesaistīts ES fondu līdzfinansējums ES fondu plānošanas periodā 2021.–2027. gadam. Tiek izveidots saules kolektoru parks Salas ielā 3.</t>
  </si>
  <si>
    <r>
      <t>CO</t>
    </r>
    <r>
      <rPr>
        <vertAlign val="subscript"/>
        <sz val="8.5"/>
        <rFont val="Trebuchet MS"/>
        <family val="2"/>
        <charset val="186"/>
      </rPr>
      <t>2</t>
    </r>
    <r>
      <rPr>
        <sz val="8.5"/>
        <rFont val="Trebuchet MS"/>
        <family val="2"/>
        <charset val="186"/>
      </rPr>
      <t xml:space="preserve"> emisiju samazinājums (tiks aprēķināts, izstrādājot detalizētu projekta tehniski ekonomisko pamatojumu)</t>
    </r>
  </si>
  <si>
    <t>4.P3</t>
  </si>
  <si>
    <t>Šķeldas katlumājas Nometņu ielā 21A attīstība</t>
  </si>
  <si>
    <t>Izbūvēta šķeldas katlumāja (5 MW). Siltumenerģija tiek ražota ar atjaunojamajiem energoresursiem, kā rezultātā par 20 000 MWh samazinās ar dabasgāzi saražotais apjoms un iegūts 4000 t CO2 emisiju samazinājums gadā. Izmešu (PM10 daļiņu) samazinājums atbilstoši normatīvajam regulējumam t.i. 30 mg/Nm3. Rekonstruēts skurstenis, kā rezultātā uzlabosies dūmu izkliede pie dažādiem klimatiskajiem apstākļiem.</t>
  </si>
  <si>
    <r>
      <t>CO</t>
    </r>
    <r>
      <rPr>
        <vertAlign val="subscript"/>
        <sz val="8.5"/>
        <rFont val="Trebuchet MS"/>
        <family val="2"/>
        <charset val="186"/>
      </rPr>
      <t>2</t>
    </r>
    <r>
      <rPr>
        <sz val="8.5"/>
        <rFont val="Trebuchet MS"/>
        <family val="2"/>
        <charset val="186"/>
      </rPr>
      <t xml:space="preserve"> emisiju samazinājums par 4000 t gadā</t>
    </r>
  </si>
  <si>
    <t>5.P3</t>
  </si>
  <si>
    <t>Jaunu pakalpojumu ieviešana, izmantojot individuālu inovatīvu apkures un aukstuma sistēmu uzstādīšanu (siltumsūkņi, saules kolektori, saules paneļi, kondicionieri)</t>
  </si>
  <si>
    <t>Jaunu klientu piesaiste, pakalpojumu paplašināšana (objektu skaita palielinājums).</t>
  </si>
  <si>
    <t>Palielināts objektu skaits – vismaz par 1</t>
  </si>
  <si>
    <t>6.P3</t>
  </si>
  <si>
    <t>SIA “Jūrmalas siltums” darba efektivizācija</t>
  </si>
  <si>
    <r>
      <rPr>
        <u/>
        <sz val="8.5"/>
        <rFont val="Trebuchet MS"/>
        <family val="2"/>
        <charset val="186"/>
      </rPr>
      <t>2023.gadā:</t>
    </r>
    <r>
      <rPr>
        <sz val="8.5"/>
        <rFont val="Trebuchet MS"/>
        <family val="2"/>
        <charset val="186"/>
      </rPr>
      <t xml:space="preserve">
-Veikta klientu ikgadējā aptauja. (notiks turpmāk katru gadu)
-Visiem klientiem izveidots profils e-vidē.
-Veikti tirgus izpētes pasākumi jaunu objektu pieslēgšanas potenciāla apzināšanai (centralizētajā un decentralizētajā siltumapgādes sistēmā). (notiks turpmāk katru gadu)
-Veikta pārvades sistēmas digitalizācija – siltumnesēja temperatūras stabilizācija, siltuma zudumu samazinājums. Energoefektivitātes pienākuma shēmas saistību pildīšana. (notiks turpmāk katru gadu)
-Iegādāta hidrauliskā modelēšanas programma - siltuma zudumu samazināšana (MWh/apkures grādu dienas), aprēķinot nepieciešamo siltumavotu izejas temperatūru, spiediena starpību. Elektroenerģijas patēriņa samazināšana (kWh), nomaināmo cauruļu diametru aprēķins, to ietekme uz visu hidraulisko sistēmu. (notiks turpmāk katru gadu)
</t>
    </r>
    <r>
      <rPr>
        <u/>
        <sz val="8.5"/>
        <rFont val="Trebuchet MS"/>
        <family val="2"/>
        <charset val="186"/>
      </rPr>
      <t>2025.gadā:</t>
    </r>
    <r>
      <rPr>
        <sz val="8.5"/>
        <rFont val="Trebuchet MS"/>
        <family val="2"/>
        <charset val="186"/>
      </rPr>
      <t xml:space="preserve">
-Iegādāti elektroauto operatoriem.</t>
    </r>
  </si>
  <si>
    <t>Samazināts siltuma zudums, uzlabota darba efektivitāte utt.</t>
  </si>
  <si>
    <t>7.P3</t>
  </si>
  <si>
    <t>Jūrmalas ūdenssaimniecības attīstī- bas projekta IV kārtas īstenošana</t>
  </si>
  <si>
    <t>P3.3.1.</t>
  </si>
  <si>
    <r>
      <rPr>
        <u/>
        <sz val="8.5"/>
        <rFont val="Trebuchet MS"/>
        <family val="2"/>
        <charset val="186"/>
      </rPr>
      <t>2023. gadā:</t>
    </r>
    <r>
      <rPr>
        <sz val="8.5"/>
        <rFont val="Trebuchet MS"/>
        <family val="2"/>
        <charset val="186"/>
      </rPr>
      <t xml:space="preserve">
Izbūvēti ūdenssaimniecības tīkli dažādās pilsētas apkaimēs, izveidojot centralizētā ūdensapgādes un sadzīves kanalizācijas novadīšanas tīklu, pieslēgumu pievadus un atzarus līdz privātīpašuma robežai.</t>
    </r>
  </si>
  <si>
    <t>Ūdensapgādes un kanalizācijas tīkliem var pieslēgties Dzintari un Majori, Buļļuciems - Bulduri, Dubulti - Pumpuri, Valteri un Krastciems, Asari, Jaunķemeri - Ķemeri apkaimēs.
Tīklu izbūve turpinās Bražciems - Bul- duri, Asari - Ķemeri, Sloka un Vaivari, Kaugurciems un Slokas apkaimēs.</t>
  </si>
  <si>
    <t>8.P3</t>
  </si>
  <si>
    <t>Ūdenssaimniecības infrastruktūras attīstība un uzturēšana</t>
  </si>
  <si>
    <r>
      <rPr>
        <u/>
        <sz val="8.5"/>
        <rFont val="Trebuchet MS"/>
        <family val="2"/>
        <charset val="186"/>
      </rPr>
      <t>2023.gadā:</t>
    </r>
    <r>
      <rPr>
        <sz val="8.5"/>
        <rFont val="Trebuchet MS"/>
        <family val="2"/>
        <charset val="186"/>
      </rPr>
      <t xml:space="preserve">
veikta atsevišķu ielu posmu ūdensvada un kanalizācijas tīklu pārbūve, iegādāta nepieciešamā biroja tehnika un ūdenssaimniecības iekārtas
</t>
    </r>
    <r>
      <rPr>
        <u/>
        <sz val="8.5"/>
        <rFont val="Trebuchet MS"/>
        <family val="2"/>
        <charset val="186"/>
      </rPr>
      <t>2024.gadā:</t>
    </r>
    <r>
      <rPr>
        <sz val="8.5"/>
        <rFont val="Trebuchet MS"/>
        <family val="2"/>
        <charset val="186"/>
      </rPr>
      <t xml:space="preserve">
veikta kanalizācijas pārsūknēšanas staciju pārbūve, iegādātas nepieciešamās automašīnas, veikta atsevišķu ielu posmu ūdensvada un kanalizācijas tīklu rekonstrukcija
</t>
    </r>
    <r>
      <rPr>
        <u/>
        <sz val="8.5"/>
        <rFont val="Trebuchet MS"/>
        <family val="2"/>
        <charset val="186"/>
      </rPr>
      <t xml:space="preserve">2025.gadā:
</t>
    </r>
    <r>
      <rPr>
        <sz val="8.5"/>
        <rFont val="Trebuchet MS"/>
        <family val="2"/>
        <charset val="186"/>
      </rPr>
      <t>veikta atsevišķu ielu posmu ūdensvada un kanalizācijas tīklu pārbūve, iegādāta nepieciešamā biroja tehnika un ūdenssaimniecības iekārtas</t>
    </r>
  </si>
  <si>
    <t>9.P3</t>
  </si>
  <si>
    <t>Tīklu paplašināšana un pieslēgumu izveide pilsētā</t>
  </si>
  <si>
    <r>
      <rPr>
        <u/>
        <sz val="8.5"/>
        <rFont val="Trebuchet MS"/>
        <family val="2"/>
        <charset val="186"/>
      </rPr>
      <t>2024. – 2025. gadā:</t>
    </r>
    <r>
      <rPr>
        <sz val="8.5"/>
        <rFont val="Trebuchet MS"/>
        <family val="2"/>
        <charset val="186"/>
      </rPr>
      <t xml:space="preserve">
Ūdensapgādes un kanalizācijas tīklu izbūve pilsētas vietās, kur ūdenssaimniecības tīklu nav. Pievadu un atzaru izbūve no ielas tīkla līdz privātīpašuma robežai.</t>
    </r>
  </si>
  <si>
    <t>Izbūvēti ūdenspagādes tīkli un pievadi/ atzari pieslēguma izveidei</t>
  </si>
  <si>
    <t>10.P3</t>
  </si>
  <si>
    <t>Saules enerģijas stacijas izveidošana Slokas NAI teritorijā Mežmalas ielā 41</t>
  </si>
  <si>
    <r>
      <rPr>
        <u/>
        <sz val="8.5"/>
        <rFont val="Trebuchet MS"/>
        <family val="2"/>
        <charset val="186"/>
      </rPr>
      <t>2023.gadā:</t>
    </r>
    <r>
      <rPr>
        <sz val="8.5"/>
        <rFont val="Trebuchet MS"/>
        <family val="2"/>
        <charset val="186"/>
      </rPr>
      <t xml:space="preserve">
Izveidota saules enerģijas stacija Slokas notekūdeņu attīrīšanas iekārtu NAI teritorijā Mežmalas ielā 41, aizstājot iepirkto elektroenerģiju ar pašsaražoto atjaunojamo enerģiju.</t>
    </r>
  </si>
  <si>
    <t>1 saules enerģijas stacija
iegūstamā jauda 2,1 MWh gadā</t>
  </si>
  <si>
    <t>11.P3</t>
  </si>
  <si>
    <t>Energoefektivitātes pasākumi ūdensapgādes objektos</t>
  </si>
  <si>
    <r>
      <rPr>
        <u/>
        <sz val="8.5"/>
        <rFont val="Trebuchet MS"/>
        <family val="2"/>
        <charset val="186"/>
      </rPr>
      <t>2023.gadā:</t>
    </r>
    <r>
      <rPr>
        <sz val="8.5"/>
        <rFont val="Trebuchet MS"/>
        <family val="2"/>
        <charset val="186"/>
      </rPr>
      <t xml:space="preserve">
Saules paneļu uzstādīšana izbūvētajos ūdensapgādes objektos, atjaunojamās enerģijas īpatsvara palielināšanai. Tiks realizēts, ja tiks piesaistīts ES fondu līdzfinansējums vai cits ārējais finansējums</t>
    </r>
  </si>
  <si>
    <t>Saules paneļu uzstādīšana vai cita risinājuma īstenošana atjaunojamās enerģijas ieguvei</t>
  </si>
  <si>
    <t>12.P3</t>
  </si>
  <si>
    <r>
      <rPr>
        <u/>
        <sz val="8.5"/>
        <rFont val="Trebuchet MS"/>
        <family val="2"/>
        <charset val="186"/>
      </rPr>
      <t>2023. gadā:</t>
    </r>
    <r>
      <rPr>
        <sz val="8.5"/>
        <rFont val="Trebuchet MS"/>
        <family val="2"/>
        <charset val="186"/>
      </rPr>
      <t xml:space="preserve">
Atbilstoši Ministru kabineta noteikumiem, kurus plānots pieņemt 2023.g. sākumā par energoefektivitātes pasākumu realizāciju, tiks sagatavots projekta pieteikums, kurā tiks precizētas veicamās aktivitātes dažādos objektos.
</t>
    </r>
    <r>
      <rPr>
        <u/>
        <sz val="8.5"/>
        <rFont val="Trebuchet MS"/>
        <family val="2"/>
        <charset val="186"/>
      </rPr>
      <t xml:space="preserve">
2024. gadā:</t>
    </r>
    <r>
      <rPr>
        <sz val="8.5"/>
        <rFont val="Trebuchet MS"/>
        <family val="2"/>
        <charset val="186"/>
      </rPr>
      <t xml:space="preserve">
Saules paneļu uzstādīšana vai cita risinājuma īstenošana, izbūvētajos sadzīves kanalizācijas novadīšanas vai attīrīšanas objektos</t>
    </r>
  </si>
  <si>
    <t>13.P3</t>
  </si>
  <si>
    <t>Biofiltrācijas lauku izveidošana Lielupē un Ķemeros</t>
  </si>
  <si>
    <r>
      <rPr>
        <u/>
        <sz val="8.5"/>
        <rFont val="Trebuchet MS"/>
        <family val="2"/>
        <charset val="186"/>
      </rPr>
      <t>2024. – 2025. gadā:</t>
    </r>
    <r>
      <rPr>
        <sz val="8.5"/>
        <rFont val="Trebuchet MS"/>
        <family val="2"/>
        <charset val="186"/>
      </rPr>
      <t xml:space="preserve">
Izveidoti biofiltrācijas lauki Ķemeros un Lielupē (ar iespēju realizēt projektus atsevišķi) radot iespēju notekūdeņu attīrīšanai izmantot augus (fito attīrīšana) un izveidot ātraudzīgo kārklu audzes.</t>
    </r>
  </si>
  <si>
    <t>Izveidoti biofiltrācijas lauki Ķemeros un Lielupē</t>
  </si>
  <si>
    <t>14.P3</t>
  </si>
  <si>
    <t>Slokas NAI modernizācija</t>
  </si>
  <si>
    <r>
      <t xml:space="preserve">Dūņu apstrādes tehnoloģijas pilnveide Slokas NAI teritorijā:
- biogāzes ražošana;
- dūņu kompostēšana;
- dūņu žāvēšana;
- hidrauliskās un bioreaktoru jaudas palielināšana;
- energoefektivitātes pasākumu īstenošana.
</t>
    </r>
    <r>
      <rPr>
        <u/>
        <sz val="8.5"/>
        <rFont val="Trebuchet MS"/>
        <family val="2"/>
        <charset val="186"/>
      </rPr>
      <t>2023. gadā:</t>
    </r>
    <r>
      <rPr>
        <sz val="8.5"/>
        <rFont val="Trebuchet MS"/>
        <family val="2"/>
        <charset val="186"/>
      </rPr>
      <t xml:space="preserve">
Plānota projekta partnerības līguma slēgšana;
Pojekta īstenošanas uzsākšana;
Konkursa dokumentācijas izstrāde projektēšanas un būvdarbu līgumam
</t>
    </r>
    <r>
      <rPr>
        <u/>
        <sz val="8.5"/>
        <rFont val="Trebuchet MS"/>
        <family val="2"/>
        <charset val="186"/>
      </rPr>
      <t>2024. gadā:</t>
    </r>
    <r>
      <rPr>
        <sz val="8.5"/>
        <rFont val="Trebuchet MS"/>
        <family val="2"/>
        <charset val="186"/>
      </rPr>
      <t xml:space="preserve">
Projekta realizācija - būvdarbi
</t>
    </r>
    <r>
      <rPr>
        <u/>
        <sz val="8.5"/>
        <rFont val="Trebuchet MS"/>
        <family val="2"/>
        <charset val="186"/>
      </rPr>
      <t>2025. gadā:</t>
    </r>
    <r>
      <rPr>
        <sz val="8.5"/>
        <rFont val="Trebuchet MS"/>
        <family val="2"/>
        <charset val="186"/>
      </rPr>
      <t xml:space="preserve">
Projekta realizācija - būvdarbi
</t>
    </r>
  </si>
  <si>
    <t>Veikta dūņu apstrādes procesa uzlabošana, apstrādājot dūņas efek- tīvākā veidā</t>
  </si>
  <si>
    <t>15.P3</t>
  </si>
  <si>
    <t>Esošā spiedvada Jūrmala - Rīga atjaunošana sadzīves kanalizācijas novadīšanai uz Rīgas NAI “Daugavgrīva”</t>
  </si>
  <si>
    <r>
      <rPr>
        <u/>
        <sz val="8.5"/>
        <rFont val="Trebuchet MS"/>
        <family val="2"/>
        <charset val="186"/>
      </rPr>
      <t>2024.-2025. gadā:</t>
    </r>
    <r>
      <rPr>
        <sz val="8.5"/>
        <rFont val="Trebuchet MS"/>
        <family val="2"/>
        <charset val="186"/>
      </rPr>
      <t xml:space="preserve">
Atjaunots spiedvads Lielupe - Daugavgrīva, notekūdeņu novadīšanas procesa nodrošināšanai un vides risku mazināšanai potenciālo avāriju gadījumā.</t>
    </r>
  </si>
  <si>
    <t>Atjaunots spiedvads (11km) vai atsevišķi tā posmi</t>
  </si>
  <si>
    <t>Šķeldas katlu māju izbūve Dubultos</t>
  </si>
  <si>
    <r>
      <rPr>
        <u/>
        <sz val="8.5"/>
        <rFont val="Trebuchet MS"/>
        <family val="2"/>
        <charset val="186"/>
      </rPr>
      <t>2023. gadā:</t>
    </r>
    <r>
      <rPr>
        <sz val="8.5"/>
        <rFont val="Trebuchet MS"/>
        <family val="2"/>
        <charset val="186"/>
      </rPr>
      <t xml:space="preserve">
Projekta termiņš ir 31.03.2023. 
Paredzēti labiekārtošanas darbi. 
</t>
    </r>
  </si>
  <si>
    <r>
      <t>CO</t>
    </r>
    <r>
      <rPr>
        <vertAlign val="subscript"/>
        <sz val="8.5"/>
        <rFont val="Trebuchet MS"/>
        <family val="2"/>
        <charset val="186"/>
      </rPr>
      <t>2</t>
    </r>
    <r>
      <rPr>
        <sz val="8.5"/>
        <rFont val="Trebuchet MS"/>
        <family val="2"/>
        <charset val="186"/>
      </rPr>
      <t xml:space="preserve"> emisiju samazinājums - 488.68 t gadā, lētāks kurināmais</t>
    </r>
  </si>
  <si>
    <t>Saules paneļu izvietošana ūdenssaimniecības ēkās</t>
  </si>
  <si>
    <r>
      <rPr>
        <u/>
        <sz val="8.5"/>
        <rFont val="Trebuchet MS"/>
        <family val="2"/>
        <charset val="186"/>
      </rPr>
      <t>2023. gadā:</t>
    </r>
    <r>
      <rPr>
        <sz val="8.5"/>
        <rFont val="Trebuchet MS"/>
        <family val="2"/>
        <charset val="186"/>
      </rPr>
      <t xml:space="preserve">
Saules paneļu uzstādīšana un citu enerģoefektivitātes pasākumu īstenošana Jūrmalā, Promenādes ielā 1a</t>
    </r>
  </si>
  <si>
    <t>Saules paneļu uzstādīšana, energoefektivitātes risinājumi garāžas ēkai un apkures koģenerācijas katla uzstādīšana, aizstājot esošo apkures katlu</t>
  </si>
  <si>
    <t>Ēku energoefektivitātes celšana</t>
  </si>
  <si>
    <t>P4</t>
  </si>
  <si>
    <t>1.P4</t>
  </si>
  <si>
    <t>Jūrmalas valstspilsētas pašvaldības ēkas energoefektivitātes paaugstināšana Dubultu prospektā 1, lit.1</t>
  </si>
  <si>
    <t>P4.1.2.</t>
  </si>
  <si>
    <t>Īstenoti pasākumi ēkas energoefektivitātes paaugstināšanai.</t>
  </si>
  <si>
    <t>1 energoefektīva ēka</t>
  </si>
  <si>
    <t>2.P4</t>
  </si>
  <si>
    <t>4.P4</t>
  </si>
  <si>
    <t>Jūrmalas Pirmsskolas izglītības iestādes “Namiņš” energoefektivi- tātes uzlabošanas pasākumi</t>
  </si>
  <si>
    <t>5.P4</t>
  </si>
  <si>
    <t>Daudzdzīvokļu dzīvojamo ēku energoefektivitātes pasākumu atbalsta programmas īstenošana un sabiedrības informēšana</t>
  </si>
  <si>
    <t>P4.2.3.</t>
  </si>
  <si>
    <t xml:space="preserve">Jūrmalas valstspilsētas administrācija: finanšu līdzekļi konkursa kārtībā piešķirti daudzdzīvokļu dzīvojamo māju energoauditiem, tehniskās apsekošanas atzinumiem un būvprojektu izstrādei atbilstoši JD 2022.gada 25.oktobra saistošajiem noteikumiem Nr.50 "Par Jūrmalas valstspilsētas pašvaldības līdzfinansējuma apjomu un tā piešķiršanas kārtību daudzdzīvokļu dzīvojamo māju energoefektivitātes uzlabošanas pasākumu veikšanai"
</t>
  </si>
  <si>
    <t>Atbalsta saņēmēju skaits – JVA vismaz 10 daudzdzīvokļu dzīvojamās mājas</t>
  </si>
  <si>
    <t xml:space="preserve">Konkurētspējīga, pieejama un iekļaujoša izglītība </t>
  </si>
  <si>
    <t>I</t>
  </si>
  <si>
    <t xml:space="preserve">Izglītības satura un procesa attīstība </t>
  </si>
  <si>
    <t>I2</t>
  </si>
  <si>
    <t>Jūrmalas pirmsskolas izglītības iestādes “Bitīte” pārbūve</t>
  </si>
  <si>
    <t>I2.3.1.</t>
  </si>
  <si>
    <r>
      <rPr>
        <u/>
        <sz val="8.5"/>
        <rFont val="Trebuchet MS"/>
        <family val="2"/>
        <charset val="186"/>
      </rPr>
      <t>2023. gadā:</t>
    </r>
    <r>
      <rPr>
        <sz val="8.5"/>
        <rFont val="Trebuchet MS"/>
        <family val="2"/>
        <charset val="186"/>
      </rPr>
      <t xml:space="preserve">
Tiek veikta pirmsskolas izglītības iestādes ēkas pilna pārbūve un tai piegulošās teritorijas labiekārtošana.
</t>
    </r>
    <r>
      <rPr>
        <u/>
        <sz val="8.5"/>
        <rFont val="Trebuchet MS"/>
        <family val="2"/>
        <charset val="186"/>
      </rPr>
      <t>2024.gadā:</t>
    </r>
    <r>
      <rPr>
        <sz val="8.5"/>
        <rFont val="Trebuchet MS"/>
        <family val="2"/>
        <charset val="186"/>
      </rPr>
      <t xml:space="preserve">
Objekta pabeigšana un mēbeļu iegāde.</t>
    </r>
  </si>
  <si>
    <t>1 atjaunota/pārbūvēta PII ēka</t>
  </si>
  <si>
    <t>Izglītības pārvalde, 
JVA Īpašumu pārvaldes Pašvaldības īpašumu nodaļa, 
JPII “Bitīte”</t>
  </si>
  <si>
    <t>Jūrmalas pirmsskolas izglītības iestādes “Madara” pārbūve</t>
  </si>
  <si>
    <r>
      <rPr>
        <u/>
        <sz val="8.5"/>
        <rFont val="Trebuchet MS"/>
        <family val="2"/>
        <charset val="186"/>
      </rPr>
      <t>2023.–2026. gadā:</t>
    </r>
    <r>
      <rPr>
        <sz val="8.5"/>
        <rFont val="Trebuchet MS"/>
        <family val="2"/>
        <charset val="186"/>
      </rPr>
      <t xml:space="preserve">
Veikta pirmsskolas izglītības iestādes ēkas pilna pārbūve un tai piegulošās teritorijas labiekārtošana.</t>
    </r>
  </si>
  <si>
    <t>Izglītības pārvalde, 
JVA Īpašumu pārvaldes Pašvaldības īpašumu nodaļa, 
Pašvaldības īpašumu tehniskā nodrošinājuma nodaļa, 
JPII “Madara”</t>
  </si>
  <si>
    <t>Jūrmalas pirmsskolas izglītības iestādes “Saulīte” pārbūve</t>
  </si>
  <si>
    <t>Veikta pirmsskolas izglītības iestādes ēkas pilna pārbūve un tai piegulošās teritorijas labiekārtošana.</t>
  </si>
  <si>
    <t>Izglītības pārvalde, 
JVA Īpašumu pārvaldes Pašvaldības īpašumu nodaļa, 
Pašvaldības īpašumu tehniskā nodrošinājuma nodaļa, 
JPII “Saulīte”</t>
  </si>
  <si>
    <t>Jūrmalas pirmsskolas izglītības iestādes “Mārīte” pārbūve</t>
  </si>
  <si>
    <t>JVA Izglītības pārvalde, Īpašumu pārvaldes Pašvaldības īpašumu nodaļa, Pašvaldības īpašumu tehniskā nodrošinājuma nodaļa, JPII “Mārīte”</t>
  </si>
  <si>
    <t>Objekta Raiņa ielā 53 pārbūve pirmsskolas izglītības iestāde</t>
  </si>
  <si>
    <t>JVA Izglītības pārvalde, Īpašumu pārvaldes Pašvaldības īpašumu nodaļa, Pašvaldības īpašumu tehniskā nodrošinājuma nodaļa</t>
  </si>
  <si>
    <t>Jūrmalas pirmsskolas izglītības iestāžu atjaunošana*</t>
  </si>
  <si>
    <t>Ikgadējie nepieciešamie pirmsskolas izglītības iestādes ēkas atjaunošanas darbi. Saraksts tiek precizēts ar kārtējo Investīcijas plānu.</t>
  </si>
  <si>
    <t>Katru m.g. visas JPII iestādes ēkas ir tehniski labā stāvoklī</t>
  </si>
  <si>
    <t>JVA  Īpašumu pārvaldes Pašvaldības īpašumu tehniskā nodrošinājuma nodaļa</t>
  </si>
  <si>
    <t>Izglītības pārvalde,
 JVA Īpašumu pārvaldes Pašvaldības īpašumu nodaļa, 
visas PII</t>
  </si>
  <si>
    <t>Jūrmalas Kauguru vidusskolas sākumskolas atjaunošana/pārbūve Lēdurgas ielā</t>
  </si>
  <si>
    <t>Veikta sākumskolas ēkas pilna pārbūve un tai pieg- ulošās teritorijas labiekārtošana.</t>
  </si>
  <si>
    <t>1 atjaunota/pārbūvēta sākumskola</t>
  </si>
  <si>
    <t>Jūrmalas Vaivaru pamatskolas infrastruktūras attīstība</t>
  </si>
  <si>
    <t>Iegādāts īpašums Strēlnieku prospektā 32 ar mērķi, veicot pārbūvi, izvietot ēkā iekļaujošās izglītības iestādi un atbilstošu iekļaujošās izglītības centru (JD 25.10.2022. lēmums Nr.464 "Par Jūrmalas Luda Bērziņa pamatskolas dibināšanu,  reorganizējot Jūrmalas pamatskolu un Jūrmalas Vaivaru pamatskolu"). Saskaņā ar lēmuma 7.punktu ir jāparedz finansējums būvprojekta izstrādei 2023.gadā. 
Avanss projektēšanai - 60 tūkstoši EUR - nav iekļauts JVP 2023.gada budžetā.</t>
  </si>
  <si>
    <t>Pilsētas centrā ir iekļaujošās izglītības centrs un izglītības iestāde</t>
  </si>
  <si>
    <t>Izglītības pārvalde, 
JVA Īpašumu pārvaldes Pašvaldības īpašumu nodaļa, 
Pašvaldības īpašumu tehniskā nodrošinājuma nodaļa, 
Jūrmalas Vaivaru pamatskola</t>
  </si>
  <si>
    <t>Jūrmalas Mežmalas pamatskolas sporta zāles pārbūve</t>
  </si>
  <si>
    <t>2022.gadā pabeigts būvprojekts. Ir nepieciešams uzsākt būvdarbu 2023.gadā, ņemot aizdevumu. JVP 2023.gada budžetā nav paredzēts. Indikatīvi tiek plānots uz 2024.gadu.
Labiekārtota sporta zāle: pārbūvēta ventilācijas un apkures sistēma, atjaunots zāles grīdas segums, pārbūvēts apgaismojums, elektrība, vājstrāva, veikts zāles, ģērbtuvju un balkona kosmētiskais remonts.</t>
  </si>
  <si>
    <t>1 atjaunota sporta zāle</t>
  </si>
  <si>
    <t>Izglītības pārvalde, 
JVA Īpašumu pārvaldes Pašvaldības īpašumu nodaļa, 
Pašvaldības īpašumu tehniskā nodrošinājuma nodaļa, 
Jūrmalas Mežmalas pamatskola</t>
  </si>
  <si>
    <t>Jūrmalas Mežmalas pamatskolas telpu atjaunošana</t>
  </si>
  <si>
    <t>Atjaunota Jūrmalas Mežmalas pamatskola.</t>
  </si>
  <si>
    <t>Vispārējās izglītības iestāžu atjaunošana*</t>
  </si>
  <si>
    <t>Ikgadējie nepieciešamie atjaunošanas darbi. Saraksts tiek precizēts ar kārtējo Investīciju plānu.</t>
  </si>
  <si>
    <t>Katru mācību gadu visas skolas ir tehniski labā stāvoklī</t>
  </si>
  <si>
    <t>Izglītības pārvalde, 
JVA Īpašumu pārvaldes Pašvaldības īpašumu nodaļa, 
visas pamatskolas un vidusskolas (t.sk. ģimnāzija)</t>
  </si>
  <si>
    <t>Jūrmalas Jaundubultu pamatskolas stadiona atjaunošana</t>
  </si>
  <si>
    <r>
      <rPr>
        <u/>
        <sz val="8.5"/>
        <rFont val="Trebuchet MS"/>
        <family val="2"/>
        <charset val="186"/>
      </rPr>
      <t>2023.gadā:</t>
    </r>
    <r>
      <rPr>
        <sz val="8.5"/>
        <rFont val="Trebuchet MS"/>
        <family val="2"/>
        <charset val="186"/>
      </rPr>
      <t xml:space="preserve">
Apmaksas veikšana par būvprojekta izstrādi.
Tiek sagatavots projekta pieteikums aizdevuma saņemšanai. Iepirkuma procedūra noslēgums plānots 2023.gada 21.jūlijā. Pēc aizdevuma apstiprinājuma - 2023.gadā plānots veikt avansa apmaksu būvdarbu līgumam - 20% apmērā. 
</t>
    </r>
    <r>
      <rPr>
        <u/>
        <sz val="8.5"/>
        <rFont val="Trebuchet MS"/>
        <family val="2"/>
        <charset val="186"/>
      </rPr>
      <t xml:space="preserve">
2024.gadā:</t>
    </r>
    <r>
      <rPr>
        <sz val="8.5"/>
        <rFont val="Trebuchet MS"/>
        <family val="2"/>
        <charset val="186"/>
      </rPr>
      <t xml:space="preserve">
Atjaunots stadions (tajā skaitā mākslīgā zāliena seguma futbollaukums 60x40 m, sintētiskā seguma skrejceliņš, multifunkcionāls spēļu laukums, pludmales volejbola laukums, tāllēkšanas bedre, vingrošanas laukums,  apgaismojums, bruģēti celiņi).</t>
    </r>
  </si>
  <si>
    <t>1 atjaunota āra sporta infrastruktūra</t>
  </si>
  <si>
    <t>Izglītības pārvalde, 
Jūrmalas Sporta servisa centrs, 
Jūrmalas Jaundubultu pamatskola</t>
  </si>
  <si>
    <t>Jūrmalas Mežmalas pamatskolas āra sporta stadiona atjaunošana</t>
  </si>
  <si>
    <r>
      <rPr>
        <u/>
        <sz val="8.5"/>
        <rFont val="Trebuchet MS"/>
        <family val="2"/>
        <charset val="186"/>
      </rPr>
      <t xml:space="preserve">2023.gadā: </t>
    </r>
    <r>
      <rPr>
        <sz val="8.5"/>
        <rFont val="Trebuchet MS"/>
        <family val="2"/>
        <charset val="186"/>
      </rPr>
      <t xml:space="preserve">
Plānotais būvdarbu uzsākšanas laiks objektā - 2.pusgads. 
</t>
    </r>
    <r>
      <rPr>
        <u/>
        <sz val="8.5"/>
        <rFont val="Trebuchet MS"/>
        <family val="2"/>
        <charset val="186"/>
      </rPr>
      <t xml:space="preserve">2024. gadā:
</t>
    </r>
    <r>
      <rPr>
        <sz val="8.5"/>
        <rFont val="Trebuchet MS"/>
        <family val="2"/>
        <charset val="186"/>
      </rPr>
      <t>Orientējoši būvdrbu pabeigšana un objekta nodošana ekspluatācijā - 2.pusgads.
Atjaunots stadions (tajā skaitā mākslīgā zāliena futbollaukums 60x40 m, sintētiskā seguma skrejceliņš, multifunkcionāls spēļu laukums, pludmales volejbola laukums, tāllēkšanas bedre, vingrošanas laukums un inventāra noliktava, apgaismojums, bruģēti celiņi).</t>
    </r>
  </si>
  <si>
    <t>Izglītības pārvalde, 
Jūrmalas Sporta servisa centrs, 
Jūrmalas Mežmalas pamatskola</t>
  </si>
  <si>
    <t>Jūrmalas Valsts ģimnāzijas āra sporta infrastruktūras atjaunošana</t>
  </si>
  <si>
    <r>
      <rPr>
        <u/>
        <sz val="8.5"/>
        <rFont val="Trebuchet MS"/>
        <family val="2"/>
        <charset val="186"/>
      </rPr>
      <t>2023.gadā:</t>
    </r>
    <r>
      <rPr>
        <sz val="8.5"/>
        <rFont val="Trebuchet MS"/>
        <family val="2"/>
        <charset val="186"/>
      </rPr>
      <t xml:space="preserve">
Būvprojekta izstrādes uzsākšana.
Atjaunota āra sporta infrastruktūra/stadions.</t>
    </r>
  </si>
  <si>
    <t>Jūrmalas Sporta servisa centrs</t>
  </si>
  <si>
    <t>Izglītības pārvalde, 
Jūrmalas Valsts ģimnāzija</t>
  </si>
  <si>
    <t>Jūrmalas Aspazijas pamatskolas āra sporta infrastruktūras pilnveide</t>
  </si>
  <si>
    <t>Pilnveidota sporta infrastruktūra, lai sekmētu futbola attīstību pašvaldībā.</t>
  </si>
  <si>
    <t>JVA Izglītības pārvalde, 
Jūrmalas Sporta servisa centrs, 
Jūrmalas Aspazijas pamatskola, 
Jūrmalas Futbola skola</t>
  </si>
  <si>
    <t>Jūrmalas Ķemeru pamatskolas āra sporta infrastruktūras atjaunošana</t>
  </si>
  <si>
    <t>Atjaunota āra sporta infrastruktūra/stadions.</t>
  </si>
  <si>
    <t>JVA Izglītības pārvalde, 
Jūrmalas Sporta servisa centrs, 
Jūrmalas Ķemeru pamatskola</t>
  </si>
  <si>
    <t>Jūrmalas Majoru vidusskolas sporta laukuma izveide</t>
  </si>
  <si>
    <t>2023.gadā:
Būvprojekta izstrādes uzsākšana.
Atjaunota āra sporta infrastruktūra/stadions.</t>
  </si>
  <si>
    <t>Izglītības pārvalde, 
Jūrmalas Majoru vidusskola</t>
  </si>
  <si>
    <t>Atjaunots sporta laukuma segums.</t>
  </si>
  <si>
    <t>1 pilnveidota sporta infrastruktūra</t>
  </si>
  <si>
    <t>JVA Izglītības pārvalde, Jūrmalas Pumpuru vidusskola</t>
  </si>
  <si>
    <t>Jūrmalas Valsts ģimnāzijas
ēkas Raiņa ielā 55, Jūrmalā,
pārbūve (ITI SAM 8.1.2.)</t>
  </si>
  <si>
    <t>Veikta skolas ēkas pārbūve un infrastruktūras pilnveide, radot pilnībā modernizētu un
ergonomisku mācību vidi. Izveidots metodiskais centrs. Kopējās projekta īstenošanai nepieciešamās izmaksas 8 160,42 tūkst. EUR tai skaitā Eiropas Savienības un cits ārējais finansējums 6 642,96 tūkst. EUR (ieskaitot Valsts budžeta dotāciju) un pašvaldības līdzfinansējums
1 517,45 tūkst. EUR (ieskatot neattiecināmās izmaksas un ārpus projekta izmaksas). (Lēmums Nr. 68, 21.02.2019.).</t>
  </si>
  <si>
    <t>1 pilnībā pārbūvēta vispārējās izglītības iestāde</t>
  </si>
  <si>
    <t xml:space="preserve">Lielupes pamatskolas pārbūve
un sporta zāles piebūve
(Jūrmalas Aspazijas pamatskola
no 2021.gada 15.jūnija) </t>
  </si>
  <si>
    <t>2023.gadā:
Jūrmalas Aspazijas pamatskolas pārbūves pabeigšana.
Mēbeļu iepirkums - 2milj.EUR. - nav iekļauts pašvaldības 2023.gada budžetā.</t>
  </si>
  <si>
    <t>Izglītības pārvalde, 
Jūrmalas Aspazijas pamatskola</t>
  </si>
  <si>
    <t xml:space="preserve">Augstu sasniegumu profesionālās ievirzes izglītībā veicināšana </t>
  </si>
  <si>
    <t>I3</t>
  </si>
  <si>
    <t>1.I3</t>
  </si>
  <si>
    <t>I3.1.4.</t>
  </si>
  <si>
    <t>Ik gadu tiek veikti nepieciešamie atjaunošanas darbi.</t>
  </si>
  <si>
    <t>Jūrmalas Sporta skola, 
Jūrmalas Futbola skola, 
Izglītības pārvalde, 
Jūrmalas Sporta servisa centrs</t>
  </si>
  <si>
    <t>Interešu izglītības, mūžizglītības un brīvā laika pavadīšanas iespēju integrācija (t.sk. darbs ar jaunatni)</t>
  </si>
  <si>
    <t>I4</t>
  </si>
  <si>
    <t>1.I4</t>
  </si>
  <si>
    <t>BJIC telpu atjaunošana un teritorijas labiekārtošana</t>
  </si>
  <si>
    <t>I4.1.1.</t>
  </si>
  <si>
    <t>Atjaunota Bērnu un jauniešu interešu centra fasāde, iekštelpas un veikti labiekārtošanas darbi.</t>
  </si>
  <si>
    <t>Atjaunota 1 interešu izglītības iestādes ēka</t>
  </si>
  <si>
    <t>Jūrmalas Bērnu un jauniešu interešu centrs, 
JVA Izglītības pārvalde</t>
  </si>
  <si>
    <t xml:space="preserve">Laikmetīga kultūra </t>
  </si>
  <si>
    <t>L</t>
  </si>
  <si>
    <t xml:space="preserve">Kultūras pieejamība un sabiedrības līdzdalība </t>
  </si>
  <si>
    <t>L1</t>
  </si>
  <si>
    <t>1.L1</t>
  </si>
  <si>
    <t>L1.1.5.
L1.3.4.</t>
  </si>
  <si>
    <t>Atbilstoši ikgadējiem nepieciešamajiem darbiem iestādes pārziņā esošajās ēkās.</t>
  </si>
  <si>
    <t>JVA Kultūras nodaļa, 
Jūrmalas Kultūras centrs</t>
  </si>
  <si>
    <t>2.L1</t>
  </si>
  <si>
    <t>Jūrmalas bibliotēku infrastruktūras un materiāltehniskās bāzes pilnveide*</t>
  </si>
  <si>
    <t>L1.2.3.</t>
  </si>
  <si>
    <t xml:space="preserve">Starptautiski atpazīstama kultūras un mākslas pilsēta </t>
  </si>
  <si>
    <t>L2</t>
  </si>
  <si>
    <t>1.L2</t>
  </si>
  <si>
    <t>Dzintaru koncertzāles attīstība</t>
  </si>
  <si>
    <t>L2.1.1.</t>
  </si>
  <si>
    <r>
      <rPr>
        <u/>
        <sz val="8.5"/>
        <rFont val="Trebuchet MS"/>
        <family val="2"/>
        <charset val="186"/>
      </rPr>
      <t>2023. gadā:</t>
    </r>
    <r>
      <rPr>
        <sz val="8.5"/>
        <rFont val="Trebuchet MS"/>
        <family val="2"/>
        <charset val="186"/>
      </rPr>
      <t xml:space="preserve">
Novērsti ēkas pamatu bojājumi un pagraba telpu applūšanas iespējamība. Labiekārtotas Lielās zāles sabiedriskās tualetes.
Iegādāti pamatlīdzekļi, kuri nepieciešami saimnieciskās darbības nodrošināšanai.
Nodrošināta daudzveidīga koncertprogramma Dzintaru koncertzālē.</t>
    </r>
  </si>
  <si>
    <t xml:space="preserve">Pārbūvēta Lielā zāle un labiekārtota teritorija. </t>
  </si>
  <si>
    <t xml:space="preserve">JVA  Īpašumu pārvaldes Pašvaldības īpašumu tehniskā nodrošinājuma nodaļa
JVA Kultūras nodaļa,
SIA "Dzintaru koncertzāle"
JVA Audita un kapitāldaļu pārvaldības nodaļas Kapitāldaļu pārvaldīšanas daļa
</t>
  </si>
  <si>
    <t>2.L2</t>
  </si>
  <si>
    <t>Rezidenču centra ar izstāžu telpām attīstība</t>
  </si>
  <si>
    <t>L2.1.3.</t>
  </si>
  <si>
    <t>Izveidots rezidenču centrs.</t>
  </si>
  <si>
    <t>1 rezidenču centrs</t>
  </si>
  <si>
    <t>JVA Kultūras nodaļa,
Jūrmalas muzejs</t>
  </si>
  <si>
    <t>Kultūras mantojums kā pilsētas identitāt</t>
  </si>
  <si>
    <t>L3</t>
  </si>
  <si>
    <t>1.L3</t>
  </si>
  <si>
    <t>Jūrmalas  muzeja infrastruktūras pilnveide*</t>
  </si>
  <si>
    <r>
      <rPr>
        <u/>
        <sz val="8.5"/>
        <rFont val="Trebuchet MS"/>
        <family val="2"/>
        <charset val="186"/>
      </rPr>
      <t xml:space="preserve">2023. gadā:
Izmaiņu projekts būprojekta sadalīšanai kārtās. 
</t>
    </r>
    <r>
      <rPr>
        <sz val="8.5"/>
        <rFont val="Trebuchet MS"/>
        <family val="2"/>
        <charset val="186"/>
      </rPr>
      <t xml:space="preserve">
2024.gads:
Pārbūvēts Jūrmalas muzeja 2. stāvs (novērstas terases noteces problēmas, izveidota pārplūdes lūka, nodrošināts fasādes kosmētiskais remonts).</t>
    </r>
  </si>
  <si>
    <t>JVA Kultūras nodaļa, 
Jūrmalas muzejs</t>
  </si>
  <si>
    <t>3.L3</t>
  </si>
  <si>
    <t xml:space="preserve">Ilgtspējīga kūrortpilsēta ārpus sezonas – zinātne un izglītība sabiedrības ilgtspējīgai attīstībai </t>
  </si>
  <si>
    <t>L3.2.3.</t>
  </si>
  <si>
    <t>Plānots finansējums no Eiropas pilsētas iniciatīva-inovatīvas darbības ar projektu "Ilgtspēja kūrortpilsētā ārpus sezonas – zinātne un izglītība sabiedrības attīstībai". Projekta rezultāti:
1.Atjaunotas 2 ēkas Lienes ielā 15 un uzbūvēta 1 ēka Tīklu ielā 1;
2.Izveidotas 2 ekspozīcijas pilsētas iedzīvotāju un viesu vajadzībām;
3.Izstrādāti 6 zinātniskie pētījumi par Jūrmalas vēsturi un bioloģiju;
4.Veikta zinātniskā darbība Jūrmalā – indikatīvi 30 studenti;
5.Indikatīvi 3000 skolēnu apmeklējuši jaunos objektus un izmantojuši izstrādātos pakalpojumus.</t>
  </si>
  <si>
    <t>Jūrmalas muzejs</t>
  </si>
  <si>
    <t>JVA Attīstības pārvaldes Infrastruktūras
investīciju projektu nodaļa, 
Stratēģiskās plānošanas nodaļa, 
Kultūras nodaļa</t>
  </si>
  <si>
    <t xml:space="preserve">Kvalitatīva dzīve ilgstpējīgai sabiedrībai </t>
  </si>
  <si>
    <t>S</t>
  </si>
  <si>
    <t xml:space="preserve">Kvalitatīvs sociālais atbalsts </t>
  </si>
  <si>
    <t>S1</t>
  </si>
  <si>
    <t>1.S1</t>
  </si>
  <si>
    <t>Infrastruktūras pilnveide sabiedrībā balstītu sociālo pakalpojumu sniegšanai personām ar garīga rakstura traucējumiem (ITI SAM 9.3.1.)</t>
  </si>
  <si>
    <t>S1.3.5.</t>
  </si>
  <si>
    <t>Paplašināts Dienas aprūpes centrā Dūņu ceļā 2 pieejamo sociālo pakalpojumu klāsts, veicot telpu pārbūvi, atjaunošanu un aprīkošanu un nodrošinot pakalpojumu pieejamību 30 personām ar garīga rakstura traucējumiem. Kopējās projekta īstenošanai nepieciešamās izmaksas 1 692,42 tūkst. EUR tai skaitā Eiropas Savienības un cits ārējais finansējums 1 422,38 tūkst. EUR (ieskaitot Valsts budžeta dotāciju) un pašvaldības līdzfinansējums 270,04 tūkst. EUR (ieskatot neattiecināmās izmaksas un ārpus projekta izmaksas). (Lēmums Nr. 658, 19.12.2019.).</t>
  </si>
  <si>
    <t>Infrastruktūras pieejamība 30 personām</t>
  </si>
  <si>
    <t>2.S1</t>
  </si>
  <si>
    <t>Jaunu grupu dzīvokļu izveide sabiedrībā balstītu sociālo pakalpojumu sniegšanai personām ar garīga rakstura traucējumiem (ITI SAM 9.3.1.)</t>
  </si>
  <si>
    <t>Izveidots jauns grupu dzīvoklis 8 personām ar garīga rakstura traucējumiem Hercoga Jēkaba
ielā 4. Kopējās projekta īstenošanai nepieciešamās izmaksas 1 692,42 tūkst. EUR tai skaitā Eiropas Savienības un cits ārējais finansējums 1 422,38 tūkst. EUR (ieskaitot Valsts budžeta dotāciju) un pašvaldības līdzfinansējums 270,04 tūkst. EUR (ieskatot neattiecināmās izmaksas un ārpus projekta izmaksas). (Lēmums Nr. 658, 19.12.2019.).</t>
  </si>
  <si>
    <t>Grupu dzīvoklis 8 personām</t>
  </si>
  <si>
    <t>3.S1</t>
  </si>
  <si>
    <t>PSIA “Veselības un sociālās aprūpes centrs “Sloka”” B korpusa pārbūve</t>
  </si>
  <si>
    <t>Pārbūvēts B korpuss, iegādāts jauns inventārs un tehnika (atbilstoši PSIA “Veselības un sociālās aprūpes centrs “Sloka”” vidēja termiņa darbības stratēģijai 2023.–2025. gadam).</t>
  </si>
  <si>
    <t>B korpuss – 1 sakārtota infrastruktūra</t>
  </si>
  <si>
    <t>4.S1</t>
  </si>
  <si>
    <t>PSIA “Veselības un sociālās aprūpes centrs “Sloka”” jauna korpusa izbūve</t>
  </si>
  <si>
    <r>
      <t>Izbūvēts pansionāts (ģimeniskai videi) ar 100 vietām (35 m</t>
    </r>
    <r>
      <rPr>
        <vertAlign val="superscript"/>
        <sz val="8.5"/>
        <rFont val="Trebuchet MS"/>
        <family val="2"/>
        <charset val="186"/>
      </rPr>
      <t xml:space="preserve">2 </t>
    </r>
    <r>
      <rPr>
        <sz val="8.5"/>
        <rFont val="Trebuchet MS"/>
        <family val="2"/>
        <charset val="186"/>
      </rPr>
      <t>uz 1 personu), tajā skaitā ēdināšanas bloks, kā arī iegādāts aprīkojums un tehnika (atbilstoši PSIA “Veselības un sociālās aprūpes centrs “Sloka”” vidēja termiņa darbības stratēģijai 2023.–2025. gadam).</t>
    </r>
  </si>
  <si>
    <t>Jaunas telpas 100 cilvēkiem</t>
  </si>
  <si>
    <t>5.S1</t>
  </si>
  <si>
    <t>PSIA “Veselības un sociālās aprūpes centrs “Sloka”” infrastruktūras un sniegto pakalpojumu uzlabošana</t>
  </si>
  <si>
    <t>Izveidots ergoterapeita kabinets, iegādāts specializētais transports, uzstādīts jauns žogs,
uzstādīts strāvas ģenerators, nomainīti apgaismes stabi un daļēji labiekārtota teritorija, izveidota dzeramā ūdens padeves vieta ar sensora signālu klientiem ar funkcionāliem traucējumiem centra teritorijā (atbilstoši PSIA “Veselības un sociālās aprūpes centrs “Sloka”” vidēja termiņa darbības stratēģijai 2023.–2025. gadam).</t>
  </si>
  <si>
    <t>6.S1</t>
  </si>
  <si>
    <t>Pārējo sociālo iestāžu būvniecība, atjaunošana un uzlabošana</t>
  </si>
  <si>
    <t>PSIA "Veselības un sociālās aprūpes centrs "Sloka"" A korpusa pārbūve</t>
  </si>
  <si>
    <t>Pārbūvēts A korpuss, iegādāts jauns inventārs un tehnika (atbilstoši PSIA “Veselības un sociālās aprūpes centrs “Sloka”” vidēja termiņa darbības stratēģijai 2021.-2025.gadam).</t>
  </si>
  <si>
    <t xml:space="preserve">Kvalitatīvi veselības aprūpes pakalpojumi </t>
  </si>
  <si>
    <t>S2</t>
  </si>
  <si>
    <t>1.S2</t>
  </si>
  <si>
    <t>PSIA “Kauguru Veselības centrs” infrastruktūras un sniegto pakalpoju- mu uzlabošana</t>
  </si>
  <si>
    <t>S2.1.3.</t>
  </si>
  <si>
    <r>
      <rPr>
        <u/>
        <sz val="8.5"/>
        <rFont val="Trebuchet MS"/>
        <family val="2"/>
        <charset val="186"/>
      </rPr>
      <t>2023. gadā:</t>
    </r>
    <r>
      <rPr>
        <sz val="8.5"/>
        <rFont val="Trebuchet MS"/>
        <family val="2"/>
        <charset val="186"/>
      </rPr>
      <t xml:space="preserve">
Iegādāta kondicionēšanas sistēma, darsonvalizācijas iekārta, ultraskaņas iekārta, lāzerterapijas iekārta, amplipulss, automātiskais perimetrs, bērnu refraktometrs, ultrasonogrāfijas iekārta, skābekļa koncentrators, zobārstniecības iekārta un datortehnika. Iegādāts autotransports. 
</t>
    </r>
    <r>
      <rPr>
        <u/>
        <sz val="8.5"/>
        <rFont val="Trebuchet MS"/>
        <family val="2"/>
        <charset val="186"/>
      </rPr>
      <t>2024.gadā:</t>
    </r>
    <r>
      <rPr>
        <sz val="8.5"/>
        <rFont val="Trebuchet MS"/>
        <family val="2"/>
        <charset val="186"/>
      </rPr>
      <t xml:space="preserve">
Iegādāta datortehnika, kušete ar elektrisko vadību, vakuumsūknis, ķirurģisko operāciju galds operāciju telpā, ķirurģisko operāciju lampa, kā arī veikts pirmā stāva un otrā stāva gaiteņu remonts.
</t>
    </r>
    <r>
      <rPr>
        <u/>
        <sz val="8.5"/>
        <rFont val="Trebuchet MS"/>
        <family val="2"/>
        <charset val="186"/>
      </rPr>
      <t>2025.gadā:</t>
    </r>
    <r>
      <rPr>
        <sz val="8.5"/>
        <rFont val="Trebuchet MS"/>
        <family val="2"/>
        <charset val="186"/>
      </rPr>
      <t xml:space="preserve">
Iegādāta LOR iekārta, vakuumsūknis procedūru kabinetā, mēbeles. Uzlabota infrastruktūra – arhīva telpa, administrācijas telpa. Klīniskais psihologs. (Atbilstoši PSIA “Kauguru Veselības centrs” vidēja termiņa darbības stratēģijai 2023.–2025. gadam).</t>
    </r>
  </si>
  <si>
    <t>Uzlabota infrastruktūra, iegādāts autotransports, pilnveidota materiāltehniskā bāze</t>
  </si>
  <si>
    <t>PSIA “Kauguru Veselības centrs”</t>
  </si>
  <si>
    <t>2.S2</t>
  </si>
  <si>
    <t>SIA “Jūrmalas slimnīca” ēkas Bauskas ielā 5A pārbūve</t>
  </si>
  <si>
    <t>S2.3.1.
S2.3.2.</t>
  </si>
  <si>
    <r>
      <rPr>
        <u/>
        <sz val="8.5"/>
        <rFont val="Trebuchet MS"/>
        <family val="2"/>
        <charset val="186"/>
      </rPr>
      <t>2024. gadā:</t>
    </r>
    <r>
      <rPr>
        <sz val="8.5"/>
        <rFont val="Trebuchet MS"/>
        <family val="2"/>
        <charset val="186"/>
      </rPr>
      <t xml:space="preserve">
Pārbūvēta ēka rehabilitācijas pasākumu nodrošināšanai, tajā skaitā sportistu rehabilitācijai (atbilstoši SIA “Jūrmalas slimnīca” vidēja termiņa darbības stratēģijai 2023.–2025. gadam).</t>
    </r>
  </si>
  <si>
    <t>3.S2</t>
  </si>
  <si>
    <r>
      <rPr>
        <u/>
        <sz val="8.5"/>
        <rFont val="Trebuchet MS"/>
        <family val="2"/>
        <charset val="186"/>
      </rPr>
      <t>2023. gadā:</t>
    </r>
    <r>
      <rPr>
        <sz val="8.5"/>
        <rFont val="Trebuchet MS"/>
        <family val="2"/>
        <charset val="186"/>
      </rPr>
      <t xml:space="preserve">
Uzlabota saimniecības ēkas energoefektivitāte, medicīnas pakalpojumu sniegšanas kvalitāte (iegādātas dažādas medicīnas iekārtas, mēbeles, IKT), uzsākta B korpusa pagrabstāva renovācija.
</t>
    </r>
    <r>
      <rPr>
        <u/>
        <sz val="8.5"/>
        <rFont val="Trebuchet MS"/>
        <family val="2"/>
        <charset val="186"/>
      </rPr>
      <t>2024. gadā:</t>
    </r>
    <r>
      <rPr>
        <sz val="8.5"/>
        <rFont val="Trebuchet MS"/>
        <family val="2"/>
        <charset val="186"/>
      </rPr>
      <t xml:space="preserve">
Veikta B korpusa pagrabstāva renovācija, uzlabota sterilizācijas pakalpojumu kvalitāte, medicīnas pakalpojumu sniegšanas kvalitāte - iegādātas dažādas medicīnas iekārtas, mēbeles, IKT.
</t>
    </r>
    <r>
      <rPr>
        <u/>
        <sz val="8.5"/>
        <rFont val="Trebuchet MS"/>
        <family val="2"/>
        <charset val="186"/>
      </rPr>
      <t>2025. gadā:</t>
    </r>
    <r>
      <rPr>
        <sz val="8.5"/>
        <rFont val="Trebuchet MS"/>
        <family val="2"/>
        <charset val="186"/>
      </rPr>
      <t xml:space="preserve">
Uzlabota medicīnas pakalpojumu sniegšanas kvalitāte - iegādātas dažādas medicīnas iekārtas, mēbeles, IKT, 3 elektromobiļi (atbilstoši SIA “Jūrmalas slimnīca” vidēja termiņa darbības stratēģijai 2023.–2025. gadam).</t>
    </r>
  </si>
  <si>
    <t>3 elektromobiļi mājas aprūpes pa- kalpojumu sniegšanas nodrošināšanai</t>
  </si>
  <si>
    <t>Veselīga dzīvesveida sekmēšana</t>
  </si>
  <si>
    <t>S3</t>
  </si>
  <si>
    <t>1.S3</t>
  </si>
  <si>
    <t>Peldbaseina izveide valstspilsētas centrālajā daļā</t>
  </si>
  <si>
    <t>Izbūvēts peldbaseins Strēlnieku prospektā 38, un nodrošinātas peldētapmācības nodarbības 1.–6. klašu audzēkņiem.</t>
  </si>
  <si>
    <t>Jūrmalas Sporta servisa centrs,
Izglītības pārvalde, 
Jūrmalas Sporta skola</t>
  </si>
  <si>
    <t>2.S3</t>
  </si>
  <si>
    <t>S3.4.1.
S3.4.2.</t>
  </si>
  <si>
    <r>
      <rPr>
        <u/>
        <sz val="8.5"/>
        <rFont val="Trebuchet MS"/>
        <family val="2"/>
        <charset val="186"/>
      </rPr>
      <t>2023.gadā plānots:</t>
    </r>
    <r>
      <rPr>
        <sz val="8.5"/>
        <rFont val="Trebuchet MS"/>
        <family val="2"/>
        <charset val="186"/>
      </rPr>
      <t xml:space="preserve">
- Sporta laukuma Engures ielā 1/3/5 basketbola grozu demontāža un jaunu grozu uzstādīšana.
- Dzintaru mežaparka trīs basketbola laukumu sintētiskā seguma atjaunošana un trīs basketbola grozu demontāžai jaunu grozu uzstādīšanai.</t>
    </r>
  </si>
  <si>
    <t>Drošas pilsētvides attīstīšana</t>
  </si>
  <si>
    <t>S4</t>
  </si>
  <si>
    <t>1.S4</t>
  </si>
  <si>
    <t>Pludmales fiziskās uzraudzības drošības pasākumu komplekss</t>
  </si>
  <si>
    <t>S4.3.2.</t>
  </si>
  <si>
    <t xml:space="preserve">Pārbūvētas/atjaunotas glābšanas stacijas. Uzstādītas mobilās glābšanas stacijas.
2023.gadā:
- Glābšanas stacijas ēkas pārbūves projekta dokumentācijas izstrāde / (GS Bulduri, GS Kauguri).
- Izbūvētas tipveida glābšanas stacijas. Paredzēts izbūvēt pludmalē Kauguru (K.Zolta iela), Majoru (Pilsoņu iela), Bulduru peldvietās (6.līnija).
</t>
  </si>
  <si>
    <t>Jūrmalas pašvaldības policija</t>
  </si>
  <si>
    <t>Mājokļu politikas īstenošana</t>
  </si>
  <si>
    <t>S6</t>
  </si>
  <si>
    <t>1.S6</t>
  </si>
  <si>
    <t>Pašvaldības dzīvojamā fonda remonts</t>
  </si>
  <si>
    <t>S6.1.3.</t>
  </si>
  <si>
    <t>4.S6</t>
  </si>
  <si>
    <t>Pārbūvēta ēka Raiņa ielā 62, t.sk. veikta energoefektivitātes uzlabošana.</t>
  </si>
  <si>
    <t>Pārbūvēta pašvaldības dzīvojamā māja, nodrošināti atjaunoti dzīvokļi, t.sk. jaunajiem pedagogiem utt.</t>
  </si>
  <si>
    <t>Ērta un integrēta mobilitāte</t>
  </si>
  <si>
    <t>Ē</t>
  </si>
  <si>
    <t xml:space="preserve">Kvalitatīva un droša satiksmes infrastruktūra </t>
  </si>
  <si>
    <t>Ē1</t>
  </si>
  <si>
    <t>1.Ē1</t>
  </si>
  <si>
    <t>Pilnveidota velosipēdu ceļu infrastruktūra pilsētā atbilstoši Ceļu fonda izlietošanas programmai (trīs gadu periodā).</t>
  </si>
  <si>
    <r>
      <t>JVA Attīstības pārvaldes</t>
    </r>
    <r>
      <rPr>
        <strike/>
        <sz val="8.5"/>
        <rFont val="Trebuchet MS"/>
        <family val="2"/>
        <charset val="186"/>
      </rPr>
      <t xml:space="preserve"> </t>
    </r>
    <r>
      <rPr>
        <sz val="8.5"/>
        <rFont val="Trebuchet MS"/>
        <family val="2"/>
        <charset val="186"/>
      </rPr>
      <t>Inženierbūvju</t>
    </r>
    <r>
      <rPr>
        <strike/>
        <sz val="8.5"/>
        <rFont val="Trebuchet MS"/>
        <family val="2"/>
        <charset val="186"/>
      </rPr>
      <t xml:space="preserve"> </t>
    </r>
    <r>
      <rPr>
        <sz val="8.5"/>
        <rFont val="Trebuchet MS"/>
        <family val="2"/>
        <charset val="186"/>
      </rPr>
      <t>nodaļa</t>
    </r>
  </si>
  <si>
    <t>JVA Pilsētplānošanas pārvalde, 
Attīstības pārvaldes Tūrisma un uzņēmējdarbības attīstības nodaļa</t>
  </si>
  <si>
    <t>2.Ē1</t>
  </si>
  <si>
    <t>Gājēju ceļu infrastruktūras izbūve un esošās gājēju infrastruktūras atjaunošana</t>
  </si>
  <si>
    <t>Ē1.1.4.</t>
  </si>
  <si>
    <t>Izbūvētas un atjaunotas ietves atbilstoši Ceļu fonda izlietošanas programmai (trīs gadu periodā).</t>
  </si>
  <si>
    <t>3.Ē1</t>
  </si>
  <si>
    <t>Grantēto ielu asfaltēšana</t>
  </si>
  <si>
    <t>Ē1.2.1.</t>
  </si>
  <si>
    <t>Grantēto ielu asfaltēšana atbilstoši Ceļu fonda izlietošanas programmai (trīs gadu periodā).</t>
  </si>
  <si>
    <t>Grantēto ielu km</t>
  </si>
  <si>
    <t>4.Ē1</t>
  </si>
  <si>
    <t>Ielu asfalta seguma kapitālais remonts</t>
  </si>
  <si>
    <t>Ē1.2.2.</t>
  </si>
  <si>
    <t>Ielu asfalta seguma kapitālais remonts atbilstoši Ceļu fonda izlietošanas programmai (trīs gadu periodā).</t>
  </si>
  <si>
    <t>5.Ē1</t>
  </si>
  <si>
    <t>Seguma remonts, atjaunošana publiskās vietās un pašvaldības teritorijās</t>
  </si>
  <si>
    <t>Seguma remonts, atjaunošana publiskās vietās un pašvaldības teritorijās tiek plānota atbilstoši Ceļu fonda izlietošanas programmai (trīs gadu periodā).</t>
  </si>
  <si>
    <t>6.Ē1</t>
  </si>
  <si>
    <t>Seguma atjaunošana, teritorijas labiekārtošana pilsētas iekškvartālos</t>
  </si>
  <si>
    <t>Seguma atjaunošana, teritorijas labiekārtošana pilsētas iekškvartālos tiek plānota atbilstoši Ceļu fonda izlietošanas programmai (trīs gadu periodā).</t>
  </si>
  <si>
    <t>7.Ē1</t>
  </si>
  <si>
    <t>Jaunu ielu izbūve</t>
  </si>
  <si>
    <t>Jaunu ielu izbūve notiek atbilstoši Ceļu fonda izlietošanas programmai (trīs gadu periodā).</t>
  </si>
  <si>
    <t>Jaunu ielu km</t>
  </si>
  <si>
    <t>9.Ē1</t>
  </si>
  <si>
    <t>Tiltu atjaunošana*</t>
  </si>
  <si>
    <t>Atbilstoši definētajai nepieciešamībai Ceļu fonda izlietošanas programmā (trīs gadu periodā).</t>
  </si>
  <si>
    <t>10.Ē1</t>
  </si>
  <si>
    <t>Dzintaru dzelzceļa pārvada pārbūve</t>
  </si>
  <si>
    <t>Plānotais būvniecības procesa uzsākšanās laiks - 2023.gada 2.pusgads. 
Nodod ekspluatācijā pārbūvētu Dzintaru dzelzceļa pārvadu (t.sk.  gājēju celiņu, veloceliņu un autostāvvietu Dzintaru dzelzceļa pārvadam piekrītošajos zemes nodalījumos) plānots 2025.gadā.</t>
  </si>
  <si>
    <t>Pārbūvēta pilsētas maģistrālā iela/ pārvads.
Pārbūvēti gājēju celiņi, veloceliņi un izveidotas autostāvvietas (75 vieglām automašīnām un 12 autobusiem).</t>
  </si>
  <si>
    <t>12.Ē1</t>
  </si>
  <si>
    <t>Jaunu autostāvvietu izbūve pilsētas satiksmes infrastruktūras pilnveidei</t>
  </si>
  <si>
    <t>Ē1.2.3.</t>
  </si>
  <si>
    <t>Jaunu stāvvietu izbūve atbilstoši Ceļu fonda izlietošanas programmai (trīs gadu periodā).</t>
  </si>
  <si>
    <t>Jaunas stāvvietas – vismaz 1  vietā</t>
  </si>
  <si>
    <t>13.Ē1</t>
  </si>
  <si>
    <t>Jūrmalas satiksmes drošības uzlabošana</t>
  </si>
  <si>
    <t>Nomainīti satiksmes vadības kontrolieri, iestatīti “zaļie viļņi”, sinhronizēti luksofori, izveidoti regulējami krustojumi, t.sk.gājēju pārejas, u.c.</t>
  </si>
  <si>
    <t>SIA “Jūrmalas gaisma”</t>
  </si>
  <si>
    <t>JVA Attīstības pārvaldes Inženierbūvju  nodaļa, 
JVA Audita un kapitāldaļu pārvaldības nodaļas Kapitāldaļu pārvaldīšanas daļa</t>
  </si>
  <si>
    <t>14.Ē1</t>
  </si>
  <si>
    <t>Ielu apgaismošanas elektriskā tīkla atjaunošana/pārbūve</t>
  </si>
  <si>
    <t>Ē1.3.1.</t>
  </si>
  <si>
    <r>
      <t xml:space="preserve">
</t>
    </r>
    <r>
      <rPr>
        <u/>
        <sz val="8.5"/>
        <rFont val="Trebuchet MS"/>
        <family val="2"/>
        <charset val="186"/>
      </rPr>
      <t>2025. gadā:</t>
    </r>
    <r>
      <rPr>
        <sz val="8.5"/>
        <rFont val="Trebuchet MS"/>
        <family val="2"/>
        <charset val="186"/>
      </rPr>
      <t xml:space="preserve">
Veikta ielu apgaismošanas elektrotīkla atjaunošana/ pārbūve Dubultu prospektā no Kļavu ielas līdz Dārzu ielai (2800 m) un Ormaņu ielā no Turaidas ielas līdz Jaunā ielai (400 m).</t>
    </r>
  </si>
  <si>
    <t>15.Ē1</t>
  </si>
  <si>
    <t>Ielu apgaismošanas elektriskā tīkla atjaunošana sakarā ar AS “Sadales tīkls” veikto pārbūvi</t>
  </si>
  <si>
    <r>
      <rPr>
        <u/>
        <sz val="8.5"/>
        <rFont val="Trebuchet MS"/>
        <family val="2"/>
        <charset val="186"/>
      </rPr>
      <t>2024. gadā:</t>
    </r>
    <r>
      <rPr>
        <sz val="8.5"/>
        <rFont val="Trebuchet MS"/>
        <family val="2"/>
        <charset val="186"/>
      </rPr>
      <t xml:space="preserve">
Atjaunots ielu apgaismošanas elektrotīkls atbilstoši AS “Sadales tīkls” veiktajai pārbūvei L. Paegles ielā (Valkas iela - Zivju iela) un Kārsas ielā (Valkas iela - Zivju iela).
</t>
    </r>
    <r>
      <rPr>
        <u/>
        <sz val="8.5"/>
        <rFont val="Trebuchet MS"/>
        <family val="2"/>
        <charset val="186"/>
      </rPr>
      <t>2025. gadā:</t>
    </r>
    <r>
      <rPr>
        <sz val="8.5"/>
        <rFont val="Trebuchet MS"/>
        <family val="2"/>
        <charset val="186"/>
      </rPr>
      <t xml:space="preserve">
Veikta ielu apgaismošanas elektrisko tīklu renovācija un projektēšana K. Zolta ielā (Talsu šos. - kāpas).</t>
    </r>
  </si>
  <si>
    <t>16.Ē1</t>
  </si>
  <si>
    <t>Paaugstināt ielu apgaismojuma energosistēmas efektivitāti un sekmēt viedu risinājumu integrēšanu apgaismojuma sistēmā</t>
  </si>
  <si>
    <t>Ē1.3.1.
Ē1.3.2.</t>
  </si>
  <si>
    <t>Paaugstināta ielu apgaismojuma energosistēmas efektivitāte un sekmēta viedu risinājumu integrēšana apgaismojuma sistēmā pilsētā.</t>
  </si>
  <si>
    <t>17.Ē1</t>
  </si>
  <si>
    <t>Ē1.3.1.
Ē1.3.3.</t>
  </si>
  <si>
    <r>
      <rPr>
        <u/>
        <sz val="8.5"/>
        <rFont val="Trebuchet MS"/>
        <family val="2"/>
        <charset val="186"/>
      </rPr>
      <t>2024.gadā:</t>
    </r>
    <r>
      <rPr>
        <sz val="8.5"/>
        <rFont val="Trebuchet MS"/>
        <family val="2"/>
        <charset val="186"/>
      </rPr>
      <t xml:space="preserve">
Apgaismota pilsētā līdz šim neapgaismotā Zivju iela no Daugavpils ielas līdz Dzirnavu ielai (500 m).</t>
    </r>
  </si>
  <si>
    <t>18.Ē1</t>
  </si>
  <si>
    <t>Mobilitātes punktu izveide (t.sk. mikromobilitātes)*</t>
  </si>
  <si>
    <t>Izveidoti mobilitātes (t.sk. mikromobilitātes, Park&amp;Ride) punkti.</t>
  </si>
  <si>
    <t>19.Ē1</t>
  </si>
  <si>
    <t>Izveidotas jaunas sabiedriskā transporta pieturvietas visā pilsētā</t>
  </si>
  <si>
    <t>Ē2.2.1.</t>
  </si>
  <si>
    <t>Visā pilsētā uzstādītas jauna dizaina pieturvietas.</t>
  </si>
  <si>
    <t>20.Ē1</t>
  </si>
  <si>
    <t>Pašvaldības autoparka atjaunošana ar nulles emisiju vai zemu emisiju transportlīdzekļiem</t>
  </si>
  <si>
    <t>Ē2.3.2.</t>
  </si>
  <si>
    <t>Mainot pašvaldības transportlīdzekļus, iegādāti transportlīdzekļi ar nulles emisiju vai zemu emisiju.</t>
  </si>
  <si>
    <t>Gājēju un velosipēdu ceļu infrastruktūras atjaunošana posmā no Jaunķemeriem līdz Ķemeriem</t>
  </si>
  <si>
    <r>
      <rPr>
        <u/>
        <sz val="8.5"/>
        <rFont val="Trebuchet MS"/>
        <family val="2"/>
        <charset val="186"/>
      </rPr>
      <t>2022. un 2023.gadā:</t>
    </r>
    <r>
      <rPr>
        <sz val="8.5"/>
        <rFont val="Trebuchet MS"/>
        <family val="2"/>
        <charset val="186"/>
      </rPr>
      <t xml:space="preserve">
-pārbūvēts un atjaunots gājēju un velosipēdu ceļš 4.82 kilometru garumā posmā no Jaunķemeru pludmales kāpu zonas līdz atjaunotā Ķemeru kultūrvēsturiskā parka teritorijai.</t>
    </r>
  </si>
  <si>
    <t>Siltumnīcefekta gāzu emisiju samazināšana Jūrmalas valstspilsētas pašvaldības publisko teritoriju apgaismojuma infrastruktūra</t>
  </si>
  <si>
    <t xml:space="preserve">Siltumefekta gāzu emisiju samazināšana un energoefektivitātes uzlabošana Jūrmalas valstspilsētas pašvaldības publisko teritoriju apgaismojuma infrastruktūrā. Saskaņā ar Jūrmalas domes 2022.gada 15.septembra lēmumu Nr.453. </t>
  </si>
  <si>
    <t>Projekta ietvaros ir plānots modernizēt apgaismojumu šādās ielās:
1.	Jūrmala, Z. Meierovica iela (no Emelīnas ielas līdz Jomas ielai) 
2.	Jūrmala, Jomas iela 
3.	Jūrmala, Lienes iela 
4.	Jūrmala, Meža prospekts 
5.	Jūrmala, Rīgas ielas - Dzintaru pārvads 
6.	Jūrmala, Priedaines satiksmes mezgls 
7.	Jūrmala, Pērkona iela 
8.	Jūrmala, Lielupes tilts 
9.	Jūrmala, Rīgas iela 
Rezultātā aizstājot 286 nātrija (Na) gaismekļus uz gaismu izstarojošu diožu (LED) tipa gaismekļiem un ieviešot viedo ielu apgaismojuma vadības sistēmu, rezultātā sasniedzot CO2 emisiju samazinājumu par 18,8242 tonnām gadā.</t>
  </si>
  <si>
    <t xml:space="preserve">Izstrādāta un ieviesta  vienas drošības uzlabošanas zonas attīstība. Indikatīvi Pumpuros/Jaundubultos starp izglītības iestādēm.
</t>
  </si>
  <si>
    <t>JVA Infrastruktūras investīciju projektu nodaļa, 
JVA Audita un kapitāldaļu pārvaldības nodaļas Kapitāldaļu pārvaldīšanas daļa,
SIA "Jūrmalas gaisma"</t>
  </si>
  <si>
    <t xml:space="preserve">Tūrisms kūrortpilsētas konkurētspējai </t>
  </si>
  <si>
    <t>T</t>
  </si>
  <si>
    <t>Daudzveidīgs un kvalitatīvs tūrisma piedāvājums</t>
  </si>
  <si>
    <t>T1</t>
  </si>
  <si>
    <t>1.T1</t>
  </si>
  <si>
    <t>Daudzfunkcionāla dabas tūrisma centra jaunbūve un meža parka labiekārtojums Ķemeros (ITI SAM 5.6.2.)</t>
  </si>
  <si>
    <t>T1.1.2.</t>
  </si>
  <si>
    <t>Labiekārtota meža parka teritorija, izbūvētas telpas un izveidota centra pastāvīgā ekspozīcija (I kārta), t.sk. aprīkotas telpas, kas nepieciešamas pakalpojuma sniegšanai. Kopējās projekta īstenošanai nepieciešamās izmaksas
13 786,25 tūkst. EUR tai skaitā Eiropas Savienības un cits ārējais finansējums 5 138,74 tūkst. EUR (ieskaitot Valsts budžeta dotāciju) un pašvaldības līdzfinansējums 8 647,51 tūkst. EUR (ieskatot neattiecināmās izmaksas un ārpus projekta izmaksas). (Lēmums Nr. 382, 27.08.2020.).</t>
  </si>
  <si>
    <t>Projekta iznākuma rādītāji uz 31.12.2023.:
- objekta apmeklējumu skaita paredzamais pieaugums līdz 60 000 apmeklējumu;
- atbalstīti 2 dabas un kultūras mantojuma objekti – Daudzfunkcionālā dabas tūrisma centra ekspozīcijas zāle un Meža parka teritorija Tūristu ielā 17;
- radīti 2 tūrisma pakalpojumi - pastāvīgā ekspozīcija par dabu (I kārta) Daudzfunkcionālā dabas tūrisma centra ekspozīcijas zālē un dabas izziņa (t.sk. maza mēroga noskaņas pasākumu organizēšana
lapenē) centra funkcionālajā teritorijā
– Meža parkā;
- revitalizēta degradēta teritorija līdz 15,74 ha platībā</t>
  </si>
  <si>
    <t>2.T1</t>
  </si>
  <si>
    <t>Daudzfunkcionāla dabas tūrisma centra pakalpojumu attīstība un meža parka labiekārtojuma pilnveide Ķemeros (ITI SAM 5.5.1.)</t>
  </si>
  <si>
    <t>Labiekārtota meža parka teritorija, izbūvētas telpas un izveidota centra pastāvīgā ekspozīcija (I un II  kārta), t.sk. aprīkotas telpas,
kas nepieciešamas pakalpojuma sniegšanai. Kopējās projekta īstenošanai nepieciešamās izmaksas 6 361,14 tūkst. EUR tai skaitā Eiropas Savienības un cits ārējais finansējums 1 020,65 tūkst. EUR (ieskaitot Valsts budžeta dotāciju) un pašvaldības līdzfinansējums 5 340,49 tūkst. EUR (ieskatot neattiecināmās izmaksas un ārpus projekta izmaksas). (Lēmums Nr. 642, 26.11.2020.).</t>
  </si>
  <si>
    <t>Projekta iznākuma rādītāji uz 31.12.2023.:
- objekta apmeklējumu skaita paredzamais pieaugums līdz 60 000 apmeklējumu;
- atbalstīti 2 dabas un kultūras mantojuma objekti – Daudzfunkcionālā dabas tūrisma centra ekspozīcijas zāle un Meža parka teritorija Tūristu ielā 17;
- radīti 2 jauni tūrisma pakalpojumi
- pastāvīgā ekspozīcija par dabu (I un II kārta) Daudzfunkcionālā dabas tūrisma centra ekspozīcijas zālē un dabas izziņa (t.sk. maza mēroga noskaņas pasākumu organizēšana lapenē) centra funkcionālajā teritorijā – Meža parkā</t>
  </si>
  <si>
    <t>3.T1</t>
  </si>
  <si>
    <t>T1.4.1.</t>
  </si>
  <si>
    <t>Modernizēti brīvpieejas dzeramā ūdens krāni pilsētā iedzīvotāju un tūristu vajadzībām, kā arī uzskaitīta to padeve.</t>
  </si>
  <si>
    <t>Izveidoti vismaz 3 brīvpieejas dzeramā ūdens krāni pilsētā. Nodrošināta brīvpieejas ūdenskrānu apsaimniekošana un uzturēšana pilsētā uzstādītājiem ūdens krāniem, tai skaitā modernizētajiem.</t>
  </si>
  <si>
    <r>
      <rPr>
        <sz val="8.5"/>
        <rFont val="Trebuchet MS"/>
        <family val="2"/>
        <charset val="186"/>
      </rPr>
      <t>JVA Audita un kapitāldaļu pārvaldības nodaļas Kapitāldaļu pārvaldīšanas daļa</t>
    </r>
    <r>
      <rPr>
        <strike/>
        <sz val="8.5"/>
        <rFont val="Trebuchet MS"/>
        <family val="2"/>
        <charset val="186"/>
      </rPr>
      <t xml:space="preserve">,
</t>
    </r>
    <r>
      <rPr>
        <sz val="8.5"/>
        <rFont val="Trebuchet MS"/>
        <family val="2"/>
        <charset val="186"/>
      </rPr>
      <t>SIA "Jūrmalas ūdens"</t>
    </r>
  </si>
  <si>
    <t>4.T1</t>
  </si>
  <si>
    <t>Labiekārtot, attīstīt un pilnveidot Jomas ielu*</t>
  </si>
  <si>
    <t>T1.4.7.</t>
  </si>
  <si>
    <t>Ieviesti projekti, kas sekmēja Jomas ielas attīstību.</t>
  </si>
  <si>
    <t xml:space="preserve">Kūrortpilsētas starptautiskā konkurētspēja </t>
  </si>
  <si>
    <t>T3</t>
  </si>
  <si>
    <t>1.T3</t>
  </si>
  <si>
    <t>Veselības tūrisma infrastruktūras uzlabošana Jūrmalas slimnīcā</t>
  </si>
  <si>
    <t>T3.1.4.</t>
  </si>
  <si>
    <t>Ķirurģijas nodaļas un dienas stacionāra pakalpojumu kvalitātes pilnveidošana, pamatlīdzekļu iegāde saimnieciskās darbības nodrošināšanai, slimnīcas B korpusa pagrabstāva atjaunošana, sterilizācijas pakalpojuma kvalitātes uzlabošana, sterilizācijas iekārtu iegāde (B korpusa pagrabstāvā).</t>
  </si>
  <si>
    <t>2.T3</t>
  </si>
  <si>
    <t>Atjaunot un veikt remontdarbus tūrisma informācijas centra ēkā</t>
  </si>
  <si>
    <t>T3.6.2.</t>
  </si>
  <si>
    <t>Atjaunots Tūrisma informācijas centrs Majoros.</t>
  </si>
  <si>
    <t>JVA Īpašumu pārvaldes Pašvaldības īpašumu Tehniskā nodrošinājuma nodaļa</t>
  </si>
  <si>
    <t>3.T3</t>
  </si>
  <si>
    <t>Jūrmalas stadiona “Sloka” attīstība</t>
  </si>
  <si>
    <t>T3.11.1.</t>
  </si>
  <si>
    <t>Attīstīta un sakārtota stadiona infrastruktūra.</t>
  </si>
  <si>
    <t>Jūrmalas Futbola skola</t>
  </si>
  <si>
    <t>Atvērta un gudra pārvaldība</t>
  </si>
  <si>
    <t>Mūsdienīga pilsētas pārvaldība – skaidri, caurspīdīgi un efektīvi procesi</t>
  </si>
  <si>
    <t>A1</t>
  </si>
  <si>
    <t>1.A1</t>
  </si>
  <si>
    <t>Resursu vadības sistēmu izveide un attīstīšana</t>
  </si>
  <si>
    <t>A1.1.7.</t>
  </si>
  <si>
    <t>2023.gadā:
- Resursu vadības sistēmas attīstība - uzņemto saistību kontrole.
-  Budžeta plānošanas un izpildes kontroles sistēmas risinājuma papildinājumu izstrāde.</t>
  </si>
  <si>
    <t>JVA Informācijas un komuni- kācijas tehnoloģiju pārvaldes Sistēmu nodrošinājuma nodaļa</t>
  </si>
  <si>
    <t>JVA Budžeta nodaļa</t>
  </si>
  <si>
    <t>2.A1</t>
  </si>
  <si>
    <t>Jūrmalas valstspilsētas pašvaldības administratīvo ēku infrastruktūras attīstība</t>
  </si>
  <si>
    <t>A1.1.11.</t>
  </si>
  <si>
    <t>Jūrmalas valstspilsētas pašvaldības administratīvo ēku infrastruktūras pilnveides pasākumi tiek atspoguļoti, veicot precizējumus Investīciju plānā.</t>
  </si>
  <si>
    <t>3.A1</t>
  </si>
  <si>
    <t>Dzimtsarakstu nodaļas izveide Kļavu ielā 1A</t>
  </si>
  <si>
    <t>Pārbūvēta ēka Kļavu ielā 1A, un tajā tiek nodrošināta Dzimtsarakstu nodaļas darbība.</t>
  </si>
  <si>
    <t>Dzimtsarakstu nodaļa Jūrmalas centrālajā daļā pie jūras. Laulību ceremoniju skaita pieaugums</t>
  </si>
  <si>
    <t>JVA Pilsētplānošanas pārvalde, 
Dzimtsarakstu nodaļa, 
JVA Īpašumu pārvaldes Pašvaldības īpašumu nodaļa</t>
  </si>
  <si>
    <t>4.A1</t>
  </si>
  <si>
    <t>Jūrmalas iedzīvotāja kartes attīstība</t>
  </si>
  <si>
    <t>A1.2.8.</t>
  </si>
  <si>
    <t>Jūrmalas iedzīvotāja karte.</t>
  </si>
  <si>
    <t>5.A1</t>
  </si>
  <si>
    <t>Pašvaldības operatīvās informācijas centra izveide un attīstība</t>
  </si>
  <si>
    <t>A1.3.1.</t>
  </si>
  <si>
    <t>JPP Operatīvās informācijas centra izveide: videosienas uzstādīšana un instalācija publisku vietu 24/7 videonovērošanai, sabiedriskās kārtības un drošības uzraudzībai.</t>
  </si>
  <si>
    <t>Operatīvās informācijas centrs</t>
  </si>
  <si>
    <t>JVA Informācijas un komunikācijas tehnoloģiju pārvaldes Tehniskā nodrošinājuma nodaļa, 
Īpašumu pārvaldes Pašvaldības īpašumu tehniskā nodrošinājuma nodaļa</t>
  </si>
  <si>
    <t>6.A1</t>
  </si>
  <si>
    <t>Jūrmalas valstspilsētas pašvaldības videonovērošanas sistēmas pilnveide</t>
  </si>
  <si>
    <t>A1.3.2.</t>
  </si>
  <si>
    <t>Paplašināts publiskās videonovērošanas tīkls pilsētā.</t>
  </si>
  <si>
    <t>Ilgtspējīgas pilsētas attīstības plānošana (A2)</t>
  </si>
  <si>
    <t>A2</t>
  </si>
  <si>
    <t>1.A2</t>
  </si>
  <si>
    <t>Līdzdalības budžetēšana*</t>
  </si>
  <si>
    <t>A2.2.3.</t>
  </si>
  <si>
    <t>Ieviesta līdzdalības budžetēšana atbilstoši iedzīvotāju iniciatīvai un paustajam atbalstam/ balsojumam.</t>
  </si>
  <si>
    <t>Īstenoti vismaz 7 iedzīvotāju iesniegti projekti</t>
  </si>
  <si>
    <t>*Investīciju projekts var tikt sadalīts konkrēti definētos projektos (pēc adreses/kadastra/u.tml.) pie Investīciju plāna precizēšanas.
**Iekļauta valsts budžeta dotācija.</t>
  </si>
  <si>
    <t>2. pielikums 
Jūrmalas valstspilsētas pašvaldības investīciju plānam 2023. - 2029. gadam</t>
  </si>
  <si>
    <t>JŪRMALAS VALSTSPILSĒTAS INVESTĪCIJU PLĀNS 2024.–2026. GADAM</t>
  </si>
  <si>
    <t>IPA</t>
  </si>
  <si>
    <r>
      <rPr>
        <b/>
        <sz val="8.5"/>
        <rFont val="Tahoma"/>
        <family val="2"/>
        <charset val="186"/>
      </rPr>
      <t>AP2029
darbība</t>
    </r>
  </si>
  <si>
    <t>Veiktās investīcijas līdz 2023.g.</t>
  </si>
  <si>
    <t>Veiktās investīcijas 2023.g.</t>
  </si>
  <si>
    <t>Projekta prioritāte
(A, B, C)</t>
  </si>
  <si>
    <t>2026.</t>
  </si>
  <si>
    <t>Projekta izmaksas Investīciju plāna periodā</t>
  </si>
  <si>
    <t>2027.–
2029.</t>
  </si>
  <si>
    <t>Projekta izmaksas
KOPĀ</t>
  </si>
  <si>
    <t>Prognozējamie sagaidāmie projekta rezultāti/piezīmes</t>
  </si>
  <si>
    <t>Rezultatīvie rādītāji</t>
  </si>
  <si>
    <t>Par projekta ieviešanu atbildīgā struktūrvienība, iestāde, kapitālsabiedrība</t>
  </si>
  <si>
    <t>Par projekta ieviešanu līdzatbildīgā struktūrvienība, iestāde, kapitālsabiedrība</t>
  </si>
  <si>
    <t>Valsts mērķdotācija</t>
  </si>
  <si>
    <t>Klimatnoturīga pilsētvide</t>
  </si>
  <si>
    <t>JVA Kultūras nodaļa,
Audita un kapitāldaļu pārvaldības nodaļas Kapitāldaļu pārvaldīšanas daļa,
Jūrmalas Vaivaru pamatskola,
SIA “Jūrmalas gaisma”</t>
  </si>
  <si>
    <t>Asaru parka publiskās ārtelpas attīstība</t>
  </si>
  <si>
    <r>
      <t xml:space="preserve">Pašvaldība, gatavojot projekta ideju, apzināja mērķa grupu vajadzības, apkopojot iedzīvotāju iesūtītos priekšlikumus (ir saņemti 68 iedzīvotāju priekšlikumi), kā arī tiekoties ar iedzīvotājiem 2023. gada 15. novembrī. 
Parka infrastruktūra tiks papildināta ar dzeramā ūdens brīvkrānu, āra trenažieriem, apgaismojumu, meliorācijas risinājumiem un labiekārtojuma elementiem. Projektā izmantotie risinājumi veidos Asaru parka publisko ārtelpu daudzpusīgu un pievilcīgu parka apmeklētājiem.
</t>
    </r>
    <r>
      <rPr>
        <i/>
        <sz val="8.5"/>
        <rFont val="Tahoma"/>
        <family val="2"/>
        <charset val="186"/>
      </rPr>
      <t>Projekts iesniegts 01.12.2023.: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pasākuma “Publiskās ārtelpas attīstība”.</t>
    </r>
    <r>
      <rPr>
        <sz val="8.5"/>
        <rFont val="Tahoma"/>
        <family val="2"/>
        <charset val="186"/>
      </rPr>
      <t xml:space="preserve">
</t>
    </r>
    <r>
      <rPr>
        <i/>
        <sz val="8.5"/>
        <rFont val="Tahoma"/>
        <family val="2"/>
        <charset val="186"/>
      </rPr>
      <t>Jūrmalas domes 2023.gada 28.septembra lēmums Nr.430 par dalību projektu konkursā.</t>
    </r>
  </si>
  <si>
    <t>SIA “Jūrmalas gaisma”, 
JVA Īpašumu pārvaldes Pilsētsaimniecības un labiekārtošanas nodaļa,
Audita un kapitāldaļu pārvaldības nodaļas Kapitāldaļu pārvaldīšanas daļa,
Attīstības pārvaldes Tūrisma un uzņēmējdarbības attīstības nodaļa, 
Infrastruktūras investīciju projektu nodaļa, 
Inženierbūvju nodaļa</t>
  </si>
  <si>
    <t>Iedzīvotājiem brīvā laika pavadīšanai (atsevišķās apkaimēs arī bērnu rotaļlaukumiem) pielāgota publiskā ārtelpa</t>
  </si>
  <si>
    <t>SIA “Jūrmalas gaisma”, 
JVA Audita un kapitāldaļu pārvaldības nodaļas Kapitāldaļu pārvaldīšanas daļa, 
Pilsētplānošanas pārvalde</t>
  </si>
  <si>
    <t>Iedzīvotājiem brīvā laika pavadīšanai pielāgota publiskā ārtelpa (t.sk. bērnu rotaļlaukums un brīvpieejas sporta laukums u.c.) Ideju plānots iesniegt 2024.gadā Eiropas Jūrlietu, zvejniecības un akvakultūras fonda finansējuma saņemšanai, pieņemot atsevišķu Jūrmalas domes lēmumu par dalību projektu konkursā.</t>
  </si>
  <si>
    <t>JVA Attīstības pārvaldes Stratēģiskās plānošanas nodaļa,
Pilsētplānošanas pārvalde,
Īpašumu pārvaldes Pilsētsaimniecības un labiekārtošanas nodaļa,
Audita un kapitāldaļu pārvaldības nodaļas Kapitāldaļu pārvaldīšanas daļa,
SIA “Jūrmalas gaisma”</t>
  </si>
  <si>
    <t>2024.gadā:
Bērnu rotaļu laukuma izveide JPII Mārīte, Saulīte, Katrīna, Taurenītis (173 426 EUR) - katram bērnu laukumam tiks izstrādāta skice, lai uzstādītu prasītās bērnu rotaļu vai sporta iekārtas.
Dzintaru Mežaparka mazā sporta laukuma pārbūve (107 698 EUR).
Braslas ielas izejā uz jūru pludmalē uzstādīta vingrošanas ierīce (6326 EUR).</t>
  </si>
  <si>
    <t xml:space="preserve">Bērnu laukumu un sporta infrastruktūras izveide un atjaunošana atbilstoši identificētai vajadzībai
</t>
  </si>
  <si>
    <t>Nodrošināt pilsētas iedzīvotājiem iespēju pastaigāties ar suņiem bez pavadas tiem paredzētā iežogotā laukumā</t>
  </si>
  <si>
    <t>Sabiedrisko tualešu (WC) izveide un uzturēšana cilvēku koncentrēšanās vietās, t.sk. ārpus vasaras sezonas</t>
  </si>
  <si>
    <t>10.P1</t>
  </si>
  <si>
    <t>Slokas vēsturiskā centra atjaunošana</t>
  </si>
  <si>
    <t>P1.1.8.</t>
  </si>
  <si>
    <t>IAS2030 pasākums: Atjaunots Slokas vēsturiskais centrs</t>
  </si>
  <si>
    <t>Pilnveidota vide Slokas apkaimē</t>
  </si>
  <si>
    <t>JVA Attīstības pārvalde,
Īpašumu pārvalde, Pilsētplānošanas pārvalde</t>
  </si>
  <si>
    <t>Atjaunota Beberbeķu kapsētas infrastruktūra, labiekārtota teritorija. Labiekārtotas un uzturētas pārējās Jūrmalas valstspilsētas pašvaldības iestādes “Jūrmalas kapi” pārvaldībā esošās kapsētas.
Izvērtēt iespēju kapsētu paplašināšanai, jo esošo piepildījums tuvojas maksimumam</t>
  </si>
  <si>
    <t>Dušas, pārģērbšanās kabīnes, norādes, atkritumu konteineri utt.
Atbilstoši 2021.gada līgumam - ikgadēji ieguldījumi jaunu pārģērbšanās kabīņu izgatavošanā (8295 EUR).</t>
  </si>
  <si>
    <t>Labiekārtotas 11 peldvietas</t>
  </si>
  <si>
    <r>
      <t xml:space="preserve">Pilnveidots apgaismojums, atjaunotas laipas, nodrošinātas inženierkomunikācijas utt.
2024.gadā:
Jaunu koka laipu izgatavošanai izejās uz jūru. </t>
    </r>
    <r>
      <rPr>
        <i/>
        <sz val="8.5"/>
        <rFont val="Tahoma"/>
        <family val="2"/>
        <charset val="186"/>
      </rPr>
      <t xml:space="preserve">2023. gada 6-8. oktobra vētras postījumu rezultātā salauztas koka laipas izejās uz jūru visā pludmales garumā, nepieciešams izgatavot 220 gab. jaunus koka laipu posmus (30 045 EUR).
</t>
    </r>
  </si>
  <si>
    <t>14.P1</t>
  </si>
  <si>
    <t>Slokas promenādes atjaunošana</t>
  </si>
  <si>
    <t>P1.3.1.</t>
  </si>
  <si>
    <t xml:space="preserve">Atjaunota promenāde Slokā, t.sk. labiekārtojums  un publiskās ārtelpas pilnveide atbilstoši iedzīvotāju vajadzībām. 
</t>
  </si>
  <si>
    <t>Atjaunota Slokas promenāde gar upi</t>
  </si>
  <si>
    <t>JVA Īpašumu pārvaldes Pilsētsaimniecības un labiekārtošanas nodaļa,
Attīstības pārvaldes Stratēģiskās plānošanas nodaļa, 
Inženierbūvju nodaļa</t>
  </si>
  <si>
    <t>15.P1</t>
  </si>
  <si>
    <t>Infrastruktūras izveide kājāmgājēju kustības nodrošināšanai gar Lielupi visā tās garumā Jūrmalas teritorijā*</t>
  </si>
  <si>
    <t>Kājāmgājēju infrastruktūra gar Lielupi</t>
  </si>
  <si>
    <t>JVA Īpašumu pārvaldes Pilsētsaimniecības un labiekārtošanas nodaļa, 
Pašvaldības īpašumu nodaļa, 
Pilsētplānošanas pārvalde</t>
  </si>
  <si>
    <r>
      <t xml:space="preserve">2024.-2026.gadā piesaistīt ārējo finanšu līdzekļu finansējumu:
*Ezeru ielas peldvietas infrastruktūras pilnveide un pielāgošana cilvēkiem ar funkcionāliem traucējumiem, atbilstoši iespējām un ārējā finansējumā avotu pieejamībai;
*Labiekārtotas peldvietas izveide Slokā pie Lielupes, atbilstoši iedzīvotāju ierosinājumiem ar Eiropas Jūrlietu, zvejniecības un akvakultūras fonda finansējumu. 
</t>
    </r>
    <r>
      <rPr>
        <i/>
        <sz val="8.5"/>
        <rFont val="Tahoma"/>
        <family val="2"/>
        <charset val="186"/>
      </rPr>
      <t>Kad tiks pieņemts Jūrmalas domes lēmums par dalību konkrētā projekta konkursā, tiks izveidots atsevišķs Investīciju projekts.</t>
    </r>
  </si>
  <si>
    <t>Pilnveidotas 1 peldvieta,
attīstīta 1 peldvieta.</t>
  </si>
  <si>
    <t>Pilnveidots/izveidots apgaismojums un atjaunots/ uzlabots ceļa segums</t>
  </si>
  <si>
    <t>Atbilstoši Jūrmalas ostas stratēģijai (izstrādes procesā)</t>
  </si>
  <si>
    <t>Lielupes grīvas kuģu kanāla padziļināšanas darbi. 
Lielupes grīvas kuģa kanālu nepieciešams ikgadēji padziļināt, lai nodrošinātu drošu kuģošanu un novērstu iespējamus plūdu draudus. 2023. gadā darbi netika veikti un pašvaldībai tiks atgriezts piešķirtais finansējums EUR 87 000 apmērā. Paredzamā cena noteikta atbilstoši veiktam aprēķinam, jo 2023. gadā veiktie iepirkumi tika izbeigti bez rezultāta. 
2024.-2025.gadā - plānots iesniegt projekta pieteikumu Eiropas Jūrlietu, zvejniecības un akvakultūras fonda (aktivitāte provizoriski ir sasaistē arī ar IP projektu - 3.P2) saņemšanai, lai ikgadēji veiktu padziļināšanas darbus.</t>
  </si>
  <si>
    <t>INTERREG Igaunijas - Latvijas  transnacionālās sadarbības programmas 2. prioritātes “Ūdenstūrisma pieejamība”  projekta “Ūdens tūrisma aktivitāšu pieejamības veicināšana” (Facilitating access to water tourism/Riverways II) ietvaros ir plānots veikt Ezeru ielas peldvietas infrastruktūras atjaunošanu un abiekārtošanu - piknika vietas, pārģērbšanās kabīnes, pielāgotas labierīcības, pontona (laivu piestātnes) uzlabošana, kā arī ugunskura vietas, vides pieejamības uzlabošana no piebraucamā ceļa uz peldvietu, makšķerēšanas vieta, informatīvās norādes, bērnu rotaļu un vingrošanas iekārtu laukums. Finansējums EST-LAT projekta ietvaros nav pietiekams, lai īstenotu visas nepieciešamās aktivitatēs, ja projekts tiks apstiprināts, tiks izvērtēts, kas ir īstenojams ar ārējo finansējumu un kādas aktivitātes papildus pašvaldība varētu veikt no pašvaldības budžeta.</t>
  </si>
  <si>
    <t xml:space="preserve">JVA Īpašumu pārvaldes Pilsētsaimniecības un labiekārtošanas nodaļa,
Attīstības pārvaldes Tūrisma un uzņēmējdarbības attīstības nodaļa
</t>
  </si>
  <si>
    <t>Veikts krasta stiprinājums Tīklu ielā 10 un 17</t>
  </si>
  <si>
    <t>Veikti Lielupes radīto plūdu un krasta erozijas risku apdraudējuma novēršanas pasākumi Dubultu, Majoru un Dzintaru teritorijā. Izbūvētas un atjaunojotas pretplūdu būves Lielupes kreisajā krastā, lai pielāgotu plūdu riskam pakļautās pilsētas teritorijas klimata pārmaiņām, nodrošinātu iedzīvotājiem kvalitatīvāku dzīves vidi, kā arī palielinātu plūdu riskam pakļautā reģiona (Dubulti-Majori-Dzintari) uzņēmēju saimnieciskās darbības konkurētspēju un nodrošinātu uzņēmējdarbības turpmāku pastāvēšanu. Kopējās projekta īstenošanai nepieciešamās izmaksas 5 237,82 tūkst. EUR tai skaitā Eiropas Savienības un cits ārējais finansējums 1 978,88 tūkst. EUR (ieskaitot Valsts budžeta dotāciju) un pašvaldības līdzfinansējums
3 258,94 tūkst. EUR (ieskatot neattiecināmās izmaksas un ārpus projekta izmaksas). (Lēmums Nr. 401, 23.08.2018.).</t>
  </si>
  <si>
    <t>Jūrmalas ostas pārvalde,
JVA Īpašumu pārvalde</t>
  </si>
  <si>
    <t>3.P2</t>
  </si>
  <si>
    <t>Lielupes kreisā krasta nostiprinājuma izbūve Lielupes grīvas teritorijā (ieteka jūrā)</t>
  </si>
  <si>
    <t xml:space="preserve">Atbilstoši Jūrmalas domes 2023.gada 28.septembra lēmumam Nr.448 (par dalību projektu ideju atlasē) - indikatīvie sagaidāmie rezultāti:  
1. plūdu risku un krasta erozijas mazināšana Jūrmalas pilsētā; 
2. smilšu sanesumu mazināšana Lielupes grīvā;
3. padziļināts kuģošanas ceļš Lielupes grīvā, kas nodrošina patstāvīgu navigāciju, kas ir nepieciešama Jūrmalas ostas turpmākai darbībai.
Projektu plānots realizēt - Eiropas Savienības kohēzijas politikas programmas 2021.-2027. gadam specifiskā atbalsta mērķa 2.1.3 “Veicināt pielāgošanos klimata pārmaiņām, risku novēršanu un noturību pret katastrofām” pasākuma 2.1.3.2. “Nacionālās nozīmes plūdu un krasta erozijas pasākumi”.
</t>
  </si>
  <si>
    <t>4.P2</t>
  </si>
  <si>
    <t>Lielupes kreisā krasta atbalstsienas atjaunošana</t>
  </si>
  <si>
    <t>Atjaunota atbalstsiena un ūdensatvades sistēma zem dzelzceļa tilta Mastu ielā</t>
  </si>
  <si>
    <t>1 atjaunota atbalsta siena pret plūdu draudiem</t>
  </si>
  <si>
    <t>Papildināta iebraukšanas sistēma, iebraukšanas e-pakalpojumu uzlabojumi atbilstoši caurlaides režīma ieviešanai visa gada garumā.</t>
  </si>
  <si>
    <t>JVA Īpašumu pārvaldes Nodokļu nodaļa, 
Jūrmalas pašvaldības policija</t>
  </si>
  <si>
    <t>Projekta mērķis ir atbilstoši attīrītu notekūdeņu atkārtota izmantošana dabā, tādējādi ilgtspējīgi un lietderīgi izmantojot pieejamos ūdens resursus. 
Projektā  veikta virkne dažādu paraugu testēšana laboratorijas apstākļos, lai noskaidrotu iespējamos riskus un izaicinājumus, izmantojot atbilstoši attīrītos notekūdeņus;
Savukārt projekta īstenošanas vidusdaļā plānota atkārtoti izmantojamā ūdens pielietošana pilsētas apstādījumu zonās, lai tādējādi veicinātu ūdens resursa lietderīgu izmantošanu, kā arī veicinātu zaļo risinājumu ieviešanu pilsētvidē.</t>
  </si>
  <si>
    <t>Sakārtota un uzlabota lietus ūdens kanalizācijas un meliorācijas sistēma.
Lietus ūdens kanalizācijas sūkņu staciju pārbūve.</t>
  </si>
  <si>
    <t>NURSECOAST-II</t>
  </si>
  <si>
    <t xml:space="preserve">Projekta ieviešana uzsākta, projekts iekļauts apstiprinātajā SIA "Jūrmalas ūdens" vidēja termiņa darbības stratēģijā.
Projekts ieviešanas un finansējuma izlietošanas uzraudzības ziņā ir identisks investīciju plānā iekļautajam projektam "ReNutriWater"
Projekta laikā sadarbībā ar projekta pārrobežu partneriem tiek izstrādāti pētījumi un rasti risinājumu iespējamie modeļi notekūdeņu piesārņojuma slodzes mazināšanai Baltijas jūras piekrastes teritorijā ar CE &lt;2000 un vienlaikus izteiktu sezonālo tūrismu. </t>
  </si>
  <si>
    <t>Starptautisks pētījums, vidēja termiņa rezultātu izvērtējuma konference Jūrmalā 2024. gadā, 
priekšlikumu un izaicinājumu apkopojums notekūdeņu savākšanas un attīrīšanas procesa pilnveidei, lai situāciju ilgtermiņā risinātu teritorijās ar daļēju notekūdeņu novadīšanas tīkla pārklājumu</t>
  </si>
  <si>
    <r>
      <t xml:space="preserve">Ieguvumi:
-Datu ievākšana un uzkrāšana, kas tiek izmantoti klimata faktoru monitoringā (t.sk. izstrādāti klimata un epidemioloģiskie modeļi un to ģenerēšana un simulēšana Rīgas un Jūrmalas situācijām); 
-Identificēti Jūrmalas valstspilsētai nopietnākie klimata pārmaiņu riski, kas ietekmē sabiedrības veselību – izstrādāts plāns risku mazināšanai un novēršanai, sabiedrības veselības stāvokļa uzlabošanai;
-Pieredzes apmaiņa līdzvērtīgu risinājumu veidošanā;
-Labās prakses pārņemšana, t.sk. mākslīgā intelekta tehnoloģiju radīti agrīnie brīdinājumi un risinājumi;
-Datu pieejamības nodrošināšana Jūrmalas valstspilsētas pašvaldības ģeogrāfiskās informācijas sistēmā.
</t>
    </r>
    <r>
      <rPr>
        <i/>
        <sz val="8.5"/>
        <rFont val="Tahoma"/>
        <family val="2"/>
        <charset val="186"/>
      </rPr>
      <t>Eiropas Savienības pētniecības un inovācijas programmas Apvārsnis (HORIZON) Eiropa 2021-2027 “Ilgtermiņa un īstermiņa datu analīze par klimatu ietekmējošiem faktoriem veselīgas pilsētvides veidošanā” ietvaros</t>
    </r>
  </si>
  <si>
    <t>Ir uzstādītas attālinātās vadības un vizualizācijas sistēmas katlumājās. Optimizēts šķeldas katlu darbības režīms, palielināts AER īpatsvars</t>
  </si>
  <si>
    <t>Katlumāju attālinātas vadības pieslēgšana pie esošās tālvadības sistēmas (SCADA)</t>
  </si>
  <si>
    <t>Siltuma zudumu samazināšana, MWh/normatīvo apkures grādu dienas, avārijas risku mazināšana</t>
  </si>
  <si>
    <r>
      <t>CO</t>
    </r>
    <r>
      <rPr>
        <vertAlign val="subscript"/>
        <sz val="8.5"/>
        <rFont val="Tahoma"/>
        <family val="2"/>
        <charset val="186"/>
      </rPr>
      <t>2</t>
    </r>
    <r>
      <rPr>
        <sz val="8.5"/>
        <rFont val="Tahoma"/>
        <family val="2"/>
        <charset val="186"/>
      </rPr>
      <t xml:space="preserve"> emisiju samazinājums (tiks aprēķināts, izstrādājot detalizētu projekta tehniski ekonomisko pamatojumu)</t>
    </r>
  </si>
  <si>
    <r>
      <t>Izbūvēta šķeldas katlumāja (5 MW). Siltumenerģija tiek ražota ar atjaunojamajiem energoresursiem, kā rezultātā par 20 000 MWh samazinās ar dabasgāzi saražotais apjoms un iegūts
4000 t CO</t>
    </r>
    <r>
      <rPr>
        <vertAlign val="subscript"/>
        <sz val="8.5"/>
        <rFont val="Tahoma"/>
        <family val="2"/>
        <charset val="186"/>
      </rPr>
      <t>2</t>
    </r>
    <r>
      <rPr>
        <sz val="8.5"/>
        <rFont val="Tahoma"/>
        <family val="2"/>
        <charset val="186"/>
      </rPr>
      <t xml:space="preserve"> emisiju samazinājums gadā</t>
    </r>
  </si>
  <si>
    <r>
      <t>CO</t>
    </r>
    <r>
      <rPr>
        <vertAlign val="subscript"/>
        <sz val="8.5"/>
        <rFont val="Tahoma"/>
        <family val="2"/>
        <charset val="186"/>
      </rPr>
      <t>2</t>
    </r>
    <r>
      <rPr>
        <sz val="8.5"/>
        <rFont val="Tahoma"/>
        <family val="2"/>
        <charset val="186"/>
      </rPr>
      <t xml:space="preserve"> emisiju samazinājums par 4000 t gadā</t>
    </r>
  </si>
  <si>
    <t>1. Iegādāti elektroauto operatoriem.
2. Veikta klientu ikgadējā aptauja.
3. Visiem klientiem izveidots profils e-vidē.
4. Veikti tirgus izpētes pasākumi jaunu objektu pieslēgšanas potenciāla apzināšanai (centralizētajā un decentralizētajā siltumapgādes sistēmā).
5. Veikta pārvades sistēmas digatilizācija – siltumnesēja temperatūras stabilizācija, siltuma zudumu samazinājums. Energoefektivitātes pienākuma shēmas saistību pildīšana.
6. Iegādāta hidrauliskā modelēšanas programma - siltuma zudumu samazināšana (MWh/apkures grādu dienas), aprēķinot nepieciešamo siltumavotu izejas temperatūru, spiediena starpību. Elektroener- ģijas patēriņa samazināšana (kWh), nomaināmo cauruļu diametru aprēķins, to ietekme uz visu hidraulisko sistēmu</t>
  </si>
  <si>
    <t>Jūrmalas ūdenssaimniecības attīstības projekta IV kārtas īstenošana</t>
  </si>
  <si>
    <t>Turpinās ūdensapgādes un kanalizācijas tīklu paplašināšana (IV kārta). Ūdenssaimniecības tīklu izbūve dažādās pilsētas apkaimēs, izveidojot centralizētā ūdensapgādes un sadzīves kanalizācijas novadīšanas tīklu un pieslēgumu pievadus un atzarus līdz privātīpašuma robežai</t>
  </si>
  <si>
    <t>Ūdensapgādes un kanalizācijas tīkliem var pieslēgties Dzintari un Majori, Buļļuciems - Bulduri, Dubulti - Pumpuri, Valteri un Krastciems, Asari, Jaunķemeri - Ķemeri apkaimēs.
Tīklu izbūve turpinās Bražciems - Bulduri, Asari - Ķemeri, Sloka un Vaivari, Kaugurciems un Slokas apkaimēs.
Pieslēgti 7200 deklarētie Jūrmalas iedzīotāji, kam līdz projekta aktivitāšu īstenošanai ūdenssaimniecības tīkli un līdz ar to centralizētais kanalizācijas pakalpojums nebija pieejams</t>
  </si>
  <si>
    <t>Iegādāti pamatlīdzekļi kapitālsabiedrības saimnieciskās darbības nodrošināšanai:
1) ūdensvada un kanalizācijas tīklu pārbūve,
2) kanalizācijas pārsūknēšanas staciju pārbūve,
3) automašīnu iegāde,
4) biroja tehnikas iegāde,
5) nepieciešamo iekārtu iegāde</t>
  </si>
  <si>
    <t>Izveidota saules enerģijas stacija Slokas notekūdeņu attīrīšanas iekārtu NAI teritorijā Mežmalas ielā 41, aizstājot iepirkto elektroenerģiju ar pašsaražoto atjaunojamo enerģiju</t>
  </si>
  <si>
    <t>Ēku kopleksās siltināšanas vai energoefektivitātes risinājumu ieviešana ūdenapgādes objektos, kā arī saules paneļu uzstādīšana vai citi atbalstāmi risinājumi zaļās atjaunojamās enerģijas ieguvei, lai ar pašsaražoto enerģiju aizstātu iepērkamo enerģijas apjomu.
Projekts tiks īstenots, ja tiks apstiprināts līdzfinansējums no  Eiropas Struktūrfondiem vai citiem ārējiem finanšu avotiem.</t>
  </si>
  <si>
    <t>Projekta rezultāti tiks precizēti pēc atlases prasībām un finansēšanas nosacījumiem atbalstāmajām aktivitātēm.</t>
  </si>
  <si>
    <t>Saules paneļu uzstādīšana izbūvētajos sadzīves kanalizācijas novadīšanas vai attīrīšanas objektos, atjaunojamās enerģijas īpatsvara palielināšanai. Tiks realizēts, ja tiks piesaistīts ES fondu līdzfinansējums vai cits ārējais finansējums</t>
  </si>
  <si>
    <t>Saules paneļu uzstādīšana vai cita risinājuma īstenošana  atjaunojamās enerģijas ieguvei</t>
  </si>
  <si>
    <t>Izveidoti biofiltrācijas lauki ar iespēju notekūdeņu attīrīšanai izmantot augus (fito attīrīšana). Tiks realizēts, ja tiks piesaistīts ES fondu līdzfinansējums vai cits ārējais finansējums.</t>
  </si>
  <si>
    <t>Dūņu apstrādes tehnoloģijas pilnveide Slokas NAI teritorijā:
- biogāzes ražošana;
- dūņu kompostēšana;
- dūņu žāvēšana;
- hidrauliskās un bioreaktoru jaudas palielināšana;
- energoefektivitātes pasākumu īstenošana
Tiks realizēts, ja tiks piesaistīts ES fondu līdzfinansējums vai cits ārējais finansējums</t>
  </si>
  <si>
    <t>Veikta dūņu apstrādes procesa uzlabošana, apstrādājot dūņas efektīvākā veidā</t>
  </si>
  <si>
    <t>Atjaunots spiedvads vai atsevišķi tā posmi. Tiks realizēts, ja tiks piesaistīts ES fondu līdzfinansējums vai cits ārējais finansējums
Projektā plānota spiedvada Lielupe - Daugavgrīva rekonstrukcija, notekūdeņu novadīšanas procesa nodrošināšanai un vides risku mazināšanai potenciālo avāriju gadījumā (2024. gada laikā plānota būvprojekta izstrāde spiedvada rekonstrukcijai, ar sekojošu būvdarbu fāzi 2025. un 2026. gadā).</t>
  </si>
  <si>
    <t>Atjaunots spiedvads vai atsevišķi tā posmi
Spiedvada (11 km) vai atsevišķu tā posmu rekonstrukcija</t>
  </si>
  <si>
    <t xml:space="preserve">2022./2023.gadā izbūvēta šķeldas katlu māja Slokas ielā 47A, Jūrmalā. </t>
  </si>
  <si>
    <t>Energofektivitātes pasākumi Nometņu ielā 5a, Jūrmalā
(4.2.2.0/22/A/012)</t>
  </si>
  <si>
    <t>Garāžas ēkas siltināšana Jūrmalā, Nometņu ielā 5a, veicot logu un vārtu nomaiņu, grīdas un griestu siltināšanu.
Projekts īstenots pilnībā, veiktās izmaksas atzītas par atbilstoši veiktām</t>
  </si>
  <si>
    <t xml:space="preserve">kompleksi siltināta viena ēka. Pilnā apjomā sasniegti projektā izvirzītie mērķi. </t>
  </si>
  <si>
    <t>Kompleksi ēku siltināšanas pasākumi trīs SIA "Jūrmalas ūdens" ēkām Promenādes ielā 1a, Jūrmalā (birojs, garāža un avārijas dienesta ēka), kas tiek izmantotas ūdenssaimniecības pakalpojumu nodrošināšanai Jūrmalas valstspilsētā. Projekta pieteikums iesniegti izvērtēšanai CFLA un saņemts lēmums par projekta apstiprināšanu ar nosacījumiem. Projekta īstenošana plānota 2024. un 2025. gadā. Attiecināmo izmaksu atbalsta likme 100% no Eiropas Savienības Atveseļošanas fonda.
Cits finansējums - SIA "Jūrmalas ūdens" līdzekļi.</t>
  </si>
  <si>
    <t>Kompleksi ēkas siltināšanas pasākumi SIA "Jūrmalas ūdens" biroja - laboratorijas ēkai Nometņu ielā 5a, Jūrmalā, kas tiek izmantota ūdenssaimniecības pakalpojumu nodrošināšanai Jūrmalas valstspilsētā. Projekta pieteikums iesniegts izvērtēšanai CFLA un saņemts lēmums par projekta apstiprināšanu ar nosacījumiem. Projekta īstenošana plānota 2024. un 2025. gadā. Attiecināmo izmaksu atbalsta likme 100% no Eiropas Savienības Atveseļošanas fonda.
Cits finansējums - SIA "Jūrmalas ūdens" līdzekļi.</t>
  </si>
  <si>
    <t>3.P4</t>
  </si>
  <si>
    <t>P 4.1.2.</t>
  </si>
  <si>
    <t xml:space="preserve">Jūrmalas valstspilsētas administrācija: finanšu līdzekļi konkursa kārtībā piešķirti daudzdzīvokļu dzīvojamo māju energoauditiem, tehniskās apsekošanas atzinumiem un būvprojektu izstrādei atbilstoši JD 2022.gada 25.oktobra saistošajiem noteikumiem Nr.50 "Par Jūrmalas valstspilsētas pašvaldības līdzfinansējuma apjomu un tā piešķiršanas kārtību daudzdzīvokļu dzīvojamo māju energoefektivitātes uzlabošanas pasākumu veikšanai"
2024. gadā ir iespējams pieteikt projektu finansējuma saņemšanai visa gada laikā, pēc projektu izskatīšanas tiks veiktas nepieciešamās darbības, lai paredzētu 2024.gada budžeta finansējuma projekta īstenošanas uzsākšanai. Vienai biedrībai līdz 7 tūkst. EUR. </t>
  </si>
  <si>
    <t>Konkurētspējīga, pieejama un iekļaujoša izglītība</t>
  </si>
  <si>
    <t>Izglītības satura un procesa attīstība</t>
  </si>
  <si>
    <t>Pamatojoties uz JVA 11.12.23. vēstuli Nr.1.1-37/23N-5701 “Par 2021.gada 4.augusta būvdarbu līguma Nr.1.2-16.4.2.1/21-928 izbeigšanu” būvdarbi 2023.gadā tika apturēti līdz jauna būvdarbu iepirkuma izsludināšanai. 
2024.gadā būvdarbu iepirkums - finansējuma apjoms tiks precizēts.</t>
  </si>
  <si>
    <t>Jūrmalas Izglītības pārvalde (JPII "Bitīte"), 
JVA Īpašumu pārvaldes Pašvaldības īpašumu nodaļa</t>
  </si>
  <si>
    <t>Veikta pirmsskolas izglītības iestādes ēkas pilna pārbūve un tai piegulošās teritorijas labiekārtošana (2025.–2028. gads)</t>
  </si>
  <si>
    <t>Veikta pirmsskolas izglītības iestādes ēkas pilna pārbūve un tai piegulošās teritorijas labiekārtošana</t>
  </si>
  <si>
    <t>Jūrmalas Izglītības pārvalde, 
Īpašumu pārvaldes Pašvaldības īpašumu nodaļa, 
Pašvaldības īpašumu tehniskā nodrošinājuma nodaļa, 
JPII “Saulīte”</t>
  </si>
  <si>
    <t>Jūrmalas Izglītības pārvalde, 
JVA Īpašumu pārvaldes Pašvaldības īpašumu nodaļa, 
Pašvaldības īpašumu tehniskā nodrošinājuma nodaļa, 
JPII “Mārīte”</t>
  </si>
  <si>
    <t>Jūrmalas pirmsskolas izglītības iestādes “Lācītis” pārbūve</t>
  </si>
  <si>
    <t>Jūrmalas pirmsskolas izglītības iestādes “Zvaniņš” pārbūve</t>
  </si>
  <si>
    <t>Jūrmalas pirmsskolas izglītības iestādes “Podziņa” pārbūve</t>
  </si>
  <si>
    <t>Jūrmalas pirmsskolas izglītības iestādes “Taurenītis” atjaunošana</t>
  </si>
  <si>
    <t>Jūrmalas pirmsskolas izglītības iestādes “Ābelīte” pārbūve</t>
  </si>
  <si>
    <t>Objekta Raiņa ielā 53 pārbūve– pirmsskolas izglītības iestāde</t>
  </si>
  <si>
    <t>2024.gadā:
JPII - Namiņš, Madara, Ābelīte, Podziņa, Zvaniņš, Lācītis, Mārīte, Saulīte - siltummezglu pārbūve, nojumju atjaunošana un citi atjaunošanas darbi.</t>
  </si>
  <si>
    <t>Jūrmalas Izglītības pārvalde, 
JVA Īpašumu pārvaldes Pašvaldības īpašumu nodaļa, 
visas JPII</t>
  </si>
  <si>
    <t>Veikta sākumskolas ēkas pilna pārbūve un tai piegulošās teritorijas labiekārtošana</t>
  </si>
  <si>
    <t>Jūrmalas Vaivaru pamatskolas infrastruktūras attīstība (Jūrmalas Luda Bērziņa pamatskola no 2026.gada 1.jūlija)</t>
  </si>
  <si>
    <t>2022.gadā iegādāts īpašums Strēlnieku prospektā 32 ar mērķi, veicot pārbūvi, izvietot ēkā iekļaujošās izglītības iestādi un atbilstošu iekļaujošās izglītības centru (JD 25.10.2022. lēmums Nr.464 "Par Jūrmalas Luda Bērziņa pamatskolas dibināšanu,  reorganizējot Jūrmalas pamatskolu un Jūrmalas Vaivaru pamatskolu"). Saskaņā ar lēmuma 7.punktu ir jāparedz finansējums būvprojekta izstrādei.
2023.gadā ir veikti ēkas Strēlnieku prospektā 32 konservācijas darbi.
2024.-2025.gadam ir paredzēta būvprojekta izstrāde, atbilstoši iepirkuma ID Nr.JVA 2023/57 rezultātiem, t.sk. 40% avanss 2024.gadā un gala norēķins 2025.gadā.
Būvdarbus plānots uzsākts 2026.gadā un pabeigt 2028.gadā, ar indikatīvo finansējumu 6 008,06 tūkst. EUR</t>
  </si>
  <si>
    <t>Jūrmalas Izglītības pārvalde, 
Vaivaru pamatskola,
JVA Īpašumu pārvaldes Pašvaldības īpašumu nodaļa, 
Pašvaldības īpašumu tehniskā nodrošinājuma nodaļa</t>
  </si>
  <si>
    <t>Labiekārtota sporta zāle: pārbūvēta ventilācijas un apkures sistēma, atjaunots zāles grīdas segums, pārbūvēts apgaismojums, elektrība, vājstrāva, veikts zāles, ģērbtuvju un balkona kosmētiskais remonts.
2022.gadā pabeigts būvprojekts un papildināts būvptojekts ar 2023.gadā veikto ar iekšējās ūdensapgādes un kanalizācijas, un ventilācijas siltumapgādes projekta daļām.  Ir plānots uzsākt būvdarbus 2024.gadā, ņemot aizdevumu. Izmaksas saskaņā ar noslēgtajiem iepirkumiem sastāda 555 216,19 euro. Veiktās izmaksas līdz 2023,gadam ieskaitot sastāda 15 394,40 euro, un 2024.gada un 2025.gada ietvaros izmaksas plānotas 539 821,79 euro.</t>
  </si>
  <si>
    <t>Jūrmalas Izglītības pārvalde, 
Mežmalas pamatskola,
JVA Īpašumu pārvaldes Pašvaldības īpašumu nodaļa, 
Pašvaldības īpašumu tehniskā nodrošinājuma nodaļa</t>
  </si>
  <si>
    <t>Atjaunota Jūrmalas Mežmalas pamatskola</t>
  </si>
  <si>
    <t>Jūrmalas Izglītības pārvalde,
Mežmalas pamatskola,
JVA Īpašumu pārvaldes Pašvaldības īpašumu nodaļa, 
Pašvaldības īpašumu tehniskā nodrošinājuma nodaļa</t>
  </si>
  <si>
    <t>Jūrmalas Majoru vidusskolas atjaunošana</t>
  </si>
  <si>
    <t>Atjaunota Jūrmalas Majoru vidusskola</t>
  </si>
  <si>
    <t>1 atjaunota vispārējās izglītības iestāde</t>
  </si>
  <si>
    <t>Jūrmalas Izglītības pārvalde,
Majoru vidusskola, 
JVA Īpašumu pārvaldes Pašvaldības īpašumu nodaļa, 
Pašvaldības īpašumu tehniskā nodrošinājuma nodaļa</t>
  </si>
  <si>
    <t>Telpu atjaunošanas darbi, siltummezgla atjaunošanas remontdarbi - Jaundubultu pamatskolā, Kauguru vidusskolā, Mežmalas vidusskolā, Majoru viduskolā, Ķemeru pamatskolā, Jūrmalas Valsts ģimnāzijā, Jūrmalas Pumpuru vidusskola.</t>
  </si>
  <si>
    <t>Jūrmalas Izglītības pārvalde, 
JVA Īpašumu pārvaldes Pašvaldības īpašumu nodaļa, 
visas Jūrmalas pamatskolas un vidusskolas (t.sk.ģimnāzija)</t>
  </si>
  <si>
    <t>Atjaunots stadions (tajā skaitā mākslīgā zāliena seguma futbollaukums 60x40 m, sintētiskā seguma skrejceliņš, multifunkcionāls spēļu laukums, pludmales volejbola laukums, tāllēkšanas bedre, vingrošanas laukums, treneru telpa un inventāra noliktava, apgaismojums, bruģēti celiņi).
2023.gada 6.oktobrī noslēgts Aizdevuma līgums.
2023.gada 8.septembrī noslēgts Būvdarbu līgums.
2023.gada 14.septembrī noslēgts Pakalpojuma līgums par būvuzraudzības pakalpojumiem.
Pilnībā izpilde tiek plānota  2024.gadā.</t>
  </si>
  <si>
    <t>Jūrmalas Izglītības pārvalde, 
Pašvaldības Īpašumu pārvaldīšanas centrs, 
Jaundubultu pamatskola</t>
  </si>
  <si>
    <t xml:space="preserve">Atjaunots stadions (tajā skaitā mākslīgā zāliena futbollaukums 60x40 m, sintētiskā seguma skrejceliņš, multifunkcionāls spēļu laukums, pludmales volejbola laukums, tāllēkšanas bedre, vingrošanas laukums, treneru telpa un inventāra noliktava, apgaismojums, bruģēti celiņi).
2023.gada 10.maijā noslēgts Būvdarbu līgums.
2023.gada 18.maijā noslēgts Pakalpojuma līgums par būvuzraudzības pakalpojumiem.
2023.gada 10.augustā noslēgts Aizdevuma līgums.
Orientējoši būvdarbu pabeigšana un objekta nodošana ekspluatācijā ir plānota 2024. gada 2.pusgadā.
</t>
  </si>
  <si>
    <t>Atjaunota āra sporta infrastruktūra/stadions</t>
  </si>
  <si>
    <t>Pilnveidota sporta infrastruktūra, lai sekmētu futbola attīstību pašvaldībā</t>
  </si>
  <si>
    <t>Atjaunota āra sporta infrastruktūra/stadions
Jūrmalas Ķemeru pamatskola lūdz iekļaut būvprojekta izstrādes uzsākšanu Jūrmalas Ķemeru pamatskolas stadionam.</t>
  </si>
  <si>
    <t>Izveidots sporta laukums vidusskolai</t>
  </si>
  <si>
    <t>Atjaunots sporta laukuma segums</t>
  </si>
  <si>
    <t>Veikta skolas ēkas pārbūve un infrastruktūras pilnveide, radot pilnībā modernizētu un
ergonomisku mācību vidi. Izveidots metodiskais centrs</t>
  </si>
  <si>
    <t>1 pilnībā atjaunota vispārējās izglītības iestāde</t>
  </si>
  <si>
    <t>Veikta Jūrmalas Aspazijas pamatskolas (no 2021.gada 15. jūnija) skolas ēkas pārbūve un sporta zāles
piebūves izbūve, realizējot būvprojektu “Lielupes pamatskolas pārbūves un sporta zāles piebūve”. 2021.gadā ir uzsākti būvdarbi, kurus plānots pabeigt 2024.gadā.
2024.gadā:
Jūrmalas Aspazijas pamatskolas pārbūves pabeigšana.
Mēbeļu iepirkums - 2milj.EUR. - iekļauts 2024.gadā kā cits finansējums - indikatīvi nepieciešamais.</t>
  </si>
  <si>
    <t>Bērnu pieskatīšanas pakalpojumi Jūrmalas valstspilsētā</t>
  </si>
  <si>
    <r>
      <t xml:space="preserve">Sniegts atbalsts bērnu pieskatīšanas pakalpojumu iegādei:
-veicināta darba un ģimenes dzīves līdzsvarošana un vienlīdzības iespējas visām ģimenēm un atbalstu saņēmuši bērni no pusotra gada vecuma līdz pamatizglītības ieguves uzsākšanai;
-bērni saņēmuši pirmsskolas izglītības pakalpojumus vismaz vienu līdz trīs gadus.
</t>
    </r>
    <r>
      <rPr>
        <i/>
        <sz val="8.5"/>
        <rFont val="Tahoma"/>
        <family val="2"/>
        <charset val="186"/>
      </rPr>
      <t>Eiropas Savienības kohēzijas politikas programmas 2021.-2027. gadam 4.3.6. specifiskā atbalsta mērķa “Veicināt nabadzības vai sociālās atstumtības riskam pakļauto cilvēku, tostarp vistrūcīgāko un bērnu, sociālo integrāciju” 4.3.6.6. pasākuma “Bērnu pieskatīšanas pakalpojumi” ietvaros.
Pieņemts lēmums projektu neīstenot (Jūrmalas domes 2024. gada 27. jūnija lēmums Nr. __ "“Par Eiropas Savienības kohēzijas politikas programmas 2021.-2027. gadam 4.3.6. specifiskā atbalsta mērķa “Veicināt nabadzības vai sociālās atstumtības riskam pakļauto cilvēku, tostarp vistrūcīgāko un bērnu, sociālo integrāciju” 4.3.6.6. pasākuma “Bērnu pieskatīšanas pakalpojumi Jūrmalas valstspilsētā” projektu").</t>
    </r>
  </si>
  <si>
    <r>
      <t xml:space="preserve">Tiek prognozēts, ka izstrādātājā projektā “Bērnu pieskatīšanas pakalpojumi Jūrmalā” noteiktais pirmsskolas vecuma bērnu skaits, kam tiks sniegts atbalsts, nesamazināsies vairāk kā par 10%.
</t>
    </r>
    <r>
      <rPr>
        <i/>
        <sz val="8.5"/>
        <rFont val="Tahoma"/>
        <family val="2"/>
        <charset val="186"/>
      </rPr>
      <t>Pieņemts lēmums projektu neīstenot.</t>
    </r>
  </si>
  <si>
    <t>Funkcionālā savienojuma izveidošana starp Pumpuru vidusskolas ēkām, izbūvējot gājēju ietves</t>
  </si>
  <si>
    <t>Izveidots funkcionāls savienojums starp Pumpuru vidusskolas ēkām, izbūvējot gājēju ietves.
Plānots starptautiska projekta ietvaros identificēt satiksmes drošības uzlabošanas iespējas Poruka prospektā, kas savieno izglītības iestādes.</t>
  </si>
  <si>
    <t>Augstu sasniegumu profesionālās ievirzes izglītībā veicināšana</t>
  </si>
  <si>
    <t>Ikgadējie nepieciešamie atjaunošanas darbi. Saraksts tiek precizēts ar kārtējo Investīciju plānu</t>
  </si>
  <si>
    <t>Atjaunota Bērnu un jauniešu interešu centra fasāde, iekštelpas. Veikti labiekārtošanas darbi.
BJIC atjaunošanas darbi Zemgales 4 un Lielupes 21, pieslēgšanās ūdensapgādei un kanalizācijai.</t>
  </si>
  <si>
    <t>Laikmetīga kultūra</t>
  </si>
  <si>
    <t>Kultūras pieejamība un sabiedrības līdzdalība</t>
  </si>
  <si>
    <t>Atbilstoši ikgadējiem nepieciešamajiem darbiem iestādes pārziņā esošajās ēkās</t>
  </si>
  <si>
    <t>JVA Kultūras nodaļa,
Jūrmalas Kultūras centrs</t>
  </si>
  <si>
    <t>3.L1</t>
  </si>
  <si>
    <t>Amatu un radošo inovāciju centra izveide un attīstība</t>
  </si>
  <si>
    <t>L1.3.3.</t>
  </si>
  <si>
    <t>Izveidots amatu un radošo inovāciju centrs</t>
  </si>
  <si>
    <t>1 radošais amatu centrs</t>
  </si>
  <si>
    <t>Starptautiski atpazīstama kultūras un mākslas pilsēta</t>
  </si>
  <si>
    <t>2024.gadā nav plānoti ieguldījumi infrastuktūrā.</t>
  </si>
  <si>
    <t>Pārbūvēta Lielā zāle un labiekārtota teritorija</t>
  </si>
  <si>
    <t xml:space="preserve">JVA  Īpašumu pārvaldes Pašvaldības īpašumu tehniskā nodrošinājuma nodaļa,
Kultūras nodaļa,
Audita un kapitāldaļu pārvaldības nodaļas Kapitāldaļu pārvaldīšanas daļa,
SIA "Dzintaru koncertzāle"
</t>
  </si>
  <si>
    <t>Izveidots rezidenču centrs</t>
  </si>
  <si>
    <t>Kultūras mantojums kā pilsētas identitāte</t>
  </si>
  <si>
    <t>2024.gadā nav plānots realizēt infrastruktūras projektus (finansējums paredzēts uzņemto saistību segšanai saistībā ar būvprojekta sadalīšanu kārtās).
Atjaunošnas remonta darbi Jūrmalas muzejā, Tirgoņu ielā 29 un Jūrmalas Brīvdabas muzejs vēsturiskā jumta atjaunošana, Tīklu iela 1A.</t>
  </si>
  <si>
    <t>2.L3</t>
  </si>
  <si>
    <t>Apkaimju identitāti veidojošu vides objektu izvietošana pilsētvidē*</t>
  </si>
  <si>
    <t>L3.1.3.
L3.3.1.
L3.3.2.</t>
  </si>
  <si>
    <t>Apkaimēs izvietoti jauni vides objekti</t>
  </si>
  <si>
    <t>5 vides objekti</t>
  </si>
  <si>
    <t>Kvalitatīva dzīve ilgstpējīgai sabiedrībai</t>
  </si>
  <si>
    <t>Kvalitatīvs sociālais atbalsts</t>
  </si>
  <si>
    <t>Paplašināts Dienas aprūpes centrā Dūņu ceļā 2 pieejamo sociālo pakalpojumu klāsts, veicot telpu pārbūvi, atjaunošanu un aprīkošanu un nodrošinot pakalpojumu pieejamību 30 personām ar garīga rakstura traucējumiem.
Jūrmalas pilsētas domes 2019.gada 19.decembra lēmums Nr. 658 (par projekta īstenošanu).</t>
  </si>
  <si>
    <t>Izveidots jauns grupu dzīvoklis 8 personām ar garīga rakstura traucējumiem Hercoga Jēkaba ielā 4. 
Jūrmalas pilsētas domes 2019.gada 19.decembra lēmums Nr.658  (par projekta īstenošanu).</t>
  </si>
  <si>
    <t>S2.1.1.</t>
  </si>
  <si>
    <t>Pārbūvēts B korpuss, iegādāts jauns inventārs un tehnika (atbilstoši PSIA “Veselības un sociālās aprūpes centrs “Sloka”” vidēja termiņa darbības stratēģijai 2023.–2025. gadam).
PSIA "Veselības un sociālās aprūpes centrs - Sloka" korpusa K-1 (B korpuss) pārbūves būvprojekta autoruzraudzība.</t>
  </si>
  <si>
    <r>
      <t>Izbūvēts pansionāts (ģimeniskai videi) ar 100 vietām (35 m</t>
    </r>
    <r>
      <rPr>
        <vertAlign val="superscript"/>
        <sz val="8.5"/>
        <rFont val="Tahoma"/>
        <family val="2"/>
        <charset val="186"/>
      </rPr>
      <t xml:space="preserve">2 </t>
    </r>
    <r>
      <rPr>
        <sz val="8.5"/>
        <rFont val="Tahoma"/>
        <family val="2"/>
        <charset val="186"/>
      </rPr>
      <t>uz 1 personu), tajā skaitā ēdināšanas bloks, kā arī iegādāts aprīkojums un tehnika (atbilstoši PSIA “Veselības un sociālās aprūpes centrs “Sloka”” vidēja termiņa darbības stratēģijai 2023.–2025. gadam)</t>
    </r>
  </si>
  <si>
    <t>Izveidots ergoterapeita kabinets, iegādāts specializētais transports, uzstādīts jauns žogs,
uzstādīts strāvas ģenerators, nomainīti apgaismes stabi un daļēji labiekārtota teritorija, izveidota dzeramā ūdens padeves vieta ar sensora signālu klientiem ar funkcionāliem traucējumiem centra teritorijā (atbilstoši PSIA “Veselības un sociālās aprūpes centrs “Sloka”” vidēja termiņa darbības stratēģijai 2023.–2025. gadam)</t>
  </si>
  <si>
    <t>Pārbūvēts A korpuss, iegādāts jauns inventārs un tehnika (atbilstoši PSIA “Veselības un sociālās aprūpes centrs “Sloka”” vidēja termiņa darbības stratēģijai 2021.-2025.gadam)</t>
  </si>
  <si>
    <t>Kvalitatīvi veselības aprūpes pakalpojumi</t>
  </si>
  <si>
    <t>PSIA “Kauguru Veselības centrs” infrastruktūras un sniegto pakalpojumu uzlabošana</t>
  </si>
  <si>
    <t>2023. gadā: kondicionēšanas sistēma, darsonvalizācijas iekārta, ultraskaņas iekārta, lāzerterapijas iekārta, amplipulss, automātiskais perimetrs, bērnu refraktometrs, ultrasonogrāfijas iekārta, skābekļa koncentrators, zobārstniecības iekārta un datortehnika. Iegādāts autotransports. 
2024.gadā: kušete ar elektrisko vadību, vakuumsūknis, ķirurģisko operāciju galds operāciju telpā, ķirurģisko operāciju lampa, kā arī veikts pirmā stāva un otrā stāva gaiteņu remonts, iegādāta datortehnika.
2025.gadā: LOR iekārta, vakuumsūknis procedūru kabinetā, uzlabota infrastruktūra – arhīva telpa, administrācijas telpa, iegādātas mēbeles. Klīniskais psihologs. (Atbilstoši PSIA “Kauguru Veselības centrs” vidēja termiņa darbības stratēģijai 2023.–2025. gadam)</t>
  </si>
  <si>
    <t>Uzlabota infrastruktūra, iegādāts autotransports,
pilnveidota materiāltehniskā bāze</t>
  </si>
  <si>
    <t>Pārbūvēta 1 ēka, iegūts 1 rehabilitācijas centrs,  400 m2 telpu</t>
  </si>
  <si>
    <t>Uzlabota saimniecības ēkas energoefektivitāte (sienu, jumta siltināšana, logu nomaiņa, saules kolektoru uzstādīšana), B korpusa pagrabstāva renovācija, iegādātas dažādas medicīnas iekārtas, mēbeles, IKT, 3 elektromobiļi (atbilstoši SIA “Jūrmalas slimnīca” vidēja termiņa darbības stratēģijai 2023.–2025. gadam).
(plānots pabeigt būvprojekta izstrādi līdz 2023.g. beigām)
ēku energoefektivitātes palielināšanai pieejams ES fondu finansējums.</t>
  </si>
  <si>
    <t>3 elektromobiļi mājas aprūpes pakalpojumu sniegšanas nodrošināšanai
samazināti siltuma zudumi, samazināts gāzes patēriņš ūdens uzsildīšanai, renovēta saimniecības ēka
renovēti 1014 m2 telpu</t>
  </si>
  <si>
    <t xml:space="preserve">Uzlabota Slimnīcas apkalpes zonā dzīvojošo iedzīvotāju veselības aprūpes pakalpojumu pieejamība pakalpojumiem uzņemšanā un ambulatorajā daļā, tai skaitā arī sociālās, teritoriālās atstumtības un nabadzības riskam pakļautajiem iedzīvotājiem.
Ikviens Slimnīcas pacients saņem savām vajadzībām nepieciešamo ārstēšanu savlaicīgi  ar atbilstošu tehnoloģisko nodrošinājumu aprīkotās telpās un atbilstošā kvalitātē, kas vienlaikus sekmēt ekonomiskos ieguvumus attiecībā uz pacientu ārstēšanu nākotnē (samazinās ielaistu, savlaicīgi nediagnosticētu saslimšanu skaits).
</t>
  </si>
  <si>
    <t>Izbūvēts peldbaseins Strēlnieku prospektā 38, un nodrošinātas peldētapmācības nodarbības 1.–6. klašu audzēkņiem</t>
  </si>
  <si>
    <t>Jūrmalas Pašvaldības īpašumu pārvaldīšanas centrs, 
Izglītības pārvalde, 
Sporta skola</t>
  </si>
  <si>
    <t>Izveidoti/pilnveidoti brīvpieejas sporta laukumi pilsētā (t.sk.pludmalē) un cita infrastruktūra, kas saistīta ar veselīga dzīvesveida veicināšanu</t>
  </si>
  <si>
    <t>Pārbūvētas/atjaunotas glābšanas stacijas. Uzstādītas mobilās glābšanas stacijas.
Glābšanas staciju remontdarbi (Bulduri, Kauguri) 27 580,46 EUR.
Glābšanas staciju būvdarbi (96 407 EUR).</t>
  </si>
  <si>
    <t xml:space="preserve">Ikgadējie nepieciešamie atjaunošanas darbi. Saraksts tiek precizēts ar kārtējo Investīciju plānu.
Jūrmalas valstspilsētas pašvaldības īpašumā esošo dzīvokļu remonta darbi - dzīvojamās ēkas pamatu siltināšanas darbi Kr. Barona ielā 23A, 2024. gadā tiek plānots remontēt 31 dzīvojamās telpas (dzīvokļi) no kurām 31 ir nepieciešams remonts. </t>
  </si>
  <si>
    <t>2.S6</t>
  </si>
  <si>
    <t>Pārbūvēta pašvaldības dzīvojamā māja Nometņu ielā 2A</t>
  </si>
  <si>
    <t>Pārbūvēta pašvaldības dzīvojamā māja, nodrošināti atjaunoti dzīvokļi</t>
  </si>
  <si>
    <t>3.S6</t>
  </si>
  <si>
    <t xml:space="preserve">Jūrmalas Labklājības pārvalde, 
</t>
  </si>
  <si>
    <t>Kvalitatīva un droša satiksmes infrastruktūra</t>
  </si>
  <si>
    <t>2024.gadā:
1. Projektēšana:
-tiek turpināts - veloceliņa seguma atjaunošanai gar dzelzceļu no Jūrmalas administratīvās teritorijas līdz Priedaines dzelzceļa stacijai, un tās ietvaros veicamā autoruzraudzība (Rubika celiņš);
-Pērkona ielas veloceļa pārbūve posmā no Viestura ielas līdz Rīgas ielai (posmi, ~90m);
- veloceliņa izbūvei gar Lielo prospektu no Priedaines stacijas līdz Babītes ielai, ieskaitot dzelzceļa pārbrauktuvi Babītes ielā, Jūrmalas valstspilsētā un tās ietvaros veicamā autoruzraudzība.</t>
  </si>
  <si>
    <r>
      <t>JVA Attīstības pārvaldes</t>
    </r>
    <r>
      <rPr>
        <strike/>
        <sz val="8.5"/>
        <rFont val="Tahoma"/>
        <family val="2"/>
        <charset val="186"/>
      </rPr>
      <t xml:space="preserve"> </t>
    </r>
    <r>
      <rPr>
        <sz val="8.5"/>
        <rFont val="Tahoma"/>
        <family val="2"/>
        <charset val="186"/>
      </rPr>
      <t>Inženierbūvju</t>
    </r>
    <r>
      <rPr>
        <strike/>
        <sz val="8.5"/>
        <rFont val="Tahoma"/>
        <family val="2"/>
        <charset val="186"/>
      </rPr>
      <t xml:space="preserve"> </t>
    </r>
    <r>
      <rPr>
        <sz val="8.5"/>
        <rFont val="Tahoma"/>
        <family val="2"/>
        <charset val="186"/>
      </rPr>
      <t>nodaļa</t>
    </r>
  </si>
  <si>
    <t>2024.gadā:
Seguma atjaunošana:
-Gājēju celiņš no Slokas ielas  līdz Sociālās integrācijas aģentīvai (~128);
-Viestura iela no Dārzkopības  ielas līdz Pērkona ielai (~292m).
Būvdarbi:
-Gājēju ietves izbūve Jūrkalnes ielā un Mežmalas ielā (atbilstoši 2019.gadā izstrādātajam būvprojektam).</t>
  </si>
  <si>
    <t xml:space="preserve">2024.gadā:
Projektēšana:
-Draudzības ielas no Talsu šosejas līdz Zvārtas ielai;
-Ezeru iela no Ģertrūdes prospekta līdz Slokas ielai un tālāk līdz peldvietai;
- Kalēju iela no dzelzeļa sliedēm līdz Slokas ielai;
-Grāvju iela no dzelzceļa sliedēm līdz Mētru ielai;
- Lauku iela no Rūpniecības ielas līdz Pļaviņu ielai;
-Priežu iela no Asaru prospekta līdz Vasaras ielai.
</t>
  </si>
  <si>
    <t>2024.gadā:
1.Satiksmes organizācijas uzlabojumiem Tallinas ielas posmā no Satiksmes ielas līdz Līču ielai (ēkai Tallina ielā 5).
2.Projektēšana:
-Tukuma iela un E.Dārziņa iela posmā no Katedrāles ielas līdz Brocēnu ielai un kvartāla robežās Bišu ielas un Rucavas ielas brauktuves un ietves atjaunošana;
-Pils ielas pārbūve;
-Kāpu ielas pārbūve, no Dārzu ielas līdz Skautu ielai;
3.Būvdarbi:
-Satiksmes organizācijas uzlabošana Kr.Valdemāra ialā no Liepupes ielas līdz Friča Brīvzemnieka ielai, Jūrmalā.
4.Seguma atjaunošana:
-Juglas iela, posmā no Dubultu prospekta līdz izejai uz jūras pludmali (~200m);
- Piestātnes ielas seguma atjaunošana posmā no kāpām līdz Edinburgas prospektam (t.sk. atjaunota LKT sistēma). 
-Edinburgas prospekts no 2.līnijas līdz 6.līnijai (~480m);
-Dzirnavu iela no Slimnīcas ielas līdz Vēsmas ielai (~610m);</t>
  </si>
  <si>
    <t>2024.gadā:
- Raiņa ielā 110 labiekārtošana un vides objekta "Kauguru mezgls" uzstādīšana, 
- Dzintaru mežaparka bruģēto gājēju celiņu un skrituļošanas trases seguma atjaunošana.</t>
  </si>
  <si>
    <t>2024.gadā:
Būvdarbi:
-Autostāvvietu paplašināšana un seguma atjaunošana pie daudzīvokļu namiem Nometņu ielā 11 un Nometņu ielā 7.</t>
  </si>
  <si>
    <t>Jaunu ielu izbūve notiek atbilstoši Ceļu fonda izlietošanas programmai (trīs gadu periodā).
2024.gadā nav plānots veikt aktivitātes.</t>
  </si>
  <si>
    <t>8.Ē1</t>
  </si>
  <si>
    <t>Slokas savienojuma un Kauguru apejas izbūve</t>
  </si>
  <si>
    <t>Izbūvēts Slokas savienojums ar Kauguriem atbilstoši teritorijas plānojumam un Jūrmalas pilsētas attīstības stratēģijai 2010.–2030. gadam (ja pieejams ES fondu finansējums)</t>
  </si>
  <si>
    <t>Kauguru apvedceļš</t>
  </si>
  <si>
    <t>2024.gadā:
Būvdarbi:
-Tilta pār Vecsloceni pārbūve, Dzirnavu ielā;
Projektēšana un būvprojekta ekspertīze:
-Priedaines pārvada atjaunošana, Lielupē.</t>
  </si>
  <si>
    <t>Pārbūvēts Dzintaru dzelzceļa pārvads. 
2024.-2025.gadā plānoti pārbūves darbi (t.sk.  gājēju celiņu, veloceliņu un autostāvvietu Dzintaru dzelzceļa pārvadam piekrītošajos zemes nodalījumos).</t>
  </si>
  <si>
    <t>Pārbūvēta pilsētas maģistrālā iela/ pārvads
Pārbūvēti gājēju celiņi, veloceliņi un izveidotas autostāvvietas (75 vieglām automašīnām un 12 autobusiem).</t>
  </si>
  <si>
    <t>11.Ē1</t>
  </si>
  <si>
    <t>Jaundubultu tilta būvniecība</t>
  </si>
  <si>
    <t>Veikta jauna autotilta tehniski ekonomiskā pamatojuma izstrāde</t>
  </si>
  <si>
    <t>Tehniski ekonomiskais pamatojums</t>
  </si>
  <si>
    <t>Jaunu stāvvietu izbūve atbilstoši Ceļu fonda izlietošanas programmai (trīs gadu periodā).
Nav plānotas aktivitātes 2024.gadā.</t>
  </si>
  <si>
    <t>Nomainīti satiksmes vadības kontrolieri, iestatīti “zaļie viļņi”, sinhronizēti luksofori, izveidoti regulējami krustojumi, t.sk.gājēju pārejas, u.c.
Pārejošās saistības:
1.Projektēšana:
-Luksoforu objektu izbūve Dubultu prospekta, Strēlnieku prospekta un Upes ielas krustojumā;
-Luksoforu objekta izbūvei Muižas iela un Rīgas ielas krustojumā;
-Luksoforu objekta izbūvei Kronvalda ielās un Strēlnieku prospekta krustojumā;
-Luksoforu objekta izbūvei Asaru prospekta un Atbalss ielas krustojumā.
Autoruzraudzība:
-Gājēju pārejas pār dzelzceļu izbūve Atbalss ielā (sadarbībā ar Latvijas dzelzceļu).
Būvdarbi:
-Gājēju pārejas pār dzelzceļu izbūve Turaidas ielā (sadarbībā ar Latvijas dzelzceļu).
Būvuzraudzība:
-Gājēju pārejas pār dzelzceļu izbūve Turaidas ielā (sadarbībā ar Latvijas dzelzceļu).</t>
  </si>
  <si>
    <t>SIA "Jūrmalas gaisma",
JVA Audita un kapitāldaļu pārvaldības nodaļas Kapitāldaļu pārvaldīšanas daļa</t>
  </si>
  <si>
    <t xml:space="preserve">2024. gadā veikta: 
- atjaunošana Ormaņu iela (Turaidas iela - Jaunā iela), 400m;
2025. gadā veikta:
1) atjaunošana Dubultu prospekts no Baznīcas ielas līdz Mellužu prospektam, 2800m.
2027. gadā veikta:
1) projektēšana Omnibusa iela (Jomas iela - Jūras iela), 270m
2) projektēšana Kaudzīšu iela (Jomas iela - Jūras iela), 260m
 </t>
  </si>
  <si>
    <t>Ielu apgaismošanas elektrotīkla atjaunošana atbilstoši AS “Sadales tīkls” veiktajai pārbūvei.
Ielu apgaismošanas elektrisko tīklu pārbūve, atbilstoši pieejamajam budžetam.
2025. gadā veikta:
1) atjaunošana Kapteiņa Zolta ielā no Talsu šosejas līdz pludmalei, 400m
2026. gadā veikta:
1) atjaunošana Braslas iela, 160m
2027. gadā veikta:
1) atjaunošana  Eglaines iela no Irbju ielas līdz Lapsu ielai, 600m
2) atjaunošana Medņu ielas posmā no Olgas ielas līdz Daugavas iela, 300m
3) atjaunošana Cīruļu iela (Atbalss iela- E.Veidenbauma iela), 600m
4) atjaunošana L. Paegles iela (Valkas iela-Zivju iela), 400m
5) projektēšana un atjaunošana Kārsas iela no Valkas ielas līdz Zivju ielai, 400m
6) projektēšana Irbju iela ( Lapsu iela - Veidenbauma iela), 650m
7) projektēšana Medņu iela (Veidenbauma ielas-Viņķu ielai),  1300m</t>
  </si>
  <si>
    <t xml:space="preserve">Paaugstināta ielu apgaismojuma energosistēmas efektivitāte un sekmēta viedu risinājumu integrēšana apgaismojuma sistēmā pilsētā.
</t>
  </si>
  <si>
    <t xml:space="preserve">Apgaismotas pilsētā līdz šim neapgaismotās ielas.
2024.gadā: 
Apgaismojuma līnijas izbūve Zivju ielā no Daugavpils ielas līdz Dzirnavu ielai, 500 m.
2026. gadā veikta:
Izbūve Vikingu ielā no Lāču ielas līdz Matrožu ielai, 1300 m.
2027. gadā veikta:
1) Projektēšana Upmalas iela no Spilvas ielas līdz Vāveru ielai, 1000 m.
2) Izbūve Zivju iela  no Daugavpils ielas līdz Dzirnavu ielai, 500 m
</t>
  </si>
  <si>
    <t>Izveidoti mobilitātes (t.sk. mikromobilitātes, Park&amp;Ride) punkti</t>
  </si>
  <si>
    <t>Visā pilsētā uzstādītas jauna dizaina pieturvietas</t>
  </si>
  <si>
    <t>Mainot pašvaldības transportlīdzekļus, iegādāti transportlīdzekļi ar nulles emisiju vai zemu emisiju</t>
  </si>
  <si>
    <t xml:space="preserve">Pārbūvēts un atjaunots gājēju un velosipēdu ceļš 4.82 kilometru garumā posmā no Jaunķemeru pludmales kāpu zonas līdz atjaunotā Ķemeru kultūrvēsturiskā parka teritorijai.
</t>
  </si>
  <si>
    <t>2024.gadā:
Veikta energoefektivitātes prasībām neatbilstošo gaismekļu nomaiņa (286 gab.) uz gaismekļiem ar gaismu izstarojošo diožu tehnoloģiju (LED gaismekļiem), kas aprīkoti arī ar apgaismojuma līmeņa regulēšanas iespējām, kā rezultātā samazinot oglekļa dioksīda emisijas vismaz 18,82423 tonnas CO2 /gadā. Saskaņā ar 
Jūrmalas domes 2023. gada 30.marta lēmums Nr.111 "Par Emisijas kvotu izsolīšanas instrumenta aktivitātes “Siltumnīcefekta gāzu emisiju samazināšana pašvaldību publisko teritoriju apgaismojuma infrastruktūra” projekta “Siltumnīcefekta gāzu emisiju samazināšana Jūrmalas valstspilsētas pašvaldības publisko
teritoriju apgaismojuma infrastruktūrā” īstenošanu"</t>
  </si>
  <si>
    <r>
      <rPr>
        <sz val="8.5"/>
        <rFont val="Tahoma"/>
        <family val="2"/>
        <charset val="186"/>
      </rPr>
      <t>JVA Audita un kapitāldaļu pārvaldības nodaļas Kapitāldaļu pārvaldīšanas daļa,</t>
    </r>
    <r>
      <rPr>
        <strike/>
        <sz val="8.5"/>
        <rFont val="Tahoma"/>
        <family val="2"/>
        <charset val="186"/>
      </rPr>
      <t xml:space="preserve">
</t>
    </r>
    <r>
      <rPr>
        <sz val="8.5"/>
        <rFont val="Tahoma"/>
        <family val="2"/>
        <charset val="186"/>
      </rPr>
      <t>SIA "Jūrmalas gaisma"</t>
    </r>
  </si>
  <si>
    <t>Projekta īstenošana atbilstoši Jūrmalas domes 2023.gada 27.aprīļa lēmumam Nr.160 "Par Apvārsnis Eiropa 2021-2027 “Iekļaujošas, drošas, pieejamas un ilgtspējīgas pilsētas mobilitātes projektēšana” projekta “Inovatīvi mobilitātes risinājumi zaļai un drošai pilsētvidei” īstenošanu". 
2026.-2027.gadā paredz uzlabot drošības zonu pie Jūrmalas Pumpuru vidusskolas un Jūrmalas Jaundubultu pamatskolas, kā arī Poruka prospektā (posmā starp abām skolām). Finansējums 110 tūkst.EUR apjomā, paredzēts infrastruktūras pilnveidei.</t>
  </si>
  <si>
    <t>Tūrisms kūrortpilsētas konkurētspējai</t>
  </si>
  <si>
    <t>Daudzfunkcionāla dabas tūrisma centra jaunbūve un meža parka labiekārtojums Ķemeros</t>
  </si>
  <si>
    <t>Labiekārtota meža parka teritorija, izbūvētas telpas un izveidota centra pastāvīgā ekspozīcija (I kārta), t.sk. aprīkotas telpas, kas nepieciešamas pakalpojuma sniegšanai.
Projekta īstenošana ITI SAM 5.6.2. apturēta, jo 2023.gada 31.decembrī beidzas ES fondu plānošanas periods. Finansējums no ERAF tiks atgriezts. (Jūrmalas domes 2024. gada 24. aprīļa lēmums Nr. 196 "Par Darbības programmas “Izaugsme un nodarbinātība” 5.6.2. specifiskā atbalsta mērķa “Teritoriju revitalizācija, reģenerējot degradētās teritorijas atbilstoši
pašvaldību integrētajām attīstības programmām” (Daudzfunkcionāla dabas tūrisma centra jaunbūve un meža parka labiekārtojums Ķemeros) un par Darbības programmas “Izaugsme un nodarbinātība” 5.5.1. specifiskā atbalsta mērķa “Saglabāt, aizsargāt un attīstīt nozīmīgu kultūras un dabas mantojumu, kā arī attīstīt ar to saistītos pakalpojumus” projekta “Daudzfunkcionāla dabas tūrisma centra pakalpojumu attīstība un meža parka
labiekārtojuma pilnveide Ķemeros” noslēgumu")
No 2024.gada plānots projektu īstenot pa daļām - labiekārtot meža parka teritoriju piesaistot Eiropas Jūrlietu, zvejniecības un akvakultūras fonda finansējumu. 
Daudzfunkcionāla dabas tūrisma centra jaunbūvi (precizējot nosaukumu) plānots iesniegt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ietvaros (2. un/vai 3.kārta).</t>
  </si>
  <si>
    <t>Revitalizēta degradēta teritorija līdz 15,74 ha platībā</t>
  </si>
  <si>
    <t xml:space="preserve">Labiekārtota meža parka teritorija, izbūvētas telpas un izveidota centra pastāvīgā ekspozīcija (I un II  kārta), t.sk. aprīkotas telpas, kas nepieciešamas pakalpojuma sniegšanai.
Projekta īstenošana ITI SAM 5.5.1. apturēta, jo 2023.gada 31.decembrī beidzas ES fondu plānošanas periods. Finansējums no ERAF tiks atgriezts. (Jūrmalas domes 2024. gada 24. aprīļa lēmums Nr. 196 "Par Darbības programmas “Izaugsme un nodarbinātība” 5.6.2. specifiskā atbalsta mērķa “Teritoriju revitalizācija, reģenerējot degradētās teritorijas atbilstoši
pašvaldību integrētajām attīstības programmām” (Daudzfunkcionāla dabas tūrisma centra jaunbūve un meža parka labiekārtojums Ķemeros) un par Darbības programmas “Izaugsme un nodarbinātība” 5.5.1. specifiskā atbalsta mērķa “Saglabāt, aizsargāt un attīstīt nozīmīgu kultūras un dabas mantojumu, kā arī attīstīt ar to saistītos pakalpojumus” projekta “Daudzfunkcionāla dabas tūrisma centra pakalpojumu attīstība un meža parka
labiekārtojuma pilnveide Ķemeros” noslēgumu")
</t>
  </si>
  <si>
    <t>Modernizēti brīvpieejas dzeramā ūdens krāni pilsētā iedzīvotāju un tūristu vajadzībām, kā arī uzskaitīta to padeve</t>
  </si>
  <si>
    <r>
      <rPr>
        <sz val="8.5"/>
        <rFont val="Tahoma"/>
        <family val="2"/>
        <charset val="186"/>
      </rPr>
      <t>JVA Audita un kapitāldaļu pārvaldības nodaļas Kapitāldaļu pārvaldīšanas daļa,</t>
    </r>
    <r>
      <rPr>
        <strike/>
        <sz val="8.5"/>
        <rFont val="Tahoma"/>
        <family val="2"/>
        <charset val="186"/>
      </rPr>
      <t xml:space="preserve">
</t>
    </r>
    <r>
      <rPr>
        <sz val="8.5"/>
        <rFont val="Tahoma"/>
        <family val="2"/>
        <charset val="186"/>
      </rPr>
      <t>SIA "Jūrmalas ūdens"</t>
    </r>
  </si>
  <si>
    <t>Ieviesti projekti, kas sekmēja Jomas ielas attīstību</t>
  </si>
  <si>
    <r>
      <t xml:space="preserve"> 1.Bijušās Slokas papīrfabrikas teritorijā un tās tiešā tuvumā sakārtota nodrošināta industriālo pieslēgumu ierīkošana un to saistītās jaudas palielināšana (tai skaitā  dzeramā ūdens apgāde un kanalizācija, elektroenerģija); pilnveidota ceļu satiksmei paredzētā infrastruktūra.
2.Labiekārtots Lielupes krasts pie bijušās Slokas papīrfabrikas (t.sk. izveidots gājēju/veloceliņš) - nodrošināta iespēja attīstīt ūdensportu, tūrisma pakalpojumus utt.
</t>
    </r>
    <r>
      <rPr>
        <i/>
        <sz val="8.5"/>
        <rFont val="Tahoma"/>
        <family val="2"/>
        <charset val="186"/>
      </rPr>
      <t>Plānots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ietvaros.</t>
    </r>
  </si>
  <si>
    <t xml:space="preserve">Tiks precizēts būvprojekta izstrādes laikā:
1.uzņēmējdarbības vides pilnveide  - vismaz divi 
 kas sniedz pakalpojumus bijušās Slokas papīrfabrikas teritorijā;
2. 1 jauns reģistrēts uzņēmums;
3. labiekārtots Lielupes krasts - nodrošināts ūdenssporta/tūrisma/cits pakalpojums.
</t>
  </si>
  <si>
    <t>JVA Attīstības pārvaldes Inženierbūvju nodaļa,
Stratēģiskās plānošanas nodaļa, 
Tūrisma un uzņēmējdarbības attīstības nodaļa,
Īpašumu pārvaldes Pilsētsaimniecības un labiekārtošanas nodaļa,
Pilsētplānošanas pārvalde,
Audita un kapitāldaļu pārvaldības nodaļas Kapitāldaļu pārvaldīšanas daļa,
SIA “Jūrmalas gaisma”, 
SIA "Jūrmalas ūdens"</t>
  </si>
  <si>
    <t>Kūrortpilsētas starptautiskā konkurētspēja</t>
  </si>
  <si>
    <t>Atjaunots Tūrisma informācijas centrs Majoros</t>
  </si>
  <si>
    <t>Attīstīta un sakārtota stadiona infrastruktūra</t>
  </si>
  <si>
    <t>4.T3</t>
  </si>
  <si>
    <t>Slēgtās sporta manēžas izbūve</t>
  </si>
  <si>
    <t>T3.11.3.
T3.11.4.</t>
  </si>
  <si>
    <t>PPP</t>
  </si>
  <si>
    <t>Uzbūvēta slēgtā sporta manēža Slokā</t>
  </si>
  <si>
    <t>Multifunkcionāla slēgtā sporta manēža</t>
  </si>
  <si>
    <t>Jūrmalas Pašvaldības īpašumu pārvaldīšanas centrs, 
Sporta skola, 
Futbola skola</t>
  </si>
  <si>
    <t>Jūrmalas valstspilsētas pašvaldības administratīvo ēku infrastruktūras pilnveides pasākumi tiek atspoguļoti, veicot precizējumus Investīciju plānā.
Jūrmalas Gaisma: Uzstādīts angārs Pļavu ielā 11, Jūrmalā, ar mērķi radīt vietu drošai pilsētas gaismas dekoru uzglabāšanai, teritorijas sakārtošanai;
Izbūvēts dispečeru birojs Pļavu 13/15, Jūrmalā, ar mērķi samazināt uzņēmuma kopējos komunālos izdevumus;
Daļēji atjaunots autoparks - kravas furgonu iegāde.</t>
  </si>
  <si>
    <t>Turniketu uzstādīšana, ēdināšanas sistēmas uzstādīšana, iedzīvotāju līdzdalības/iesaistes platformas izveide.</t>
  </si>
  <si>
    <r>
      <t xml:space="preserve">JVA Attīstības pārvaldes </t>
    </r>
    <r>
      <rPr>
        <sz val="8.5"/>
        <color rgb="FFFF0000"/>
        <rFont val="Tahoma"/>
        <family val="2"/>
        <charset val="186"/>
      </rPr>
      <t>Mobilitātes</t>
    </r>
    <r>
      <rPr>
        <sz val="8.5"/>
        <rFont val="Tahoma"/>
        <family val="2"/>
        <charset val="186"/>
      </rPr>
      <t xml:space="preserve"> nodaļa</t>
    </r>
  </si>
  <si>
    <t>JPP Operatīvās informācijas centra izveide: videosienas uzstādīšana un instalācija publisku vietu 24/7 videonovērošanai, sabiedriskās kārtības un drošības uzraudzībai</t>
  </si>
  <si>
    <t>Paplašināts publiskās videonovērošanas tīkls pilsētā</t>
  </si>
  <si>
    <t>Ilgtspējīgas pilsētas attīstības plānošana</t>
  </si>
  <si>
    <t>Ieviesta līdzdalības budžetēšana atbilstoši iedzīvotāju iniciatīvai un paustajam atbalstam/ balsojumam</t>
  </si>
  <si>
    <t>*Investīciju projekts var tikt sadalīts konkrēti definētos projektos (pēc adreses/kadastra/u.tml.) pie Investīciju plāna precizēšanas.</t>
  </si>
  <si>
    <t>PABEIGTS 2023. gadā
Pārbūvēts un atjaunots gājēju un velosipēdu ceļš 4.82 kilometru garumā posmā no Jaunķemeru pludmales kāpu zonas līdz atjaunotā Ķemeru kultūrvēsturiskā parka teritorijai.
Projekta īstenošanās faktiskās izmaksas 1 200 059,36  EUR, no tām pašvaldības finansējums 641 411,78 EUR un EJZF finansējums 558 647,58 EUR.
Saite uz Jūrmalas domes 2023. gada 24. augusta noslēguma lēmumu Nr. 383 https://dokumenti.jurmala.lv/docs/m23/l/m230383.htm</t>
  </si>
  <si>
    <t>10.P2</t>
  </si>
  <si>
    <t>Jūrmalas valstspilsētas pašvaldības pielāgošanās klimata pārmaiņām</t>
  </si>
  <si>
    <t>P2.6.2.</t>
  </si>
  <si>
    <t>pārbūvēta/ atjaunota meliorācijas sistēma Jūrmalas valstspilsētas pašvaldības vairākās apkaimēs (Kaugurciems, Vaivari, Asari, Melluži u.c.)</t>
  </si>
  <si>
    <t>2.S4</t>
  </si>
  <si>
    <t>S4.4.1.</t>
  </si>
  <si>
    <t>13 pielāgotas un aprīkotas civilās aizsardzības patvertnes</t>
  </si>
  <si>
    <t>JVA Īpašumu pārvaldes Saimnieciskā nodrošinājuma nodaļa</t>
  </si>
  <si>
    <t>Sakārtota un uzlabota lietus ūdens kanalizācijas un meliorācijas sistēma
(Sasaiste ar IP projektu 10.P2)</t>
  </si>
  <si>
    <t>Pārbūvēta ēka Slokas ielā 44, tostarp veikta lifta izbūve, nodrošinot vides pieejamību</t>
  </si>
  <si>
    <t>Atbilstoši definētajai nepieciešamībai Ceļu fonda izlietošanas programmā (trīs gadu periodā)
Tai skaitā Tilta pār Vecsloceni pārbūve, Dzirnavu ielā.
Saite uz Jūrmalas domes 2024. gada 29. augusta lēmumu Nr. 440 https://dokumenti.jurmala.lv/docs/m24/l/m240440.htm</t>
  </si>
  <si>
    <t>Dzimtsarakstu nodaļa Jūrmalas centrālajā daļā. Laulību ceremoniju skaita pieaugums</t>
  </si>
  <si>
    <t>24.Ē1</t>
  </si>
  <si>
    <t>Autostāvvietu un veloceliņu izbūve pie Mellužu estrādes</t>
  </si>
  <si>
    <t>Ē1.1.2.
Ē1.2.3.</t>
  </si>
  <si>
    <t>Autostāvvieta pie Mellužu estrādes,
gājēju un veloceliņš no Mellužu prospekta līdz Kāpu ielai</t>
  </si>
  <si>
    <t>Autostāvvietu izbūve pie Mellužu estrādes un gājēju, veloceliņa izbūve no Mellužu prospekta līdz Kāpu ielai.
(Sasaiste ar IP projektiem 1.Ē1 un 12.Ē1)</t>
  </si>
  <si>
    <t>JVA Attīstības pārvaldes Inženierbūvju nodaļa,
SIA "Jūrmalas gaisma",
SIA ""Jūrmalas ūdens"</t>
  </si>
  <si>
    <t>Dzimtsarakstu nodaļas izveide Pils ielā 1</t>
  </si>
  <si>
    <t>Jūrmalas valstspilsētas pašvaldības patvertņu pielāgošana un aprīkošana civilās aizsardzības mērķiem</t>
  </si>
  <si>
    <t>Atjaunota Bērnu un jauniešu centra fasāde, iekštelpas. Veikti labiekārtošanas darbi</t>
  </si>
  <si>
    <t>Jūrmalas Bērnu un jauniešu centrs, 
Izglītības pārvalde</t>
  </si>
  <si>
    <r>
      <t xml:space="preserve">Lielupes kreisā krasta nostiprinājuma izbūve Lielupes grīvas teritorijā (ieteka jūrā)
(netiks īstenots)
</t>
    </r>
    <r>
      <rPr>
        <i/>
        <sz val="8.5"/>
        <rFont val="Trebuchet MS"/>
        <family val="2"/>
        <charset val="186"/>
      </rPr>
      <t xml:space="preserve">
Sākotnējais nosaukums: Hidrotehniskās būves izveide (precizēts 2023.decembrī)</t>
    </r>
  </si>
  <si>
    <t>Iegādāts īpašums Strēlnieku prospektā 32 ar mērķi, veicot pārbūvi, izvietot ēkā iekļaujošās izglītības iestādi un atbilstošu iekļaujošās izglītības centru.
2024. - 2025. gadā veikta Luda Bērziņa pamatskolas izveides būvprojekta izstrāde. Būvdarbi plānoti 2026. - 2028. gadā.
Aktivitātes plānotas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otrās projektu iesniegumu atlases kārtā iesniegtā projekta “Jūrmalas Luda Bērziņa pamatskolas izveide" ietvaros.
Saite uz Jūrmalas domes 2024. gada 22. februāra lēmumu Nr. 37 https://dokumenti.jurmala.lv/docs/m24/l/m240037.htm</t>
  </si>
  <si>
    <r>
      <t xml:space="preserve">NETIKS ĪSTENOTS
Sniegts atbalsts bērnu pieskatīšanas pakalpojumu iegādei:
-veicināta darba un ģimenes dzīves līdzsvarošana un vienlīdzības iespējas visām ģimenēm un atbalstu saņēmuši bērni no pusotra gada vecuma līdz pamatizglītības ieguves uzsākšanai;
-bērni saņēmuši pirmsskolas izglītības pakalpojumus vismaz vienu līdz trīs gadus.
</t>
    </r>
    <r>
      <rPr>
        <i/>
        <sz val="8.5"/>
        <rFont val="Trebuchet MS"/>
        <family val="2"/>
        <charset val="186"/>
      </rPr>
      <t>Eiropas Savienības kohēzijas politikas programmas 2021.-2027. gadam 4.3.6. specifiskā atbalsta mērķa “Veicināt nabadzības vai sociālās atstumtības riskam pakļauto cilvēku, tostarp vistrūcīgāko un bērnu, sociālo integrāciju” 4.3.6.6. pasākuma “Bērnu pieskatīšanas pakalpojumi” ietvaros.
Pieņemts lēmums projektu neīstenot (Jūrmalas domes 2024. gada 27. jūnija lēmums Nr. 297 "“Par Eiropas Savienības kohēzijas politikas programmas 2021.-2027. gadam 4.3.6. specifiskā atbalsta mērķa “Veicināt nabadzības vai sociālās atstumtības riskam pakļauto cilvēku, tostarp vistrūcīgāko un bērnu, sociālo integrāciju” 4.3.6.6. pasākuma “Bērnu pieskatīšanas pakalpojumi Jūrmalas valstspilsētā” projektu").</t>
    </r>
  </si>
  <si>
    <t xml:space="preserve">JVA  Īpašumu pārvaldes Pašvaldības īpašumu tehniskā nodrošinājuma nodaļa
Kultūras nodaļa,
SIA "Dzintaru koncertzāle"
</t>
  </si>
  <si>
    <t>Jūrmalas Sporta skola, 
Futbola skola</t>
  </si>
  <si>
    <t>JŪRMALAS VALSTSPILSĒTAS INVESTĪCIJU PLĀNS 2025.–2027. GADAM</t>
  </si>
  <si>
    <r>
      <rPr>
        <b/>
        <sz val="8.5"/>
        <color theme="1"/>
        <rFont val="Tahoma"/>
        <family val="2"/>
        <charset val="186"/>
      </rPr>
      <t>AP2029
darbība</t>
    </r>
  </si>
  <si>
    <t>Veiktās investīcijas 2023.g. -2024.g.</t>
  </si>
  <si>
    <t>2027.</t>
  </si>
  <si>
    <t>2028.–
2029.</t>
  </si>
  <si>
    <t>Valsts mērķ-dotācija</t>
  </si>
  <si>
    <t>Piešķirtais</t>
  </si>
  <si>
    <t>Plānotie/ pieprasītie</t>
  </si>
  <si>
    <r>
      <rPr>
        <u/>
        <sz val="8.5"/>
        <color theme="1"/>
        <rFont val="Tahoma"/>
        <family val="2"/>
        <charset val="186"/>
      </rPr>
      <t xml:space="preserve">2025.gadā:
</t>
    </r>
    <r>
      <rPr>
        <sz val="8.5"/>
        <color theme="1"/>
        <rFont val="Tahoma"/>
        <family val="2"/>
        <charset val="186"/>
      </rPr>
      <t xml:space="preserve">1. Projektēšana Asaru parka labiekārtošanai;
2. Metu konkurss Asaru parka vides objektam un vides objekta izvietošana parka teritorijā;
3. Labiekārtošanas un atjaunošanas darbi:
3.1. meliorācijas sistēmas atjaunošana un attīstība; 
3.2. apgaismojuma nomaiņa - 5 esošo apgaismojuma metāla stabu nomaiņa uz cinkotiem stabiem ar LED gaismekļiem, papildus 10 jaunu cinkotu stabu ar LED gaismekļu uzstādīšana (t.sk. apgaismojuma kabeļa montāžu zemē un parka apgaismojuma attālinātai vadībai);
3.3. ūdens ņemšanas vieta - dzeramā ūdens brīvkrāna uzstādīšana ar ūdensapgādi no esošā ūdensvada Induļa ielā;
3.4. āra trenažieru izvietošana; 
3.5. esošo parka soliņu un atkritumu urnu nomaiņa;
3.6. apzaļumošana u.c.
Aktivitātes tiek īstenotas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pasākuma “Publiskās ārtelpas attīstība” projekta “Asaru parka publiskās ārtelpas attīstība” ietvaros.  
</t>
    </r>
    <r>
      <rPr>
        <i/>
        <sz val="8.5"/>
        <color theme="1"/>
        <rFont val="Tahoma"/>
        <family val="2"/>
        <charset val="186"/>
      </rPr>
      <t xml:space="preserve">
Saite uz Jūrmalas domes 2024.gada 25.jūlijā lēmumu Nr.365 - https://dokumenti.jurmala.lv/docs/m24/l/m240365.htm 
Budžeta sistēmā nosaukums "Asaru parka attīstība un infrastruktūras pilnveide".</t>
    </r>
  </si>
  <si>
    <t>SIA “Jūrmalas gaisma”, 
SIA "Jūrmalas ūdens",
Kultūrtelpas un vides dizaina centrs
Jūrmalas valstspilsētas administrācija:
Īpašumu pārvaldes Pilsētsaimniecības nodaļa,
Audita un kapitāldaļu pārvaldības nodaļas Kapitāldaļu pārvaldīšanas daļa,
Attīstības pārvaldes Inženierbūvju nodaļa</t>
  </si>
  <si>
    <r>
      <t>Iedzīvotājiem brīvā laika pavadīšanai (atsevišķās apkaimēs arī bērnu rotaļlaukumiem) pielāgota publiskā ārtelpa.</t>
    </r>
    <r>
      <rPr>
        <u/>
        <sz val="8.5"/>
        <color rgb="FFFF0000"/>
        <rFont val="Tahoma"/>
        <family val="2"/>
        <charset val="186"/>
      </rPr>
      <t/>
    </r>
  </si>
  <si>
    <t>Dalībai Eiropas Jūrlietu, zvejniecības un akvakultūras fonda finansētu projektu konkursā ir nepieciešama būvprojekta izstrāde. Būvprojekta izstrādi veicot 2025. gadā, Eiropas Jūrlietu, zvejniecības un akvakultūras fonda finansējuma saņemšana un projekta īstenošanas uzsākšana iespējama 2026. gadā.</t>
  </si>
  <si>
    <t>1 brīvā laika pavadīšanai labiekārtota infrastruktūra apkaimē pie Lielupes</t>
  </si>
  <si>
    <t>SIA “Jūrmalas gaisma”
Jūrmalas valstspilsētas administrācija:
Attīstības pārvaldes Stratēģiskās plānošanas nodaļa,
Pilsētplānošanas pārvalde,
Īpašumu pārvaldes Pilsētsaimniecības nodaļa,
Audita un kapitāldaļu pārvaldības nodaļas Kapitāldaļu pārvaldīšanas daļa</t>
  </si>
  <si>
    <r>
      <rPr>
        <u/>
        <sz val="8.5"/>
        <color theme="1"/>
        <rFont val="Tahoma"/>
        <family val="2"/>
        <charset val="186"/>
      </rPr>
      <t>2025.gadā:</t>
    </r>
    <r>
      <rPr>
        <sz val="8.5"/>
        <color theme="1"/>
        <rFont val="Tahoma"/>
        <family val="2"/>
        <charset val="186"/>
      </rPr>
      <t xml:space="preserve">
JPII "Saulīte" - seguma ieklāšana ap rotaļu konstrukcijām 3 gb. (17 000 EUR);
JPII "Lācītis" - semontēt vingrošanas kompleksu, atjaunot gumijas segumu un uzstādīt jaunu, lielākiem bērniem paredzētu iekārtu un koka žoga (~45 metri) demontāža un jauna 2D žoga uzstādīšana (16 000 EUR);
JPII "Austras koks" - gumijas seguma atjaunošana un rotaļu ierīces silītes grupiņas bērniem (36 m2), 16 gb. smilšu kastu demontāža, 4 gb. lielo 3x3m smilšu kastu uzstādīšana, gumijas seguma ierīkošana zem 2 gab. āra tafelēm, kopā 8m2 un žoga ierīkošana 22 metri (41 000 EUR);
JPII "Bitīte" - gumijas segums ap rotaļu iekārtu ~45 m2 (13 000 EUR);
JPII "Madara" - vismaz 2 no 7 smilšu kastu nomaiņa (22 000 EUR);
Mežmalas pamatskola - vienas smilšu kastes nomaiņa un mīkstā seguma ierīkošana ap to un rotaļu laukuma drošības zonas gumijas seguma paplašināšana ~10m2 (7000 EUR).</t>
    </r>
  </si>
  <si>
    <t>Dušas, pārģērbšanās kabīnes, norādes, atkritumu konteineri utt.
Atbilstoši 2021. gada līgumam - ikgadēji ieguldījumi jaunu pārģērbšanās kabīņu izgatavošanā (8295 EUR).</t>
  </si>
  <si>
    <t>Infrastruktūras un inženierkomunikāciju izveide/ atjaunošana izejās uz jūru*</t>
  </si>
  <si>
    <r>
      <t xml:space="preserve">Pilnveidots apgaismojums, atjaunotas laipas, nodrošinātas inženierkomunikācijas utt.
</t>
    </r>
    <r>
      <rPr>
        <u/>
        <sz val="8.5"/>
        <color theme="1"/>
        <rFont val="Tahoma"/>
        <family val="2"/>
        <charset val="186"/>
      </rPr>
      <t>2025.gadā:</t>
    </r>
    <r>
      <rPr>
        <sz val="8.5"/>
        <color theme="1"/>
        <rFont val="Tahoma"/>
        <family val="2"/>
        <charset val="186"/>
      </rPr>
      <t xml:space="preserve">
Jaunu koka laipu izgatavošana izejās uz jūru. Nolietojuma dēļ nepieciešams izgatavot jaunus koka laipu posmus, nomainīt koka laipas P. Stradiņa 2. līnijas un Jaunķemera ceļa izejās uz jūru (29 962 EUR).</t>
    </r>
  </si>
  <si>
    <t>SIA “Jūrmalas gaisma”
Jūrmalas valstspilsētas administrācija:
JVA Audita un kapitāldaļu pārvaldības nodaļas Kapitāldaļu pārvaldīšanas daļa</t>
  </si>
  <si>
    <t xml:space="preserve">Atjaunota promenāde Slokā, t.sk. labiekārtojums  un publiskās ārtelpas pilnveide atbilstoši iedzīvotāju vajadzībām. </t>
  </si>
  <si>
    <t>Jūrmalas valstspilsētas administrācija:
Īpašumu pārvaldes Pilsētsaimniecības nodaļa,
Attīstības pārvaldes Stratēģiskās plānošanas nodaļa, 
Attīstības pārvaldes Inženierbūvju nodaļa</t>
  </si>
  <si>
    <t>IAS2030 pasākums: Izveidota infrastruktūra kājāmgājēju kustības nodrošināšanai gar Lielupi visā tās garumā Jūrmalas teritorijā, infrastruktūras risinājumus izvēloties atbilstoši dabas vērtībām: koka laipas uz pāļiem, stingra pamata takas, asfaltēti celiņi.</t>
  </si>
  <si>
    <r>
      <t xml:space="preserve">2025. - 2027. gadā piesaistīt ārējo finanšu līdzekļu finansējumu: Labiekārtotas peldvietas izveide Slokā pie Lielupes, atbilstoši iedzīvotāju ierosinājumiem ar Eiropas Jūrlietu, zvejniecības un akvakultūras fonda finansējumu. 
Aktivitātes - labiekārtots 135 metrus garš Lielupes krasta posms, tauvas josla (~775 m2) Slokā, kas robežojas ar Jūrmalas pamatskolas teritoriju un atrodas blakus vēsturiskajai Slokas kuģīša piestātnei/pārceltuvei (upes krasta līnijas stiprināšanas būvdarbi, nolūzušo koku novākšana, zemes līmeņa izlīdzināšana/ uzbēršana, labiekārtošana un apzaļumošana, Jūrmalas pamatskolas žoga daļas nomaiņa, piebraucamā ceļa izbūve) plānots īstenot EJZAF 3. rīcības "Vides resursu līdzsvarota izmantošana un piekrastes dabas vērtību saglabāšana" Jūrmalas pamatskolas projekta “Rekreācijas zonas izveide Slokas vēsturiskajā centrā Lielupes krastā pie Jūrmalas pamatskola” 1. kārtas ietvaros, plānotais īstenošanas periods 2025.-2026. gads un indikatīvās kopējās izmaksas 224 085 EUR, kur EJZAF finansējums plānots 90%.
</t>
    </r>
    <r>
      <rPr>
        <i/>
        <sz val="8.5"/>
        <color theme="1"/>
        <rFont val="Tahoma"/>
        <family val="2"/>
        <charset val="186"/>
      </rPr>
      <t>Kad tiks pieņemts Jūrmalas domes lēmums par dalību konkrētā projekta konkursā, tiks izveidots atsevišķs Investīciju projekts.</t>
    </r>
  </si>
  <si>
    <t>Jūrmalas pamatskola,
Izglītības pārvalde,
Jūrmalas valstspilsētas administrācija: Attīstības pārvaldes Infrastruktūras investīciju projektu nodaļa,
Attīstības pārvaldes Stratēģiskās plānošanas nodaļa,
Attīstības pārvaldes Tūrisma un uzņēmējdarbības attīstības nodaļa</t>
  </si>
  <si>
    <t>Pilnveidots/ izveidots apgaismojums un atjaunots/ uzlabots ceļa segums</t>
  </si>
  <si>
    <t>Jūrmalas valstspilsētas administrācija: Īpašumu pārvalde</t>
  </si>
  <si>
    <r>
      <t xml:space="preserve">Lielupes grīvas kuģu kanāla padziļināšanas darbi. 
Lielupes grīvas kuģa kanālu nepieciešams ikgadēji padziļināt, lai nodrošinātu drošu kuģošanu un novērstu iespējamus plūdu draudus. 
</t>
    </r>
    <r>
      <rPr>
        <u/>
        <sz val="8.5"/>
        <color theme="1"/>
        <rFont val="Tahoma"/>
        <family val="2"/>
        <charset val="186"/>
      </rPr>
      <t xml:space="preserve">2025. gadā:
</t>
    </r>
    <r>
      <rPr>
        <sz val="8.5"/>
        <color theme="1"/>
        <rFont val="Tahoma"/>
        <family val="2"/>
        <charset val="186"/>
      </rPr>
      <t>Lielupes grīvas kuģu kanāla padziļināšanas darbi - orientējošais izsmeļamās grunts apjoms 2025. gadā, balstoties uz iepriekš veiktiem mērījumiem, ir 18 000 m3.
Plānots arī iesniegt projekta pieteikumu Eiropas Jūrlietu, zvejniecības un akvakultūras fonda saņemšanai, lai ikgadēji veiktu padziļināšanas darbus.</t>
    </r>
  </si>
  <si>
    <t>Jūrmalas valstspilsētas administrācija: Īpašumu pārvalde,
Attīstības pārvalde</t>
  </si>
  <si>
    <r>
      <rPr>
        <u/>
        <sz val="8.5"/>
        <color theme="1"/>
        <rFont val="Tahoma"/>
        <family val="2"/>
        <charset val="186"/>
      </rPr>
      <t>2025. gadā:</t>
    </r>
    <r>
      <rPr>
        <sz val="8.5"/>
        <color theme="1"/>
        <rFont val="Tahoma"/>
        <family val="2"/>
        <charset val="186"/>
      </rPr>
      <t xml:space="preserve">
1. Teritorijas labiekārtošana (Ezeru ielas peldvietas pieejamības uzlabošana);
2. Autoruzraudzība, būvuzraudzība un būvprojekta izstrāde.
Aktivitātes tiek īstenotas INTERREG Igaunijas - Latvijas pārrobežu sadarbības programmas 2021. – 2027. gadam projekta “Ūdens tūrisma aktivitāšu pieejamības veicināšana/ Riverways II” ietvaros partnerībā ar projekta vadošo partneri – Kurzemes plānošanas reģionu. ir plānots veikt Ezeru ielas peldvietas infrastruktūras atjaunošanu un labiekārtošanu – atjaunot piknika vietas, pārģērbšanās kabīnes, informatīvo stendu,  uzlabot pieejamību pontonam (laivu piestātnei), izveidot pielāgotu makšķerēšanas vietu uz pontona, informatīvās norādes, uzstādīt glābšanas riņki un tā stendu.
Saite uz Jūrmalas domes 2024. gada 25. jūlija lēmumu Nr. 381 https://dokumenti.jurmala.lv/docs/m24/l/m240381_m.htm
(Sasaiste ar IP projektiem 21.P1 un 3.Ē1)</t>
    </r>
  </si>
  <si>
    <t>Jūrmalas valstspilsētas administrācija: Īpašumu pārvaldes Pilsētsaimniecības nodaļa</t>
  </si>
  <si>
    <t>EJZAF pasākuma Nr. U31421 “Sabiedrības virzītas vietējās attīstības stratēģiju īstenošana” pieteiktā projekta ietvaros ir plānots veicināt Lielupes piekrastes teritorijas saglabāšanu, attīstīšanu un ilgtspējīgu izmantošanu, nomainot Ezeru ielas grants segumu uz cieto segumu posmā no Ģertrūdes prospekta līdz Lielupes peldvietai “Ezeru ielas peldvieta”, izbūvējot stāvlaukumu un ielas apgaismojuma līniju ar LED gaismekļiem, nodrošinot cilvēku plūsmas organizēšanu šajā teritorijā, piekrastes infrastruktūras sakārtošanu un pieejamības uzlabošanu.
Saņemta Lauku atbalsta dienesta 2025. gada 27. februāra vēstule Nr. 08.25.001554 par projekta iesnieguma apstiprināšanu un EJZAF finansējuma piešķiršanu 270 tūkst. EUR apmērā.
(Sasaiste ar IP projektiem 20.P1 un 3.Ē1)</t>
  </si>
  <si>
    <t>SIA "Jūrmalas gaisma"
Jūrmalas valstspilsētas administrācija: Attīstības pārvaldes Inženierbūvju nodaļa,
Audita un kapitāldaļu pārvaldības nodaļas Kapitāldaļu pārvaldīšanas daļa</t>
  </si>
  <si>
    <r>
      <rPr>
        <u/>
        <sz val="8.5"/>
        <color theme="1"/>
        <rFont val="Tahoma"/>
        <family val="2"/>
        <charset val="186"/>
      </rPr>
      <t>2025. gadā:</t>
    </r>
    <r>
      <rPr>
        <sz val="8.5"/>
        <color theme="1"/>
        <rFont val="Tahoma"/>
        <family val="2"/>
        <charset val="186"/>
      </rPr>
      <t xml:space="preserve">
-Pabeigt 2021. gadā iesāktos būvdarbus - krasta nostiprinājumu būvniecība (atjaunošana) plūdu un krasta erozijas risku apdraudējumu novēršanas pasākumi Majoros – Dzintaros.
Aktivitātes tiek īstenotas darbības programmas “Izaugsme un nodarbinātība” 5.1.1. specifiskā atbalsta mērķa “Novērst plūdu un krasta erozijas risku apdraudējumu pilsētu teritorijās” projekta “Lielupes radīto plūdu un krasta erozijas risku apdraudējumu novēršanas pasākumi Dubultos-Majoros-Dzintaros” ietvaros. Lielupes radīto plūdu un krasta erozijas risku apdraudējuma novēršanas pasākumi Dubultu, Majoru un Dzintaru teritorijā. Izbūvētas un atjaunojotas pretplūdu būves Lielupes kreisajā krastā, lai pielāgotu plūdu riskam pakļautās pilsētas teritorijas klimata pārmaiņām, nodrošinātu iedzīvotājiem kvalitatīvāku dzīves vidi, kā arī palielinātu plūdu riskam pakļautā reģiona (Dubulti-Majori-Dzintari) uzņēmēju saimnieciskās darbības konkurētspēju un nodrošinātu uzņēmējdarbības turpmāku pastāvēšanu.
Saite uz Jūrmalas domes 2018. gada 23. augusta lēmumu Nr. 401 https://dokumenti.jurmala.lv/docs/k18/l/k180401_m.htm</t>
    </r>
  </si>
  <si>
    <t>Jūrmalas ostas pārvalde,
Jūrmalas valstspilsētas administrācija:
Īpašumu pārvalde</t>
  </si>
  <si>
    <r>
      <t xml:space="preserve">Projekta aktivitātes Eiropas Savienības kohēzijas politikas programmas 2021.-2027. gadam specifiskā atbalsta mērķa 2.1.3 “Veicināt pielāgošanos klimata pārmaiņām, risku novēršanu un noturību pret katastrofām” pasākuma 2.1.3.2. “Nacionālās nozīmes plūdu un krasta erozijas pasākumi” ietvaros. Indikatīvie sagaidāmie rezultāti:  
1. plūdu risku un krasta erozijas mazināšana Jūrmalas pilsētā; 
2. smilšu sanesumu mazināšana Lielupes grīvā;
3. padziļināts kuģošanas ceļš Lielupes grīvā, kas nodrošina patstāvīgu navigāciju, kas ir nepieciešama Jūrmalas ostas turpmākai darbībai.
Saite uz Jūrmalas domes 2023. gada 28. septembra lēmumu Nr. 448 https://dokumenti.jurmala.lv/docs/m23/l/m230448.htm
</t>
    </r>
    <r>
      <rPr>
        <i/>
        <sz val="8.5"/>
        <color theme="1"/>
        <rFont val="Tahoma"/>
        <family val="2"/>
        <charset val="186"/>
      </rPr>
      <t xml:space="preserve">
Budžeta sistēmā nosaukums "Hidrotehniskās būves izveide".
</t>
    </r>
    <r>
      <rPr>
        <i/>
        <u/>
        <sz val="8.5"/>
        <color theme="1"/>
        <rFont val="Tahoma"/>
        <family val="2"/>
        <charset val="186"/>
      </rPr>
      <t>2025.gadā:</t>
    </r>
    <r>
      <rPr>
        <i/>
        <sz val="8.5"/>
        <color theme="1"/>
        <rFont val="Tahoma"/>
        <family val="2"/>
        <charset val="186"/>
      </rPr>
      <t xml:space="preserve">
Pieņemts lēmums projektu neīstenot (Jūrmalas domes 2025. gada 28. augusta lēmums Nr. ___).</t>
    </r>
  </si>
  <si>
    <t>Padziļināts kuģošanas ceļš, nodrošināta Jūrmalas ostas pilnvērtīga darbība. Sasniedzamie rādītāji:
1.zaļā infrastruktūra, kas izveidota vai atjaunināta nolūkā pielāgoties klimata pārmaiņām – 50 ha;
2.jaunizveidota vai nostiprināta piekrastes joslas un upju un ezeru krastu aizsardzība pret plūdiem – 1,2 km;
3.iedzīvotāju skaits, kuriem pieejama jauna vai “zaļā” infrastruktūra (2 km rādiusā) – 6436;
4.iedzīvotāju skaits, kas gūst labumu no pretplūdu pasākumiem – 3773.
Pieņemts lēmums projektu neīstenot</t>
  </si>
  <si>
    <t>Jūrmalas ostas pārvalde,
Jūrmalas valstspilsētas administrācija:
Attīstības pārvaldes Stratēģiskās plānošanas nodaļa,
Attīstības pārvaldes Infrastruktūras investīciju projektu nodaļa,
Attīstības pārvaldes Inženierbūvju nodaļa</t>
  </si>
  <si>
    <r>
      <t xml:space="preserve">JVA Attīstības pārvaldes </t>
    </r>
    <r>
      <rPr>
        <strike/>
        <sz val="8.5"/>
        <color theme="1"/>
        <rFont val="Tahoma"/>
        <family val="2"/>
        <charset val="186"/>
      </rPr>
      <t>Infrastruktūras investīciju projektu</t>
    </r>
    <r>
      <rPr>
        <sz val="8.5"/>
        <color theme="1"/>
        <rFont val="Tahoma"/>
        <family val="2"/>
        <charset val="186"/>
      </rPr>
      <t xml:space="preserve"> Inženierbūvju nodaļa</t>
    </r>
  </si>
  <si>
    <t>Jūrmalas pašvaldības policija
Jūrmalas valstspilsētas administrācija: Īpašumu pārvaldes Nodokļu nodaļa</t>
  </si>
  <si>
    <r>
      <rPr>
        <u/>
        <sz val="8.5"/>
        <color theme="1"/>
        <rFont val="Tahoma"/>
        <family val="2"/>
        <charset val="186"/>
      </rPr>
      <t>2025. gadā:</t>
    </r>
    <r>
      <rPr>
        <sz val="8.5"/>
        <color theme="1"/>
        <rFont val="Tahoma"/>
        <family val="2"/>
        <charset val="186"/>
      </rPr>
      <t xml:space="preserve">
Projektā plānotās darbības turpināsies. Tiks veiktas notekūdeņu kompleksas pārbaudes un testēšana plašākā apjomā nekā to nosaka normatīvie akti. Tā vajadzībām plānots iegādāties gan laboratorijas aprīkojumu, gan reaģentus testēšanai, kā arī veikt uzlabojumus Slokas notekūdeņu attīrīšanas iekārtās, lai notekūdeņu padeve būtu ātrāka un efektīvāka. Vienlaikus projektā 2025. gadā plānota rokasgrāmatas izstrāde par pilotprojektu rezultātiem un nozares vēstnešu apmācības, lai sabiedrībā veicinātu atbilstoši attīrītu notekūdeņu plašāku pielietojumu. 
Aktivitātes tiek īstenotas INTERREG Baltijas jūras reģiona transnacionālās sadarbības programmas projekta “ReNutriWater” ietvaros. Projekta mērķis ir atbilstoši attīrītu notekūdeņu atkārtota izmantošana dabā, tādējādi ilgtspējīgi un lietderīgi izmantojot pieejamos ūdens resursus. Projektā plānota veikta virkne dažādu paraugu testēšana laboratorijas apstākļos, lai noskaidrotu iespējamos riskus un izaicinājumus, izmantojot atbilstoši attīrītos notekūdeņus. Savukārt projekta īstenošanas vidusdaļā plānota atkārtoti izmantojamā ūdens pielietošana pilsētas apstādījumu zonās, lai tādējādi veicinātu ūdens resursa lietderīgu izmantošanu, kā arī veicinātu zaļo risinājumu ieviešanu pilsētvidē.</t>
    </r>
  </si>
  <si>
    <t>Jūrmalas valstspilsētas administrācija: Audita un kapitāldaļu pārvaldības nodaļas Kapitāldaļu pārvaldīšanas daļa,
Attīstības pārvaldes Stratēģiskās plānošanas nodaļa</t>
  </si>
  <si>
    <r>
      <rPr>
        <u/>
        <sz val="8.5"/>
        <color theme="1"/>
        <rFont val="Tahoma"/>
        <family val="2"/>
        <charset val="186"/>
      </rPr>
      <t>2025. gadā:</t>
    </r>
    <r>
      <rPr>
        <sz val="8.5"/>
        <color theme="1"/>
        <rFont val="Tahoma"/>
        <family val="2"/>
        <charset val="186"/>
      </rPr>
      <t xml:space="preserve">
-lietus ūdens kanalizācijas sūkņu staciju pārbūve - paredzēta otra sūkņa nomaiņa Tallinas ielā 28 (remontēt esošo nav iespējams), pašas būves remonts. Paredzēta arī viena sūkņa nomaiņa Meža LKSS, vētras laikā tika konstatētas problēmas ar vienu no sūkņiem (130 000 EUR);
-meliorācijas sistēmas izbūve - E.Dārziņa ielā 15A un Katedrāles ielas pieguļošajā teritorijā (13 000 EUR).</t>
    </r>
  </si>
  <si>
    <t>NURSECOAST-II  - tūrisma ietekme uz notekūdeņu piesārņojuma klātbūtni Baltijas jūras piekrastes ūdeņos</t>
  </si>
  <si>
    <r>
      <rPr>
        <u/>
        <sz val="8.5"/>
        <color theme="1"/>
        <rFont val="Tahoma"/>
        <family val="2"/>
        <charset val="186"/>
      </rPr>
      <t>2025. gadā:</t>
    </r>
    <r>
      <rPr>
        <sz val="8.5"/>
        <color theme="1"/>
        <rFont val="Tahoma"/>
        <family val="2"/>
        <charset val="186"/>
      </rPr>
      <t xml:space="preserve">
Plānots veikt mērķgrupas un plašāku sabiedrību uzrunāšanu un iepazīstināšanu ar projektā gūtajiem rezultātiem, lai veicinātu atbildīgu attieksmi pret notekūdeņu attīrīšanu katrā pašvaldībā. Projektā plānots veicināt starpnozaru sadarbību pēc “Business hub” modeļa principiem, veicinot gan zināšanu pārnesi un dalīšanos pieredzē un veidojot sadarbības tiltus, sastopoties ar kopējiem izaicinājumiem.  Plānots veikt gan iepirkumus, gan sabiedrisko attiecību kampaņas par sabiedriskā ūdenssaimniecības pakalpojuma nozīmi.
Aktivitātes tiek īstenotas Eiropas Reģionālās attīstības fonda līdzfinansētā INTERREG Baltijas jūras reģiona projekta “NURSECOAST-II” ietvaros. Projekts iekļauts apstiprinātajā SIA "Jūrmalas ūdens" vidēja termiņa darbības stratēģijā. Projekta laikā sadarbībā ar projekta pārrobežu partneriem tiek izstrādāti pētījumi un rasti risinājumu iespējamie modeļi notekūdeņu piesārņojuma slodzes mazināšanai Baltijas jūras piekrastes teritorijā ar CE &lt;2000 un vienlaikus izteiktu sezonālo tūrismu.</t>
    </r>
  </si>
  <si>
    <t>Jūrmalas valstspilsētas administrācija:  Audita un kapitāldaļu pārvaldības nodaļas Kapitāldaļu pārvaldīšanas daļa</t>
  </si>
  <si>
    <r>
      <t xml:space="preserve">Ieguvumi:
-Datu ievākšana un uzkrāšana, kas tiek izmantoti klimata faktoru monitoringā (t.sk. izstrādāti klimata un epidemioloģiskie modeļi un to ģenerēšana un simulēšana Rīgas un Jūrmalas situācijām); 
-Identificēti Jūrmalas valstspilsētai nopietnākie klimata pārmaiņu riski, kas ietekmē sabiedrības veselību – izstrādāts plāns risku mazināšanai un novēršanai, sabiedrības veselības stāvokļa uzlabošanai;
-Pieredzes apmaiņa līdzvērtīgu risinājumu veidošanā;
-Labās prakses pārņemšana, t.sk. mākslīgā intelekta tehnoloģiju radīti agrīnie brīdinājumi un risinājumi;
-Datu pieejamības nodrošināšana Jūrmalas valstspilsētas pašvaldības ģeogrāfiskās informācijas sistēmā.
</t>
    </r>
    <r>
      <rPr>
        <i/>
        <sz val="8.5"/>
        <color theme="1"/>
        <rFont val="Tahoma"/>
        <family val="2"/>
        <charset val="186"/>
      </rPr>
      <t xml:space="preserve">Eiropas Savienības pētniecības un inovācijas programmas Apvārsnis (HORIZON) Eiropa 2021-2027 “Ilgtermiņa un īstermiņa datu analīze par klimatu ietekmējošiem faktoriem veselīgas pilsētvides veidošanā” ietvaros
</t>
    </r>
    <r>
      <rPr>
        <sz val="8.5"/>
        <color theme="1"/>
        <rFont val="Tahoma"/>
        <family val="2"/>
        <charset val="186"/>
      </rPr>
      <t>Saskaņā ar Jūrmalas domes 2024. gada 30. maija lēmumu Nr. 253 par projekta īstenošanu nav plānoti ieguldījumi infrastruktūrā tādēļ tiek noņemts no Investīciju plāna. Saite uz lēmumu https://dokumenti.jurmala.lv/docs/m24/l/m240253.htm</t>
    </r>
  </si>
  <si>
    <t>Jūrmalas Labklājības pārvalde
Jūrmalas valstspilsētas administrācija: Pilsētplānošanas pārvaldes Ģeomātikas un inženieru nodaļa</t>
  </si>
  <si>
    <t>Pārbūvēta/ atjaunota meliorācijas sistēma Jūrmalas valstspilsētas pašvaldības vairākās apkaimēs (Kaugurciems, Vaivari, Asari, Melluži u.c.) un uzlabota lietusūdens savākšanas sistēmu kapacitāte un kvalitāte Majoros un Dzintaros.
Aktivitātes plānotas Eiropas Savienības kohēzijas politikas programmas 2021.–2027. gadam 2.1.3. specifiskā atbalsta mērķa “Veicināt pielāgošanos klimata pārmaiņām, risku novēršanu un noturību pret katastrofām” 2.1.3.1. pasākuma “Pašvaldību pielāgošanās klimata pārmaiņām” atklātā projektu iesniegumu konkursā ar projekta iesniegumu “Jūrmalas valstspilsētas pašvaldības pielāgošanās klimata pārmaiņām” ietvaros.
Pieteikums sagatavots, iesniegts un saņemts CFLA 2025. gada 26. februāra lēmums Nr. 39-2-10/1194, apstiprināt projekta iesniegumu ar nosacījumu.
(sasaiste ar IP projektu 7.P2)
Saite uz Jūrmalas domes 2024. gada 24. oktobra lēmumu Nr. 548 https://dokumenti.jurmala.lv/docs/m24/l/m240548.htm</t>
  </si>
  <si>
    <t>Jūrmalas valstspilsētas administrācija: 
Attīstības pārvaldes Stratēģiskās plānošanas nodaļa</t>
  </si>
  <si>
    <r>
      <t xml:space="preserve">Ir uzstādītas attālinātās vadības un vizualizācijas sistēmas katlumājās. Optimizēts šķeldas katlu darbības režīms, palielināts AER īpatsvars.
</t>
    </r>
    <r>
      <rPr>
        <u/>
        <sz val="8.5"/>
        <color theme="1"/>
        <rFont val="Tahoma"/>
        <family val="2"/>
        <charset val="186"/>
      </rPr>
      <t>2025. gadā:</t>
    </r>
    <r>
      <rPr>
        <sz val="8.5"/>
        <color theme="1"/>
        <rFont val="Tahoma"/>
        <family val="2"/>
        <charset val="186"/>
      </rPr>
      <t xml:space="preserve">
1) Katlu māju attālināta vadība pieslēgšana pie esošās tālvadības sistēmas (SCADA), saimnieciskās darbības efektivizācija, ikdienas procesu optimizēšana (6000 EUR);
2) CO2 samazinājums, izmaksu samazinājums, AER īpatsvara palielinājums, sadarbība ar institūcijām, kuras darbojas AER un bez izmešu tehnoloģiju izpētes jomā (15 000 EUR);
3) Šķeldas katlu darbības režīmu optimizācija, AER īpatsvara palielināšana (50 000 EUR);
4) Lietderības koeficienta paaugstināšana, siltuma ražošanas nodrošināšana atbilstoši MK noteikumiem. 92% pēc zemākā sadegšanas siltuma (10 100 EUR).</t>
    </r>
  </si>
  <si>
    <t>Jūrmalas valstspilsētas administrācija: Audita un kapitāldaļu pārvaldības nodaļas Kapitāldaļu pārvaldīšanas daļa</t>
  </si>
  <si>
    <r>
      <rPr>
        <u/>
        <sz val="8.5"/>
        <color theme="1"/>
        <rFont val="Tahoma"/>
        <family val="2"/>
        <charset val="186"/>
      </rPr>
      <t>2025. gadā:</t>
    </r>
    <r>
      <rPr>
        <sz val="8.5"/>
        <color theme="1"/>
        <rFont val="Tahoma"/>
        <family val="2"/>
        <charset val="186"/>
      </rPr>
      <t xml:space="preserve">
Novecojušo siltumtrašu posmu nomaiņa (siltumtrašu rekonstrukcija) - Kauguri; Dubulti.
Siltuma zudumu samazināšana, MWh/ normatīvo grādu dienas (vidēji 825 MWh uz rekonstruētajiem posmiem ~7527 m), avārijas risku mazināšana.</t>
    </r>
  </si>
  <si>
    <t>Tiek realizēts, ja tiek piesaistīts ES fondu līdzfinansējums ES fondu plānošanas periodā 2021.–2027. gadam. Tiek izveiodots saules kolektoru parks Salas ielā 3.</t>
  </si>
  <si>
    <r>
      <t>CO</t>
    </r>
    <r>
      <rPr>
        <vertAlign val="subscript"/>
        <sz val="8.5"/>
        <color theme="1"/>
        <rFont val="Tahoma"/>
        <family val="2"/>
        <charset val="186"/>
      </rPr>
      <t>2</t>
    </r>
    <r>
      <rPr>
        <sz val="8.5"/>
        <color theme="1"/>
        <rFont val="Tahoma"/>
        <family val="2"/>
        <charset val="186"/>
      </rPr>
      <t xml:space="preserve"> emisiju samazinājums (tiks aprēķināts, izstrādājot detalizētu projekta tehniski ekonomisko pamatojumu)</t>
    </r>
  </si>
  <si>
    <r>
      <t>Izbūvēta šķeldas katlumāja (5 MW). Siltumenerģija tiek ražota ar atjaunojamajiem energoresursiem, kā rezultātā par 20 000 MWh samazinās ar dabasgāzi saražotais apjoms un iegūts 4000 t CO</t>
    </r>
    <r>
      <rPr>
        <vertAlign val="subscript"/>
        <sz val="8.5"/>
        <color theme="1"/>
        <rFont val="Tahoma"/>
        <family val="2"/>
        <charset val="186"/>
      </rPr>
      <t>2</t>
    </r>
    <r>
      <rPr>
        <sz val="8.5"/>
        <color theme="1"/>
        <rFont val="Tahoma"/>
        <family val="2"/>
        <charset val="186"/>
      </rPr>
      <t xml:space="preserve"> emisiju samazinājums gadā.</t>
    </r>
  </si>
  <si>
    <r>
      <t>CO</t>
    </r>
    <r>
      <rPr>
        <vertAlign val="subscript"/>
        <sz val="8.5"/>
        <color theme="1"/>
        <rFont val="Tahoma"/>
        <family val="2"/>
        <charset val="186"/>
      </rPr>
      <t>2</t>
    </r>
    <r>
      <rPr>
        <sz val="8.5"/>
        <color theme="1"/>
        <rFont val="Tahoma"/>
        <family val="2"/>
        <charset val="186"/>
      </rPr>
      <t xml:space="preserve"> emisiju samazinājums par 4000 t gadā</t>
    </r>
  </si>
  <si>
    <r>
      <rPr>
        <u/>
        <sz val="8.5"/>
        <color theme="1"/>
        <rFont val="Tahoma"/>
        <family val="2"/>
        <charset val="186"/>
      </rPr>
      <t>2025. gadā:</t>
    </r>
    <r>
      <rPr>
        <sz val="8.5"/>
        <color theme="1"/>
        <rFont val="Tahoma"/>
        <family val="2"/>
        <charset val="186"/>
      </rPr>
      <t xml:space="preserve">
1) Pārvades sistēmas digatilizācija, siltumnesēja temperatūras  stabilizācija, siltuma zudumu samazinājums, energoefektivitātes obligātā pienākuma shēmas saistību pildīšana, digitalizēta pārvades sistēma ar atspoguļojumu par to tehnisko stāvokli, remontu plānu izstrādei un pārvades sistēmas stāvokļa monitorēšanai (50 000 EUR);
2) Hidrauliskā modelēšanas programmas iegāde, siltuma zudumu samazināšana MWh/ grādu dienas, aprēķinot nepieciešamo siltumavotu izejas temperatūru, spiediena starpību, elektroenerģijas patēriņa samazināšana (kWh), nomaināmo cauruļu diametru aprēķins, to ietekme uz visu hidraulisko sistēmu (22 658 EUR);
3) Tirgus izpētes pasākumi jaunu objektu pieslēgšanas potenciāla apzināšanai (centralizētajā un decentralizētajā siltumapgādes sistēmā), nepārtraukta tirgus izpēte un monitorings par siltumapgādes tirgus paplašināšanas iespējām Jūrmalā (18 000 EUR).
4) Klienta profila izveidošana e-vidē, dažādu klientu apkalpošanas opciju atvieglošana klientiem - rēķinu apmaksa, rēķinu saņemšana, distances līgumu noslēgšana caur klienta profilu (30 000 EUR).
5) Klientu aptauja, veikta regulāra iedzīvotāju informēšana vietējos laikrakstos un kapitālsabiedrības mājas lapā par aktuāliem siltumapgādes jautājumiem, pēc iedzīvotāju pieprasījuma organizētas tikšanās ar iedzīvotājiem, pēc dzīvokļu īrnieku/ īpašnieku individuāla pieprasījuma izskaidrota dzīvojamo māju siltumapgādes izmaksu veidošanās. Klientu aptauja 1x gadā par siltumapgādes pakalpojuma kvalitāti Jūrmalā (2500 EUR).
6) Elektroauto iegāde operatoriem - CO2 samazinājums līdz 4,5 tonnām gadā. (40 000 EUR).
7) Sadarbības veidošana, konsultāciju sniegšana klientiem un apsaimniekotājiem par ēku energoefektivitātes paaugstināšanu, veikt EPS ietvaros siltumapgādei noteiktās aktivitātes (6000 EUR).
8) Jaunu pakalpojumu ieviešana izmantojot individuālu, inovatīvu apkures un aukstuma sistēmu uzstādīšana - siltumsūkņi, saules kolektori, saules paneļi, kondicionieri. Jaunu klientu piesaiste, pakalpojumu paplašināšana - objektu skaita palielinājums (60 000 EUR).
9) Siltuma uzskaites digitalizācija, patērētāju patēriņu monitorings, optimizējot katlu māju darbību pie ārgaisa temperatūras svārstībām, samazinot zudumus un palielinot AER izmantošanu siltumapgādē (37 500 EUR).</t>
    </r>
  </si>
  <si>
    <t>Jūrmalas ūdenssaimniecības attīstības projekta IV kārtas īstenošana
(pabeigts)</t>
  </si>
  <si>
    <t xml:space="preserve">PABEIGTS 2023. gadā
Ūdensapgādes un kanalizācijas tīklu paplašināšana (IV kārta). Ūdenssaimniecības tīklu izbūve dažādās pilsētas apkaimēs, izveidojot centralizētā ūdensapgādes un sadzīves kanalizācijas novadīšanas tīklu un pieslēgumu pievadus un atzarus līdz privātīpašuma robežai.
14.11.2023. CFLA vēstulē paziņoja par secinājumu, ka plānotie projektā sasniedzamie rādītāji ir sasniegti pietiekamā apmērā, lai projekta mērķis būtu sasniegts.
</t>
  </si>
  <si>
    <t>Iegādāti pamatlīdzekļi kapitālsabiedrības saimnieciskās darbības nodrošināšanai:
1) ūdensvada un kanalizācijas tīklu pārbūve,
2) kanalizācijas pārsūknēšanas staciju pārbūve,
3) automašīnu iegāde,
4) biroja tehnikas iegāde,
5) nepieciešamo iekārtu iegāde.
Ūdenssaimniecības kritiskās infrastruktūras uzlabošana.
Ūdenssaimniecības pakalpojumu sniegšanas procesu digitalizācija.
2025.gadā plānots:
1) Kanalizācijas pašteces kolektoru atjaunošana (250-300 m);
2) Ūdensvada sadales aku rekonstrukcija (20 gab.);
3) Kanalizācijas spiedvada renovācija (900 m);
4) Jaunu kanalizācijas tīklu izveide (65 mājsaimniecības);
5) Kanalizācijas sūkņu staciju rekonstrukcija (2024. g. uzsākta un 2025. gadā plānots turpināt Upes ielas un Vikingu ielas kanalizācijas sūkņu staciju rekonstrukciju);
6) Ūdenstorņu rekonstrukcija (2024. g. uzsākta un 2025. gadā plānots turpināt Kauguru ūdenstorņa rekonstrukciju);
7) Pārējie ieguldījumi, iegādāti pamatlīdzekļi kapitālsabiedrības saimnieciskās darbības nodrošināšanai (t.sk. Jūrmalas ūdens autoparka atjaunošana - Hidrodinamiskā mašīna, kravas automašīna).</t>
  </si>
  <si>
    <t>Ūdensapgādes un kanalizācijas tīklu izbūve pilsētas vietās, kur ūdenssaimniecības tīklu nav. Pievadu un atzaru izbūve no ielas tīkla līdz privātīpašuma robežai. Tiks realizēts, ja tiks piesaistīts ES fondu līdzfinansējums vai cits ārējais finansējums.</t>
  </si>
  <si>
    <t>Izveidota saules enerģijas stacija Slokas notekūdeņu attīrīšanas iekārtu teritorijā Mežmalas ielā 41, aizstājot iepirkto elektroenerģiju ar pašsaražoto atjaunojamo enerģiju.</t>
  </si>
  <si>
    <r>
      <t xml:space="preserve">Ēku kopleksās siltināšanas vai energoefektivitātes risinājumu ieviešana ūdenapgādes objektos, kā arī saules paneļu uzstādīšana vai citi atbalstāmi risinājumi zaļās atjaunojamās enerģijas ieguvei, lai ar pašsaražoto enerģiju aizstātu iepērkamo enerģijas apjomu.
Projekts tiks īstenots, ja tiks apstiprināts līdzfinansējums no Eiropas Struktūrfondiem vai citiem ārējiem finanšu avotiem.
</t>
    </r>
    <r>
      <rPr>
        <u/>
        <sz val="8.5"/>
        <color theme="1"/>
        <rFont val="Tahoma"/>
        <family val="2"/>
        <charset val="186"/>
      </rPr>
      <t xml:space="preserve">2025. gadā:
</t>
    </r>
    <r>
      <rPr>
        <sz val="8.5"/>
        <color theme="1"/>
        <rFont val="Tahoma"/>
        <family val="2"/>
        <charset val="186"/>
      </rPr>
      <t>Primāri veicamās darbības plānotas:
-digitālo karšu izstrādes pētījumu veikšana un sadarbības modeļu izveide;
-iepirkumu organizēšana nepieciešamā aprīkojuma iegādei. Tā kā projekta viens no uzdevumiem ir jauno speciālistu iesaiste ūdenssaimniecības nozarē - tiks izstrādāts sadarbības modelis studentu un jauniešu uzrunāšanai un sadarbības veicināšanai projekta īstenošanas laikā.
Aktivitātes plānotas un projekta pieteikums ir iesniegts INTERREG Baltijas jūras reģiona starptautiskā sadarbības projektu atlasē. Projektā plānots attīstīt ūdens kvalitātes emisiju digitālo dvīni visai Baltijas jūrai. Programmatūras pamatā ir dažādu savstarpēji aizstājamu satelītdatu karšu, piemēram, hlorofila A koncentrācijas, temperatūras, sāļuma, jūras ledus, skābekļa koncentrācijas, jūras bioķīmijas slāņu u.c. datu sapludināšana un atbilstoša analīze kopā ar pieejamiem datiem un antibiotiku rezistences datiem Baltijas jūrai. Tas laika gaitā sniegs ūdens kvalitātes datu avotu kopā ar analītikas funkcijām, kas palīdz politikas novērtēšanā un lēmumu pieņemšanā valsts iestādēm, viedajām pilsētām, ostām, notekūdeņu attīrīšanas iekārtām. Projekta pieteikums sagatavots un iesniegts izvērtēšanai - lēmumu par projekta apstiprināšanu vai noraidīšanu plānots saņemt līdz 2024. gada beigām. Gadījumā, ja projekts tiks apstiprināts, 2025. gadā plānota projekta īstenošanas līguma slēgšana un projekta uzsākšana.</t>
    </r>
  </si>
  <si>
    <r>
      <t xml:space="preserve">Saules paneļu uzstādīšana izbūvētajos sadzīves kanalizācijas novadīšanas vai attīrīšanas objektos, atjaunojamās enerģijas īpatsvara palielināšanai. Tiks realizēts, ja tiks piesaistīts ES fondu līdzfinansējums vai cits ārējais finansējums.
Aktivitātes plānotas Eiropas Savienības kohēzijas politikas programmas 2021.–2027.gadam 2.1.1. specifiskā atbalsta mērķa "Energoefektivitātes veicināšana un siltumnīcefekta gāzu emisiju samazināšana"  2.1.1.6. pasākuma "Pašvaldību ēku energoefektivitātes paaugstināšana" ietvaros. 2024. gada novembrī iesniegts pieteikums par projektu “Akumulatoru izvietošana Slokas NAI” saskaņā ar Vides investīciju fonda izsludināto atlasi EKII 3.2. Projektā plānots izvietot akumulatorus Slokas notetekūdeņu attīrīšanas iekārtās, lai jēgpilni izmantotu saules saražoto enerģiju, kas nepieciešama 24/7 režīmā notekūdeņu atbilstošai attīrīšanai. Projekta pieteikumam saņemts noraidījums - tiks precizēts pieteikums.
</t>
    </r>
    <r>
      <rPr>
        <u/>
        <sz val="8.5"/>
        <color theme="1"/>
        <rFont val="Tahoma"/>
        <family val="2"/>
        <charset val="186"/>
      </rPr>
      <t>2025.gadā:</t>
    </r>
    <r>
      <rPr>
        <sz val="8.5"/>
        <color theme="1"/>
        <rFont val="Tahoma"/>
        <family val="2"/>
        <charset val="186"/>
      </rPr>
      <t xml:space="preserve">
Saņemts projekta apstiprinājums Eiropas Savienības kohēzijas politikas programmas 2021. – 2027. gadam 2.1.1 specifiskā atbalsta mērķa “Energoefektivitātes veicināšana un siltumnīcefekta gāzu emisiju samazināšana” 2.1.1.6. pasākuma “Pašvaldību ēku energoefektivitātes paaugstināšana” otrās projektu iesniegumu atlases kārtas projektam ID Nr. 2.1.1.6/2/25/A/008 “Ķemeru saules parks”. Prognozējamie ieguvumi no projekta īstenošanas:
-izveidots saules parks Jūrmalā, Tūristu ielā 18A (parka jauda 999 kW un plānotais saražotās elektroenerģijas apjoms ir 1 133, 848 MWh gadā); 
-CO2 emisiju samazinājums – 123,59 t CO2 gadā. </t>
    </r>
  </si>
  <si>
    <r>
      <t xml:space="preserve">Izveidoti biofiltrācijas lauki ar iespēju notekūdeņu attīrīšanai izmantot augus (fito attīrīšana). Tiks realizēts, ja tiks piesaistīts ES fondu līdzfinansējums vai cits ārējais finansējums.
</t>
    </r>
    <r>
      <rPr>
        <u/>
        <sz val="8.5"/>
        <color theme="1"/>
        <rFont val="Tahoma"/>
        <family val="2"/>
        <charset val="186"/>
      </rPr>
      <t>2025. gadā:</t>
    </r>
    <r>
      <rPr>
        <sz val="8.5"/>
        <color theme="1"/>
        <rFont val="Tahoma"/>
        <family val="2"/>
        <charset val="186"/>
      </rPr>
      <t xml:space="preserve">
Plānota iepirkuma fāze un finanšu avotu noteikšana. Plānota idejas izstrāde un sagatavošanās darbu veikšana, lai sagatavotu augstas gatavības projekta pieteikumu un rastu finansējuma avotu ar augstu līdzfinansējuma likmi ievērojot projekta sasniedzamos rādītājus.
Plānota Lielupes NAI izpēte un sagatavošana, kā arī būvprojekta izstrādes un saskaņošanas darbu veikšana.</t>
    </r>
  </si>
  <si>
    <r>
      <t xml:space="preserve">Dūņu apstrādes tehnoloģijas pilnveide Slokas NAI teritorijā:
- biogāzes ražošana;
- dūņu kompostēšana;
- dūņu žāvēšana;
- hidrauliskās un bioreaktoru jaudas palielināšana;
- energoefektivitātes pasākumu īstenošana
Tiks realizēts, ja tiks piesaistīts ES fondu līdzfinansējums vai cits ārējais finansējums.
</t>
    </r>
    <r>
      <rPr>
        <u/>
        <sz val="8.5"/>
        <color theme="1"/>
        <rFont val="Tahoma"/>
        <family val="2"/>
        <charset val="186"/>
      </rPr>
      <t>2025. gadā:</t>
    </r>
    <r>
      <rPr>
        <sz val="8.5"/>
        <color theme="1"/>
        <rFont val="Tahoma"/>
        <family val="2"/>
        <charset val="186"/>
      </rPr>
      <t xml:space="preserve">
Projekta iesniegums ir iesniegts CFLA izvērtēšanai 2024. gada 14. oktobrī un 2025.g. saņemts apstiprinājums. Projekta mērķis ir uzlabot ūdenssaimniecības pakalpojumu efektivitāti, nodrošinot atbilstošas infrastruktūras jaudas, uzlabojot darbības efektvitāti, kā arī samazinot piesārņojumu. Projekta plānotā finansējuma atbalsta likme - 65%.
Centrālā Baltijas jūras reģiona pārrobežu sadarbības programmas Interreg programmas 2021.-2027. gada plānošanas perioda 4. projektu konkursā apstiprināta projekta “BalticPFASResolvePFAS" ietvaros </t>
    </r>
    <r>
      <rPr>
        <u/>
        <sz val="8.5"/>
        <color theme="1"/>
        <rFont val="Tahoma"/>
        <family val="2"/>
        <charset val="186"/>
      </rPr>
      <t>2025. gadā notiks:</t>
    </r>
    <r>
      <rPr>
        <sz val="8.5"/>
        <color theme="1"/>
        <rFont val="Tahoma"/>
        <family val="2"/>
        <charset val="186"/>
      </rPr>
      <t xml:space="preserve">
-izpētes aprīkojuma uzstādīšana SIA “Jūrmalas ūdens” notekūdeņu attīrīšanas iekārtās; 
-PFAS izpētes aprīkojuma testēšana un PFAS dinamikas noteikšana notekūdeņu attīrīšanas procesa laikā.</t>
    </r>
  </si>
  <si>
    <r>
      <t xml:space="preserve">Atjaunots spiedvads vai atsevišķi tā posmi. Tiks realizēts, ja tiks piesaistīts ES fondu līdzfinansējums vai cits ārējais finansējums
Projektā plānota spiedvada Lielupe - Daugavgrīva rekonstrukcija, notekūdeņu novadīšanas procesa nodrošināšanai un vides risku mazināšanai potenciālo avāriju gadījumā (2024. gada laikā plānota būvprojekta izstrāde spiedvada rekonstrukcijai, ar sekojošu būvdarbu fāzi 2025. - 2027. gadā).
</t>
    </r>
    <r>
      <rPr>
        <u/>
        <sz val="8.5"/>
        <color theme="1"/>
        <rFont val="Tahoma"/>
        <family val="2"/>
        <charset val="186"/>
      </rPr>
      <t>2025. gadā:</t>
    </r>
    <r>
      <rPr>
        <sz val="8.5"/>
        <color theme="1"/>
        <rFont val="Tahoma"/>
        <family val="2"/>
        <charset val="186"/>
      </rPr>
      <t xml:space="preserve">
Gada sākumā plānots veikt iepirkumu, noslēgt apvienoto būvniecības (projektēšana un būvdarbi) līgumu un uzsākt spiedvada rekonstrukciju.</t>
    </r>
  </si>
  <si>
    <t>Energofektivitātes pasākumi Nometņu ielā 5a, Jūrmalā (4.2.2.0/22/A/012)</t>
  </si>
  <si>
    <r>
      <rPr>
        <u/>
        <sz val="8.5"/>
        <color theme="1"/>
        <rFont val="Tahoma"/>
        <family val="2"/>
        <charset val="186"/>
      </rPr>
      <t>2025. gadā:</t>
    </r>
    <r>
      <rPr>
        <sz val="8.5"/>
        <color theme="1"/>
        <rFont val="Tahoma"/>
        <family val="2"/>
        <charset val="186"/>
      </rPr>
      <t xml:space="preserve">
plānots veikt ēku siltināšanas pasākumus un īstenot projektu pilnā apjomā, sasniedzot projektā izvirzītos mērķus un rezultatīvos rādītājus.
Aktivitātes tiek īstenotas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SIA “Jūrmalas ūdens” apstiprinātā projekta “Ēku siltināšana Promenādes ielā 1a, Jūrmalā” ietvaros. Kompleksi ēku siltināšanas pasākumi trīs SIA "Jūrmalas ūdens" ēkām Promenādes ielā 1a, Jūrmalā (birojs, garāža un avārijas dienesta ēka), kas tiek izmantotas ūdenssaimniecības pakalpojumu nodrošināšanai Jūrmalas valstspilsētā.
Saite uz Jūrmalas domes 2024. gada 25. jūlija lēmumu Nr. 361 https://dokumenti.jurmala.lv/docs/m24/l/m240361.htm</t>
    </r>
  </si>
  <si>
    <r>
      <rPr>
        <u/>
        <sz val="8.5"/>
        <color theme="1"/>
        <rFont val="Tahoma"/>
        <family val="2"/>
        <charset val="186"/>
      </rPr>
      <t>2025. gadā:</t>
    </r>
    <r>
      <rPr>
        <sz val="8.5"/>
        <color theme="1"/>
        <rFont val="Tahoma"/>
        <family val="2"/>
        <charset val="186"/>
      </rPr>
      <t xml:space="preserve">
Plānots veikt ēkas siltināšanas pasākumus un īstenot projektu pilnā apjomā, sasniedzot projektā izvirzītos mērķus un rezultatīvos rādītājus.
Aktivitātes tiek īstenotas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SIA “Jūrmalas ūdens” apstiprinātā projekta “Biroja siltināšana Nometņu ielā 5a, Jūrmalā” ietvaros. Kompleksi ēkas siltināšanas pasākumi SIA "Jūrmalas ūdens" biroja - laboratorijas ēkai Nometņu ielā 5a, Jūrmalā, kas tiek izmantota ūdenssaimniecības pakalpojumu nodrošināšanai Jūrmalas valstspilsētā.
Saite uz Jūrmalas domes 2024. gada 25. jūlija lēmumu Nr. 362 https://dokumenti.jurmala.lv/docs/m24/l/m240362.htm</t>
    </r>
  </si>
  <si>
    <r>
      <t xml:space="preserve">JVA Attīstības pārvaldes Infrastruktūras investīciju projektu nodaļa </t>
    </r>
    <r>
      <rPr>
        <sz val="8.5"/>
        <color theme="1"/>
        <rFont val="Tahoma"/>
        <family val="2"/>
        <charset val="186"/>
      </rPr>
      <t xml:space="preserve"> JVA Īpašumu pārvaldes Pašvaldības īpašumu tehniskās uzturēšanas nodaļa</t>
    </r>
  </si>
  <si>
    <r>
      <t>JVA Attīstības pārvaldes Infrastruktūras investīciju projektu nodaļa</t>
    </r>
    <r>
      <rPr>
        <sz val="8.5"/>
        <color theme="1"/>
        <rFont val="Tahoma"/>
        <family val="2"/>
        <charset val="186"/>
      </rPr>
      <t xml:space="preserve"> Jūrmalas Pašvaldības īpašumu pārvaldīšanas centrs</t>
    </r>
  </si>
  <si>
    <r>
      <t xml:space="preserve">Jūrmalas valstspilsētas administrācija: finanšu līdzekļi konkursa kārtībā piešķirti daudzdzīvokļu dzīvojamo māju energoauditiem, tehniskās apsekošanas atzinumiem un būvprojektu izstrādei atbilstoši JD 2022. gada 25. oktobra saistošajiem noteikumiem Nr. 50 "Par Jūrmalas valstspilsētas pašvaldības līdzfinansējuma apjomu un tā piešķiršanas kārtību daudzdzīvokļu dzīvojamo māju energoefektivitātes uzlabošanas pasākumu veikšanai".
</t>
    </r>
    <r>
      <rPr>
        <u/>
        <sz val="8.5"/>
        <color theme="1"/>
        <rFont val="Tahoma"/>
        <family val="2"/>
        <charset val="186"/>
      </rPr>
      <t>2025. gadā:</t>
    </r>
    <r>
      <rPr>
        <sz val="8.5"/>
        <color theme="1"/>
        <rFont val="Tahoma"/>
        <family val="2"/>
        <charset val="186"/>
      </rPr>
      <t xml:space="preserve">
Ir iespējams pieteikt projektu finansējuma saņemšanai visa gada laikā, pēc projektu izskatīšanas tiks veiktas nepieciešamās darbības, lai paredzētu 2025. gada budžeta finansējuma projekta īstenošanas uzsākšanai. Vienai biedrībai līdz 7 tūkst. EUR. </t>
    </r>
  </si>
  <si>
    <t>Jūrmalas valstspilsētas administrācija:  Īpašumu pārvaldes Pašvaldības īpašumu nodaļa</t>
  </si>
  <si>
    <r>
      <t xml:space="preserve">Pamatojoties uz JVA 11.12.23. vēstuli Nr.1.1-37/23N-5701 “Par 2021. gada 4. augusta būvdarbu līguma Nr. 1.2-16.4.2.1/21-928 izbeigšanu” būvdarbi 2023. gadā tika apturēti līdz jauna būvdarbu iepirkuma izsludināšanai. 
</t>
    </r>
    <r>
      <rPr>
        <u/>
        <sz val="8.5"/>
        <color theme="1"/>
        <rFont val="Tahoma"/>
        <family val="2"/>
        <charset val="186"/>
      </rPr>
      <t>2025. gadā:</t>
    </r>
    <r>
      <rPr>
        <sz val="8.5"/>
        <color theme="1"/>
        <rFont val="Tahoma"/>
        <family val="2"/>
        <charset val="186"/>
      </rPr>
      <t xml:space="preserve">
-īstenots iepirkums ID Nr. JVA 2025/33 “Būvprojekta izmaiņu risinājumu izstrāde, autoruzraudzība un būvdarbi pirmsskolas izglītības iestādes “Bitīte” Lēdurgas ielā 20A, Jūrmalā pārbūves pabeigšanai”, būvdarbu līguma izpildes termiņš noteikts 24 mēnešii no izsniegtā paziņojumā par būvdarbu uzsākšanu norādītā datuma;
-īstenots iepirkums ID Nr. JVA 2025/44 “Būvuzraudzība būvdarbiem pirmsskolas izglītības iestādes “Bitīte” pārbūves pabeigšanai". 
Aktivitātes plānots īstenot, saņemot valsts budžeta aizdevumu  saskaņā ar Likuma “Par valsts budžetu 2025. gadam un budžeta ietvaru 2025., 2026. un 2027. gadam” 38. panta pirmās daļas 4. punktā noteikto.</t>
    </r>
  </si>
  <si>
    <t>Jūrmalas Izglītības pārvalde (JPII "Bitīte")
Jūrmalas valstspilsētas administrācija: Īpašumu pārvaldes Pašvaldības īpašumu nodaļa</t>
  </si>
  <si>
    <r>
      <t xml:space="preserve">JVA Attīstības pārvaldes Infrastruktūras
investīciju projektu nodaļa </t>
    </r>
    <r>
      <rPr>
        <sz val="8.5"/>
        <color theme="1"/>
        <rFont val="Tahoma"/>
        <family val="2"/>
        <charset val="186"/>
      </rPr>
      <t xml:space="preserve"> Jūrmalas Pašvaldības īpašumu pārvaldīšanas centrs</t>
    </r>
  </si>
  <si>
    <t>Jūrmalas Izglītības pārvalde,
JPII “Mārīte”
Jūrmalas valstspilsētas administrācija: Īpašumu pārvaldes Pašvaldības īpašumu nodaļa,
Īpašumu pārvaldes Pašvaldības īpašumu tehniskā nodrošinājuma nodaļa</t>
  </si>
  <si>
    <r>
      <t>Veikta pirmsskolas izglītības iestādes ēkas pilna pārbūve un tai piegulošās teritorijas labiekārtošana.</t>
    </r>
    <r>
      <rPr>
        <u/>
        <sz val="8.5"/>
        <color rgb="FFFF0000"/>
        <rFont val="Tahoma"/>
        <family val="2"/>
        <charset val="186"/>
      </rPr>
      <t/>
    </r>
  </si>
  <si>
    <r>
      <rPr>
        <u/>
        <sz val="8.5"/>
        <color theme="1"/>
        <rFont val="Tahoma"/>
        <family val="2"/>
        <charset val="186"/>
      </rPr>
      <t xml:space="preserve">2025. gadā:
</t>
    </r>
    <r>
      <rPr>
        <sz val="8.5"/>
        <color theme="1"/>
        <rFont val="Tahoma"/>
        <family val="2"/>
        <charset val="186"/>
      </rPr>
      <t>JPII remontdarbi:
-PII “Saulīte” telpu atjaunošanas darbi Rēzeknes pulka ielā 28;
-PII "Katrīna" iekštelpu remontdarbi;
-PII "Lācītis" siltummezgla daļēja aukstā ūdensvada pārbūve pagrabstāvā, savienošanai ar esošo sistēmu;
-Karstā ūdensmezgla daļēja atjaunošana Tērbatas iela 1, Plūdu 4.</t>
    </r>
  </si>
  <si>
    <t>Jūrmalas Izglītības pārvalde,
Pašvaldības īpašumu pārvaldīšanas centrs,
visas JPII
Jūrmalas valstspilsētas administrācija: 
Īpašumu pārvaldes Pašvaldības īpašumu nodaļa</t>
  </si>
  <si>
    <r>
      <t>Veikta sākumskolas ēkas pilna pārbūve un tai piegulošās teritorijas labiekārtošana.</t>
    </r>
    <r>
      <rPr>
        <u/>
        <sz val="8.5"/>
        <color rgb="FFFF0000"/>
        <rFont val="Tahoma"/>
        <family val="2"/>
        <charset val="186"/>
      </rPr>
      <t/>
    </r>
  </si>
  <si>
    <r>
      <rPr>
        <u/>
        <sz val="8.5"/>
        <color theme="1"/>
        <rFont val="Tahoma"/>
        <family val="2"/>
        <charset val="186"/>
      </rPr>
      <t>2025. gadā:</t>
    </r>
    <r>
      <rPr>
        <strike/>
        <sz val="8.5"/>
        <color theme="1"/>
        <rFont val="Tahoma"/>
        <family val="2"/>
        <charset val="186"/>
      </rPr>
      <t xml:space="preserve">
</t>
    </r>
    <r>
      <rPr>
        <sz val="8.5"/>
        <color theme="1"/>
        <rFont val="Tahoma"/>
        <family val="2"/>
        <charset val="186"/>
      </rPr>
      <t xml:space="preserve">Atbilstoši Jūrmalas domes 2024. gada 22. februāra lēmumam Nr. 37, 2024. - 2025. gadā tiek veikta Luda Bērziņa pamatskolas izveides būvprojekta izstrāde. Būvprojekta izstrādes un ekspertīzes izmaksas 249,91 tūkst. EUR.
</t>
    </r>
    <r>
      <rPr>
        <u/>
        <sz val="8.5"/>
        <color theme="1"/>
        <rFont val="Tahoma"/>
        <family val="2"/>
        <charset val="186"/>
      </rPr>
      <t>2026.-2028. gadā:</t>
    </r>
    <r>
      <rPr>
        <sz val="8.5"/>
        <color theme="1"/>
        <rFont val="Tahoma"/>
        <family val="2"/>
        <charset val="186"/>
      </rPr>
      <t xml:space="preserve">
Būvprojekta realizācijas būvdarbu, būvuzraudzības un autoruzraudzības, t.sk. neparedzētās indikatīvās izmaksas - 16 179,09 tūkst. EUR.
Aktivitātes plānotas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otrās projektu iesniegumu atlases kārtā iesniegtā projekta “Jūrmalas Luda Bērziņa pamatskolas izveide" ietvaros.
Saite uz Jūrmalas domes 2024. gada 22. februāra lēmumu Nr. 37 https://dokumenti.jurmala.lv/docs/m24/l/m240037.htm</t>
    </r>
  </si>
  <si>
    <t>Jūrmalas Izglītības pārvalde,
Vaivaru pamatskola,
Jūrmalas valstspilsētas administrācija: Īpašumu pārvaldes Pašvaldības īpašumu nodaļa, 
Īpašumu pārvaldes Pašvaldības īpašumu tehniskā nodrošinājuma nodaļa</t>
  </si>
  <si>
    <r>
      <rPr>
        <u/>
        <sz val="8.5"/>
        <color theme="1"/>
        <rFont val="Tahoma"/>
        <family val="2"/>
        <charset val="186"/>
      </rPr>
      <t>2025.gadā:</t>
    </r>
    <r>
      <rPr>
        <sz val="8.5"/>
        <color theme="1"/>
        <rFont val="Tahoma"/>
        <family val="2"/>
        <charset val="186"/>
      </rPr>
      <t xml:space="preserve">
2024. gadā veikti demontāžas darbi. 2025. gadā tiks veikti būvdarbi/ labiekārtota sporta zāle:
-pārbūvēta ventilācijas un apkures sistēma;
-atjaunots zāles grīdas segums;
-pārbūvēts apgaismojum;
-elektrība, vājstrāva;
-veikts zāles, ģērbtuvju un balkona kosmētiskais remonts.
Plānots pabeigt būvdarbus 2025. gada 2. ceturksnī.
Saite uz Jūrmalas domes 2024. gada 30. maija lēmumu Nr.222 https://dokumenti.jurmala.lv/docs/m24/l/m240222_m.htm</t>
    </r>
  </si>
  <si>
    <t>Jūrmalas Izglītības pārvalde,
Mežmalas pamatskola,
Jūrmalas valstspilsētas administrācija: Īpašumu pārvaldes Pašvaldības īpašumu nodaļa,
Īpašumu pārvaldes Pašvaldības īpašumu tehniskā nodrošinājuma nodaļa</t>
  </si>
  <si>
    <t>Jūrmalas Izglītības pārvalde,
Mežmalas pamatskola,
JVA Īpašumu pārvaldes Pašvaldības īpašumu nodaļa</t>
  </si>
  <si>
    <r>
      <t>Atjaunota Jūrmalas Majoru vidusskola.</t>
    </r>
    <r>
      <rPr>
        <u/>
        <sz val="8.5"/>
        <color rgb="FFFF0000"/>
        <rFont val="Tahoma"/>
        <family val="2"/>
        <charset val="186"/>
      </rPr>
      <t/>
    </r>
  </si>
  <si>
    <r>
      <t xml:space="preserve">Telpu atjaunošanas darbi, siltummezgla atjaunošanas remontdarbi - Jaundubultu pamatskolā, Kauguru vidusskolā, Mežmalas vidusskolā, Majoru viduskolā, Ķemeru pamatskolā, Jūrmalas Valsts ģimnāzijā, Jūrmalas Pumpuru vidusskola.
</t>
    </r>
    <r>
      <rPr>
        <u/>
        <sz val="8.5"/>
        <color theme="1"/>
        <rFont val="Tahoma"/>
        <family val="2"/>
        <charset val="186"/>
      </rPr>
      <t>2025. gadā:</t>
    </r>
    <r>
      <rPr>
        <sz val="8.5"/>
        <color theme="1"/>
        <rFont val="Tahoma"/>
        <family val="2"/>
        <charset val="186"/>
      </rPr>
      <t xml:space="preserve">
Remontdarbi:
-Pumpuru vidusskola: garderobes atjaunošanas darbu veikšana Kronvalda ielā 8, ārējo betona pakāpienu atjaunošana Lielupes ielā 21, būvuzraudzības pakalpojumi, 201. kabineta atjaunošanas darbi un būvuzraudzības pakalpojumi;
-Kauguru vidusskola: karstā ūdens mezgla daļēja atjaunošana Lēdurgas ielā 2, virtuves telpas ventilācijas sistēmas remontdarbi un balss izziņošanas sistēmas remontdarbi Raiņa ielā 118;
-Mežmalas pamatskola: karstā ūdens mezgla daļēja atjaunošana Rūpniecības ielā 13;
-Majoru vidusskolā: kapelas telpas remonta darbi Rīgas ielā 3, būvuzraudzības pakalpojumi, jumta virs kāpņu telpas atjaunošanas darbi;
-Jūrmalas Valsts ģimnāzija: koridora telpu krāsošana Raiņa ielā 55 un būvuzraudzības pakalpojumi.
</t>
    </r>
  </si>
  <si>
    <t>Jūrmalas Izglītības pārvalde,
Pašvaldības īpašumu pārvaldīšanas centrs,
visas Jūrmalas pamatskolas un vidusskolas (t.sk. ģimnāzija)
Jūrmalas valstspilsētas administrācija: Īpašumu pārvaldes Pašvaldības īpašumu nodaļa</t>
  </si>
  <si>
    <t>Jūrmalas Jaundubultu pamatskolas stadiona atjaunošana
(pabeigts)</t>
  </si>
  <si>
    <t>PABEIGTS 2024. gadā
Atjaunots stadions (tajā skaitā mākslīgā zāliena seguma futbollaukums 60x40 m, sintētiskā seguma skrejceliņš, multifunkcionāls spēļu laukums, pludmales volejbola laukums, tāllēkšanas bedre, vingrošanas laukums, treneru telpa un inventāra noliktava, apgaismojums, bruģēti celiņi).
Būvdarbi tiks pabeigti 2024. gada nogalē, kad tiks precizētas/ noteiktas faktiskās projekta īstenošanas izmaksas.</t>
  </si>
  <si>
    <t>Jūrmalas Izglītības pārvalde,
Pašvaldības Īpašumu pārvaldīšanas centrs, 
Jaundubultu pamatskola</t>
  </si>
  <si>
    <t>Jūrmalas Mežmalas pamatskolas āra sporta stadiona atjaunošana
(pabeigts)</t>
  </si>
  <si>
    <t>PABEIGTS 2024. gadā
Atjaunots stadions (tajā skaitā mākslīgā zāliena futbollaukums 60x40 m, sintētiskā seguma skrejceliņš, multifunkcionāls spēļu laukums, pludmales volejbola laukums, tāllēkšanas bedre, vingrošanas laukums, treneru telpa un inventāra noliktava, apgaismojums, bruģēti celiņi).
Būvdarbi pabeigti un objekts ekspluatācijā pieņemts 2024. gada 2. septembrī. Projekta īstenošanās faktiskās izmaksas 1 210,20 tūkst. EUR, no tām pašvaldības finansējums 134,35 tūkst. EUR un valsts budžeta aizdevuma finansējums 1 075,85 tūkst. EUR.</t>
  </si>
  <si>
    <t>Jūrmalas Izglītības pārvalde,
Mežmalas pamatskola</t>
  </si>
  <si>
    <t>Atjaunota āra sporta infrastruktūra/ stadions</t>
  </si>
  <si>
    <t>Jūrmalas Izglītības pārvalde, 
Jūrmalas Valsts ģimnāzija</t>
  </si>
  <si>
    <t>Atjaunota āra sporta infrastruktūra/ stadions
Jūrmalas Ķemeru pamatskola lūdz iekļaut būvprojekta izstrādes uzsākšanu Jūrmalas Ķemeru pamatskolas stadionam.</t>
  </si>
  <si>
    <t>Jūrmalas Izglītības pārvalde, 
Majoru vidusskola</t>
  </si>
  <si>
    <r>
      <t xml:space="preserve">Veikta skolas ēkas pārbūve un infrastruktūras pilnveide, radot pilnībā modernizētu un ergonomisku mācību vidi. Izveidots metodiskais centrs.
</t>
    </r>
    <r>
      <rPr>
        <u/>
        <sz val="8.5"/>
        <color theme="1"/>
        <rFont val="Tahoma"/>
        <family val="2"/>
        <charset val="186"/>
      </rPr>
      <t>2024.gadā:</t>
    </r>
    <r>
      <rPr>
        <sz val="8.5"/>
        <color theme="1"/>
        <rFont val="Tahoma"/>
        <family val="2"/>
        <charset val="186"/>
      </rPr>
      <t xml:space="preserve">
Projekta īstenošana pabeigta.
Atbilstoši Jūrmalas domes 2024. gada 30. maija lēmumam Nr. 244, objekta faktisko izmaksu kopsumma ir 6 340,27 tūkst. EUR, no tās pašvaldības finansējums 1 262,48 tūkst. EUR, Eiropas Savienības un valsts budžeta finansējums 5 077,79 tūkst. EUR.</t>
    </r>
  </si>
  <si>
    <r>
      <t>Veikta Jūrmalas Aspazijas pamatskolas (no 2021. gada 15. jūnija) skolas ēkas pārbūve un sporta zāles piebūves izbūve, realizējot būvprojektu “Lielupes pamatskolas pārbūves un sporta zāles piebūve”.</t>
    </r>
    <r>
      <rPr>
        <strike/>
        <sz val="8.5"/>
        <color theme="1"/>
        <rFont val="Tahoma"/>
        <family val="2"/>
        <charset val="186"/>
      </rPr>
      <t xml:space="preserve"> 2021.gadā ir uzsākti būvdarbi, kurus plānots pabeigt 2024.gadā.
2024.gadā:
Jūrmalas Aspazijas pamatskolas pārbūves pabeigšana.
Mēbeļu iepirkums - 2milj.EUR. - iekļauts 2024.gadā kā cits finansējums - indikatīvi nepieciešamais.</t>
    </r>
    <r>
      <rPr>
        <sz val="8.5"/>
        <color theme="1"/>
        <rFont val="Tahoma"/>
        <family val="2"/>
        <charset val="186"/>
      </rPr>
      <t xml:space="preserve">
</t>
    </r>
    <r>
      <rPr>
        <u/>
        <sz val="8.5"/>
        <color theme="1"/>
        <rFont val="Tahoma"/>
        <family val="2"/>
        <charset val="186"/>
      </rPr>
      <t>2024.gadā:</t>
    </r>
    <r>
      <rPr>
        <sz val="8.5"/>
        <color theme="1"/>
        <rFont val="Tahoma"/>
        <family val="2"/>
        <charset val="186"/>
      </rPr>
      <t xml:space="preserve">
Būvdarbi pabeigti un objekts ekspluatācijā pieņemts 2024. gada 21. augustā. Būvdarbu faktiskās kopējās izmaksas 16 656,33 tūkst. EUR, t.sk. pašvaldības finansējums 3 425,57 tūkst. EUR un valsts budžeta aizdevuma finansējums 13 230,76 tūks. EUR.</t>
    </r>
  </si>
  <si>
    <r>
      <t xml:space="preserve">Sniegts atbalsts bērnu pieskatīšanas pakalpojumu iegādei:
-veicināta darba un ģimenes dzīves līdzsvarošana un vienlīdzības iespējas visām ģimenēm un atbalstu saņēmuši bērni no pusotra gada vecuma līdz pamatizglītības ieguves uzsākšanai;
-bērni saņēmuši pirmsskolas izglītības pakalpojumus vismaz vienu līdz trīs gadus.
Eiropas Savienības kohēzijas politikas programmas 2021.-2027. gadam 4.3.6. specifiskā atbalsta mērķa “Veicināt nabadzības vai sociālās atstumtības riskam pakļauto cilvēku, tostarp vistrūcīgāko un bērnu, sociālo integrāciju” 4.3.6.6. pasākuma “Bērnu pieskatīšanas pakalpojumi” ietvaros.
</t>
    </r>
    <r>
      <rPr>
        <u/>
        <sz val="8.5"/>
        <color theme="1"/>
        <rFont val="Tahoma"/>
        <family val="2"/>
        <charset val="186"/>
      </rPr>
      <t>2024.gadā:</t>
    </r>
    <r>
      <rPr>
        <sz val="8.5"/>
        <color theme="1"/>
        <rFont val="Tahoma"/>
        <family val="2"/>
        <charset val="186"/>
      </rPr>
      <t xml:space="preserve">
Pieņemts lēmums projektu neīstenot (Jūrmalas domes 2024. gada 27. jūnija lēmums Nr. 297).</t>
    </r>
  </si>
  <si>
    <r>
      <t xml:space="preserve">Tiek prognozēts, ka izstrādātājā projektā “Bērnu pieskatīšanas pakalpojumi Jūrmalā” noteiktais pirmsskolas vecuma bērnu skaits, kam tiks sniegts atbalsts, nesamazināsies vairāk kā par 10%.
</t>
    </r>
    <r>
      <rPr>
        <i/>
        <sz val="8.5"/>
        <color theme="1"/>
        <rFont val="Tahoma"/>
        <family val="2"/>
        <charset val="186"/>
      </rPr>
      <t>Pieņemts lēmums projektu neīstenot.</t>
    </r>
  </si>
  <si>
    <t>Jūrmalas Labklājības pārvalde
Jūrmalas valstspilsētas administrācija:
Attīstības pārvaldes Stratēģiskās plānošanas nodaļa</t>
  </si>
  <si>
    <t>Izveidots funkcionāls savienojums starp Pumpuru vidusskolas ēkām, izbūvējot gājēju ietves.
Plānots starptautiska projekta ietvaros identificēt satiksmes drošības uzlabošanas iespējas Poruka prospektā, kas savieno izglītības iestādes.
(Sasaiste ar IP projektu 23.Ē1)</t>
  </si>
  <si>
    <t>Jūrmalas valstspilsētas administrācija: Attīstības pārvalde</t>
  </si>
  <si>
    <r>
      <rPr>
        <u/>
        <sz val="8.5"/>
        <color theme="1"/>
        <rFont val="Tahoma"/>
        <family val="2"/>
        <charset val="186"/>
      </rPr>
      <t>2025. gadā:</t>
    </r>
    <r>
      <rPr>
        <sz val="8.5"/>
        <color theme="1"/>
        <rFont val="Tahoma"/>
        <family val="2"/>
        <charset val="186"/>
      </rPr>
      <t xml:space="preserve">
Sporta nama "Taurenītis" telpu pārbūves projektēšanas izmaksas.</t>
    </r>
  </si>
  <si>
    <t>Jūrmalas Sporta skola,
Futbola skola,
Izglītības pārvalde, 
Pašvaldības īpašumu pārvaldīšanas centrs</t>
  </si>
  <si>
    <t>Koncertflīģeļa iegāde</t>
  </si>
  <si>
    <r>
      <t xml:space="preserve">Atjaunota Bērnu un jauniešu interešu centra fasāde, iekštelpas. Veikti labiekārtošanas darbi.
BJIC atjaunošanas darbi Zemgales 4 un Lielupes 21, pieslēgšanās ūdensapgādei un kanalizācijai.
</t>
    </r>
    <r>
      <rPr>
        <u/>
        <sz val="8.5"/>
        <color theme="1"/>
        <rFont val="Tahoma"/>
        <family val="2"/>
        <charset val="186"/>
      </rPr>
      <t>2025. gadā:</t>
    </r>
    <r>
      <rPr>
        <sz val="8.5"/>
        <color theme="1"/>
        <rFont val="Tahoma"/>
        <family val="2"/>
        <charset val="186"/>
      </rPr>
      <t xml:space="preserve">
Remontdarbi - apkures katla nomaiņa Bērnu un jauniešu centram Zemgales ielā 4.</t>
    </r>
  </si>
  <si>
    <t>Jūrmalas Bērnu un jauniešu centrs, 
Izglītības pārvalde</t>
  </si>
  <si>
    <r>
      <t xml:space="preserve">Atbilstoši ikgadējiem nepieciešamajiem darbiem iestādes pārziņā esošajās ēkās.
</t>
    </r>
    <r>
      <rPr>
        <u/>
        <sz val="8.5"/>
        <color theme="1"/>
        <rFont val="Tahoma"/>
        <family val="2"/>
        <charset val="186"/>
      </rPr>
      <t xml:space="preserve">2025. gadā: </t>
    </r>
    <r>
      <rPr>
        <sz val="8.5"/>
        <color theme="1"/>
        <rFont val="Tahoma"/>
        <family val="2"/>
        <charset val="186"/>
      </rPr>
      <t xml:space="preserve">
Remontdarbi - karstā ūdens mezgla daļēja atjaunošana Jomas 35, Raiņa 110.</t>
    </r>
  </si>
  <si>
    <t>Jūrmalas Kultūras centrs,
Pašvaldības īpašumu pārvaldīšanas centrs
Jūrmalas valstspilsētas administrācija:
Kultūras nodaļa</t>
  </si>
  <si>
    <t>Jūrmalas Centrālā bibliotēka
Jūrmalas valstspilsētas administrācija: Kultūras nodaļa</t>
  </si>
  <si>
    <t>SIA "Dzintaru koncertzāle"
Jūrmalas valstspilsētas administrācija:
Kultūras nodaļa,
Īpašumu pārvaldes Pašvaldības īpašumu tehniskā nodrošinājuma nodaļa</t>
  </si>
  <si>
    <r>
      <rPr>
        <u/>
        <sz val="8.5"/>
        <color theme="1"/>
        <rFont val="Tahoma"/>
        <family val="2"/>
        <charset val="186"/>
      </rPr>
      <t>2025.gadā:</t>
    </r>
    <r>
      <rPr>
        <sz val="8.5"/>
        <color theme="1"/>
        <rFont val="Tahoma"/>
        <family val="2"/>
        <charset val="186"/>
      </rPr>
      <t xml:space="preserve">
Autoruzraudzība Jūrmalas muzeja esošas ēkas pārbūves 1. kārta, Tirgoņu ielā 29, Jūrmala, LV-2016.</t>
    </r>
  </si>
  <si>
    <t>Jūrmalas muzejs,
Pašvaldības īpašumu pārvaldīšanas centrs
Jūrmalas valstspilsētas administrācija:
Kultūras nodaļa</t>
  </si>
  <si>
    <t>Infrastruktūras pilnveide sabiedrībā balstītu sociālo pakalpojumu sniegšanai personām ar garīga rakstura traucējumiem (ITI SAM 9.3.1.)
(pabeigts)</t>
  </si>
  <si>
    <t>PABEIGTS 2024. gadā
Paplašināts Dienas aprūpes centrā Dūņu ceļā 2 pieejamo sociālo pakalpojumu klāsts, veicot telpu pārbūvi, atjaunošanu un aprīkošanu un nodrošinot pakalpojumu pieejamību 34 personām ar garīga rakstura traucējumiem.
Projekta īstenošana pabeigta. Atbilstoši Jūrmalas domes 2024. gada 25. jūlija lēmumam Nr. 379, objekta faktisko izmaksu kopsumma ir 1163,20 tūkst. EUR, no tās pašvaldības finansējums 706,10 tūkst. EUR, Eiropas Savienības un valsts budžeta finansējums 457,10 tūkst. EUR.</t>
  </si>
  <si>
    <t>Jaunu grupu dzīvokļu izveide sabiedrībā balstītu sociālo pakalpojumu sniegšanai personām ar garīga rakstura traucējumiem (ITI SAM 9.3.1.)
(pabeigts)</t>
  </si>
  <si>
    <t>PABEIGTS 2024. gadā
Izveidots jauns grupu dzīvoklis 8 personām ar garīga rakstura traucējumiem Hercoga Jēkaba ielā 4. 
Projekta īstenošana pabeigta. Atbilstoši Jūrmalas domes 2024. gada 25. jūlija lēmumam Nr. 379, objekta faktisko izmaksu kopsumma ir 1161,29 tūkst. EUR, no tās pašvaldības finansējums 200,07 tūkst. EUR, Eiropas Savienības un valsts budžeta finansējums 961,22 tūkst. EUR.</t>
  </si>
  <si>
    <t>Grupu dzīvoklis 8 personām (reģistrētas 9 personas)</t>
  </si>
  <si>
    <r>
      <rPr>
        <u/>
        <sz val="8.5"/>
        <color theme="1"/>
        <rFont val="Tahoma"/>
        <family val="2"/>
        <charset val="186"/>
      </rPr>
      <t>2025. gadā:</t>
    </r>
    <r>
      <rPr>
        <sz val="8.5"/>
        <color theme="1"/>
        <rFont val="Tahoma"/>
        <family val="2"/>
        <charset val="186"/>
      </rPr>
      <t xml:space="preserve">
1. Korpusa K-1 (B korpuss) pārbūve (1327 tūkst. EUR);
2. Korpusa K-1 (B korpuss) telpu aprīkošana ar jaunu inventāru, mēbelēm un tehniku (344 tūkst. EUR);
3. Korpusa K-1 (B korpuss) pārbūves būvuzraudzība (1000 EUR).
Atbilstoši PSIA “Veselības un sociālās aprūpes centrs “Sloka”” vidēja termiņa darbības stratēģijai 2023.–2025. gadam).</t>
    </r>
  </si>
  <si>
    <r>
      <t>Izbūvēts pansionāts (ģimeniskai videi) ar 100 vietām (35 m</t>
    </r>
    <r>
      <rPr>
        <vertAlign val="superscript"/>
        <sz val="8.5"/>
        <color theme="1"/>
        <rFont val="Tahoma"/>
        <family val="2"/>
        <charset val="186"/>
      </rPr>
      <t xml:space="preserve">2 </t>
    </r>
    <r>
      <rPr>
        <sz val="8.5"/>
        <color theme="1"/>
        <rFont val="Tahoma"/>
        <family val="2"/>
        <charset val="186"/>
      </rPr>
      <t xml:space="preserve">uz 1 personu), tajā skaitā ēdināšanas bloks, kā arī iegādāts aprīkojums un tehnika. (atbilstoši PSIA “Veselības un sociālās aprūpes centrs “Sloka”” vidēja termiņa darbības stratēģijai 2023.–2025. gadam)
</t>
    </r>
    <r>
      <rPr>
        <u/>
        <sz val="8.5"/>
        <color theme="1"/>
        <rFont val="Tahoma"/>
        <family val="2"/>
        <charset val="186"/>
      </rPr>
      <t>2026. gadā:</t>
    </r>
    <r>
      <rPr>
        <sz val="8.5"/>
        <color theme="1"/>
        <rFont val="Tahoma"/>
        <family val="2"/>
        <charset val="186"/>
      </rPr>
      <t xml:space="preserve">
Plānots uzsākt būvniecību (būvniecības pabeigšana ir ieplānota 2028. gadā).</t>
    </r>
  </si>
  <si>
    <t>Jūrmalas valstspilsētas administrācija:
Audita un kapitāldaļu pārvaldības nodaļas Kapitāldaļu pārvaldīšanas daļa</t>
  </si>
  <si>
    <t>Izveidots ergoterapeita kabinets, iegādāts specializētais transports, uzstādīts jauns žogs, uzstādīts strāvas ģenerators, nomainīti apgaismes stabi un daļēji labiekārtota teritorija, izveidota dzeramā ūdens padeves vieta ar sensora signālu klientiem ar funkcionāliem traucējumiem centra teritorijā (atbilstoši PSIA “Veselības un sociālās aprūpes centrs “Sloka”” vidēja termiņa darbības stratēģijai 2023.–2025. gadam)</t>
  </si>
  <si>
    <t>PSIA "Veselības un sociālās aprūpes centrs "Sloka"" A korpusa pārbūve
(pabeigts)</t>
  </si>
  <si>
    <t>PABEIGTS
Pārbūvēts A korpuss, iegādāts jauns inventārs un tehnika (atbilstoši PSIA “Veselības un sociālās aprūpes centrs “Sloka”” vidēja termiņa darbības stratēģijai 2021.-2025.gadam)</t>
  </si>
  <si>
    <r>
      <rPr>
        <u/>
        <sz val="8.5"/>
        <color theme="1"/>
        <rFont val="Tahoma"/>
        <family val="2"/>
        <charset val="186"/>
      </rPr>
      <t>2025 .gadā:</t>
    </r>
    <r>
      <rPr>
        <sz val="8.5"/>
        <color theme="1"/>
        <rFont val="Tahoma"/>
        <family val="2"/>
        <charset val="186"/>
      </rPr>
      <t xml:space="preserve"> 
Lāzerterapijas iekārta, mikroviļņu terapijas iekārta, amplipulss, bērnu reflaktometrs, veikts pirmā stāva un otrā stāva gaiteņu remonts, uzlabota infrastruktūra – arhīva telpa, administrācijas telpa, iegādātas mēbeles, ventilācijas sistēmas izbūve (piešķirts CFLA finansējums).
</t>
    </r>
    <r>
      <rPr>
        <u/>
        <sz val="8.5"/>
        <color theme="1"/>
        <rFont val="Tahoma"/>
        <family val="2"/>
        <charset val="186"/>
      </rPr>
      <t xml:space="preserve">2026.gadā: </t>
    </r>
    <r>
      <rPr>
        <sz val="8.5"/>
        <color theme="1"/>
        <rFont val="Tahoma"/>
        <family val="2"/>
        <charset val="186"/>
      </rPr>
      <t xml:space="preserve">
Ķirurģisko operāciju galds operāciju telpā, kušete ar elektrisko vadību, ultraskaņas tīrītājs, triecienviļņu terapijas iekārta,  manikīra pedikīra aparāts, sterilizācijas iepakošanas ierīce
</t>
    </r>
    <r>
      <rPr>
        <u/>
        <sz val="8.5"/>
        <color theme="1"/>
        <rFont val="Tahoma"/>
        <family val="2"/>
        <charset val="186"/>
      </rPr>
      <t>2027.-2029. gadā:</t>
    </r>
    <r>
      <rPr>
        <sz val="8.5"/>
        <color theme="1"/>
        <rFont val="Tahoma"/>
        <family val="2"/>
        <charset val="186"/>
      </rPr>
      <t xml:space="preserve"> 
Skābekļa koncentrators, LOR iekārta.
(Atbilstoši PSIA “Kauguru Veselības centrs” vidēja termiņa darbības stratēģijai 2023.–2025. gadam).</t>
    </r>
  </si>
  <si>
    <r>
      <rPr>
        <u/>
        <sz val="8.5"/>
        <color theme="1"/>
        <rFont val="Tahoma"/>
        <family val="2"/>
        <charset val="186"/>
      </rPr>
      <t xml:space="preserve">2025. gadā: </t>
    </r>
    <r>
      <rPr>
        <sz val="8.5"/>
        <color theme="1"/>
        <rFont val="Tahoma"/>
        <family val="2"/>
        <charset val="186"/>
      </rPr>
      <t xml:space="preserve">
1) Jumta renovācija piecstāvu korpusam - nepieciešama jumta renovācija, jo ledus, sniega kušanas laikā tiek applūdinātas 5. stāva telpas (54 450 EUR);
2) Renovētas Slimnīcas B korpusa pagrabstāva telpas (50 000 EUR);
3) Dažādas medicīnas iekārtas, mēbeles, datorpreces, virtuves iekārtas - medicīnas pakalpojumu sniegšanas kvalitātes uzlabošana (160 000 EUR).
Atbilstoši SIA “Jūrmalas slimnīca” vidēja termiņa darbības stratēģijai 2023.–2025. gadam.
Ēku energoefektivitātes palielināšanai pieejams ES fondu finansējums.</t>
    </r>
  </si>
  <si>
    <t>S2.1.1.
S2.1.2.
S2.3.2.</t>
  </si>
  <si>
    <r>
      <t xml:space="preserve">Uzlabota Slimnīcas apkalpes zonā dzīvojošo iedzīvotāju veselības aprūpes pakalpojumu pieejamība pakalpojumiem uzņemšanā un ambulatorajā daļā, tai skaitā arī sociālās, teritoriālās atstumtības un nabadzības riskam pakļautajiem iedzīvotājiem.
Ikviens Slimnīcas pacients saņem savām vajadzībām nepieciešamo ārstēšanu savlaicīgi  ar atbilstošu tehnoloģisko nodrošinājumu aprīkotās telpās un atbilstošā kvalitātē, kas vienlaikus sekmēt ekonomiskos ieguvumus attiecībā uz pacientu ārstēšanu nākotnē (samazinās ielaistu, savlaicīgi nediagnosticētu saslimšanu skaits).
</t>
    </r>
    <r>
      <rPr>
        <u/>
        <sz val="8.5"/>
        <color theme="1"/>
        <rFont val="Tahoma"/>
        <family val="2"/>
        <charset val="186"/>
      </rPr>
      <t>2025. gadā:</t>
    </r>
    <r>
      <rPr>
        <sz val="8.5"/>
        <color theme="1"/>
        <rFont val="Tahoma"/>
        <family val="2"/>
        <charset val="186"/>
      </rPr>
      <t xml:space="preserve">
-tehniskā projekta izstrāde (52 146 EUR);
-vides piekļūstamības eksperta pakalpojumi (3200 EUR);
-informācijas stends (484 EUR).
ES finansējums+valsts finansējums: 49 605 EUR;
Jūrmalas slimnīcas finansējums: 6225 EUR.</t>
    </r>
  </si>
  <si>
    <r>
      <t>JVA Attīstības pārvaldes Infrastruktūras
investīciju projektu nodaļa</t>
    </r>
    <r>
      <rPr>
        <sz val="8.5"/>
        <color theme="1"/>
        <rFont val="Tahoma"/>
        <family val="2"/>
        <charset val="186"/>
      </rPr>
      <t xml:space="preserve"> Jūrmalas Izglītības pārvaldes Sporta un labbūtības nodaļa</t>
    </r>
  </si>
  <si>
    <t>Izveidoti/ pilnveidoti brīvpieejas sporta laukumi pilsētā (t.sk. pludmalē) un cita infrastruktūra, kas saistīta ar veselīga dzīvesveida veicināšanu</t>
  </si>
  <si>
    <r>
      <t xml:space="preserve">Pārbūvētas/ atjaunotas glābšanas stacijas. Uzstādītas mobilās glābšanas stacijas.
</t>
    </r>
    <r>
      <rPr>
        <u/>
        <sz val="8.5"/>
        <color theme="1"/>
        <rFont val="Tahoma"/>
        <family val="2"/>
        <charset val="186"/>
      </rPr>
      <t>2025.gadā:</t>
    </r>
    <r>
      <rPr>
        <sz val="8.5"/>
        <color theme="1"/>
        <rFont val="Tahoma"/>
        <family val="2"/>
        <charset val="186"/>
      </rPr>
      <t xml:space="preserve">
Glābšanas stacijas ēkas pārbūves projekta dokumentācijas izstrāde un būvdarbu realizācija (GS Bulduri).</t>
    </r>
  </si>
  <si>
    <t>Jūrmalas valstspilsētas administrācija: Īpašumu pārvaldes Pašvaldības īpašumu tehniskās uzturēšanas nodaļa</t>
  </si>
  <si>
    <r>
      <t xml:space="preserve">Pielāgotas un aprīkotas civilās aizsardzības patvertnes.
</t>
    </r>
    <r>
      <rPr>
        <u/>
        <sz val="8.5"/>
        <color theme="1"/>
        <rFont val="Tahoma"/>
        <family val="2"/>
        <charset val="186"/>
      </rPr>
      <t>2025. gadā:</t>
    </r>
    <r>
      <rPr>
        <sz val="8.5"/>
        <color theme="1"/>
        <rFont val="Tahoma"/>
        <family val="2"/>
        <charset val="186"/>
      </rPr>
      <t xml:space="preserve">
Aktivitātes plānotas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 Pieejamais finansējuma apmērs Jūrmalas valstspilsētai - 506 233 EUR.
Prioritāri pielāgojamo un aprīkojamo objektu saraksts:
Raiņa iela 55; Tērbatas iela 42; Tērbatas iela 1; Jomas iela 17; Lēdurgas iela 27; Kļavu iela 29/31; Rīgas iela 3; Raiņa iela 53; Rēzeknes pulka iela 28; Dzirnavu iela 59; Straumes iela 1A; Jomas iela 1/5; Plūdu iela 4A.</t>
    </r>
  </si>
  <si>
    <t>Jūrmalas valstspilsētas administrācija: Attīstības pārvaldes Stratēģiskās plānošanas nodaļa</t>
  </si>
  <si>
    <t>Ikgadējie nepieciešamie atjaunošanas darbi. Saraksts tiek precizēts ar kārtējo Investīciju plānu.
Jūrmalas valstspilsētas pašvaldības īpašumā esošo dzīvokļu remonta darbi - dzīvojamās ēkas pamatu siltināšanas darbi Kr. Barona ielā 23A, Raiņa ielā 62 bojāto logu aizšūšana, VUGD prasību izpilde Nometņu ielā 2A, Slokas ielā 63 k-3, remonta darbi sociālajos dzīvokļos Nometņu ielā 2A-423, Skolas ielā 44-11, Nometņu ielā 2A-419.</t>
  </si>
  <si>
    <t>Jūrmalas Labklājības pārvaldes Dzīvokļu nodaļa</t>
  </si>
  <si>
    <t>Pārbūvēta pašvaldības dzīvojamā māja, nodrošināti atjaunoti 64 dzīvokļi, t.sk. jaunajiem pedagogiem utt.</t>
  </si>
  <si>
    <t xml:space="preserve">Jūrmalas Labklājības pārvalde
</t>
  </si>
  <si>
    <r>
      <rPr>
        <u/>
        <sz val="8.5"/>
        <color theme="1"/>
        <rFont val="Tahoma"/>
        <family val="2"/>
        <charset val="186"/>
      </rPr>
      <t>2025.gadā:</t>
    </r>
    <r>
      <rPr>
        <sz val="8.5"/>
        <color theme="1"/>
        <rFont val="Tahoma"/>
        <family val="2"/>
        <charset val="186"/>
      </rPr>
      <t xml:space="preserve">
</t>
    </r>
    <r>
      <rPr>
        <sz val="8.5"/>
        <color theme="1"/>
        <rFont val="Tahoma"/>
        <family val="2"/>
        <charset val="186"/>
      </rPr>
      <t>- Projektēšana: veloceliņa izbūvei gar Lielo prospektu no Priedaines stacijas līdz Babītes ielai, ieskaitot dzelzceļa pārbrauktuvi Babītes ielā, Jūrmalas valstspilsētā un tās ietvaros veicamā autoruzraudzība (15 053 EUR);
- Autoruzraudzība: Veloceliņa izbūve posmā no Mūzikas ielas līdz Kāpu ielai (723 EUR).
Plānots pieteikt dalību Eiropas Savienības kohēzijas politikas programmas 2021.–2027. gadam 2.3.1. specifiskā atbalsta mērķa "Veicināt ilgtspējīgu daudzveidu mobilitāti pilsētās" 2.3.1.2. pasākumā "Multimodāls sabiedriskā transporta tīkls" ar projekta pieteikumu "Veloceliņa seguma atjaunošana gar dzelzceļu no Jūrmalas administratīvās teritorijas līdz Priedaines dzelzceļa stacijai". Kopējās indikatīvās projekta izmaksas 679 100,32 EUR.</t>
    </r>
  </si>
  <si>
    <r>
      <t>JVA Attīstības pārvaldes</t>
    </r>
    <r>
      <rPr>
        <strike/>
        <sz val="8.5"/>
        <color theme="1"/>
        <rFont val="Tahoma"/>
        <family val="2"/>
        <charset val="186"/>
      </rPr>
      <t xml:space="preserve"> </t>
    </r>
    <r>
      <rPr>
        <sz val="8.5"/>
        <color theme="1"/>
        <rFont val="Tahoma"/>
        <family val="2"/>
        <charset val="186"/>
      </rPr>
      <t>Inženierbūvju nodaļa</t>
    </r>
  </si>
  <si>
    <t>Jūrmalas valstspilsētas administrācija: Pilsētplānošanas pārvalde, 
Attīstības pārvaldes Mobilitātes nodaļa</t>
  </si>
  <si>
    <r>
      <rPr>
        <u/>
        <sz val="8.5"/>
        <color theme="1"/>
        <rFont val="Tahoma"/>
        <family val="2"/>
        <charset val="186"/>
      </rPr>
      <t>2025.gadā:</t>
    </r>
    <r>
      <rPr>
        <sz val="8.5"/>
        <color theme="1"/>
        <rFont val="Tahoma"/>
        <family val="2"/>
        <charset val="186"/>
      </rPr>
      <t xml:space="preserve">
-Seguma atjaunošana Meža prospekts no Madonas ielas līdz 5. līnijas (jūras puse) ~1130 m (7100 EUR);
-Seguma atjaunošana Meža prospekts no Vienības prospekta līdz Paula Stradiņa ielai (jūras puse) ~1150m (74 375 EUR);
-Seguma atjaunošana Bulduru prospekts no 11. līnijas līdz 13. līnijai (jūras puse) ~300m (28 834 EUR);
- Seguma atjaunošana: Bulduru prospekts no 13.līnijas līdz Paula Stradiņa iela, jūras puse ~400m (53 746 EUR);
-Seguma atjaunošana: Ventspils šoseja no H. Jēkaba līdz Raiņa ielai (18 283 EUR);
-Seguma atjaunošana: Skolas iela no Nr.65V līdz Nr.55 (14 739 EUR).
Satiksmes ministrijai iesniegts pieteikums šādu būvniecības investīciju projektu īstenošanai (būvdarbu izmaksu kopsumma 1 792 484 EUR - tostarp 4.Ē1 projektā minētie brauktuvju būvdarbi):
1. Bulduru prospekts posmā no 1.līnijas līdz Jūrnieku ielai, Jūrmala. - ietves atjaunošana;
2. Paula Stradiņa iela posmā no Meža prospekta līdz Ernesta Birznieka-Upīša ielai, Jūrmala - ietves atjaunošana.</t>
    </r>
  </si>
  <si>
    <r>
      <rPr>
        <u/>
        <sz val="8.5"/>
        <color theme="1"/>
        <rFont val="Tahoma"/>
        <family val="2"/>
        <charset val="186"/>
      </rPr>
      <t>2025. gadā:</t>
    </r>
    <r>
      <rPr>
        <sz val="8.5"/>
        <color theme="1"/>
        <rFont val="Tahoma"/>
        <family val="2"/>
        <charset val="186"/>
      </rPr>
      <t xml:space="preserve">
- Projektēšana: Ezeru iela no Ģertrūdes prospekta līdz Slokas ielai un tālāk līdz peldvietai (1815 EUR).
Paredzētās ikgadējās izmaksas grantēto ielu uzturēšanai.
Asfaltēšana plānota, ja būs pieejams finansējums pēc uzturēšanas darbu veikšanas.
(Sasaiste ar IP projektiem 20.P1 un 21.P1)</t>
    </r>
  </si>
  <si>
    <r>
      <rPr>
        <u/>
        <sz val="8.5"/>
        <color theme="1"/>
        <rFont val="Tahoma"/>
        <family val="2"/>
        <charset val="186"/>
      </rPr>
      <t>2025.gadā:</t>
    </r>
    <r>
      <rPr>
        <sz val="8.5"/>
        <color theme="1"/>
        <rFont val="Tahoma"/>
        <family val="2"/>
        <charset val="186"/>
      </rPr>
      <t xml:space="preserve">
-Seguma atjaunošana Edinburgas prospekts no 2. līnijas līdz 6. līnijai ~480m (1938 EUR);
-Autoruzraudzība, būvuzraudzība un būvdarbi Piestātnes ielas seguma atjaunošana posmā no kāpām līdz Edinburgas prospektam, atjaunota LKT sistēma (726 220 EUR);
-Projektēšana Kāpu ielas pārbūve, no Dārzu ielas līdz Skautu ielai (67 908 EUR);</t>
    </r>
    <r>
      <rPr>
        <sz val="8.5"/>
        <color theme="1"/>
        <rFont val="Tahoma"/>
        <family val="2"/>
        <charset val="186"/>
      </rPr>
      <t xml:space="preserve">
- Seguma atjaunošana: Strēlnieku prospekts posmā no Kalēju ielas līdz Slokas ielai (814 770 EUR).
Satiksmes ministrijai iesniegts pieteikums šādu būvniecības investīciju projektu īstenošanai (būvdarbu izmaksu kopsumma 1 792 484 EUR - tostarp 2.Ē1 projektā minētie ietvju būvdarbi):
1. Mazā Nometņu iela posmā no Raiņa ielas līdz rotācijas aplim, Jūrmala. - brauktuves atjaunošana;
2. Tukuma iela posmā no Katedrāles ielas līdz Emīla Dārziņa ielai, Jūrmala. - brauktuves atjaunošana;
3. Paula Stradiņa iela posmā no Meža prospekta līdz Ernesta Birznieka-Upīša ielai, Jūrmala - brauktuves atjaunošana;
4. Turaidas iela posmā no Lienes ielas līdz Turaidas ielai 6, Jūrmala - brauktuves atjaunošana.</t>
    </r>
  </si>
  <si>
    <r>
      <t xml:space="preserve">Seguma remonts, atjaunošana publiskās vietās un pašvaldības teritorijās tiek plānota atbilstoši Ceļu fonda izlietošanas programmai.
</t>
    </r>
    <r>
      <rPr>
        <u/>
        <sz val="8.5"/>
        <color theme="1"/>
        <rFont val="Tahoma"/>
        <family val="2"/>
        <charset val="186"/>
      </rPr>
      <t>2025. gadā:</t>
    </r>
    <r>
      <rPr>
        <sz val="8.5"/>
        <color theme="1"/>
        <rFont val="Tahoma"/>
        <family val="2"/>
        <charset val="186"/>
      </rPr>
      <t xml:space="preserve">
- būvdarbu līguma izsniegto darba uzdevumu 5% būvdarbu garantijas laika garantija (4468 EUR);
- Būvdarbi: "Kauguru mezgls"- būvdarbi pabeigti 2024. gadā, gala norēķins par pēdējo būvdarbu izpildi 2024. gada decembra mēnesī un 5% garantijas laika garantija (26 777 EUR).</t>
    </r>
  </si>
  <si>
    <r>
      <rPr>
        <u/>
        <sz val="8.5"/>
        <color theme="1"/>
        <rFont val="Tahoma"/>
        <family val="2"/>
        <charset val="186"/>
      </rPr>
      <t>2025.gadā:</t>
    </r>
    <r>
      <rPr>
        <sz val="8.5"/>
        <color theme="1"/>
        <rFont val="Tahoma"/>
        <family val="2"/>
        <charset val="186"/>
      </rPr>
      <t xml:space="preserve">
-Autoruzraudzība, būvdarbi - autostāvvietu paplašināšana un seguma atjaunošana pie daudzīvokļu namiem Nometņu ielā 11 un Nometņu ielā 7 (464 700 EUR);
-“Autostāvvietu paplašināšana Skolas ielas iekšpagalmos” ietvaros būvdarbi autostāvvietu paplašināšanai un seguma atjaunošanai pie daudzīvokļu namiem Skolas ielā 28 un Skolas ielā 32a, pie JPII "Bitīte" (91 789,54 EUR).
</t>
    </r>
    <r>
      <rPr>
        <u/>
        <sz val="8.5"/>
        <color theme="1"/>
        <rFont val="Tahoma"/>
        <family val="2"/>
        <charset val="186"/>
      </rPr>
      <t>2026.gadā:</t>
    </r>
    <r>
      <rPr>
        <sz val="8.5"/>
        <color theme="1"/>
        <rFont val="Tahoma"/>
        <family val="2"/>
        <charset val="186"/>
      </rPr>
      <t xml:space="preserve">
-"Autostāvvietu paplašināšana Skolas ielas iekšpagalmos” ietvaros autoruzraudzība, būvdarbi un būvuzraudzība autostāvvietu paplašināšanai un seguma atjaunošanai pie daudzīvokļu namiem Skolas ielā 28 un Skolas ielā 32a, pie JPII "Bitīte" (403 294,82 EUR).</t>
    </r>
    <r>
      <rPr>
        <u/>
        <sz val="8.5"/>
        <color rgb="FFFF0000"/>
        <rFont val="Tahoma"/>
        <family val="2"/>
        <charset val="186"/>
      </rPr>
      <t/>
    </r>
  </si>
  <si>
    <t>“Autostāvvietu paplašināšana Skolas ielas iekšpagalmos” ietvaros izveidotas 109 autostāvvietas, t.sk. 5 invalīdu autostāvvietas daudzdzīvokļu namu iedzīvotājiem, izbūvēts apgaismojums, sakārtota lietus ūdens atvade</t>
  </si>
  <si>
    <t>Jūrmalas valstspilsētas administrācija:
Attīstības pārvaldes Infrastruktūras investīciju projektu nodaļa (“Autostāvvietu paplašināšana Skolas ielas iekšpagalmos” īstenošana)</t>
  </si>
  <si>
    <r>
      <t>Jaunu ielu izbūve notiek atbilstoši Ceļu fonda izlietošanas programmai (trīs gadu periodā).</t>
    </r>
    <r>
      <rPr>
        <strike/>
        <u/>
        <sz val="8.5"/>
        <color rgb="FFFF0000"/>
        <rFont val="Tahoma"/>
        <family val="2"/>
        <charset val="238"/>
      </rPr>
      <t/>
    </r>
  </si>
  <si>
    <r>
      <rPr>
        <u/>
        <sz val="8.5"/>
        <color theme="1"/>
        <rFont val="Tahoma"/>
        <family val="2"/>
        <charset val="186"/>
      </rPr>
      <t>2025.gadā:</t>
    </r>
    <r>
      <rPr>
        <sz val="8.5"/>
        <color theme="1"/>
        <rFont val="Tahoma"/>
        <family val="2"/>
        <charset val="186"/>
      </rPr>
      <t xml:space="preserve">
Tilta pār Vecsloceni pārbūve, Dzirnavu ielā - autoruzraudzība, būvdarbi un būvuzraudzība.
Saite uz Jūrmalas domes 2024. gada 29. augusta lēmumu Nr. 440 https://dokumenti.jurmala.lv/docs/m24/l/m240440.htm</t>
    </r>
  </si>
  <si>
    <r>
      <t xml:space="preserve">Pārbūvēts Dzintaru dzelzceļa pārvads. 
</t>
    </r>
    <r>
      <rPr>
        <u/>
        <sz val="8.5"/>
        <color theme="1"/>
        <rFont val="Tahoma"/>
        <family val="2"/>
        <charset val="186"/>
      </rPr>
      <t xml:space="preserve">2025. gadā:
</t>
    </r>
    <r>
      <rPr>
        <sz val="8.5"/>
        <color theme="1"/>
        <rFont val="Tahoma"/>
        <family val="2"/>
        <charset val="186"/>
      </rPr>
      <t>Būvdarbi:
-upes puses brauktuves seguma pārbūves darbi;
-apgaismojuma balstu atjaunošana;
-lietus ūdens novadsistēmas atjaunošana;
-jaunu drošības barjeru uzstādīšana.
Gada beigās plānota būvdarbu pabeigšana, atverot satiksmi abos braukšanas virzienos. 
Saite uz Jūrmalas domes 2023. gada 25. maija lēmumu Nr. 228:
https://dokumenti.jurmala.lv/docs/m23/l/m230228_m.htm</t>
    </r>
  </si>
  <si>
    <t>Pārbūvēta pilsētas maģistrālā iela/ pārvads
Pārbūvēti gājēju celiņi, veloceliņi un izveidotas autostāvvietas (82 vieglām automašīnām un 12 autobusiem).</t>
  </si>
  <si>
    <t>Jaunu stāvvietu izbūve atbilstoši Ceļu fonda izlietošanas programmai (trīs gadu periodā).
Nav plānotas aktivitātes 2025. gadā.</t>
  </si>
  <si>
    <r>
      <t xml:space="preserve">Nomainīti satiksmes vadības kontrolieri, iestatīti “zaļie viļņi”, sinhronizēti luksofori, izveidoti regulējami krustojumi, t.sk.gājēju pārejas, u.c.
</t>
    </r>
    <r>
      <rPr>
        <sz val="8.5"/>
        <color theme="1"/>
        <rFont val="Tahoma"/>
        <family val="2"/>
        <charset val="186"/>
      </rPr>
      <t xml:space="preserve">Luksoforu rekonstrukcija (SIA "Jūrmalas gaisma"):
</t>
    </r>
    <r>
      <rPr>
        <u/>
        <sz val="8.5"/>
        <color theme="1"/>
        <rFont val="Tahoma"/>
        <family val="2"/>
        <charset val="186"/>
      </rPr>
      <t xml:space="preserve">2025. gadā: </t>
    </r>
    <r>
      <rPr>
        <sz val="8.5"/>
        <color theme="1"/>
        <rFont val="Tahoma"/>
        <family val="2"/>
        <charset val="186"/>
      </rPr>
      <t xml:space="preserve">
1) Luksoforu objekta rekonstrukcija Jomas un Ērgļu ielu krustojumā;
2) Luksoforu objekta rekonstrukcija Lienes un Turaidas krustojums;
3) Luksoforu objekta rekonstrukcija Rīgas un Kr.Barona ielu krustojumā.
</t>
    </r>
    <r>
      <rPr>
        <u/>
        <sz val="8.5"/>
        <color theme="1"/>
        <rFont val="Tahoma"/>
        <family val="2"/>
        <charset val="186"/>
      </rPr>
      <t>2026. gadā:</t>
    </r>
    <r>
      <rPr>
        <sz val="8.5"/>
        <color theme="1"/>
        <rFont val="Tahoma"/>
        <family val="2"/>
        <charset val="186"/>
      </rPr>
      <t xml:space="preserve">
1) Luksoforu objekta rekonstrukcija Nometņu un Raiņa krustojums;
2) Luksoforu objekta rekonstrukcija Skolas ielā 3 pie Slokas pamatskolas;
3) Luksoforu objekta rekonstrukcija Meža pr un Vienības pr krustojums;
4) Luksoforu objekta rekonstrukcija Skolas un Kauņas krustojums.
</t>
    </r>
    <r>
      <rPr>
        <u/>
        <sz val="8.5"/>
        <color theme="1"/>
        <rFont val="Tahoma"/>
        <family val="2"/>
        <charset val="186"/>
      </rPr>
      <t xml:space="preserve">2027. gadā: </t>
    </r>
    <r>
      <rPr>
        <sz val="8.5"/>
        <color theme="1"/>
        <rFont val="Tahoma"/>
        <family val="2"/>
        <charset val="186"/>
      </rPr>
      <t xml:space="preserve">
1) Luksoforu objekta rekonstrukcija Asaru pr. pie Skautu ielas;
2) Luksoforu objekta rekonstrukcija Slokas 68, Rehabilitācijas centrs.
</t>
    </r>
    <r>
      <rPr>
        <u/>
        <sz val="8.5"/>
        <color theme="1"/>
        <rFont val="Tahoma"/>
        <family val="2"/>
        <charset val="186"/>
      </rPr>
      <t>2028.-2029. gadā</t>
    </r>
    <r>
      <rPr>
        <sz val="8.5"/>
        <color theme="1"/>
        <rFont val="Tahoma"/>
        <family val="2"/>
        <charset val="186"/>
      </rPr>
      <t xml:space="preserve"> Luksoforu objekta rekonstrukcija 
Nometņu un Skolas ielu krustojums.</t>
    </r>
  </si>
  <si>
    <t>SIA "Jūrmalas gaisma",
Jūrmalas valstspilsētas administrācija: Audita un kapitāldaļu pārvaldības nodaļas Kapitāldaļu pārvaldīšanas daļa</t>
  </si>
  <si>
    <t>Ielu apgaismošanas elektriskā tīkla atjaunošana/ pārbūve</t>
  </si>
  <si>
    <r>
      <rPr>
        <u/>
        <sz val="8.5"/>
        <color theme="1"/>
        <rFont val="Tahoma"/>
        <family val="2"/>
        <charset val="186"/>
      </rPr>
      <t>2025. gadā veikta:</t>
    </r>
    <r>
      <rPr>
        <sz val="8.5"/>
        <color theme="1"/>
        <rFont val="Tahoma"/>
        <family val="2"/>
        <charset val="186"/>
      </rPr>
      <t xml:space="preserve">
1) atjaunošana Dubultu prospekts (Kļavu iela - Dārzu iela), 2800m.
</t>
    </r>
    <r>
      <rPr>
        <u/>
        <sz val="8.5"/>
        <color theme="1"/>
        <rFont val="Tahoma"/>
        <family val="2"/>
        <charset val="186"/>
      </rPr>
      <t>2027. gadā veikta:</t>
    </r>
    <r>
      <rPr>
        <sz val="8.5"/>
        <color theme="1"/>
        <rFont val="Tahoma"/>
        <family val="2"/>
        <charset val="186"/>
      </rPr>
      <t xml:space="preserve">
1) projektēšana Omnibusa iela (Jomas iela - Jūras iela), 270m;
2) projektēšana Kaudzīšu iela (Jomas iela - Jūras iela), 260m.
</t>
    </r>
    <r>
      <rPr>
        <u/>
        <sz val="8.5"/>
        <color theme="1"/>
        <rFont val="Tahoma"/>
        <family val="2"/>
        <charset val="186"/>
      </rPr>
      <t xml:space="preserve">2028. - 2029. gadā veikta: </t>
    </r>
    <r>
      <rPr>
        <sz val="8.5"/>
        <color theme="1"/>
        <rFont val="Tahoma"/>
        <family val="2"/>
        <charset val="186"/>
      </rPr>
      <t xml:space="preserve">
1) turpinās Omnibusa iela (Jomas iela - Jūras iela), 270m;
2) turpinās Kaudzīšu iela (Jomas iela - Jūras iela), 260m;
3) Ātrā iela (Jomas iela - Jūras iela), 270m;
4) Ventspils šoseja (Talsu šos. - Satiksmes iela), 2900m;
5) Dzintaru prospekts (Turaidas iela - K.Barona iela), 1800m. </t>
    </r>
  </si>
  <si>
    <r>
      <t xml:space="preserve">Ielu apgaismošanas elektrotīkla atjaunošana atbilstoši AS “Sadales tīkls” veiktajai pārbūvei.
Ielu apgaismošanas elektrisko tīklu pārbūve, atbilstoši pieejamajam budžetam.
</t>
    </r>
    <r>
      <rPr>
        <u/>
        <sz val="8.5"/>
        <color theme="1"/>
        <rFont val="Tahoma"/>
        <family val="2"/>
        <charset val="186"/>
      </rPr>
      <t>2026. gadā veikta:</t>
    </r>
    <r>
      <rPr>
        <sz val="8.5"/>
        <color theme="1"/>
        <rFont val="Tahoma"/>
        <family val="2"/>
        <charset val="186"/>
      </rPr>
      <t xml:space="preserve">
1) atjaunošana Braslas iela, 160m
</t>
    </r>
    <r>
      <rPr>
        <u/>
        <sz val="8.5"/>
        <color theme="1"/>
        <rFont val="Tahoma"/>
        <family val="2"/>
        <charset val="186"/>
      </rPr>
      <t>2027. gadā veikta:</t>
    </r>
    <r>
      <rPr>
        <sz val="8.5"/>
        <color theme="1"/>
        <rFont val="Tahoma"/>
        <family val="2"/>
        <charset val="186"/>
      </rPr>
      <t xml:space="preserve">
1) atjaunošana  Eglaines iela no Irbju ielas līdz Lapsu ielai, 600m
2) atjaunošana Medņu ielas posmā no Olgas ielas līdz Daugavas iela, 300m
3) atjaunošana Cīruļu iela (Atbalss iela- E.Veidenbauma iela), 600m
4) atjaunošana L. Paegles iela (Valkas iela-Zivju iela), 400m
5) projektēšana un atjaunošana Kārsas iela no Valkas ielas līdz Zivju ielai, 400m
6) projektēšana Irbju iela ( Lapsu iela - Veidenbauma iela), 650m
7) projektēšana Medņu iela (Veidenbauma ielas-Viņķu ielai),  1300m</t>
    </r>
  </si>
  <si>
    <r>
      <t xml:space="preserve">Apgaismotas pilsētā līdz šim neapgaismotās ielas.
</t>
    </r>
    <r>
      <rPr>
        <u/>
        <sz val="8.5"/>
        <color theme="1"/>
        <rFont val="Tahoma"/>
        <family val="2"/>
        <charset val="186"/>
      </rPr>
      <t>2025. gadā:</t>
    </r>
    <r>
      <rPr>
        <sz val="8.5"/>
        <color theme="1"/>
        <rFont val="Tahoma"/>
        <family val="2"/>
        <charset val="186"/>
      </rPr>
      <t xml:space="preserve">
Ielu apgaismojuma ierīkošana Noras ielā (95 m).
</t>
    </r>
    <r>
      <rPr>
        <u/>
        <sz val="8.5"/>
        <color theme="1"/>
        <rFont val="Tahoma"/>
        <family val="2"/>
        <charset val="186"/>
      </rPr>
      <t>2026. gadā veikta:</t>
    </r>
    <r>
      <rPr>
        <sz val="8.5"/>
        <color theme="1"/>
        <rFont val="Tahoma"/>
        <family val="2"/>
        <charset val="186"/>
      </rPr>
      <t xml:space="preserve">
1) Turpinājums Noras ielā (95 m);
2) Izbūve Vikingu ielā no Lāču ielas līdz Matrožu ielai, 1300 m.
</t>
    </r>
    <r>
      <rPr>
        <u/>
        <sz val="8.5"/>
        <color theme="1"/>
        <rFont val="Tahoma"/>
        <family val="2"/>
        <charset val="186"/>
      </rPr>
      <t>2027. gadā veikta:</t>
    </r>
    <r>
      <rPr>
        <sz val="8.5"/>
        <color theme="1"/>
        <rFont val="Tahoma"/>
        <family val="2"/>
        <charset val="186"/>
      </rPr>
      <t xml:space="preserve">
1) Projektēšana Upmalas iela no Spilvas ielas līdz Vāveru ielai, 1000 m.
2) Izbūve Zivju iela no Daugavpils ielas līdz Dzirnavu ielai, 500 m.</t>
    </r>
    <r>
      <rPr>
        <u/>
        <sz val="8.5"/>
        <color rgb="FFFF0000"/>
        <rFont val="Tahoma"/>
        <family val="2"/>
        <charset val="186"/>
      </rPr>
      <t/>
    </r>
  </si>
  <si>
    <t>Jūrmalas valstspilsētas administrācija:  Attīstības pārvaldes Inženierbūvju nodaļa, 
Attīstības pārvaldes Stratēģiskās plānošanas nodaļa</t>
  </si>
  <si>
    <t>Jūrmalas valstspilsētas administrācija:  Attīstības pārvaldes Infrastruktūras investīciju projektu nodaļa, 
Attīstības pārvaldes Inženierbūvju nodaļa,
Attīstības pārvaldes Stratēģiskās plānošanas nodaļa</t>
  </si>
  <si>
    <t>Gājēju un velosipēdu ceļu infrastruktūras atjaunošana posmā no Jaunķemeriem līdz Ķemeriem
(pabeigts)</t>
  </si>
  <si>
    <t>PABEIGTS
Pārbūvēts un atjaunots gājēju un velosipēdu ceļš 4.82 kilometru garumā posmā no Jaunķemeru pludmales kāpu zonas līdz atjaunotā Ķemeru kultūrvēsturiskā parka teritorijai.</t>
  </si>
  <si>
    <r>
      <rPr>
        <u/>
        <sz val="8.5"/>
        <color theme="1"/>
        <rFont val="Tahoma"/>
        <family val="2"/>
        <charset val="186"/>
      </rPr>
      <t>2025.gadā:</t>
    </r>
    <r>
      <rPr>
        <sz val="8.5"/>
        <color theme="1"/>
        <rFont val="Tahoma"/>
        <family val="2"/>
        <charset val="186"/>
      </rPr>
      <t xml:space="preserve">
Plānota īstenošanas noslēgšana.
Visas aktivitātes veiktas 2024. gadā - veikta energoefektivitātes prasībām neatbilstošo gaismekļu nomaiņa (286 gab.) uz gaismekļiem ar gaismu izstarojošo diožu tehnoloģiju (LED gaismekļiem), kas aprīkoti arī ar apgaismojuma līmeņa regulēšanas iespējām, kā rezultātā samazinot oglekļa dioksīda emisijas vismaz 18,82423 tonnas CO2 /gadā.
Aktivitātes tiek īstenotas Emisijas kvotu izsolīšanas instrumenta (EKII) aktivitātes “Siltumnīcefekta gāzu emisiju samazināšana pašvaldību publisko teritoriju apgaismojuma infrastruktūra” projekta “Siltumnīcefekta gāzu emisiju samazināšana Jūrmalas valstspilsētas pašvaldības publisko teritoriju apgaismojuma infrastruktūrā” ietvaros.
Saite uz Jūrmalas domes 2023. gada 30. marta lēmumu Nr.111 https://dokumenti.jurmala.lv/docs/m23/l/m230111_m.htm</t>
    </r>
  </si>
  <si>
    <t>SIA "Jūrmalas gaisma"
Jūrmalas valstspilsētas administrācija:  Audita un kapitāldaļu pārvaldības nodaļas Kapitāldaļu pārvaldīšanas daļa</t>
  </si>
  <si>
    <r>
      <rPr>
        <u/>
        <sz val="8.5"/>
        <color theme="1"/>
        <rFont val="Tahoma"/>
        <family val="2"/>
        <charset val="186"/>
      </rPr>
      <t>2025. gadā plānots:</t>
    </r>
    <r>
      <rPr>
        <sz val="8.5"/>
        <color theme="1"/>
        <rFont val="Tahoma"/>
        <family val="2"/>
        <charset val="186"/>
      </rPr>
      <t xml:space="preserve">
-veikt satiksmes drošības zonas pie Jūrmalas valstspilsētas Pumpuru vidusskolas Lielupes ielā 21 un Kronvalda ielā 8;
-Izstrādāt tehnisko dokumentāciju, lai pilnveidotu satiksmes infrastruktūru un izveidotu drošības zonu pie Lielupes ielas 21 un Kronvalda ielas 8, t.sk. poruka prospektā.
Aktivitātes tiek īstenotas Apvārsnis Eiropa 2021-2027 “Iekļaujošas, drošas, pieejamas un ilgtspējīgas pilsētas mobilitātes projektēšana” projekta “Inovatīvi mobilitātes risinājumi zaļai un drošai pilsētvidei” ietvaros partnerībā ar vadošo partneri Hamburgas senātu (Senate of the Free and Hanseatic city of Hamburg).
Saite uz 2023. gada 27. aprīļa lēmumu Nr. 160 https://dokumenti.jurmala.lv/docs/m23/l/m230160.htm
(Sasaiste ar IP projektu 28.I2)</t>
    </r>
  </si>
  <si>
    <t>Izstrādāta un ieviesta  vienas drošības uzlabošanas zonas attīstība. Indikatīvi Pumpuros/ Jaundubultos starp izglītības iestādēm.</t>
  </si>
  <si>
    <t>SIA "Jūrmalas gaisma"
Jūrmalas valstspilsētas administrācija: Attīstības pārvaldes Inženierbūvju nodaļa,
Attīstības pārvaldes Infrastruktūras investīciju projektu nodaļa,
Audita un kapitāldaļu pārvaldības nodaļas Kapitāldaļu pārvaldīšanas daļa</t>
  </si>
  <si>
    <t>Autostāvvietu izbūve pie Mellužu estrādes un gājēju, veloceliņa izbūve no Mellužu prospekta līdz Kāpu ielai.
2025. gadā:
-veikt būvdarbus autostāvvietas izbūvei (166,68 tūkst. EUR);
-veloceliņa būvdarbi (62,48 tūkst. EUR).
2026. gadā:
-veikt būvdarbus autostāvvietas izbūvei (666,71 tūkst. EUR);
-veloceliņa būvdarbi (249,93 tūkst. EUR);
-autostāvvietas un veloceliņa autoruzraudzība (1,48 tūkst. EUR);
-autostāvvietas un veloceliņa būvuzraudzība (86,84 tūkst. EUR).
(Sasaiste ar IP projektiem 1.Ē1 un 12.Ē1)</t>
  </si>
  <si>
    <t>JVA Attīstības pārvaldes
Infrastruktūras investīciju projektu nodaļa</t>
  </si>
  <si>
    <t>Jūrmalas valstspilsētas administrācija: Attīstības pārvaldes Inženierbūvju nodaļa,
SIA "Jūrmalas gaisma",
SIA "Jūrmalas ūdens"</t>
  </si>
  <si>
    <r>
      <t xml:space="preserve">Pamatojoties uz Jūrmalas domes 2024. gada 24. aprīļa lēmumu Nr. 196, 2024. gada 26. aprīlī projekta Nr. 5.6.2.0/19/I/012 īstenošana ir izbeigta. 2024. gadā īstenots Daudzfunkcionāla dabas tūrisma centra izbūves būvdarbu pabeigšanai nepieciešamais būvdarbu un būvuzraudzības iepirkums. Būvdarbu pabeigšanas izmaksu kopsumma 16 094,34 tūkst. EUR.
</t>
    </r>
    <r>
      <rPr>
        <u/>
        <sz val="8.5"/>
        <color theme="1"/>
        <rFont val="Tahoma"/>
        <family val="2"/>
        <charset val="186"/>
      </rPr>
      <t>2025.-2026.gadā:</t>
    </r>
    <r>
      <rPr>
        <sz val="8.5"/>
        <color theme="1"/>
        <rFont val="Tahoma"/>
        <family val="2"/>
        <charset val="186"/>
      </rPr>
      <t xml:space="preserve">
Būvdarbu izpildi plānots veikt 18 mēnešu laikā, no 2025. gada maija līdz 2026. gada oktobrim.
</t>
    </r>
    <r>
      <rPr>
        <i/>
        <sz val="8.5"/>
        <color theme="1"/>
        <rFont val="Tahoma"/>
        <family val="2"/>
        <charset val="186"/>
      </rPr>
      <t>Budžeta sistēmā nosaukums "Daudzfunkcionāla dabas tūrisma centra jaunbūve un meža parka labiekārtojums Ķemeros (ITI SAM 5.6.2.)"</t>
    </r>
  </si>
  <si>
    <t>Jūrmalas valstspilsētas administrācija: Attīstības pārvaldes Tūrisma un uzņēmējdarbības attīstības nodaļa</t>
  </si>
  <si>
    <t>Ķemeru meža parka pārbūve (EJZAF līdzfinansēts projekts) un divu gājēju tiltiņu pār Vēršupīti pārbūve</t>
  </si>
  <si>
    <r>
      <t xml:space="preserve">Jūrmalas domes 2024. gada 24. aprīļa lēmums Nr. 196, 2024. gada 26. aprīlī projekta Nr. 5.5.1.0/19/I/004 īstenošana ir izbeigta. 2024. gadā īstenots Ķemeru meža parka pārbūves būvdarbu pabeigšanai nepieciešamais būvdarbu un būvuzraudzības iepirkums, paredzot veikt SIA “Lauder Architects” 2019. gadā izstrādātā būvprojekta 1. kārtas būvdarbus un 2 valsts nozīmes arhitektūras pieminekļu – gājēju tiltiņu pār Vēršupīti pārbūvi. Būvdarbu pabeigšanas izmaksu kopsumma 813,57 tūkst. EUR.
</t>
    </r>
    <r>
      <rPr>
        <u/>
        <sz val="8.5"/>
        <color theme="1"/>
        <rFont val="Tahoma"/>
        <family val="2"/>
        <charset val="186"/>
      </rPr>
      <t>2025. gadā:</t>
    </r>
    <r>
      <rPr>
        <sz val="8.5"/>
        <color theme="1"/>
        <rFont val="Tahoma"/>
        <family val="2"/>
        <charset val="186"/>
      </rPr>
      <t xml:space="preserve">
Būvuzraudzība, autoruzraudzība un būvdarbi:
-labiekārtojuma būvdarbi;
-tiltiņu Nr.1 un Nr.2 būvdarbi (plānots pabeigt oktobrī).
Aktivitātes plānots veikt Eiropas Jūrlietu, zivsaimniecības un akvakultūras fonda pasākuma Nr. U31421 “Sabiedrības virzītas vietējās attīstības stratēģiju īstenošana” 3. mērķa “Līdzsvarotas un ilgtspējīgas piekrastes teritorijas attīstība” 3. rīcībā “Vides resursu līdzsvarota izmantošana un piekrastes dabas vērtību saglabāšana” (EJZAF 300 000 EUR un valsts budžeta aizdevuma finansējums).
Saņemts Lauku atbalsta dienesta 2025. gada 27. februāra lēmums Nr.08.25.001561 par projekta iesnieguma apstiprināšanu un būvprojekta realizācijai piešķirts EJZAF finansējums 270 tūkst. EUR.
Saite uz Jūrmalas domes 2024. gada 28. novembra lēmumu Nr. 608: https://dokumenti.jurmala.lv/docs/m24/l/m240608.htm
Saite uz Jūrmalas domes 2025. gada 27. februāra lēmumu Nr. 64:
https://dokumenti.jurmala.lv/docs/m25/l/m250064.htm</t>
    </r>
  </si>
  <si>
    <t>Jūrmalas valstspilsētas administrācija:  Attīstības pārvaldes Tūrisma un uzņēmējdarbības attīstības nodaļa,
Attīstības pārvaldes Stratēģiskās plānošanas nodaļa</t>
  </si>
  <si>
    <r>
      <rPr>
        <sz val="8.5"/>
        <color theme="1"/>
        <rFont val="Tahoma"/>
        <family val="2"/>
        <charset val="186"/>
      </rPr>
      <t>JVA Audita un kapitāldaļu pārvaldības nodaļas Kapitāldaļu pārvaldīšanas daļa,</t>
    </r>
    <r>
      <rPr>
        <strike/>
        <sz val="8.5"/>
        <color theme="1"/>
        <rFont val="Tahoma"/>
        <family val="2"/>
        <charset val="186"/>
      </rPr>
      <t xml:space="preserve">
</t>
    </r>
    <r>
      <rPr>
        <sz val="8.5"/>
        <color theme="1"/>
        <rFont val="Tahoma"/>
        <family val="2"/>
        <charset val="186"/>
      </rPr>
      <t>SIA "Jūrmalas ūdens"</t>
    </r>
  </si>
  <si>
    <t>Rīcības virziens: Uzņēmējdarbībai pievilcīga vide</t>
  </si>
  <si>
    <t>T2</t>
  </si>
  <si>
    <r>
      <t xml:space="preserve">1.Bijušās Slokas papīrfabrikas teritorijā un tās tiešā tuvumā sakārtota nodrošināta industriālo pieslēgumu ierīkošana un to saistītās jaudas palielināšana (tai skaitā  dzeramā ūdens apgāde un kanalizācija, elektroenerģija); pilnveidota ceļu satiksmei paredzētā infrastruktūra.
2.Labiekārtots Lielupes krasts pie bijušās Slokas papīrfabrikas (t.sk. izveidots gājēju/veloceliņš) - nodrošināta iespēja attīstīt ūdensportu, tūrisma pakalpojumus utt.
</t>
    </r>
    <r>
      <rPr>
        <i/>
        <sz val="8.5"/>
        <color theme="1"/>
        <rFont val="Tahoma"/>
        <family val="2"/>
        <charset val="186"/>
      </rPr>
      <t>Plānots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ietvaros.</t>
    </r>
  </si>
  <si>
    <t>SIA “Jūrmalas gaisma”, 
SIA "Jūrmalas ūdens",
Jūrmalas valstspilsētas administrācija: Attīstības pārvaldes Inženierbūvju nodaļa,
Attīstības pārvaldes Stratēģiskās plānošanas nodaļa, 
Attīstības pārvaldes Tūrisma un uzņēmējdarbības attīstības nodaļa,
Īpašumu pārvaldes Pilsētsaimniecības nodaļa,
Pilsētplānošanas pārvalde,
Audita un kapitāldaļu pārvaldības nodaļas Kapitāldaļu pārvaldīšanas daļa</t>
  </si>
  <si>
    <r>
      <rPr>
        <u/>
        <sz val="8.5"/>
        <color theme="1"/>
        <rFont val="Tahoma"/>
        <family val="2"/>
        <charset val="186"/>
      </rPr>
      <t xml:space="preserve">2025.gadā:
</t>
    </r>
    <r>
      <rPr>
        <sz val="8.5"/>
        <color theme="1"/>
        <rFont val="Tahoma"/>
        <family val="2"/>
        <charset val="186"/>
      </rPr>
      <t>1. kārtas būvdarbiem - būvprojekta izsdrāde (22 990 EUR).
2. kārtas īstenošana:
- Futbola laukuma pārbūves darbi (699 069 EUR);
- Apgaismojuma elektromontāžas darbi (600 000 EUR);
- Apgaismes prožektori (499 966 EUR);
- Būvuzraudzība sintetiskā futbola laukuma pārbūves darbiem (8712 EUR);
- Autoruzraudzība sintetiskā futbola laukuma pārbūves darbiem (3630 EUR).
Saite uz Jūrmalas domes 2021. gada 16. decembra lēmumu Nr. 637 https://dokumenti.jurmala.lv/docs/l21/l/l210637_m.htm</t>
    </r>
  </si>
  <si>
    <t>Jūrmalas Sporta skola,
Futbola skola</t>
  </si>
  <si>
    <t>Jūrmalas valstspilsētas administrācija:  Budžeta  nodaļa</t>
  </si>
  <si>
    <r>
      <t xml:space="preserve">Jūrmalas valstspilsētas pašvaldības administratīvo ēku infrastruktūras pilnveides pasākumi tiek atspoguļoti, veicot precizējumus Investīciju plānā.
</t>
    </r>
    <r>
      <rPr>
        <u/>
        <sz val="8.5"/>
        <color theme="1"/>
        <rFont val="Tahoma"/>
        <family val="2"/>
        <charset val="186"/>
      </rPr>
      <t>2025. gadā:</t>
    </r>
    <r>
      <rPr>
        <sz val="8.5"/>
        <color theme="1"/>
        <rFont val="Tahoma"/>
        <family val="2"/>
        <charset val="186"/>
      </rPr>
      <t xml:space="preserve">
Telpu pārbūve un piemērošana Majoros Pašvaldības īpašumu pārvaldības centra biroja vajadzībām/ projekta izstrāde, saskaņošana BIS sistēmā.</t>
    </r>
  </si>
  <si>
    <t>Jūrmalas Pašvaldības īpašumu pārvaldīšanas centrs
Jūrmalas valstspilsētas administrācija:  Īpašumu pārvaldes Saimniecības nodaļa</t>
  </si>
  <si>
    <r>
      <t xml:space="preserve">Ēkas būvniecība Pils ielā 1, un tajā tiek nodrošināta Dzimtsarakstu nodaļas darbība.
</t>
    </r>
    <r>
      <rPr>
        <u/>
        <sz val="8.5"/>
        <color theme="1"/>
        <rFont val="Tahoma"/>
        <family val="2"/>
        <charset val="186"/>
      </rPr>
      <t>2026. gadā</t>
    </r>
    <r>
      <rPr>
        <sz val="8.5"/>
        <color theme="1"/>
        <rFont val="Tahoma"/>
        <family val="2"/>
        <charset val="186"/>
      </rPr>
      <t>:
- veikt būvniecības ieceres izstrādi un realizāciju.</t>
    </r>
  </si>
  <si>
    <t>Jūrmalas valstspilsētas administrācija: Pilsētplānošanas pārvalde,
Dzimtsarakstu nodaļa, 
Īpašumu pārvaldes Pašvaldības īpašumu nodaļa</t>
  </si>
  <si>
    <t>Turniketu uzstādīšana, ēdināšanas sistēmas uzstādīšana, iedzīvotāju līdzdalības/ iesaistes platformas izveide.</t>
  </si>
  <si>
    <t>Jūrmalas Labklājības pārvalde, 
Izglītības pārvalde</t>
  </si>
  <si>
    <t>Jūrmalas valstspilsētas administrācija:  Informācijas un komunikācijas tehnoloģiju pārvaldes Tehniskā nodrošinājuma nodaļa,
Īpašumu pārvaldes Pašvaldības īpašumu tehniskā nodrošinājuma nodaļa</t>
  </si>
  <si>
    <t>Jūrmalas valstspilsētas administrācija:  Informācijas un komunikācijas tehnoloģiju pārvalde</t>
  </si>
  <si>
    <r>
      <rPr>
        <u/>
        <sz val="8.5"/>
        <color theme="1"/>
        <rFont val="Tahoma"/>
        <family val="2"/>
        <charset val="186"/>
      </rPr>
      <t>2025. gadā:</t>
    </r>
    <r>
      <rPr>
        <sz val="8.5"/>
        <color theme="1"/>
        <rFont val="Tahoma"/>
        <family val="2"/>
        <charset val="186"/>
      </rPr>
      <t xml:space="preserve">
Lēmumu par projekta apstiprināšanu vai noraidīšanu plānots saņemt nākamā gada sākumā. Gadījumā, ja projekts tiks apstiprināts, 2025. gadā plānota projekta īstenošanas līguma slēgšana un projekta uzsākšana. Primāri veicamās darbības - jāizveido projekta īstenošanas grupa un jānosaka katrai no iesaistītajām pusēm veicamie darbi, to apjoms un sadarbības modelis, pēc šī posma noslēgšanās, jau iespējams uzsākt projekta darbību uzsākšanu, t.i., veikt tīkla kritisko posmu izvērtējumu un tam nepieciešamā aprīkojuma un ārpakalpojumu iepirkumus sekmīgu rezultātu sasniegšanai.
Aktivitātes plānotas un pieteikums iesniegts 2024. gada 14. oktobrī Kohēzijas politikas pilsētvides dimensijas 2021. – 2027. gadā aktivitātes “Eiropas Pilsētiniciatīvas” atklātā projektu pieteikumu konkursā ar projekta pieteikumu “Integrēta inženiertīklu stratēģiskā plānošana pilsētas mērogā” (Automated Planning of Integrated, City – Scale, Multi – Asset Management Strategies – MultiMan). Projekts digitālā plānošanas rīka izstrādei Jūrmalas administratīvās teritorijas robežās, veicinot sasvstarpēji koordinētu rakšanas darbu plānošanu un krīzes vadību, sadarbojoties dažādām inženiertīklu kapitālsabiedrībām, kā arī pašvaldības struktūrvienībām, pamatotu un izsvērtu lēmumu pieņemšanai.
Saite uz Jūrmalas domes 26. septembra lēmumu Nr. 484 
https://dokumenti.jurmala.lv/docs/m24/l/m240484.htm</t>
    </r>
  </si>
  <si>
    <t>Vienota pašvaldības digitālā droša un ērta platforma, kurā inženiertīklu dati ir savstarpēji integrējami starp projekta partneriem, t.sk. iedzīvotājiem.
Iedzīvotāju apziņošanas sistēmas izveide.</t>
  </si>
  <si>
    <t>SIA “Jūrmalas siltums”,
SIA “Jūrmalas gaisma”
Jūrmalas valstspilsētas administrācija:  Attīstības pārvaldes Stratēģiskās plānošanas nodaļa,
Attīstības pārvaldes Inženierbūvju nodaļa,
Pilsētplānošanas pārvaldes Ģeomātikas un inženieru nodaļa,
Audita un kapitāldaļu pārvaldības nodaļas Kapitāldaļu pārvaldīšanas daļa</t>
  </si>
  <si>
    <r>
      <t xml:space="preserve">Ieviesta līdzdalības budžetēšana atbilstoši iedzīvotāju iniciatīvai un paustajam atbalstam/ balsojumam. 
Finansējums līdzdalības budžetam pašvaldības budžetā paredzams no pašvaldības vidējiem viena gada iedzīvotāju ienākuma nodokļa un nekustamā īpašuma nodokļa faktiskajiem ieņēmumiem, kas tiek aprēķināti par pēdējiem trim gadiem:
- 2025. gadam ne mazāk kā 0,1 procenta apmērā;
- 2026. gadam ne mazāk kā 0,2 procentu apmērā;
- 2027. gadam ne mazāk kā 0,3 procentu apmērā;
- 2028. gadam ne mazāk kā 0,4 procentu apmērā.
</t>
    </r>
    <r>
      <rPr>
        <u/>
        <sz val="8.5"/>
        <color theme="1"/>
        <rFont val="Tahoma"/>
        <family val="2"/>
        <charset val="186"/>
      </rPr>
      <t>2025. gadā:</t>
    </r>
    <r>
      <rPr>
        <sz val="8.5"/>
        <color theme="1"/>
        <rFont val="Tahoma"/>
        <family val="2"/>
        <charset val="186"/>
      </rPr>
      <t xml:space="preserve">
Īstenoti apstiprinātie projekti (balsojuma rezultāti 12. augustā).</t>
    </r>
  </si>
  <si>
    <t>Jūrmalas valstspilsētas adminsitrācija:  Komunikācijas pārvalde</t>
  </si>
  <si>
    <t>3. pielikums 
Jūrmalas valstspilsētas pašvaldības investīciju plānam 2023. - 2029. gadam</t>
  </si>
  <si>
    <t>25.Ē1</t>
  </si>
  <si>
    <t>Priedaines A10 ceļa posma atjaunošana</t>
  </si>
  <si>
    <t>Modernizēts un atjaunots A10 ceļa posms, uzlabojot ceļu satiksmes dalībnieku drošību un ērtu pārvietošanos Priedaines pārvadā. 
Aktivitātes plānots īstenot Eiropas Savienības kohēzijas politikas programmas 2021.–2027. gadam 3.1.1. specifiskā atbalsta mērķa "Attīstīt ilgtspējīgu, pret klimatu izturīgu, inteliģentu, drošu un vairākveidu TEN-T infrastruktūru" 3.1.1.5. pasākuma "Nacionālās nozīmes centru maģistrālo ielu un esošo maršrutu attīstība" ietvaros.
(Sasaiste ar IP projektu 4.Ē1)</t>
  </si>
  <si>
    <t>Atjaunots/ modernizēts TEN-T tīkla autoceļš (0,80 km) Jūrmalas valstspilsētas pašvaldības teritorijā</t>
  </si>
  <si>
    <r>
      <t xml:space="preserve">Ieguvumi:
-Datu ievākšana un uzkrāšana, kas tiek izmantoti klimata faktoru monitoringā (t.sk. izstrādāti klimata un epidemioloģiskie modeļi un to ģenerēšana un simulēšana Rīgas un Jūrmalas situācijām); 
-Identificēti Jūrmalas valstspilsētai nopietnākie klimata pārmaiņu riski, kas ietekmē sabiedrības veselību – izstrādāts plāns risku mazināšanai un novēršanai, sabiedrības veselības stāvokļa uzlabošanai;
-Pieredzes apmaiņa līdzvērtīgu risinājumu veidošanā;
-Labās prakses pārņemšana, t.sk. mākslīgā intelekta tehnoloģiju radīti agrīnie brīdinājumi un risinājumi;
-Datu pieejamības nodrošināšana Jūrmalas valstspilsētas pašvaldības ģeogrāfiskās informācijas sistēmā.
</t>
    </r>
    <r>
      <rPr>
        <i/>
        <sz val="8.5"/>
        <rFont val="Trebuchet MS"/>
        <family val="2"/>
        <charset val="186"/>
      </rPr>
      <t xml:space="preserve">Eiropas Savienības pētniecības un inovācijas programmas Apvārsnis (HORIZON) Eiropa 2021-2027 “Ilgtermiņa un īstermiņa datu analīze par klimatu ietekmējošiem faktoriem veselīgas pilsētvides veidošanā” ietvaros.
</t>
    </r>
    <r>
      <rPr>
        <sz val="8.5"/>
        <rFont val="Trebuchet MS"/>
        <family val="2"/>
        <charset val="186"/>
      </rPr>
      <t>Saskaņā ar Jūrmalas domes 2024. gada 30. maija lēmumu Nr. 253 par projekta īstenošanu nav plānoti ieguldījumi infrastruktūrā tādēļ tiek noņemts no Investīciju plāna. Saite uz lēmumu https://dokumenti.jurmala.lv/docs/m24/l/m240253.htm</t>
    </r>
  </si>
  <si>
    <t>Iegādāti pamatlīdzekļi kapitālsabiedrības saimnie- ciskās darbības nodrošināšanai:
1) ūdensvada un kanalizācijas tīklu pārbūve,
2) kanalizācijas pārsūknēšanas staciju pārbūve,
3) automašīnu iegāde,
4) biroja tehnikas iegāde,
5) nepieciešamo iekārtu iegāde.</t>
  </si>
  <si>
    <t>Pēc nepieciešamības visas Jūrmalas valstspilsētas pašvaldības iestādes un kapitālsabiedrības</t>
  </si>
  <si>
    <t>JVA Attīstības pārvaldes Stratēģiskās plānošanas nodaļa;
Īpašumu pārvaldes Saimnieciskā nodrošinājuma nodaļa</t>
  </si>
  <si>
    <t>Jūrmalas Izglītības pārvalde,
JVA Īpašumu pārvaldes Pašvaldības īpašumu tehniskā nodrošinājuma nodaļa,
Pašvaldības īpašumu nodaļa, 
visas Jūrmalas pamatskolas un vidusskolas (t.sk.ģimnāzija)</t>
  </si>
  <si>
    <t>Jūrmalas Izglītības pārvalde,
JVA Īpašumu pārvaldes Pašvaldības īpašumu tehniskā nodrošinājuma nodaļa,
Pašvaldības īpašumu nodaļa, 
visas JPII</t>
  </si>
  <si>
    <t>1. Siltumtīklu digitalizācija;
2. Hidraulisko modelēšanas programmas iegāde;
3. Tirgus izpētes pasākumi jaunu objektu pieslēgšanas potenciāla apzināšanai;
4. Klientu apkalpošanas digitalizācija;
5. Klientu aptauja;
6. Sadarbības veidošana, konsultāciju sniegšana klientiem un apsaimniekotājiem par ēku energoefektivitātes paaugstināšanu;
7. Atbalsta programmas izstrāde jaunu klientu pieslēgumiem CSA;
8. Siltumuzskaites sistēmas optimizācija/ pilnveidošana;
9. Sabiedrības informēšana par ieguvumiem esot CSA dalībniekam/ klientam;
10. SIA "Jūrmalas siltums" mājas lapas uzlabošana/ modernizēšana;
11. CSA attīstības veicināšana Jūrmalā;
12. Krīzes vadības stratēģijas izstrāde un tajā noteikto pasākumu ieviešana;
13. Izstrādāt platformu parametru atbilstību monitoringam siltummezglos;
14. Dearēta siltumnesēja akumulācija (kontroles/ kvalitātes uzlabošana);
15. Tehnoloģiskais atbalsts darbinieku produktivitātes un efektivitātes paaugstināšanai.</t>
  </si>
  <si>
    <t>Uzlabota saimniecības ēkas energoefektivitāte, B korpusa pagrabstāva renovācija, iegādātas dažādas medicīnas iekārtas, mēbeles, IKT, 3 elektromobiļi (atbilstoši SIA “Jūrmalas slimnīca” vidēja termiņa darbības stratēģijai 2023.–2025. gadam)</t>
  </si>
  <si>
    <r>
      <t xml:space="preserve">NETIKS ĪSTENOTS
Atbilstoši Jūrmalas domes 2023.gada 28.septembra lēmumam Nr.448 - indikatīvie sagaidāmie rezultāti:  
1. plūdu risku un krasta erozijas mazināšana Jūrmalas pilsētā; 
2. smilšu sanesumu mazināšana Lielupes grīvā;
3. padziļināts kuģošanas ceļš Lielupes grīvā, kas nodrošina patstāvīgu navigāciju, kas ir nepieciešama Jūrmalas ostas turpmākai darbībai.
Projektu plānots realizēt - Eiropas Savienības kohēzijas politikas programmas 2021.-2027. gadam specifiskā atbalsta mērķa 2.1.3 “Veicināt pielāgošanos klimata pārmaiņām, risku novēršanu un noturību pret katastrofām” pasākuma 2.1.3.2. “Nacionālās nozīmes plūdu un krasta erozijas pasākumi”.
Saite uz Jūrmalas domes 2023. gada 28. septembra lēmumu Nr. 448 https://dokumenti.jurmala.lv/docs/m23/l/m230448.htm
</t>
    </r>
    <r>
      <rPr>
        <i/>
        <sz val="8.5"/>
        <rFont val="Trebuchet MS"/>
        <family val="2"/>
        <charset val="186"/>
      </rPr>
      <t>Informācijai. Sākotnējā redakcija - IAS2030 pasākums: Izveidota hidrotehniskā būve (mols, aizsargbarjera-viļņlauzis vai cita veida inženiertehniskais risinājums) Lielupes ietekas jūrā padziļināšanai un uzturēšanai (sadaļa precizēta 2023.gada decembrī)
Pieņemts lēmums projektu neīstenot (Jūrmalas domes 2025. gada 28. augusta lēmums Nr. 444 "Par Eiropas Savienības kohēzijas politikas programmas 2021.-2027. gadam specifiskā atbalsta mērķa 2.1.3. “Veicināt pielāgošanos klimata pārmaiņām, risku novēršanu un noturību pret katastrofām” pasākuma 2.1.3.2. “Nacionālās nozīmes plūdu un krasta erozijas pasākumi” projekta “Lielupes kreisā krasta nostiprinājuma izbūve Lielupes grīvas teritorijā (ieteku jūrā)” dalības izbeigšanu").</t>
    </r>
  </si>
  <si>
    <t>PABEIGTS 2024. gadā
Izveidots jauns grupu dzīvoklis 8 personām ar garīga rakstura traucējumiem Hercoga Jēkaba ielā 4.
Objekta faktisko izmaksu kopsumma ir 1161,29 tūkst. EUR, no tās pašvaldības finansējums 200,07 tūkst. EUR, Eiropas Savienības un valsts budžeta finansējums 961,22 tūkst. EUR.
Saite uz Jūrmalas domes 2024. gada 25. jūlija noslēguma lēmumu Nr. 379 https://dokumenti.jurmala.lv/docs/m24/l/m240379.htm
(Sasaiste ar IP projektu 1.S1)</t>
  </si>
  <si>
    <t>Jūrmalas Jaundubultu pamatskolas stadiona atjaunošana
(pabeigts)</t>
  </si>
  <si>
    <t>Jūrmalas Mežmalas pamatskolas āra sporta stadiona atjaunošana
(pabeigts)</t>
  </si>
  <si>
    <t>Pilnveidota velosipēdu ceļu infrastruktūra pilsētā atbilstoši Ceļu fonda izlietošanas programmai (trīs gadu periodā).
Plānots pieteikt dalību Eiropas Savienības kohēzijas politikas programmas 2021.–2027. gadam 2.3.1. specifiskā atbalsta mērķa "Veicināt ilgtspējīgu daudzveidu mobilitāti pilsētās" 2.3.1.2. pasākumā "Multimodāls sabiedriskā transporta tīkls" ar projekta pieteikumu "Veloceliņa seguma atjaunošana gar dzelzceļu no Jūrmalas administratīvās teritorijas līdz Priedaines dzelzceļa stacijai". Kopējās indikatīvās projekta izmaksas 679 100,32 EUR.</t>
  </si>
  <si>
    <t>Grantēto ielu asfaltēšana atbilstoši Ceļu fonda izlietošanas programmai (trīs gadu periodā)
(Sasaiste ar IP projektiem 20.P1 un 21.P1)</t>
  </si>
  <si>
    <r>
      <t xml:space="preserve">1.Bijušās Slokas papīrfabrikas teritorijā un tās tiešā tuvumā sakārtota nodrošināta industriālo pieslēgumu ierīkošana un to saistītās jaudas palielināšana (tai skaitā  dzeramā ūdens apgāde un kanalizācija, elektroenerģija); pilnveidota ceļu satiksmei paredzētā infrastruktūra.
2.Labiekārtots Lielupes krasts pie bijušās Slokas papīrfabrikas (t.sk. izveidots gājēju/veloceliņš) - nodrošināta iespēja attīstīt ūdensportu, tūrisma pakalpojumus utt.
</t>
    </r>
    <r>
      <rPr>
        <i/>
        <sz val="8.5"/>
        <rFont val="Trebuchet MS"/>
        <family val="2"/>
        <charset val="186"/>
      </rPr>
      <t>Plānots 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 ietvaros.</t>
    </r>
  </si>
  <si>
    <t>Attīstīta un sakārtota stadiona infrastruktūra.
Saite uz Jūrmalas domes 2021. gada 16. decembra lēmumu Nr. 637 https://dokumenti.jurmala.lv/docs/l21/l/l210637_m.htm</t>
  </si>
  <si>
    <t>Projekts uzsākts līdz 31.12.2022.</t>
  </si>
  <si>
    <t>Projekta prioritāte (A, B, C)</t>
  </si>
  <si>
    <t>Klimatnoturīga pilsētvide (P)</t>
  </si>
  <si>
    <t>Pilsētas labiekārtojums – publiskā ārtelpa (P1)</t>
  </si>
  <si>
    <r>
      <t xml:space="preserve">Pilnveidots apgaismojums, izveidota </t>
    </r>
    <r>
      <rPr>
        <i/>
        <sz val="8.5"/>
        <rFont val="Trebuchet MS"/>
        <family val="2"/>
        <charset val="186"/>
      </rPr>
      <t xml:space="preserve">dip-dap </t>
    </r>
    <r>
      <rPr>
        <sz val="8.5"/>
        <rFont val="Trebuchet MS"/>
        <family val="2"/>
        <charset val="186"/>
      </rPr>
      <t xml:space="preserve">trase (2022. gadā uzsākts), soliņi, piknika  vieta (galds ar soliem), nojume āra nodarbībām u.tml. 
Aktivitātes tiek īstenotas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pasākuma “Publiskās ārtelpas attīstība” projekta “Asaru parka publiskās ārtelpas attīstība” ietvaros.  
Saite uz Jūrmalas domes 2024.gada 25.jūlijā lēmumu Nr.365:
https://dokumenti.jurmala.lv/docs/m24/l/m240365.htm
</t>
    </r>
  </si>
  <si>
    <t>Atjaunoti un izveidoti bērnu rotaļlaukumi
(t.sk. pludmalē, daudzdzīvokļu namu pagalmos, izglītības iestāžu teritorijā u.tml.)</t>
  </si>
  <si>
    <t>Dušas, pārģērbšanās kabīnes, norādes, atkritumu konteineri utt.</t>
  </si>
  <si>
    <t>Pilnveidota infrastruktūra un inženier-komunikācijas izejās uz jūru</t>
  </si>
  <si>
    <t>Atjaunota promenāde Slokā, t.sk. labiekārtojums  un publiskās ārtelpas pilnveide atbilstoši iedzīvotāju vajadzībām</t>
  </si>
  <si>
    <t>Izveidotas jaunas peldvietas, laivu nolaišanas vietas pie Lielupes, pilnveidots/atjaunots labiekārtojums esošajās peldvietās. 
2025. - 2027. gadā piesaistīts ārējais finanšu līdzekļu finansējums: Labiekārtotas peldvietas izveide Slokā pie Lielupes, atbilstoši iedzīvotāju ierosinājumiem ar Eiropas Jūrlietu, zvejniecības un akvakultūras fonda finansējumu (kad tiks pieņemts Jūrmalas domes lēmums par dalību konkrētā projekta konkursā, tiks izveidots atsevišķs Investīciju projekts).
Aktivitātes - labiekārtots 135 metrus garš Lielupes krasta posms, tauvas josla (~775 m2) Slokā, kas robežojas ar Jūrmalas pamatskolas teritoriju un atrodas blakus vēsturiskajai Slokas kuģīša piestātnei/pārceltuvei (upes krasta līnijas stiprināšanas būvdarbi, nolūzušo koku novākšana, zemes līmeņa izlīdzināšana/ uzbēršana, labiekārtošana un apzaļumošana, Jūrmalas pamatskolas žoga daļas nomaiņa, piebraucamā ceļa izbūve) plānots īstenot EJZAF 3. rīcības "Vides resursu līdzsvarota izmantošana un piekrastes dabas vērtību saglabāšana" Jūrmalas pamatskolas projekta “Rekreācijas zonas izveide Slokas vēsturiskajā centrā Lielupes krastā pie Jūrmalas pamatskola” 1. kārtas ietvaros, plānotais īstenošanas periods 2025.-2026. gads un indikatīvās kopējās izmaksas 224 085 EUR, kur EJZAF finansējums plānots 90%.</t>
  </si>
  <si>
    <t>Pielāgošanās klimata pārmaiņām (P2)</t>
  </si>
  <si>
    <t>Papildināta iebraukšanas sistēma, iebraukšanas
e-pakalpojumu uzlabojumi. Kontroles iekārtu atjaunošana un papildināšana</t>
  </si>
  <si>
    <t>Klimatneitrāla un resursu efektīva apsaimniekošana (P3)</t>
  </si>
  <si>
    <t>Jūrmalas ūdenssaimniecības attīstības projekta IV kārtas īstenošana
(pabeigts)</t>
  </si>
  <si>
    <t>Atjaunots spiedvads vai atsevišķi tā posmi. Tiks realizēts, ja tiks piesaistīts ES fondu līdzfinansējums vai cits ārējais finansējums</t>
  </si>
  <si>
    <t>Atjaunots spiedvads vai atsevišķi tā posmi</t>
  </si>
  <si>
    <t>Ēku energoefektivitātes celšana (P4)</t>
  </si>
  <si>
    <t>Izglītības satura un procesa attīstība (I2)</t>
  </si>
  <si>
    <t>Veikta pirmsskolas izglītības iestādes ēkas pilna pārbūve un tai piegulošās teritorijas labiekārtošana, t.sk. mēbeļu iegāde.
Pamatojoties uz JVA 11.12.23. vēstuli Nr.1.1-37/23N-5701 “Par 2021. gada 4. augusta būvdarbu līguma Nr. 1.2-16.4.2.1/21-928 izbeigšanu” būvdarbi 2023. gadā tika apturēti līdz jauna būvdarbu iepirkuma izsludināšanai. 
2025. gadā būvdarbu iepirkums, projektēšana, iesākt būvdarbus.
2026. gadā turpināt būvdarbus.
(informācija tiks precizēta)</t>
  </si>
  <si>
    <t>Ikgadējie nepieciešamie pirmsskolas izglītības iestādes ēkas atjaunošanas darbi. Saraksts tiek precizēts ar kārtējo Investīcijas plānu</t>
  </si>
  <si>
    <t>Augstu sasniegumu profesionālās ievirzes izglītībā veicināšana (I3)</t>
  </si>
  <si>
    <t>Interešu izglītības, mūžizglītības un brīvā laika pavadīšanas iespēju integrācija (t.sk. darbs ar jaunatni) (I4)</t>
  </si>
  <si>
    <t>Laikmetīga kultūra (L)</t>
  </si>
  <si>
    <t>Kultūras pieejamība un sabiedrības līdzdalība (L1)</t>
  </si>
  <si>
    <t>Starptautiski atpazīstama kultūras un mākslas pilsēta (L2)</t>
  </si>
  <si>
    <t>Kultūras mantojums kā pilsētas identitāte (L3)</t>
  </si>
  <si>
    <t>Kvalitatīvs sociālais atbalsts (S1)</t>
  </si>
  <si>
    <t>PABEIGTS 2024. gadā
Paplašināts Dienas aprūpes centrā Dūņu ceļā 2 pieejamo sociālo pakalpojumu klāsts, veicot telpu pārbūvi, atjaunošanu un aprīkošanu un nodrošinot pakalpojumu pieejamību 34 personām ar garīga rakstura traucējumiem.
Objekta faktisko izmaksu kopsumma ir 1163,20 tūkst. EUR, no tās pašvaldības finansējums 706,10 tūkst. EUR, Eiropas Savienības un valsts budžeta finansējums 457,10 tūkst. EUR.
Saite uz Jūrmalas domes 2024. gada 25. jūlija noslēguma lēmumu Nr. 379 https://dokumenti.jurmala.lv/docs/m24/l/m240379.htm
(Sasaiste ar IP projektu 2.S1)</t>
  </si>
  <si>
    <r>
      <t>Izbūvēts pansionāts (ģimeniskai videi) ar 100 vietām (35 m</t>
    </r>
    <r>
      <rPr>
        <vertAlign val="superscript"/>
        <sz val="8.5"/>
        <rFont val="Trebuchet MS"/>
        <family val="2"/>
        <charset val="186"/>
      </rPr>
      <t xml:space="preserve">2 </t>
    </r>
    <r>
      <rPr>
        <sz val="8.5"/>
        <rFont val="Trebuchet MS"/>
        <family val="2"/>
        <charset val="186"/>
      </rPr>
      <t>uz 1 personu), tajā skaitā ēdināšanas bloks, kā arī iegādāts aprīkojums un tehnika. vidēja termiņa darbības stratēģijai 2023.–2025. gadam). 2026. gadā plānots uzsākt būvniecību un būvniecības pabeigšana ir ieplānota 2028. gadā.
(atbilstoši PSIA “Veselības un sociālās aprūpes centrs “Sloka”” vidēja termiņa darbības stratēģijai 2023.–2025. gadam).</t>
    </r>
  </si>
  <si>
    <t>2023. gadā: kondicionēšanas sistēma, darsonvalizācijas iekārta, ultraskaņas iekārta, automātiskais perimetrs, ultrasonogrāfijas iekārta, skābekļa koncentrators, zobārstniecības iekārta un datortehnika. Iegādāts autotransports. 
2024. gadā: vakuumsūknis, ķirurģisko operāciju galds operāciju telpā, ķirurģisko operāciju lampa, iegādāta datortehnika.
2025. gadā: lāzerterapijas iekārta, mikroviļņu terapijas iekārta, amplipulss, bērnu reflaktometrs, veikts pirmā stāva un otrā stāva gaiteņu remonts, uzlabota infrastruktūra – arhīva telpa, administrācijas telpa, iegādātas mēbeles, ventilācijas sistēmas izbūve (piešķirts CFLA finansējums).
2026. gadā: ķirurģisko operāciju galds operāciju telpā, kušete ar elektrisko vadību, ultraskaņas tīrītājs, triecienviļņu terapijas iekārta,  manikīra pedikīra aparāts, sterilizācijas iepakošanas ierīce
2027.-2029. gadā: skābekļa koncentrators, LOR iekārta.
(Atbilstoši PSIA “Kauguru Veselības centrs” vidēja termiņa darbības stratēģijai 2023.–2025. gadam).</t>
  </si>
  <si>
    <t>Veselīga dzīvesveida sekmēšana (S3)</t>
  </si>
  <si>
    <t>Drošas pilsētvides attīstīšana (S4)</t>
  </si>
  <si>
    <t>Mājokļu politikas īstenošana (S6)</t>
  </si>
  <si>
    <t>Ērta un integrēta mobilitāte (Ē)</t>
  </si>
  <si>
    <t>Kvalitatīva un droša satiksmes infrastruktūra (Ē1)</t>
  </si>
  <si>
    <t>Izbūvētas un atjaunotas ietves atbilstoši Ceļu fonda izlietošanas programmai (trīs gadu periodā)</t>
  </si>
  <si>
    <t>Seguma atjaunošana, teritorijas labiekārtošana pilsētas iekškvartālos tiek plānota atbilstoši Ceļu fonda izlietošanas programmai (trīs gadu periodā)</t>
  </si>
  <si>
    <t>Jaunu ielu izbūve notiek atbilstoši Ceļu fonda izlietošanas programmai (trīs gadu periodā)</t>
  </si>
  <si>
    <t>Jaunu stāvvietu izbūve atbilstoši Ceļu fonda izlietošanas programmai (trīs gadu periodā)</t>
  </si>
  <si>
    <t>Veikta ielu apgaismošanas elektrotīkla atjaunošana/pārbūve</t>
  </si>
  <si>
    <t>Paaugstināta ielu apgaismojuma energosistēmas efektivitāte un sekmēta viedu risinājumu integrēšana apgaismojuma sistēmā pilsētā</t>
  </si>
  <si>
    <t>Apgaismotas pilsētā līdz šim neapgaismotās ielas</t>
  </si>
  <si>
    <t>Tūrisms kūrortpilsētas konkurētspējai (T)</t>
  </si>
  <si>
    <t>Daudzveidīgs un kvalitatīvs tūrisma piedāvājums (T1)</t>
  </si>
  <si>
    <t>Kūrortpilsētas starptautiskā konkurētspēja  (T3)</t>
  </si>
  <si>
    <t>Mūsdienīga pilsētas pārvaldība – skaidri, caurspīdīgi un efektīvi procesi (A1)</t>
  </si>
  <si>
    <t>Jūrmalas iedzīvotāja karte</t>
  </si>
  <si>
    <t>Pārbūvētas/ atjaunotas glābšanas stacijas. Uzstādītas mobilās glābšanas stacijas</t>
  </si>
  <si>
    <t>SIA “Jūrmalas gaisma”, 
SIA "Jūrmalas ūdens",
Kultūrtelpas un vides dizaina centrs,
JVA Īpašumu pārvaldes Pilsētsaimniecības nodaļa,
Audita un kapitāldaļu pārvaldības nodaļas Kapitāldaļu pārvaldīšanas daļa,
Attīstības pārvaldes Tūrisma un uzņēmējdarbības attīstības nodaļa, 
Infrastruktūras investīciju projektu nodaļa, 
Inženierbūvju nodaļa</t>
  </si>
  <si>
    <r>
      <t xml:space="preserve">Valtera prospekta posma no Piekrastes ielas līdz Lielupei pārbūve un teritorijas labiekārtošana
</t>
    </r>
    <r>
      <rPr>
        <i/>
        <sz val="8.5"/>
        <rFont val="Trebuchet MS"/>
        <family val="2"/>
        <charset val="186"/>
      </rPr>
      <t>Sākotnējais nosaukums: Valteru/ Krastciema apkaimes publiskās telpas pilnveide (t.sk. bērnu rotaļu laukums) (precizēts 2025. gada decembrī)</t>
    </r>
  </si>
  <si>
    <t>Iedzīvotājiem brīvā laika pavadīšanai pielāgota publiskā ārtelpa (t.sk. bērnu rotaļlaukums, peldvieta, stāvvieta,  brīvpieejas sporta laukums u.c.). Ideju plānots iesniegt 2026.gadā Eiropas Jūrlietu, zvejniecības un akvakultūras fonda finansējuma saņemšanai.
(Sasaiste ar IP projektu 5.Ē1)</t>
  </si>
  <si>
    <t>Jūrmalas pamatskola,
Izglītības pārvalde,
JVA Attīstības pārvaldes Infrastruktūras investīciju projektu nodaļa, 
Stratēģiskās plānošanas nodaļa,
Tūrisma un uzņēmējdarbības attīstības nodaļa</t>
  </si>
  <si>
    <t>EJZAF pasākuma Nr. U31421 “Sabiedrības virzītas vietējās attīstības stratēģiju īstenošana” pieteiktā projekta ietvaros ir plānots veicināt Lielupes piekrastes teritorijas saglabāšanu, attīstīšanu un ilgtspējīgu izmantošanu, nomainot Ezeru ielas grants segumu uz cieto segumu posmā no Ģertrūdes prospekta līdz Lielupes peldvietai “Ezeru ielas peldvieta”, izbūvējot stāvlaukumu un ielas apgaismojuma līniju ar LED gaismekļiem, nodrošinot cilvēku plūsmas organizēšanu šajā teritorijā, piekrastes infrastruktūras sakārtošanu un pieejamības uzlabošanu.
Saņemta Lauku atbalsta dienesta 2025. gada 27. februāra vēstule Nr.08.25.001554 par projekta iesnieguma apstiprināšanu un EJZAF finansējuma piešķiršanu 270 tūkst. EUR apmērā.
Saite uz Jūrmalas domes 2025. gada 27. marta lēmumu Nr. 137
https://dokumenti.jurmala.lv/docs/m25/l/m250137.htm
(Sasaiste ar IP projektiem 20.P1 un 3.Ē1)</t>
  </si>
  <si>
    <t>“ReNutriWater” projekts – attīrīto notekūdeņu atkārtota izmantošana dabā
(pabeigts)</t>
  </si>
  <si>
    <t>PABEIGTS 2025. gadā
Attīrīti notekūdeņi tiek racionāli izmantoti dabā, tostarp pašvaldība un iedzīvotāji ir tiešie labuma guvēji.
Aktivitātes īstenotas INTERREG Baltijas jūras reģiona transnacionālās sadarbības programmas projekta “ReNutriWater” ietvaros. 
Projekta īstenošana līdz 2025. gada 31. decembrim.</t>
  </si>
  <si>
    <t>Izstrādāti pētījumi un rasti risinājumu iespējamie modeļi notekūdeņu piesārņojuma slodzes mazināšanai Baltijas jūras piekrastes teritorijā ar CE &lt;2000 un vienlaikus izteiktu sezonālo tūrismu.
Aktivitātes īstenotas Eiropas Reģionālās attīstības fonda līdzfinansētā INTERREG Baltijas jūras reģiona projekta “NURSECOAST-II” ietvaros. Projekts iekļauts apstiprinātajā SIA "Jūrmalas ūdens" vidēja termiņa darbības stratēģijā.
Projekta īstenošana pagarināta līdz 2026. gadam, nepārsniedzot 6 mēnešu periodu.</t>
  </si>
  <si>
    <t>P3.2.1.
P4.1.5.</t>
  </si>
  <si>
    <t>Tiek realizēts, ja tiek piesaistīts ES fondu līdzfinansējums ES fondu plānošanas periodā 2021.–2027. gadam.
Tiek izveiodots saules kolektoru parks Salas ielā 3 - pārskatīts darba apjoms saistībā ar esošo situāciju un AER ieviešanas iespējām - projekta aktivitātes pēc iespējas plānots īstenot IP 1.P3 ietvaros.</t>
  </si>
  <si>
    <t>Šķeldas katlumājas Nometņu ielā 21A attīstība
(pabeigts)</t>
  </si>
  <si>
    <r>
      <t>PABEIGTS 2023. gadā
Izbūvēta šķeldas katlumāja (5 MW). Siltumenerģija tiek ražota ar atjaunojamajiem energoresursiem, kā rezultātā par 20 000 MWh samazinās ar dabasgāzi saražotais apjoms un iegūts
4000 t CO</t>
    </r>
    <r>
      <rPr>
        <vertAlign val="subscript"/>
        <sz val="8.5"/>
        <rFont val="Trebuchet MS"/>
        <family val="2"/>
        <charset val="186"/>
      </rPr>
      <t>2</t>
    </r>
    <r>
      <rPr>
        <sz val="8.5"/>
        <rFont val="Trebuchet MS"/>
        <family val="2"/>
        <charset val="186"/>
      </rPr>
      <t xml:space="preserve"> emisiju samazinājums gadā</t>
    </r>
  </si>
  <si>
    <t>P3.2.1.
P3.2.2.
P3.2.4.
P4.2.3.
P4.2.4.</t>
  </si>
  <si>
    <t>Saules enerģijas stacijas izveidošana Slokas NAI teritorijā Mežmalas ielā 41
(pabeigts)</t>
  </si>
  <si>
    <t>PABEIGTS 2023. gadā
Izveidota saules enerģijas stacija Slokas notekūdeņu attīrīšanas iekārtu NAI teritorijā Mežmalas ielā 41, aizstājot iepirkto elektroenerģiju ar pašsaražoto atjaunojamo enerģiju</t>
  </si>
  <si>
    <r>
      <t xml:space="preserve">Slokas NAI veicināšana
</t>
    </r>
    <r>
      <rPr>
        <i/>
        <sz val="8.5"/>
        <rFont val="Trebuchet MS"/>
        <family val="2"/>
        <charset val="186"/>
      </rPr>
      <t>Sākotnējais nosaukums: Slokas NAI modernizācija
(precizēts 2025. gada decembrī)</t>
    </r>
  </si>
  <si>
    <t>Dūņu apstrādes tehnoloģijas pilnveide Slokas NAI teritorijā:
- biogāzes ražošana;
- dūņu kompostēšana;
- dūņu žāvēšana;
- hidrauliskās un bioreaktoru jaudas palielināšana;
- energoefektivitātes pasākumu īstenošana
Eiropas Savienības kohēzijas politikas programmas 2021. – 2027. gadam 2.2.1. specifiskā atbalsta mērķa “Veicināt ilgtspējīgu ūdenssaimniecību” 2.2.1.1. pasākuma “Notekūdeņu un to dūņu apsaimniekošanas sistēmas attīstība piesārņojuma samazināšanai”ietvaros tiks īstenoti divi projekti:
1. projekts "Slokas NAI efektivitātes viecināšana";
2. projekts "Slokas NAI efektivitātes veicināšana, II kārta".
Aktivitātes arī Centrālā Baltijas jūras reģiona pārrobežu sadarbības programmas Interreg programmas 2021.-2027. gada plānošanas perioda 4. projektu konkursā apstiprināta projekta “BalticPFASResolvePFAS" ietvaros.
Saite uz Jūrmalas domes 2025. gada 31. jūlija lēmumu Nr. 347:
https://dokumenti.jurmala.lv/docs/m25/l/m250347.htm
Saite uz Jūrmalas domes 2025. gada 28. augusta lēmumu Nr. 445:
https://dokumenti.jurmala.lv/docs/m25/l/m250445.htm
Saite uz Jūrmalas domes 2025. gada 31. jūlija lēmumu Nr. 349:
https://dokumenti.jurmala.lv/docs/m25/l/m250349.htm</t>
  </si>
  <si>
    <t>Ēku siltināšana Promenādes ielā 1a, Jūrmalā
(1.2.1.3.i.0/1/23/A/CFLA/073)
(pabeigts)</t>
  </si>
  <si>
    <t>PABEIGTS 2025. gadā
Kompleksi ēku siltināšanas pasākumi trīs SIA "Jūrmalas ūdens" ēkām Promenādes ielā 1a, Jūrmalā (birojs, garāža un avārijas dienesta ēka), kas tiek izmantotas ūdenssaimniecības pakalpojumu nodrošināšanai Jūrmalas valstspilsētā. 
Aktivitātes īstenotas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SIA “Jūrmalas ūdens” apstiprinātā projekta “Ēku siltināšana Promenādes ielā 1a, Jūrmalā” ietvaros.
Saite uz Jūrmalas domes 2024. gada 25. jūlija lēmumu Nr. 361 https://dokumenti.jurmala.lv/docs/m24/l/m240361.htm</t>
  </si>
  <si>
    <t>Biroja siltināšana Nometņu ielā 5a, Jūrmalā
(1.2.1.3.i.0/1/23/A/CFLA/072)
(pabeigts)</t>
  </si>
  <si>
    <t>PABEIGTS 2025. gadā
Kompleksi ēkas siltināšanas pasākumi SIA "Jūrmalas ūdens" biroja - laboratorijas ēkai Nometņu ielā 5a, Jūrmalā, kas tiek izmantota ūdenssaimniecības pakalpojumu nodrošināšanai Jūrmalas valstspilsētā.
Aktivitātes īstenotas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SIA “Jūrmalas ūdens” apstiprinātā projekta “Biroja siltināšana Nometņu ielā 5a, Jūrmalā” ietvaros. 
Saite uz Jūrmalas domes 2024. gada 25. jūlija lēmumu Nr. 362 https://dokumenti.jurmala.lv/docs/m24/l/m240362.htm</t>
  </si>
  <si>
    <t>Jūrmalas Mežmalas pamatskolas sporta zāles pārbūve
(pabeigts)</t>
  </si>
  <si>
    <t>PABEIGTS 2025. gadā
Labiekārtota sporta zāle: pārbūvēta ventilācijas un apkures sistēma, atjaunots zāles grīdas segums, pārbūvēts apgaismojums, elektrība, vājstrāva, veikts zāles, ģērbtuvju un balkona kosmētiskais remonts</t>
  </si>
  <si>
    <t>BJC telpu atjaunošana un teritorijas labiekārtošana</t>
  </si>
  <si>
    <t>PSIA “Veselības un sociālās aprūpes centrs “Sloka”” B korpusa pārbūve
(pabeigts)</t>
  </si>
  <si>
    <t>PABEIIGTS 2025. gadā
Pārbūvēts B korpuss, iegādāts jauns inventārs un tehnika (atbilstoši PSIA “Veselības un sociālās aprūpes centrs “Sloka”” vidēja termiņa darbības stratēģijai 2023.–2025. gadam)</t>
  </si>
  <si>
    <t>Pielāgotas un aprīkotas civilās aizsardzības patvertnes. 
Aktivitātes plānotas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 Pieejamais finansējuma apmērs Jūrmalas valstspilsētai - 506 233 EUR.</t>
  </si>
  <si>
    <t>Ielu asfalta seguma kapitālais remonts atbilstoši Ceļu fonda izlietošanas programmai (trīs gadu periodā)
(Sasaiste ar IP projektu 25.Ē1)</t>
  </si>
  <si>
    <t>Seguma remonts, atjaunošana publiskās vietās un pašvaldības teritorijās tiek plānota atbilstoši Ceļu fonda izlietošanas programmai (trīs gadu periodā)
(Sasaiste ar IP projektu 6.P1)</t>
  </si>
  <si>
    <t>Dzintaru dzelzceļa pārvada pārbūve
(pabeigts)</t>
  </si>
  <si>
    <t>PABEIGTS 2025. gadā
Pārbūvēts Dzintaru dzelzceļa pārvads (t.sk.  gājēju celiņu, veloceliņu un autostāvvietu Dzintaru dzelzceļa pārvadam piekrītošajos zemes nodalījumos).
Plānota būvdarbu pabeigšana 2025. gada beigās, atverot satiksmi abos braukšanas virzienos.
Saite uz Jūrmalas domes 2023. gada 25. maija lēmumu Nr. 228:
https://dokumenti.jurmala.lv/docs/m23/l/m230228_m.htm</t>
  </si>
  <si>
    <t>Siltumefekta gāzu emisiju samazināšana Jūrmalas valstspilsētas pašvaldības publisko teritoriju apgaismojuma infrastruktūra
(pabeigts)</t>
  </si>
  <si>
    <t>PABEIGTS 2025. gadā
Siltumefekta gāzu emisiju samazināšana un energoefektivitātes uzlabošana Jūrmalas valstspilsētas pašvaldības publisko teritoriju apgaismojuma infrastruktūrā. Saskaņā ar Jūrmalas domes 2022.gada 15.septembra lēmumu Nr.453, pašvaldība var iesniegt līdz trīs projektiem dažādu teritoriju attīstībai.
Aktivitātes īstenotas Emisijas kvotu izsolīšanas instrumenta (EKII) aktivitātes “Siltumnīcefekta gāzu emisiju samazināšana pašvaldību publisko teritoriju apgaismojuma infrastruktūra” projekta “Siltumnīcefekta gāzu emisiju samazināšana Jūrmalas valstspilsētas pašvaldības publisko teritoriju apgaismojuma infrastruktūrā” ietvaros. Projekta īstenošanas noslēgšana 2025. gadā.
Saite uz Jūrmalas domes 2025. gada 24. aprīļa lēmumu Nr.185 https://dokumenti.jurmala.lv/docs/m25/l/m250185.htm</t>
  </si>
  <si>
    <t>Labiekārtota meža parka teritorija, izbūvētas telpas un izveidota centra pastāvīgā ekspozīcija (I un II  kārta), t.sk. aprīkotas telpas, kas nepieciešamas pakalpojuma sniegšanai.
Pamatojoties uz Jūrmalas domes 2024. gada 24. aprīļa lēmumu Nr. 196, 2024. gada 26. aprīlī projekta Nr. 5.5.1.0/19/I/004 īstenošana ir izbeigta. 2024. gadā īstenots Ķemeru meža parka pārbūves būvdarbu pabeigšanai nepieciešamais būvdarbu un būvuzraudzības iepirkums, paredzot veikt SIA “Lauder Architects” 2019. gadā izstrādātā būvprojekta 1. kārtas būvdarbus un 2 valsts nozīmes arhitektūras pieminekļu – gājēju tiltiņu pār Vēršupīti pārbūvi. Būvdarbu pabeigšanas izmaksu kopsumma 813,57 tūkst. EUR.
Būvdarbus plānots veikt piesaistot Eiropas Jūrlietu, zivsaimniecības un akvakultūras fonda finansējumu 300,00 tūkst. EUR apmērā un valsts budžeta aizdevuma finansējumu. Būvdarbu izpildi plānots veikt 8 mēnešu laikā, no 2025. gada maija līdz 2025. gada decembrim.
Saņemts Lauku atbalsta dienesta 2025. gada 27. februāra lēmums Nr.08.25.001561 par projekta iesnieguma apstiprināšanu un būvprojekta realizācijai piešķirts EJZAF finansējums 270 tūkst. EUR.
Saite uz Jūrmalas domes 2025. gada 27. marta lēmumu Nr. 136: https://dokumenti.jurmala.lv/docs/m25/l/m250136.htm
Saite uz Jūrmalas domes 2025. gada 27. marta lēmumu Nr. 142:
https://dokumenti.jurmala.lv/docs/m25/l/m250142.htm</t>
  </si>
  <si>
    <t>Veselības tūrisma infrastruktūras uzlabošana Jūrmalas slimnīcā
(pabeigts)</t>
  </si>
  <si>
    <t>PABEIGTS 2022. gadā
Ķirurģijas nodaļas un dienas stacionāra pakalpojumu kvalitātes pilnveidošana, pamatlīdzekļu iegāde saimnieciskās darbības nodrošināšanai, slimnīcas B korpusa pagrabstāva atjaunošana, sterilizācijas pakalpojuma kvalitātes uzlabošana, sterilizācijas iekārtu iegāde (B korpusa pagrabstāvā)</t>
  </si>
  <si>
    <t>Atjaunots Tūrisma informācijas centrs Majoros (Lienes iela 5)</t>
  </si>
  <si>
    <t>JVA Īpašumu pārvaldes Saimniecības nodaļa,
Jūrmalas Pašvaldības īpašumu pārvaldīšanas centrs</t>
  </si>
  <si>
    <r>
      <t xml:space="preserve">MultiMan (Eiropas Pilsētiniciatīva) - projekts digitālā rīka izstrādei rakšanas darbu plānošanai un lēmumu pieņemšanai pašvaldības līmenī
</t>
    </r>
    <r>
      <rPr>
        <i/>
        <sz val="8.5"/>
        <rFont val="Trebuchet MS"/>
        <family val="2"/>
        <charset val="186"/>
      </rPr>
      <t>(netiks īstenots)</t>
    </r>
  </si>
  <si>
    <t>NETIKS ĪSTENOTS
Aktivitātes plānotas un pieteikums iesniegts 2024. gada 14. oktobrī Kohēzijas politikas pilsētvides dimensijas 2021. – 2027. gadā aktivitātes “Eiropas Pilsētiniciatīvas” atklātā projektu pieteikumu konkursā ar projekta pieteikumu “Integrēta inženiertīklu stratēģiskā plānošana pilsētas mērogā” (Automated Planning of Integrated, City – Scale, Multi – Asset Management Strategies – MultiMan). Projekts digitālā plānošanas rīka izstrādei Jūrmalas administratīvās teritorijas robežās, veicinot sasvstarpēji koordinētu rakšanas darbu plānošanu un krīzes vadību, sadarbojoties dažādām inženiertīklu kapitālsabiedrībām, kā arī pašvaldības struktūrvienībām, pamatotu un izsvērtu lēmumu pieņemšanai.
Saite uz Jūrmalas domes 26. septembra lēmumu Nr. 484 
https://dokumenti.jurmala.lv/docs/m24/l/m240484.htm
2025. gada 28. februārī saņemts projekta pieteikuma noraidījums.</t>
  </si>
  <si>
    <t>Ieviesta līdzdalības budžetēšana atbilstoši iedzīvotāju iniciatīvai un paustajam atbalstam/ balsojumam.
Konkursā iesniedzamie projekti tiks vērtēti šādās kategorijās:
- mazie projekti ar kopējām faktiskajām izmaksām no 15 000 EUR līdz 38 266 EUR;
- lielie projekti ar kopējām faktiskajām izmaksām no 38 267 EUR līdz 110 000 EUR.
Finansējumu piešķir projektiem, kas katrā no noteiktajām kategorijām ir saņēmuši visaugstāko novērtējumu iedzīvotāju balsojuma rezultātā.
Saite uz Jūrmalas domes 2025. gada 27. marta saistošajiem noteikumiem Nr. 11:
https://dokumenti.jurmala.lv/docs/m25/s/m25s011.htm</t>
  </si>
  <si>
    <t>Jūrmalas robežzīmes uzstādīšana autoceļa A10 (Rīga–Ventspils) 38,45. kilometrā</t>
  </si>
  <si>
    <t>Pārbūvēta/ atjaunota meliorācijas sistēma Jūrmalas valstspilsētas pašvaldības vairākās apkaimēs (Vaivari, Asari, u.c.). 
Aktivitātes plānotas Eiropas Savienības kohēzijas politikas programmas 2021.–2027. gadam 2.1.3. specifiskā atbalsta mērķa “Veicināt pielāgošanos klimata pārmaiņām, risku novēršanu un noturību pret katastrofām” 2.1.3.1. pasākuma “Pašvaldību pielāgošanās klimata pārmaiņām” atklātā projektu iesniegumu konkursā ar projekta iesniegumu “Jūrmalas valstspilsētas pašvaldības pielāgošanās klimata pārmaiņām” ietvaros.
Pieteikums sagatavots, iesniegts un saņemts CFLA 2025. gada 26. februāra lēmums Nr. 39-2-10/1194, apstiprināt projekta iesniegumu ar nosacījumu.
(Sasaiste ar IP projektu 7.P2)
Saite uz Jūrmalas domes 2025. gada 30. oktobra lēmumu Nr. 516
https://dokumenti.jurmala.lv/docs/m25/l/m250516.htm
Plānots iesniegt projekta pieteikumu Eiropas Savienības kohēzijas politikas programmas 2021.–2027. gadam 2.1.3. specifiskā atbalsta mērķa "Veicināt pielāgošanos klimata pārmaiņām, risku novēršanu un noturību pret katastrofām"  2.1.3.1. pasākuma "Pašvaldību pielāgošanās klimata pārmaiņām" projektu iesniegumu konkursa otrajā kārtā.</t>
  </si>
  <si>
    <r>
      <t>pārbūvēta/ atjaunota meliorācijas sistēma Jūrmalas valstspilsētas pašvaldības vairākās apkaimēs (</t>
    </r>
    <r>
      <rPr>
        <sz val="8.5"/>
        <rFont val="Trebuchet MS"/>
        <family val="2"/>
        <charset val="186"/>
      </rPr>
      <t xml:space="preserve">Vaivari, Asari, </t>
    </r>
    <r>
      <rPr>
        <sz val="8.5"/>
        <rFont val="Trebuchet MS"/>
        <family val="2"/>
        <charset val="186"/>
      </rPr>
      <t>u.c.)</t>
    </r>
  </si>
  <si>
    <t>P3.2.3.</t>
  </si>
  <si>
    <t>Saules paneļu uzstādīšana izbūvētajos sadzīves kanalizācijas novadīšanas vai attīrīšanas objektos, atjaunojamās enerģijas īpatsvara palielināšanai. Tiks realizēts, ja tiks piesaistīts ES fondu līdzfinansējums vai cits ārējais finansējums.
Aktivitātes plānotas apstiprinātā Eiropas Savienības kohēzijas politikas programmas 2021. – 2027. gadam 2.1.1 specifiskā atbalsta mērķa “Energoefektivitātes veicināšana un siltumnīcefekta gāzu emisiju samazināšana” 2.1.1.6. pasākuma “Pašvaldību ēku energoefektivitātes paaugstināšana” otrās projektu iesniegumu atlases kārtas projekta ID Nr. 2.1.1.6/2/25/A/008 “Ķemeru saules parks” ietvaros. Prognozējamie ieguvumi no projekta īstenošanas:
-izveidots saules parks Jūrmalā, Tūristu ielā 18A (parka jauda 999 kW un plānotais saražotās elektroenerģijas apjoms ir 1 133, 848 MWh gadā); 
-CO2 emisiju samazinājums – 123,59 t CO2 gadā. 
Saite un Jūrmalas domes 2025. gada 31. jūlija lēmumu Nr. 348
https://dokumenti.jurmala.lv/docs/m25/l/m250348.htm</t>
  </si>
  <si>
    <r>
      <t xml:space="preserve">Izbūvēts peldbaseins </t>
    </r>
    <r>
      <rPr>
        <sz val="8.5"/>
        <rFont val="Trebuchet MS"/>
        <family val="2"/>
        <charset val="186"/>
      </rPr>
      <t>un nodrošinātas peldētapmācības nodarbības 1.–6. klašu audzēkņiem
Saite uz Jūrmalas domes 2025. gada 25. septembra lēmumu Nr. 476:
https://dokumenti.jurmala.lv/docs/m25/l/m250476.htm</t>
    </r>
  </si>
  <si>
    <t>Projekta ietvaros 2026. - 2027. gadā paredz uzlabot drošības zonu pie Jūrmalas Pumpuru vidusskolas un Jūrmalas Jaundubultu pamatskolas, kā arī Poruka prospektā (posmā starp abām skolām). Finansējums 110 tūkst. EUR apjomā, paredzēts infrastruktūras pilnveidei.
Aktivitātes īstenotas Apvārsnis Eiropa 2021-2027 “Iekļaujošas, drošas, pieejamas un ilgtspējīgas pilsētas mobilitātes projektēšana” projekta “Inovatīvi mobilitātes risinājumi zaļai un drošai pilsētvidei” ietvaros partnerībā ar vadošo partneri Hamburgas senātu (Senate of the Free and Hanseatic city of Hamburg).
Saite uz 2023. gada 27. aprīļa lēmumu Nr. 160 https://dokumenti.jurmala.lv/docs/m23/l/m230160.htm
(Sasaiste ar IP projektu 28.I2)</t>
  </si>
  <si>
    <r>
      <t xml:space="preserve">Labiekārtota meža parka teritorija, izbūvētas telpas un izveidota centra pastāvīgā ekspozīcija (I kārta), t.sk. aprīkotas telpas, kas nepieciešamas pakalpojuma sniegšanai.
Pamatojoties uz Jūrmalas domes 2024. gada 24. aprīļa lēmumu Nr. 196, 2024. gada 26. aprīlī projekta Nr. 5.6.2.0/19/I/012 īstenošana ir izbeigta. 2024. gadā īstenots Daudzfunkcionāla dabas tūrisma centra izbūves būvdarbu pabeigšanai nepieciešamais būvdarbu un būvuzraudzības iepirkums. Būvdarbu pabeigšanas izmaksu kopsumma 16 094,34 tūkst. EUR.
</t>
    </r>
    <r>
      <rPr>
        <sz val="8.5"/>
        <rFont val="Trebuchet MS"/>
        <family val="2"/>
        <charset val="186"/>
      </rPr>
      <t xml:space="preserve">
Izvērtējot dalības iespējas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un MK noteikumu Nr. 55 noteiktos projekta sasniedzamos rezultatīvos rādītājus, secināts, ka tie nav reāli sasniedzami konkrētā būvprojekta realizācijā, kā rezultātā pastāvētu augsts risks ERAF finansējuma atgriešanai pēc rezultatīvo rādītāju nesasniegšanas noteiktajā periodā, t.i., līdz trīs gadiem pēc noslēguma maksājuma veikšanas, nepārsniedzot 2029. gada 31. decembri.
Aktivitātes plānots īstenot Eiropas Savienības Taisnīgās pārkārtošanas mehānisma 3. pīlāra atbalsta ietvaros, ja tiks apstiprināts iesniegtais projekta pieteikums.
Saite uz Jūrmalas domes 2024. gada 19. decembra lēmumu Nr. 663: https://dokumenti.jurmala.lv/docs/m24/l/m240663.htm</t>
    </r>
  </si>
  <si>
    <r>
      <t>Ēkas būvniecība</t>
    </r>
    <r>
      <rPr>
        <sz val="8.5"/>
        <rFont val="Trebuchet MS"/>
        <family val="2"/>
        <charset val="186"/>
      </rPr>
      <t xml:space="preserve"> un tajā tiek nodrošināta Dzimtsarakstu nodaļas darbība</t>
    </r>
  </si>
  <si>
    <t>Dzimtsarakstu nodaļas izveide</t>
  </si>
  <si>
    <t>Jūrmalas Luda Bērziņa pamatskolas izveide (SAM 4.2.1.)
Sākotnējais nosaukums: Jūrmalas Vaivaru pamatskolas infrastruktūras attīstība (Jūrmalas Luda Bērziņa pamatskola no 2026.gada 1.jūlija)
(precizēts 2025. gada 18. decembrī)</t>
  </si>
  <si>
    <t>Seguma atjaunošana, teritorijas labiekārtošana pilsētas iekškvartālos / projekts “Autostāvvietu paplašināšana Skolas ielas iekšpagalmos”</t>
  </si>
  <si>
    <r>
      <t xml:space="preserve">Ķemeru revitalizācija, atjaunojot meliorācijas un lietus ūdens savākšanas sistēmu un izveidojot Daudzfunkcionālo dabas tūrisma centru (Eiropas Savienības Taisnīgās pārkārtošanas mehānisma 3. pīlāra projekts)
</t>
    </r>
    <r>
      <rPr>
        <i/>
        <sz val="8.5"/>
        <rFont val="Tahoma"/>
        <family val="2"/>
        <charset val="186"/>
      </rPr>
      <t>Sākotnējais nosaukums: Daudzfunkcionāla dabas tūrisma centra un saimniecības ēkas izbūve
(precizēts 2025. gada 18. decembrī)</t>
    </r>
  </si>
  <si>
    <t>Lielupes grīvas kuģu kanāla padziļināšanas darbi. Pēc 2022. gada cena aptaujas viena pakalpojuma (padziļināšanas darbi) izmaksas gadā ir 323 610 EUR. Plānots piesaistīt  Eiropas Jūrlietu, zvejniecības un akvakultūras fonda pasākuma Nr. U31421 “Sabiedrības virzītas vietējās attīstības stratēģiju īstenošana” 5. kārtas 5. rīcības “Ostas infrastruktūras attīstības stiprināšana” atklātā projektu iesniegumu konkursā ar projekta iesniegumu “Bagarēšanas iekārtas iegāde padziļināšanas darbu nodrošināšanai Lielupes grīvā”.</t>
  </si>
  <si>
    <t>2. pielikums Jūrmalas domes                                                                                                                                                                                           
2025. gada 18. decembra lēmumam Nr. 681                                                                                                                                                                                         
(protokols Nr. 22, 54. punkts) 
1. pielikuma Attīstības programmas Stratēģiskās daļas sadaļa “Investīciju plāns”
Jūrmalas domes 2022. gada 15. septembra lēmumam Nr. 409
(Protokols Nr. 14, 3. punkts)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</si>
</sst>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Times New Roman"/>
      <charset val="204"/>
    </font>
    <font>
      <b/>
      <sz val="14"/>
      <name val="Tahoma"/>
      <family val="2"/>
      <charset val="186"/>
    </font>
    <font>
      <b/>
      <sz val="8.5"/>
      <name val="Tahoma"/>
      <family val="2"/>
      <charset val="186"/>
    </font>
    <font>
      <sz val="8.5"/>
      <name val="Trebuchet MS"/>
      <family val="2"/>
      <charset val="186"/>
    </font>
    <font>
      <sz val="9"/>
      <name val="Trebuchet MS"/>
      <family val="2"/>
      <charset val="186"/>
    </font>
    <font>
      <b/>
      <sz val="8.5"/>
      <name val="Tahoma"/>
      <family val="2"/>
    </font>
    <font>
      <sz val="8.5"/>
      <name val="Trebuchet MS"/>
      <family val="2"/>
    </font>
    <font>
      <sz val="9"/>
      <name val="Trebuchet MS"/>
      <family val="2"/>
    </font>
    <font>
      <sz val="10"/>
      <name val="Times New Roman"/>
      <family val="1"/>
      <charset val="186"/>
    </font>
    <font>
      <strike/>
      <sz val="8.5"/>
      <name val="Trebuchet MS"/>
      <family val="2"/>
      <charset val="186"/>
    </font>
    <font>
      <i/>
      <sz val="8.5"/>
      <name val="Trebuchet MS"/>
      <family val="2"/>
      <charset val="186"/>
    </font>
    <font>
      <sz val="8.5"/>
      <name val="Tahoma"/>
      <family val="2"/>
      <charset val="186"/>
    </font>
    <font>
      <sz val="8.5"/>
      <name val="Times New Roman"/>
      <family val="1"/>
      <charset val="186"/>
    </font>
    <font>
      <u/>
      <sz val="8.5"/>
      <name val="Trebuchet MS"/>
      <family val="2"/>
      <charset val="186"/>
    </font>
    <font>
      <sz val="10"/>
      <name val="Tahoma"/>
      <family val="2"/>
      <charset val="186"/>
    </font>
    <font>
      <vertAlign val="subscript"/>
      <sz val="8.5"/>
      <name val="Trebuchet MS"/>
      <family val="2"/>
      <charset val="186"/>
    </font>
    <font>
      <vertAlign val="superscript"/>
      <sz val="8.5"/>
      <name val="Trebuchet MS"/>
      <family val="2"/>
      <charset val="186"/>
    </font>
    <font>
      <sz val="8"/>
      <name val="Trebuchet MS"/>
      <family val="2"/>
      <charset val="186"/>
    </font>
    <font>
      <i/>
      <sz val="8.5"/>
      <name val="Tahoma"/>
      <family val="2"/>
      <charset val="186"/>
    </font>
    <font>
      <vertAlign val="subscript"/>
      <sz val="8.5"/>
      <name val="Tahoma"/>
      <family val="2"/>
      <charset val="186"/>
    </font>
    <font>
      <vertAlign val="superscript"/>
      <sz val="8.5"/>
      <name val="Tahoma"/>
      <family val="2"/>
      <charset val="186"/>
    </font>
    <font>
      <strike/>
      <sz val="8.5"/>
      <name val="Tahoma"/>
      <family val="2"/>
      <charset val="186"/>
    </font>
    <font>
      <sz val="8.5"/>
      <color rgb="FFFF0000"/>
      <name val="Tahoma"/>
      <family val="2"/>
      <charset val="186"/>
    </font>
    <font>
      <sz val="8.5"/>
      <color theme="1"/>
      <name val="Tahoma"/>
      <family val="2"/>
      <charset val="186"/>
    </font>
    <font>
      <i/>
      <sz val="8.5"/>
      <color theme="1"/>
      <name val="Tahoma"/>
      <family val="2"/>
      <charset val="186"/>
    </font>
    <font>
      <b/>
      <sz val="14"/>
      <color theme="1"/>
      <name val="Tahoma"/>
      <family val="2"/>
      <charset val="186"/>
    </font>
    <font>
      <b/>
      <sz val="8.5"/>
      <color theme="1"/>
      <name val="Tahoma"/>
      <family val="2"/>
      <charset val="186"/>
    </font>
    <font>
      <u/>
      <sz val="8.5"/>
      <color theme="1"/>
      <name val="Tahoma"/>
      <family val="2"/>
      <charset val="186"/>
    </font>
    <font>
      <u/>
      <sz val="8.5"/>
      <color rgb="FFFF0000"/>
      <name val="Tahoma"/>
      <family val="2"/>
      <charset val="186"/>
    </font>
    <font>
      <i/>
      <u/>
      <sz val="8.5"/>
      <color theme="1"/>
      <name val="Tahoma"/>
      <family val="2"/>
      <charset val="186"/>
    </font>
    <font>
      <strike/>
      <sz val="8.5"/>
      <color theme="1"/>
      <name val="Tahoma"/>
      <family val="2"/>
      <charset val="186"/>
    </font>
    <font>
      <vertAlign val="subscript"/>
      <sz val="8.5"/>
      <color theme="1"/>
      <name val="Tahoma"/>
      <family val="2"/>
      <charset val="186"/>
    </font>
    <font>
      <vertAlign val="superscript"/>
      <sz val="8.5"/>
      <color theme="1"/>
      <name val="Tahoma"/>
      <family val="2"/>
      <charset val="186"/>
    </font>
    <font>
      <strike/>
      <u/>
      <sz val="8.5"/>
      <color rgb="FFFF0000"/>
      <name val="Tahoma"/>
      <family val="2"/>
      <charset val="238"/>
    </font>
    <font>
      <sz val="10"/>
      <name val="Arial"/>
      <family val="2"/>
      <charset val="186"/>
    </font>
    <font>
      <b/>
      <sz val="8.5"/>
      <name val="Trebuchet MS"/>
      <family val="2"/>
      <charset val="186"/>
    </font>
    <font>
      <sz val="10"/>
      <color rgb="FF000000"/>
      <name val="Times New Roman"/>
      <family val="1"/>
      <charset val="186"/>
    </font>
  </fonts>
  <fills count="36">
    <fill>
      <patternFill patternType="none"/>
    </fill>
    <fill>
      <patternFill patternType="gray125"/>
    </fill>
    <fill>
      <patternFill patternType="solid">
        <fgColor rgb="FF94D621"/>
      </patternFill>
    </fill>
    <fill>
      <patternFill patternType="solid">
        <fgColor rgb="FFEDEDED"/>
      </patternFill>
    </fill>
    <fill>
      <patternFill patternType="solid">
        <fgColor rgb="FFEFF9DE"/>
      </patternFill>
    </fill>
    <fill>
      <patternFill patternType="solid">
        <fgColor rgb="FFDCDDDE"/>
      </patternFill>
    </fill>
    <fill>
      <patternFill patternType="solid">
        <fgColor rgb="FFFEF9D9"/>
      </patternFill>
    </fill>
    <fill>
      <patternFill patternType="solid">
        <fgColor rgb="FF5F76FF"/>
      </patternFill>
    </fill>
    <fill>
      <patternFill patternType="solid">
        <fgColor rgb="FFEFF1FF"/>
      </patternFill>
    </fill>
    <fill>
      <patternFill patternType="solid">
        <fgColor rgb="FFECE9FB"/>
      </patternFill>
    </fill>
    <fill>
      <patternFill patternType="solid">
        <fgColor rgb="FF97D5FF"/>
      </patternFill>
    </fill>
    <fill>
      <patternFill patternType="solid">
        <fgColor rgb="FFE0F3FF"/>
      </patternFill>
    </fill>
    <fill>
      <patternFill patternType="solid">
        <fgColor rgb="FFE5F5FF"/>
      </patternFill>
    </fill>
    <fill>
      <patternFill patternType="solid">
        <fgColor rgb="FFFF7E94"/>
      </patternFill>
    </fill>
    <fill>
      <patternFill patternType="solid">
        <fgColor rgb="FFFFECEF"/>
      </patternFill>
    </fill>
    <fill>
      <patternFill patternType="solid">
        <fgColor rgb="FFFFF2F4"/>
      </patternFill>
    </fill>
    <fill>
      <patternFill patternType="solid">
        <fgColor rgb="FFF7F3EE"/>
      </patternFill>
    </fill>
    <fill>
      <patternFill patternType="solid">
        <fgColor rgb="FFEDEDED"/>
        <bgColor indexed="64"/>
      </patternFill>
    </fill>
    <fill>
      <patternFill patternType="solid">
        <fgColor rgb="FFAF8551"/>
        <bgColor indexed="64"/>
      </patternFill>
    </fill>
    <fill>
      <patternFill patternType="solid">
        <fgColor rgb="FFF7F3EE"/>
        <bgColor indexed="64"/>
      </patternFill>
    </fill>
    <fill>
      <patternFill patternType="solid">
        <fgColor rgb="FFFEF9D9"/>
        <bgColor indexed="64"/>
      </patternFill>
    </fill>
    <fill>
      <patternFill patternType="solid">
        <fgColor rgb="FFFBD900"/>
        <bgColor indexed="64"/>
      </patternFill>
    </fill>
    <fill>
      <patternFill patternType="solid">
        <fgColor rgb="FFEFF1FF"/>
        <bgColor indexed="64"/>
      </patternFill>
    </fill>
    <fill>
      <patternFill patternType="solid">
        <fgColor rgb="FF7D6EE5"/>
        <bgColor indexed="64"/>
      </patternFill>
    </fill>
    <fill>
      <patternFill patternType="solid">
        <fgColor rgb="FFECE9FB"/>
        <bgColor indexed="64"/>
      </patternFill>
    </fill>
    <fill>
      <patternFill patternType="solid">
        <fgColor rgb="FFEFF9DE"/>
        <bgColor indexed="64"/>
      </patternFill>
    </fill>
    <fill>
      <patternFill patternType="solid">
        <fgColor theme="9" tint="0.39997558519241921"/>
        <bgColor indexed="64"/>
      </patternFill>
    </fill>
    <fill>
      <patternFill patternType="solid">
        <fgColor rgb="FFDCDDDE"/>
        <bgColor indexed="64"/>
      </patternFill>
    </fill>
    <fill>
      <patternFill patternType="solid">
        <fgColor rgb="FFFBD900"/>
      </patternFill>
    </fill>
    <fill>
      <patternFill patternType="solid">
        <fgColor theme="0"/>
        <bgColor indexed="64"/>
      </patternFill>
    </fill>
    <fill>
      <patternFill patternType="solid">
        <fgColor rgb="FF7D6EE5"/>
      </patternFill>
    </fill>
    <fill>
      <patternFill patternType="solid">
        <fgColor rgb="FFE0F3FF"/>
        <bgColor indexed="64"/>
      </patternFill>
    </fill>
    <fill>
      <patternFill patternType="solid">
        <fgColor rgb="FFFFECEF"/>
        <bgColor indexed="64"/>
      </patternFill>
    </fill>
    <fill>
      <patternFill patternType="solid">
        <fgColor rgb="FFAF8551"/>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F8551"/>
      </left>
      <right style="thin">
        <color rgb="FFAF8551"/>
      </right>
      <top style="thin">
        <color rgb="FFAF8551"/>
      </top>
      <bottom style="thin">
        <color rgb="FFAF855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34" fillId="0" borderId="0"/>
    <xf numFmtId="0" fontId="36" fillId="0" borderId="0"/>
  </cellStyleXfs>
  <cellXfs count="437">
    <xf numFmtId="0" fontId="0" fillId="0" borderId="0" xfId="0" applyAlignment="1">
      <alignment horizontal="left" vertical="top"/>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2" fillId="3" borderId="1" xfId="0" applyFont="1" applyFill="1" applyBorder="1" applyAlignment="1">
      <alignment horizontal="justify" vertical="top" wrapText="1"/>
    </xf>
    <xf numFmtId="0" fontId="3" fillId="0" borderId="1" xfId="0" applyFont="1" applyBorder="1" applyAlignment="1">
      <alignment horizontal="justify" vertical="top" wrapText="1"/>
    </xf>
    <xf numFmtId="0" fontId="8" fillId="0" borderId="0" xfId="0" applyFont="1" applyAlignment="1">
      <alignment horizontal="left" vertical="top"/>
    </xf>
    <xf numFmtId="0" fontId="8" fillId="0" borderId="0" xfId="0" applyFont="1" applyAlignment="1">
      <alignment horizontal="justify" vertical="top"/>
    </xf>
    <xf numFmtId="0" fontId="3" fillId="24" borderId="1" xfId="0" applyFont="1" applyFill="1" applyBorder="1" applyAlignment="1">
      <alignment horizontal="left" vertical="top" wrapText="1"/>
    </xf>
    <xf numFmtId="0" fontId="3" fillId="25"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9" fillId="0" borderId="1" xfId="0" applyFont="1" applyBorder="1" applyAlignment="1">
      <alignment horizontal="justify" vertical="top" wrapText="1"/>
    </xf>
    <xf numFmtId="0" fontId="11" fillId="0" borderId="1" xfId="0" applyFont="1" applyBorder="1" applyAlignment="1">
      <alignment horizontal="justify" vertical="top" wrapText="1"/>
    </xf>
    <xf numFmtId="0" fontId="3" fillId="0" borderId="8" xfId="0" applyFont="1" applyBorder="1" applyAlignment="1">
      <alignment horizontal="left" vertical="top" wrapText="1"/>
    </xf>
    <xf numFmtId="0" fontId="11"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22"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2" fillId="11" borderId="1" xfId="0" applyFont="1" applyFill="1" applyBorder="1" applyAlignment="1">
      <alignment horizontal="left" vertical="top" wrapText="1"/>
    </xf>
    <xf numFmtId="0" fontId="8" fillId="7" borderId="1" xfId="0" applyFont="1" applyFill="1" applyBorder="1" applyAlignment="1">
      <alignment horizontal="left" vertical="top" wrapText="1"/>
    </xf>
    <xf numFmtId="4" fontId="3" fillId="0" borderId="1" xfId="0" applyNumberFormat="1" applyFont="1" applyBorder="1" applyAlignment="1">
      <alignment horizontal="center" vertical="top" wrapText="1"/>
    </xf>
    <xf numFmtId="0" fontId="2" fillId="4"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left" vertical="top" wrapText="1"/>
    </xf>
    <xf numFmtId="0" fontId="2" fillId="0" borderId="1" xfId="0" applyFont="1" applyBorder="1" applyAlignment="1">
      <alignment vertical="top" wrapText="1"/>
    </xf>
    <xf numFmtId="4" fontId="2" fillId="0" borderId="1" xfId="0" applyNumberFormat="1" applyFont="1" applyBorder="1" applyAlignment="1">
      <alignment horizontal="center" vertical="top" wrapText="1"/>
    </xf>
    <xf numFmtId="0" fontId="2" fillId="4" borderId="1" xfId="0" applyFont="1" applyFill="1" applyBorder="1" applyAlignment="1">
      <alignment vertical="top" wrapText="1"/>
    </xf>
    <xf numFmtId="0" fontId="2" fillId="4" borderId="1" xfId="0" applyFont="1" applyFill="1" applyBorder="1" applyAlignment="1">
      <alignment horizontal="center" vertical="top" wrapText="1"/>
    </xf>
    <xf numFmtId="4" fontId="2" fillId="4" borderId="1" xfId="0" applyNumberFormat="1" applyFont="1" applyFill="1" applyBorder="1" applyAlignment="1">
      <alignment horizontal="left" vertical="top" wrapText="1"/>
    </xf>
    <xf numFmtId="4" fontId="2" fillId="25" borderId="1" xfId="0" applyNumberFormat="1" applyFont="1" applyFill="1" applyBorder="1" applyAlignment="1">
      <alignment horizontal="left" vertical="top" wrapText="1"/>
    </xf>
    <xf numFmtId="4" fontId="2" fillId="4" borderId="1" xfId="0" applyNumberFormat="1" applyFont="1" applyFill="1" applyBorder="1" applyAlignment="1">
      <alignment horizontal="center" vertical="top" wrapText="1"/>
    </xf>
    <xf numFmtId="0" fontId="2" fillId="5" borderId="1" xfId="0" applyFont="1" applyFill="1" applyBorder="1" applyAlignment="1">
      <alignment vertical="top" wrapText="1"/>
    </xf>
    <xf numFmtId="0" fontId="2" fillId="5" borderId="1" xfId="0" applyFont="1" applyFill="1" applyBorder="1" applyAlignment="1">
      <alignment horizontal="center" vertical="top" wrapText="1"/>
    </xf>
    <xf numFmtId="4" fontId="2" fillId="5" borderId="1" xfId="0" applyNumberFormat="1" applyFont="1" applyFill="1" applyBorder="1" applyAlignment="1">
      <alignment horizontal="left" vertical="top" wrapText="1"/>
    </xf>
    <xf numFmtId="4" fontId="2" fillId="27" borderId="1" xfId="0" applyNumberFormat="1" applyFont="1" applyFill="1" applyBorder="1" applyAlignment="1">
      <alignment horizontal="left" vertical="top" wrapText="1"/>
    </xf>
    <xf numFmtId="4" fontId="2" fillId="5" borderId="1"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12" fillId="0" borderId="0" xfId="0" applyFont="1" applyAlignment="1">
      <alignment horizontal="left" vertical="top"/>
    </xf>
    <xf numFmtId="0" fontId="14" fillId="0" borderId="0" xfId="0" applyFont="1" applyAlignment="1">
      <alignment horizontal="left" vertical="top"/>
    </xf>
    <xf numFmtId="0" fontId="3" fillId="0" borderId="0" xfId="0" applyFont="1" applyAlignment="1">
      <alignment horizontal="left" vertical="top"/>
    </xf>
    <xf numFmtId="0" fontId="2" fillId="20" borderId="1" xfId="0" applyFont="1" applyFill="1" applyBorder="1" applyAlignment="1">
      <alignment vertical="top" wrapText="1"/>
    </xf>
    <xf numFmtId="0" fontId="2" fillId="20" borderId="1" xfId="0" applyFont="1" applyFill="1" applyBorder="1" applyAlignment="1">
      <alignment horizontal="center" vertical="top" wrapText="1"/>
    </xf>
    <xf numFmtId="4" fontId="2" fillId="20" borderId="1" xfId="0" applyNumberFormat="1" applyFont="1" applyFill="1" applyBorder="1" applyAlignment="1">
      <alignment horizontal="left" vertical="top" wrapText="1"/>
    </xf>
    <xf numFmtId="4" fontId="2" fillId="20" borderId="1" xfId="0" applyNumberFormat="1" applyFont="1" applyFill="1" applyBorder="1" applyAlignment="1">
      <alignment horizontal="center" vertical="top" wrapText="1"/>
    </xf>
    <xf numFmtId="0" fontId="11" fillId="0" borderId="0" xfId="0" applyFont="1" applyAlignment="1">
      <alignment horizontal="left" vertical="top"/>
    </xf>
    <xf numFmtId="4" fontId="3" fillId="29" borderId="1" xfId="0" applyNumberFormat="1" applyFont="1" applyFill="1" applyBorder="1" applyAlignment="1">
      <alignment horizontal="left" vertical="top" wrapText="1"/>
    </xf>
    <xf numFmtId="0" fontId="3" fillId="6" borderId="2" xfId="0" applyFont="1" applyFill="1" applyBorder="1" applyAlignment="1">
      <alignment horizontal="left" vertical="top" wrapText="1"/>
    </xf>
    <xf numFmtId="0" fontId="2" fillId="22" borderId="1" xfId="0" applyFont="1" applyFill="1" applyBorder="1" applyAlignment="1">
      <alignment vertical="top" wrapText="1"/>
    </xf>
    <xf numFmtId="4" fontId="2" fillId="22" borderId="1" xfId="0" applyNumberFormat="1" applyFont="1" applyFill="1" applyBorder="1" applyAlignment="1">
      <alignment horizontal="left" vertical="top" wrapText="1"/>
    </xf>
    <xf numFmtId="4" fontId="2" fillId="22" borderId="1" xfId="0" applyNumberFormat="1" applyFont="1" applyFill="1" applyBorder="1" applyAlignment="1">
      <alignment horizontal="center" vertical="top" wrapText="1"/>
    </xf>
    <xf numFmtId="0" fontId="2" fillId="22" borderId="1" xfId="0" applyFont="1" applyFill="1" applyBorder="1" applyAlignment="1">
      <alignment horizontal="center" vertical="top" wrapText="1"/>
    </xf>
    <xf numFmtId="0" fontId="2" fillId="24" borderId="1" xfId="0" applyFont="1" applyFill="1" applyBorder="1" applyAlignment="1">
      <alignment vertical="top" wrapText="1"/>
    </xf>
    <xf numFmtId="4" fontId="2" fillId="24" borderId="1" xfId="0" applyNumberFormat="1" applyFont="1" applyFill="1" applyBorder="1" applyAlignment="1">
      <alignment horizontal="left" vertical="top" wrapText="1"/>
    </xf>
    <xf numFmtId="4" fontId="2" fillId="24" borderId="1" xfId="0" applyNumberFormat="1" applyFont="1" applyFill="1" applyBorder="1" applyAlignment="1">
      <alignment horizontal="center" vertical="top" wrapText="1"/>
    </xf>
    <xf numFmtId="0" fontId="2" fillId="24" borderId="1" xfId="0" applyFont="1" applyFill="1" applyBorder="1" applyAlignment="1">
      <alignment horizontal="center" vertical="top" wrapText="1"/>
    </xf>
    <xf numFmtId="0" fontId="3" fillId="9" borderId="4" xfId="0" applyFont="1" applyFill="1" applyBorder="1" applyAlignment="1">
      <alignment horizontal="left" vertical="top" wrapText="1"/>
    </xf>
    <xf numFmtId="0" fontId="3" fillId="0" borderId="4" xfId="0" applyFont="1" applyBorder="1" applyAlignment="1">
      <alignment horizontal="justify" vertical="top" wrapText="1"/>
    </xf>
    <xf numFmtId="4" fontId="3" fillId="0" borderId="0" xfId="0" applyNumberFormat="1" applyFont="1" applyAlignment="1">
      <alignment horizontal="left" vertical="top"/>
    </xf>
    <xf numFmtId="0" fontId="2" fillId="11" borderId="1" xfId="0" applyFont="1" applyFill="1" applyBorder="1" applyAlignment="1">
      <alignment horizontal="center" vertical="top" wrapText="1"/>
    </xf>
    <xf numFmtId="4" fontId="2" fillId="11" borderId="1" xfId="0" applyNumberFormat="1" applyFont="1" applyFill="1" applyBorder="1" applyAlignment="1">
      <alignment horizontal="left" vertical="top" wrapText="1"/>
    </xf>
    <xf numFmtId="0" fontId="2" fillId="11" borderId="1" xfId="0" applyFont="1" applyFill="1" applyBorder="1" applyAlignment="1">
      <alignment vertical="top" wrapText="1"/>
    </xf>
    <xf numFmtId="4" fontId="2" fillId="31" borderId="1" xfId="0" applyNumberFormat="1" applyFont="1" applyFill="1" applyBorder="1" applyAlignment="1">
      <alignment horizontal="left" vertical="top" wrapText="1"/>
    </xf>
    <xf numFmtId="4" fontId="2" fillId="11" borderId="1" xfId="0" applyNumberFormat="1" applyFont="1" applyFill="1" applyBorder="1" applyAlignment="1">
      <alignment horizontal="center" vertical="top" wrapText="1"/>
    </xf>
    <xf numFmtId="0" fontId="3" fillId="12" borderId="4"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29" borderId="1" xfId="0" applyFont="1" applyFill="1" applyBorder="1" applyAlignment="1">
      <alignment horizontal="justify" vertical="top" wrapText="1"/>
    </xf>
    <xf numFmtId="0" fontId="2" fillId="14" borderId="1" xfId="0" applyFont="1" applyFill="1" applyBorder="1" applyAlignment="1">
      <alignment vertical="top" wrapText="1"/>
    </xf>
    <xf numFmtId="0" fontId="2" fillId="14" borderId="1" xfId="0" applyFont="1" applyFill="1" applyBorder="1" applyAlignment="1">
      <alignment horizontal="center" vertical="top" wrapText="1"/>
    </xf>
    <xf numFmtId="4" fontId="2" fillId="14" borderId="1" xfId="0" applyNumberFormat="1" applyFont="1" applyFill="1" applyBorder="1" applyAlignment="1">
      <alignment horizontal="left" vertical="top" wrapText="1"/>
    </xf>
    <xf numFmtId="4" fontId="2" fillId="32" borderId="1" xfId="0" applyNumberFormat="1" applyFont="1" applyFill="1" applyBorder="1" applyAlignment="1">
      <alignment horizontal="left" vertical="top" wrapText="1"/>
    </xf>
    <xf numFmtId="4" fontId="2" fillId="14" borderId="1" xfId="0" applyNumberFormat="1" applyFont="1" applyFill="1" applyBorder="1" applyAlignment="1">
      <alignment horizontal="center" vertical="top" wrapText="1"/>
    </xf>
    <xf numFmtId="0" fontId="2" fillId="19" borderId="1" xfId="0" applyFont="1" applyFill="1" applyBorder="1" applyAlignment="1">
      <alignment horizontal="left" vertical="top" wrapText="1"/>
    </xf>
    <xf numFmtId="0" fontId="2" fillId="19" borderId="1" xfId="0" applyFont="1" applyFill="1" applyBorder="1" applyAlignment="1">
      <alignment horizontal="center" vertical="top" wrapText="1"/>
    </xf>
    <xf numFmtId="4" fontId="2" fillId="19" borderId="1" xfId="0" applyNumberFormat="1" applyFont="1" applyFill="1" applyBorder="1" applyAlignment="1">
      <alignment horizontal="left" vertical="top" wrapText="1"/>
    </xf>
    <xf numFmtId="0" fontId="2" fillId="19" borderId="1" xfId="0" applyFont="1" applyFill="1" applyBorder="1" applyAlignment="1">
      <alignment vertical="top" wrapText="1"/>
    </xf>
    <xf numFmtId="4" fontId="2" fillId="19" borderId="1" xfId="0" applyNumberFormat="1" applyFont="1" applyFill="1" applyBorder="1" applyAlignment="1">
      <alignment horizontal="center" vertical="top" wrapText="1"/>
    </xf>
    <xf numFmtId="0" fontId="3" fillId="19" borderId="1" xfId="0" applyFont="1" applyFill="1" applyBorder="1" applyAlignment="1">
      <alignment horizontal="left" vertical="top" wrapText="1"/>
    </xf>
    <xf numFmtId="4" fontId="8" fillId="0" borderId="0" xfId="0" applyNumberFormat="1" applyFont="1" applyAlignment="1">
      <alignment horizontal="center" vertical="top"/>
    </xf>
    <xf numFmtId="4" fontId="2" fillId="5" borderId="2" xfId="0" applyNumberFormat="1" applyFont="1" applyFill="1" applyBorder="1" applyAlignment="1">
      <alignment horizontal="center" vertical="top" wrapText="1"/>
    </xf>
    <xf numFmtId="4" fontId="11" fillId="3" borderId="16" xfId="0" applyNumberFormat="1" applyFont="1" applyFill="1" applyBorder="1" applyAlignment="1">
      <alignment horizontal="left" vertical="top" wrapText="1"/>
    </xf>
    <xf numFmtId="4" fontId="2" fillId="3" borderId="16" xfId="0" applyNumberFormat="1" applyFont="1" applyFill="1" applyBorder="1" applyAlignment="1">
      <alignment horizontal="left" vertical="top" wrapText="1"/>
    </xf>
    <xf numFmtId="0" fontId="2" fillId="0" borderId="7" xfId="0" applyFont="1" applyBorder="1" applyAlignment="1">
      <alignment vertical="top" wrapText="1"/>
    </xf>
    <xf numFmtId="4" fontId="2" fillId="0" borderId="7" xfId="0" applyNumberFormat="1" applyFont="1" applyBorder="1" applyAlignment="1">
      <alignment horizontal="left" vertical="top" wrapText="1"/>
    </xf>
    <xf numFmtId="0" fontId="2" fillId="0" borderId="7" xfId="0" applyFont="1" applyBorder="1" applyAlignment="1">
      <alignment horizontal="left" vertical="top" wrapText="1"/>
    </xf>
    <xf numFmtId="4" fontId="2" fillId="25" borderId="7" xfId="0" applyNumberFormat="1" applyFont="1" applyFill="1" applyBorder="1" applyAlignment="1">
      <alignment horizontal="left" vertical="top" wrapText="1"/>
    </xf>
    <xf numFmtId="4" fontId="2" fillId="27" borderId="7" xfId="0" applyNumberFormat="1" applyFont="1" applyFill="1" applyBorder="1" applyAlignment="1">
      <alignment horizontal="left" vertical="top" wrapText="1"/>
    </xf>
    <xf numFmtId="0" fontId="11" fillId="4" borderId="1" xfId="0" applyFont="1" applyFill="1" applyBorder="1" applyAlignment="1">
      <alignment horizontal="left" vertical="top" wrapText="1"/>
    </xf>
    <xf numFmtId="4" fontId="11" fillId="0" borderId="1" xfId="0" applyNumberFormat="1" applyFont="1" applyBorder="1" applyAlignment="1">
      <alignment horizontal="left" vertical="top" wrapText="1"/>
    </xf>
    <xf numFmtId="4" fontId="11" fillId="0" borderId="1" xfId="0" applyNumberFormat="1" applyFont="1" applyBorder="1" applyAlignment="1">
      <alignment horizontal="left" vertical="top" shrinkToFit="1"/>
    </xf>
    <xf numFmtId="4" fontId="2" fillId="34" borderId="1" xfId="0" applyNumberFormat="1" applyFont="1" applyFill="1" applyBorder="1" applyAlignment="1">
      <alignment horizontal="left" vertical="top" wrapText="1"/>
    </xf>
    <xf numFmtId="0" fontId="11" fillId="25" borderId="1" xfId="0" applyFont="1" applyFill="1" applyBorder="1" applyAlignment="1">
      <alignment horizontal="left" vertical="top" wrapText="1"/>
    </xf>
    <xf numFmtId="4" fontId="11" fillId="0" borderId="7" xfId="0" applyNumberFormat="1" applyFont="1" applyBorder="1" applyAlignment="1">
      <alignment horizontal="left" vertical="top" wrapText="1"/>
    </xf>
    <xf numFmtId="4" fontId="2" fillId="20" borderId="7" xfId="0" applyNumberFormat="1" applyFont="1" applyFill="1" applyBorder="1" applyAlignment="1">
      <alignment horizontal="left" vertical="top" wrapText="1"/>
    </xf>
    <xf numFmtId="0" fontId="2" fillId="20"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20" borderId="1" xfId="0" applyFont="1" applyFill="1" applyBorder="1" applyAlignment="1">
      <alignment horizontal="left" vertical="top" wrapText="1"/>
    </xf>
    <xf numFmtId="0" fontId="11" fillId="35" borderId="1" xfId="0" applyFont="1" applyFill="1" applyBorder="1" applyAlignment="1">
      <alignment horizontal="left" vertical="top" wrapText="1"/>
    </xf>
    <xf numFmtId="4" fontId="2" fillId="22" borderId="7" xfId="0" applyNumberFormat="1" applyFont="1" applyFill="1" applyBorder="1" applyAlignment="1">
      <alignment horizontal="left" vertical="top" wrapText="1"/>
    </xf>
    <xf numFmtId="0" fontId="11" fillId="8" borderId="1" xfId="0" applyFont="1" applyFill="1" applyBorder="1" applyAlignment="1">
      <alignment horizontal="left" vertical="top" wrapText="1"/>
    </xf>
    <xf numFmtId="0" fontId="2" fillId="8" borderId="1" xfId="0" applyFont="1" applyFill="1" applyBorder="1" applyAlignment="1">
      <alignment vertical="top" wrapText="1"/>
    </xf>
    <xf numFmtId="4" fontId="2" fillId="8" borderId="1" xfId="0" applyNumberFormat="1" applyFont="1" applyFill="1" applyBorder="1" applyAlignment="1">
      <alignment horizontal="left" vertical="top" wrapText="1"/>
    </xf>
    <xf numFmtId="0" fontId="2" fillId="8" borderId="1"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24" borderId="1" xfId="0" applyFont="1" applyFill="1" applyBorder="1" applyAlignment="1">
      <alignment horizontal="left" vertical="top" wrapText="1"/>
    </xf>
    <xf numFmtId="4" fontId="2" fillId="31" borderId="7" xfId="0" applyNumberFormat="1" applyFont="1" applyFill="1" applyBorder="1" applyAlignment="1">
      <alignment horizontal="left" vertical="top" wrapText="1"/>
    </xf>
    <xf numFmtId="0" fontId="11" fillId="12" borderId="1" xfId="0" applyFont="1" applyFill="1" applyBorder="1" applyAlignment="1">
      <alignment horizontal="left" vertical="top" wrapText="1"/>
    </xf>
    <xf numFmtId="0" fontId="21" fillId="0" borderId="1" xfId="0" applyFont="1" applyBorder="1" applyAlignment="1">
      <alignment horizontal="justify" vertical="top" wrapText="1"/>
    </xf>
    <xf numFmtId="4" fontId="2" fillId="32" borderId="7" xfId="0" applyNumberFormat="1" applyFont="1" applyFill="1" applyBorder="1" applyAlignment="1">
      <alignment horizontal="left" vertical="top" wrapText="1"/>
    </xf>
    <xf numFmtId="0" fontId="11" fillId="15" borderId="1" xfId="0" applyFont="1" applyFill="1" applyBorder="1" applyAlignment="1">
      <alignment horizontal="left" vertical="top" wrapText="1"/>
    </xf>
    <xf numFmtId="2" fontId="2" fillId="5" borderId="1" xfId="0" applyNumberFormat="1" applyFont="1" applyFill="1" applyBorder="1" applyAlignment="1">
      <alignment horizontal="left" vertical="top" wrapText="1"/>
    </xf>
    <xf numFmtId="4" fontId="2" fillId="19" borderId="7" xfId="0" applyNumberFormat="1" applyFont="1" applyFill="1" applyBorder="1" applyAlignment="1">
      <alignment horizontal="left" vertical="top" wrapText="1"/>
    </xf>
    <xf numFmtId="0" fontId="11" fillId="16" borderId="1" xfId="0" applyFont="1" applyFill="1" applyBorder="1" applyAlignment="1">
      <alignment horizontal="left" vertical="top" wrapText="1"/>
    </xf>
    <xf numFmtId="0" fontId="11" fillId="35" borderId="1" xfId="0" applyFont="1" applyFill="1" applyBorder="1" applyAlignment="1">
      <alignment horizontal="justify" vertical="top" wrapText="1"/>
    </xf>
    <xf numFmtId="4" fontId="11" fillId="0" borderId="1" xfId="0" applyNumberFormat="1" applyFont="1" applyBorder="1" applyAlignment="1">
      <alignment horizontal="center" vertical="center" wrapText="1"/>
    </xf>
    <xf numFmtId="0" fontId="11" fillId="5" borderId="1" xfId="0" applyFont="1" applyFill="1" applyBorder="1" applyAlignment="1">
      <alignment vertical="top" wrapText="1"/>
    </xf>
    <xf numFmtId="4" fontId="11" fillId="5" borderId="1" xfId="0" applyNumberFormat="1" applyFont="1" applyFill="1" applyBorder="1" applyAlignment="1">
      <alignment horizontal="left" vertical="top" wrapText="1"/>
    </xf>
    <xf numFmtId="4" fontId="11" fillId="27" borderId="1" xfId="0" applyNumberFormat="1" applyFont="1" applyFill="1" applyBorder="1" applyAlignment="1">
      <alignment horizontal="left" vertical="top" wrapText="1"/>
    </xf>
    <xf numFmtId="0" fontId="11" fillId="5" borderId="1" xfId="0" applyFont="1" applyFill="1" applyBorder="1" applyAlignment="1">
      <alignment horizontal="left" vertical="top" wrapText="1"/>
    </xf>
    <xf numFmtId="0" fontId="11" fillId="0" borderId="0" xfId="0" applyFont="1" applyAlignment="1">
      <alignment horizontal="justify" vertical="top"/>
    </xf>
    <xf numFmtId="4" fontId="11" fillId="0" borderId="0" xfId="0" applyNumberFormat="1" applyFont="1" applyAlignment="1">
      <alignment horizontal="left" vertical="top"/>
    </xf>
    <xf numFmtId="0" fontId="24" fillId="0" borderId="0" xfId="0" applyFont="1" applyAlignment="1">
      <alignment horizontal="left" vertical="top"/>
    </xf>
    <xf numFmtId="0" fontId="23" fillId="0" borderId="0" xfId="0" applyFont="1" applyAlignment="1">
      <alignment horizontal="left" vertical="top"/>
    </xf>
    <xf numFmtId="4" fontId="23" fillId="3" borderId="16" xfId="0" applyNumberFormat="1" applyFont="1" applyFill="1" applyBorder="1" applyAlignment="1">
      <alignment vertical="top" wrapText="1"/>
    </xf>
    <xf numFmtId="4" fontId="23" fillId="3" borderId="18" xfId="0" applyNumberFormat="1" applyFont="1" applyFill="1" applyBorder="1" applyAlignment="1">
      <alignment vertical="top" wrapText="1"/>
    </xf>
    <xf numFmtId="4" fontId="26" fillId="3" borderId="16" xfId="0" applyNumberFormat="1" applyFont="1" applyFill="1" applyBorder="1" applyAlignment="1">
      <alignment vertical="top" wrapText="1"/>
    </xf>
    <xf numFmtId="4" fontId="26" fillId="3" borderId="18" xfId="0" applyNumberFormat="1" applyFont="1" applyFill="1" applyBorder="1" applyAlignment="1">
      <alignment vertical="top" wrapText="1"/>
    </xf>
    <xf numFmtId="0" fontId="26" fillId="0" borderId="7" xfId="0" applyFont="1" applyBorder="1" applyAlignment="1">
      <alignment horizontal="left" vertical="top" wrapText="1"/>
    </xf>
    <xf numFmtId="0" fontId="26" fillId="0" borderId="7" xfId="0" applyFont="1" applyBorder="1" applyAlignment="1">
      <alignment vertical="top" wrapText="1"/>
    </xf>
    <xf numFmtId="4" fontId="26" fillId="0" borderId="7" xfId="0" applyNumberFormat="1" applyFont="1" applyBorder="1" applyAlignment="1">
      <alignment horizontal="left" vertical="top" wrapText="1"/>
    </xf>
    <xf numFmtId="4" fontId="26" fillId="0" borderId="7" xfId="0" applyNumberFormat="1" applyFont="1" applyBorder="1" applyAlignment="1">
      <alignment vertical="top" wrapText="1"/>
    </xf>
    <xf numFmtId="0" fontId="26" fillId="4" borderId="1" xfId="0" applyFont="1" applyFill="1" applyBorder="1" applyAlignment="1">
      <alignment horizontal="left" vertical="top" wrapText="1"/>
    </xf>
    <xf numFmtId="0" fontId="26" fillId="4" borderId="1" xfId="0" applyFont="1" applyFill="1" applyBorder="1" applyAlignment="1">
      <alignment vertical="top" wrapText="1"/>
    </xf>
    <xf numFmtId="4" fontId="26" fillId="4" borderId="1" xfId="0" applyNumberFormat="1" applyFont="1" applyFill="1" applyBorder="1" applyAlignment="1">
      <alignment horizontal="left" vertical="top" wrapText="1"/>
    </xf>
    <xf numFmtId="4" fontId="26" fillId="25" borderId="7" xfId="0" applyNumberFormat="1" applyFont="1" applyFill="1" applyBorder="1" applyAlignment="1">
      <alignment horizontal="left" vertical="top" wrapText="1"/>
    </xf>
    <xf numFmtId="0" fontId="26" fillId="5" borderId="1" xfId="0" applyFont="1" applyFill="1" applyBorder="1" applyAlignment="1">
      <alignment horizontal="left" vertical="top" wrapText="1"/>
    </xf>
    <xf numFmtId="0" fontId="26" fillId="5" borderId="1" xfId="0" applyFont="1" applyFill="1" applyBorder="1" applyAlignment="1">
      <alignment vertical="top" wrapText="1"/>
    </xf>
    <xf numFmtId="4" fontId="26" fillId="5" borderId="1" xfId="0" applyNumberFormat="1" applyFont="1" applyFill="1" applyBorder="1" applyAlignment="1">
      <alignment horizontal="left" vertical="top" wrapText="1"/>
    </xf>
    <xf numFmtId="4" fontId="26" fillId="27" borderId="7" xfId="0" applyNumberFormat="1" applyFont="1" applyFill="1" applyBorder="1" applyAlignment="1">
      <alignment horizontal="left" vertical="top" wrapText="1"/>
    </xf>
    <xf numFmtId="0" fontId="23" fillId="4" borderId="1" xfId="0" applyFont="1" applyFill="1" applyBorder="1" applyAlignment="1">
      <alignment horizontal="left" vertical="top" wrapText="1"/>
    </xf>
    <xf numFmtId="0" fontId="23" fillId="0" borderId="1" xfId="0" applyFont="1" applyBorder="1" applyAlignment="1">
      <alignment horizontal="justify" vertical="top" wrapText="1"/>
    </xf>
    <xf numFmtId="0" fontId="23" fillId="0" borderId="1" xfId="0" applyFont="1" applyBorder="1" applyAlignment="1">
      <alignment horizontal="left" vertical="top" wrapText="1"/>
    </xf>
    <xf numFmtId="4" fontId="23" fillId="0" borderId="1" xfId="0" applyNumberFormat="1" applyFont="1" applyBorder="1" applyAlignment="1">
      <alignment horizontal="left" vertical="top" wrapText="1"/>
    </xf>
    <xf numFmtId="4" fontId="23" fillId="0" borderId="1" xfId="0" applyNumberFormat="1" applyFont="1" applyBorder="1" applyAlignment="1">
      <alignment horizontal="left" vertical="top" shrinkToFit="1"/>
    </xf>
    <xf numFmtId="4" fontId="26" fillId="34" borderId="1" xfId="0" applyNumberFormat="1" applyFont="1" applyFill="1" applyBorder="1" applyAlignment="1">
      <alignment horizontal="left" vertical="top" wrapText="1"/>
    </xf>
    <xf numFmtId="4" fontId="26" fillId="27" borderId="1" xfId="0" applyNumberFormat="1" applyFont="1" applyFill="1" applyBorder="1" applyAlignment="1">
      <alignment horizontal="left" vertical="top" wrapText="1"/>
    </xf>
    <xf numFmtId="0" fontId="23" fillId="35" borderId="1" xfId="0" applyFont="1" applyFill="1" applyBorder="1" applyAlignment="1">
      <alignment horizontal="justify" vertical="top" wrapText="1"/>
    </xf>
    <xf numFmtId="0" fontId="23" fillId="25" borderId="1" xfId="0" applyFont="1" applyFill="1" applyBorder="1" applyAlignment="1">
      <alignment horizontal="left" vertical="top" wrapText="1"/>
    </xf>
    <xf numFmtId="4" fontId="23" fillId="0" borderId="7" xfId="0" applyNumberFormat="1" applyFont="1" applyBorder="1" applyAlignment="1">
      <alignment horizontal="left" vertical="top" wrapText="1"/>
    </xf>
    <xf numFmtId="0" fontId="30" fillId="35" borderId="1" xfId="0" applyFont="1" applyFill="1" applyBorder="1" applyAlignment="1">
      <alignment horizontal="justify" vertical="top" wrapText="1"/>
    </xf>
    <xf numFmtId="0" fontId="26" fillId="20" borderId="1" xfId="0" applyFont="1" applyFill="1" applyBorder="1" applyAlignment="1">
      <alignment horizontal="left" vertical="top" wrapText="1"/>
    </xf>
    <xf numFmtId="0" fontId="26" fillId="20" borderId="1" xfId="0" applyFont="1" applyFill="1" applyBorder="1" applyAlignment="1">
      <alignment vertical="top" wrapText="1"/>
    </xf>
    <xf numFmtId="4" fontId="26" fillId="20" borderId="1" xfId="0" applyNumberFormat="1" applyFont="1" applyFill="1" applyBorder="1" applyAlignment="1">
      <alignment horizontal="left" vertical="top" wrapText="1"/>
    </xf>
    <xf numFmtId="4" fontId="26" fillId="20" borderId="7" xfId="0" applyNumberFormat="1" applyFont="1" applyFill="1" applyBorder="1" applyAlignment="1">
      <alignment horizontal="left" vertical="top" wrapText="1"/>
    </xf>
    <xf numFmtId="0" fontId="23" fillId="6" borderId="1" xfId="0" applyFont="1" applyFill="1" applyBorder="1" applyAlignment="1">
      <alignment horizontal="left" vertical="top" wrapText="1"/>
    </xf>
    <xf numFmtId="0" fontId="23" fillId="20" borderId="1" xfId="0" applyFont="1" applyFill="1" applyBorder="1" applyAlignment="1">
      <alignment horizontal="left" vertical="top" wrapText="1"/>
    </xf>
    <xf numFmtId="0" fontId="23" fillId="35" borderId="1" xfId="0" applyFont="1" applyFill="1" applyBorder="1" applyAlignment="1">
      <alignment horizontal="left" vertical="top" wrapText="1"/>
    </xf>
    <xf numFmtId="0" fontId="26" fillId="22" borderId="1" xfId="0" applyFont="1" applyFill="1" applyBorder="1" applyAlignment="1">
      <alignment horizontal="left" vertical="top" wrapText="1"/>
    </xf>
    <xf numFmtId="0" fontId="26" fillId="22" borderId="1" xfId="0" applyFont="1" applyFill="1" applyBorder="1" applyAlignment="1">
      <alignment vertical="top" wrapText="1"/>
    </xf>
    <xf numFmtId="4" fontId="26" fillId="22" borderId="1" xfId="0" applyNumberFormat="1" applyFont="1" applyFill="1" applyBorder="1" applyAlignment="1">
      <alignment horizontal="left" vertical="top" wrapText="1"/>
    </xf>
    <xf numFmtId="4" fontId="26" fillId="22" borderId="7" xfId="0" applyNumberFormat="1" applyFont="1" applyFill="1" applyBorder="1" applyAlignment="1">
      <alignment horizontal="left" vertical="top" wrapText="1"/>
    </xf>
    <xf numFmtId="0" fontId="23" fillId="8" borderId="1" xfId="0" applyFont="1" applyFill="1" applyBorder="1" applyAlignment="1">
      <alignment horizontal="left" vertical="top" wrapText="1"/>
    </xf>
    <xf numFmtId="0" fontId="30" fillId="0" borderId="1" xfId="0" applyFont="1" applyBorder="1" applyAlignment="1">
      <alignment horizontal="justify" vertical="top" wrapText="1"/>
    </xf>
    <xf numFmtId="0" fontId="26" fillId="8" borderId="1" xfId="0" applyFont="1" applyFill="1" applyBorder="1" applyAlignment="1">
      <alignment horizontal="left" vertical="top" wrapText="1"/>
    </xf>
    <xf numFmtId="0" fontId="26" fillId="8" borderId="1" xfId="0" applyFont="1" applyFill="1" applyBorder="1" applyAlignment="1">
      <alignment vertical="top" wrapText="1"/>
    </xf>
    <xf numFmtId="4" fontId="26" fillId="8" borderId="1" xfId="0" applyNumberFormat="1" applyFont="1" applyFill="1" applyBorder="1" applyAlignment="1">
      <alignment horizontal="left" vertical="top" wrapText="1"/>
    </xf>
    <xf numFmtId="0" fontId="23" fillId="9" borderId="1" xfId="0" applyFont="1" applyFill="1" applyBorder="1" applyAlignment="1">
      <alignment horizontal="left" vertical="top" wrapText="1"/>
    </xf>
    <xf numFmtId="0" fontId="23" fillId="24" borderId="1" xfId="0" applyFont="1" applyFill="1" applyBorder="1" applyAlignment="1">
      <alignment horizontal="left" vertical="top" wrapText="1"/>
    </xf>
    <xf numFmtId="0" fontId="23" fillId="10" borderId="1" xfId="0" applyFont="1" applyFill="1" applyBorder="1" applyAlignment="1">
      <alignment horizontal="center" vertical="top" wrapText="1"/>
    </xf>
    <xf numFmtId="0" fontId="26" fillId="11" borderId="1" xfId="0" applyFont="1" applyFill="1" applyBorder="1" applyAlignment="1">
      <alignment horizontal="left" vertical="top" wrapText="1"/>
    </xf>
    <xf numFmtId="0" fontId="26" fillId="11" borderId="1" xfId="0" applyFont="1" applyFill="1" applyBorder="1" applyAlignment="1">
      <alignment vertical="top" wrapText="1"/>
    </xf>
    <xf numFmtId="4" fontId="26" fillId="11" borderId="1" xfId="0" applyNumberFormat="1" applyFont="1" applyFill="1" applyBorder="1" applyAlignment="1">
      <alignment horizontal="left" vertical="top" wrapText="1"/>
    </xf>
    <xf numFmtId="4" fontId="26" fillId="31" borderId="1" xfId="0" applyNumberFormat="1" applyFont="1" applyFill="1" applyBorder="1" applyAlignment="1">
      <alignment horizontal="left" vertical="top" wrapText="1"/>
    </xf>
    <xf numFmtId="4" fontId="26" fillId="31" borderId="7" xfId="0" applyNumberFormat="1" applyFont="1" applyFill="1" applyBorder="1" applyAlignment="1">
      <alignment horizontal="left" vertical="top" wrapText="1"/>
    </xf>
    <xf numFmtId="0" fontId="23" fillId="12" borderId="1" xfId="0" applyFont="1" applyFill="1" applyBorder="1" applyAlignment="1">
      <alignment horizontal="left" vertical="top" wrapText="1"/>
    </xf>
    <xf numFmtId="0" fontId="26" fillId="14" borderId="1" xfId="0" applyFont="1" applyFill="1" applyBorder="1" applyAlignment="1">
      <alignment horizontal="left" vertical="top" wrapText="1"/>
    </xf>
    <xf numFmtId="0" fontId="26" fillId="14" borderId="1" xfId="0" applyFont="1" applyFill="1" applyBorder="1" applyAlignment="1">
      <alignment vertical="top" wrapText="1"/>
    </xf>
    <xf numFmtId="4" fontId="26" fillId="14" borderId="1" xfId="0" applyNumberFormat="1" applyFont="1" applyFill="1" applyBorder="1" applyAlignment="1">
      <alignment horizontal="left" vertical="top" wrapText="1"/>
    </xf>
    <xf numFmtId="4" fontId="26" fillId="32" borderId="1" xfId="0" applyNumberFormat="1" applyFont="1" applyFill="1" applyBorder="1" applyAlignment="1">
      <alignment horizontal="left" vertical="top" wrapText="1"/>
    </xf>
    <xf numFmtId="4" fontId="26" fillId="32" borderId="7" xfId="0" applyNumberFormat="1" applyFont="1" applyFill="1" applyBorder="1" applyAlignment="1">
      <alignment horizontal="left" vertical="top" wrapText="1"/>
    </xf>
    <xf numFmtId="0" fontId="23" fillId="15" borderId="1" xfId="0" applyFont="1" applyFill="1" applyBorder="1" applyAlignment="1">
      <alignment horizontal="left" vertical="top" wrapText="1"/>
    </xf>
    <xf numFmtId="4" fontId="23" fillId="35" borderId="1" xfId="0" applyNumberFormat="1" applyFont="1" applyFill="1" applyBorder="1" applyAlignment="1">
      <alignment horizontal="left" vertical="top" wrapText="1"/>
    </xf>
    <xf numFmtId="0" fontId="23" fillId="0" borderId="8" xfId="0" applyFont="1" applyBorder="1" applyAlignment="1">
      <alignment horizontal="left" vertical="top" wrapText="1"/>
    </xf>
    <xf numFmtId="0" fontId="26" fillId="19" borderId="1" xfId="0" applyFont="1" applyFill="1" applyBorder="1" applyAlignment="1">
      <alignment horizontal="left" vertical="top" wrapText="1"/>
    </xf>
    <xf numFmtId="0" fontId="26" fillId="19" borderId="1" xfId="0" applyFont="1" applyFill="1" applyBorder="1" applyAlignment="1">
      <alignment vertical="top" wrapText="1"/>
    </xf>
    <xf numFmtId="4" fontId="26" fillId="19" borderId="1" xfId="0" applyNumberFormat="1" applyFont="1" applyFill="1" applyBorder="1" applyAlignment="1">
      <alignment horizontal="left" vertical="top" wrapText="1"/>
    </xf>
    <xf numFmtId="4" fontId="26" fillId="19" borderId="7" xfId="0" applyNumberFormat="1" applyFont="1" applyFill="1" applyBorder="1" applyAlignment="1">
      <alignment horizontal="left" vertical="top" wrapText="1"/>
    </xf>
    <xf numFmtId="0" fontId="23" fillId="16" borderId="1" xfId="0" applyFont="1" applyFill="1" applyBorder="1" applyAlignment="1">
      <alignment horizontal="left" vertical="top" wrapText="1"/>
    </xf>
    <xf numFmtId="0" fontId="23" fillId="19" borderId="1" xfId="0" applyFont="1" applyFill="1" applyBorder="1" applyAlignment="1">
      <alignment horizontal="left" vertical="top" wrapText="1"/>
    </xf>
    <xf numFmtId="0" fontId="23" fillId="5" borderId="1" xfId="0" applyFont="1" applyFill="1" applyBorder="1" applyAlignment="1">
      <alignment vertical="top" wrapText="1"/>
    </xf>
    <xf numFmtId="0" fontId="23" fillId="0" borderId="0" xfId="0" applyFont="1" applyAlignment="1">
      <alignment horizontal="justify" vertical="top"/>
    </xf>
    <xf numFmtId="4" fontId="23" fillId="0" borderId="0" xfId="0" applyNumberFormat="1" applyFont="1" applyAlignment="1">
      <alignment horizontal="left" vertical="top"/>
    </xf>
    <xf numFmtId="0" fontId="3" fillId="17" borderId="1" xfId="0" applyFont="1" applyFill="1" applyBorder="1" applyAlignment="1">
      <alignment vertical="top" wrapText="1"/>
    </xf>
    <xf numFmtId="0" fontId="3" fillId="0" borderId="1" xfId="0" applyFont="1" applyBorder="1" applyAlignment="1">
      <alignment vertical="top" wrapText="1"/>
    </xf>
    <xf numFmtId="0" fontId="35" fillId="0" borderId="1" xfId="0" applyFont="1" applyBorder="1" applyAlignment="1">
      <alignment horizontal="left" vertical="top" wrapText="1"/>
    </xf>
    <xf numFmtId="0" fontId="3" fillId="10" borderId="6" xfId="0" applyFont="1" applyFill="1" applyBorder="1" applyAlignment="1">
      <alignment horizontal="center" vertical="top" wrapText="1"/>
    </xf>
    <xf numFmtId="0" fontId="11" fillId="0" borderId="1" xfId="2" applyFont="1" applyBorder="1" applyAlignment="1">
      <alignment horizontal="justify" vertical="top" wrapText="1"/>
    </xf>
    <xf numFmtId="0" fontId="35" fillId="5" borderId="2" xfId="0" applyFont="1" applyFill="1" applyBorder="1" applyAlignment="1">
      <alignment horizontal="left" vertical="top" wrapText="1"/>
    </xf>
    <xf numFmtId="0" fontId="35" fillId="5" borderId="3" xfId="0" applyFont="1" applyFill="1" applyBorder="1" applyAlignment="1">
      <alignment horizontal="left" vertical="top" wrapText="1"/>
    </xf>
    <xf numFmtId="0" fontId="35" fillId="5" borderId="4" xfId="0" applyFont="1" applyFill="1" applyBorder="1" applyAlignment="1">
      <alignment horizontal="left" vertical="top" wrapText="1"/>
    </xf>
    <xf numFmtId="4" fontId="3" fillId="0" borderId="2" xfId="0" applyNumberFormat="1" applyFont="1" applyBorder="1" applyAlignment="1">
      <alignment horizontal="center" vertical="top" wrapText="1"/>
    </xf>
    <xf numFmtId="4" fontId="3" fillId="0" borderId="4" xfId="0" applyNumberFormat="1" applyFont="1" applyBorder="1" applyAlignment="1">
      <alignment horizontal="center" vertical="top" wrapText="1"/>
    </xf>
    <xf numFmtId="4" fontId="3" fillId="0" borderId="2" xfId="0" applyNumberFormat="1" applyFont="1" applyBorder="1" applyAlignment="1">
      <alignment horizontal="center" vertical="top" shrinkToFit="1"/>
    </xf>
    <xf numFmtId="4" fontId="3" fillId="0" borderId="4" xfId="0" applyNumberFormat="1" applyFont="1" applyBorder="1" applyAlignment="1">
      <alignment horizontal="center" vertical="top" shrinkToFit="1"/>
    </xf>
    <xf numFmtId="0" fontId="35" fillId="22" borderId="1" xfId="0" applyFont="1" applyFill="1" applyBorder="1" applyAlignment="1">
      <alignment horizontal="left" vertical="top" wrapText="1"/>
    </xf>
    <xf numFmtId="0" fontId="35" fillId="5" borderId="1" xfId="0" applyFont="1" applyFill="1" applyBorder="1" applyAlignment="1">
      <alignment horizontal="left" vertical="top" wrapText="1"/>
    </xf>
    <xf numFmtId="4" fontId="3" fillId="0" borderId="1" xfId="0" applyNumberFormat="1" applyFont="1" applyBorder="1" applyAlignment="1">
      <alignment horizontal="center" vertical="top" shrinkToFit="1"/>
    </xf>
    <xf numFmtId="0" fontId="35" fillId="14" borderId="1" xfId="0" applyFont="1" applyFill="1" applyBorder="1" applyAlignment="1">
      <alignment horizontal="left" vertical="top" wrapText="1"/>
    </xf>
    <xf numFmtId="0" fontId="4" fillId="0" borderId="1" xfId="0" applyFont="1" applyBorder="1" applyAlignment="1">
      <alignment horizontal="left" vertical="top" wrapText="1" indent="4"/>
    </xf>
    <xf numFmtId="0" fontId="3" fillId="13" borderId="5" xfId="0" applyFont="1" applyFill="1" applyBorder="1" applyAlignment="1">
      <alignment horizontal="center" vertical="top" wrapText="1"/>
    </xf>
    <xf numFmtId="0" fontId="3" fillId="13" borderId="6" xfId="0" applyFont="1" applyFill="1" applyBorder="1" applyAlignment="1">
      <alignment horizontal="center" vertical="top" wrapText="1"/>
    </xf>
    <xf numFmtId="0" fontId="3" fillId="13" borderId="7" xfId="0" applyFont="1" applyFill="1" applyBorder="1" applyAlignment="1">
      <alignment horizontal="center" vertical="top" wrapText="1"/>
    </xf>
    <xf numFmtId="0" fontId="35" fillId="11" borderId="1" xfId="0" applyFont="1" applyFill="1" applyBorder="1" applyAlignment="1">
      <alignment horizontal="left" vertical="top" wrapText="1"/>
    </xf>
    <xf numFmtId="0" fontId="3" fillId="10" borderId="5" xfId="0" applyFont="1" applyFill="1" applyBorder="1" applyAlignment="1">
      <alignment horizontal="center" vertical="top" wrapText="1"/>
    </xf>
    <xf numFmtId="0" fontId="3" fillId="10" borderId="6"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21" borderId="5" xfId="0" applyFont="1" applyFill="1" applyBorder="1" applyAlignment="1">
      <alignment horizontal="center" vertical="top" wrapText="1"/>
    </xf>
    <xf numFmtId="0" fontId="3" fillId="21" borderId="6" xfId="0" applyFont="1" applyFill="1" applyBorder="1" applyAlignment="1">
      <alignment horizontal="center" vertical="top" wrapText="1"/>
    </xf>
    <xf numFmtId="0" fontId="3" fillId="21" borderId="7" xfId="0" applyFont="1" applyFill="1" applyBorder="1" applyAlignment="1">
      <alignment horizontal="center" vertical="top" wrapText="1"/>
    </xf>
    <xf numFmtId="0" fontId="35" fillId="20" borderId="2" xfId="0" applyFont="1" applyFill="1" applyBorder="1" applyAlignment="1">
      <alignment horizontal="left" vertical="top" wrapText="1"/>
    </xf>
    <xf numFmtId="0" fontId="35" fillId="20" borderId="3" xfId="0" applyFont="1" applyFill="1" applyBorder="1" applyAlignment="1">
      <alignment horizontal="left" vertical="top" wrapText="1"/>
    </xf>
    <xf numFmtId="0" fontId="35" fillId="20" borderId="4" xfId="0" applyFont="1" applyFill="1" applyBorder="1" applyAlignment="1">
      <alignment horizontal="left" vertical="top" wrapText="1"/>
    </xf>
    <xf numFmtId="0" fontId="3" fillId="7" borderId="1" xfId="0" applyFont="1" applyFill="1" applyBorder="1" applyAlignment="1">
      <alignment horizontal="left" vertical="top" wrapText="1"/>
    </xf>
    <xf numFmtId="4" fontId="3" fillId="0" borderId="1" xfId="0" applyNumberFormat="1" applyFont="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 fillId="0" borderId="1" xfId="0" applyFont="1" applyBorder="1" applyAlignment="1">
      <alignment horizontal="left" vertical="top" wrapText="1" indent="2"/>
    </xf>
    <xf numFmtId="0" fontId="2" fillId="3" borderId="1" xfId="0" applyFont="1" applyFill="1" applyBorder="1" applyAlignment="1">
      <alignment horizontal="left" vertical="top" wrapText="1"/>
    </xf>
    <xf numFmtId="0" fontId="35" fillId="0" borderId="1" xfId="0" applyFont="1" applyBorder="1" applyAlignment="1">
      <alignment horizontal="left" vertical="top" wrapText="1"/>
    </xf>
    <xf numFmtId="0" fontId="35" fillId="4" borderId="1" xfId="0" applyFont="1" applyFill="1" applyBorder="1" applyAlignment="1">
      <alignment horizontal="left" vertical="top" wrapText="1"/>
    </xf>
    <xf numFmtId="0" fontId="8" fillId="0" borderId="9" xfId="0" applyFont="1" applyBorder="1" applyAlignment="1">
      <alignment horizontal="right" vertical="top" wrapText="1"/>
    </xf>
    <xf numFmtId="0" fontId="8" fillId="0" borderId="9" xfId="0" applyFont="1" applyBorder="1" applyAlignment="1">
      <alignment horizontal="right" vertical="top"/>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35" fillId="8" borderId="4" xfId="0" applyFont="1" applyFill="1" applyBorder="1" applyAlignment="1">
      <alignment horizontal="left" vertical="top" wrapText="1"/>
    </xf>
    <xf numFmtId="0" fontId="35" fillId="19" borderId="2" xfId="0" applyFont="1" applyFill="1" applyBorder="1" applyAlignment="1">
      <alignment horizontal="left" vertical="top" wrapText="1"/>
    </xf>
    <xf numFmtId="0" fontId="35" fillId="19" borderId="3" xfId="0" applyFont="1" applyFill="1" applyBorder="1" applyAlignment="1">
      <alignment horizontal="left" vertical="top" wrapText="1"/>
    </xf>
    <xf numFmtId="0" fontId="35" fillId="19" borderId="4" xfId="0" applyFont="1" applyFill="1" applyBorder="1" applyAlignment="1">
      <alignment horizontal="left" vertical="top" wrapText="1"/>
    </xf>
    <xf numFmtId="0" fontId="3" fillId="18" borderId="5" xfId="0" applyFont="1" applyFill="1" applyBorder="1" applyAlignment="1">
      <alignment horizontal="center" vertical="top" wrapText="1"/>
    </xf>
    <xf numFmtId="0" fontId="3" fillId="18" borderId="6" xfId="0" applyFont="1" applyFill="1" applyBorder="1" applyAlignment="1">
      <alignment horizontal="center" vertical="top" wrapText="1"/>
    </xf>
    <xf numFmtId="0" fontId="3" fillId="18" borderId="7" xfId="0" applyFont="1" applyFill="1" applyBorder="1" applyAlignment="1">
      <alignment horizontal="center" vertical="top" wrapText="1"/>
    </xf>
    <xf numFmtId="0" fontId="3" fillId="23" borderId="5" xfId="0" applyFont="1" applyFill="1" applyBorder="1" applyAlignment="1">
      <alignment horizontal="center" vertical="top" wrapText="1"/>
    </xf>
    <xf numFmtId="0" fontId="3" fillId="23" borderId="6" xfId="0" applyFont="1" applyFill="1" applyBorder="1" applyAlignment="1">
      <alignment horizontal="center" vertical="top" wrapText="1"/>
    </xf>
    <xf numFmtId="0" fontId="3" fillId="23" borderId="7"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4" fontId="2" fillId="5" borderId="4" xfId="0" applyNumberFormat="1" applyFont="1" applyFill="1" applyBorder="1" applyAlignment="1">
      <alignment horizontal="center" vertical="top" wrapText="1"/>
    </xf>
    <xf numFmtId="0" fontId="17" fillId="0" borderId="1" xfId="0" applyFont="1" applyBorder="1" applyAlignment="1">
      <alignment horizontal="left" vertical="top" wrapText="1" indent="4"/>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8" fillId="33" borderId="1" xfId="0" applyFont="1" applyFill="1" applyBorder="1" applyAlignment="1">
      <alignment horizontal="center" vertical="top" wrapText="1"/>
    </xf>
    <xf numFmtId="0" fontId="2" fillId="19" borderId="2" xfId="0" applyFont="1" applyFill="1" applyBorder="1" applyAlignment="1">
      <alignment horizontal="left" vertical="top" wrapText="1"/>
    </xf>
    <xf numFmtId="0" fontId="2" fillId="19" borderId="4" xfId="0" applyFont="1" applyFill="1" applyBorder="1" applyAlignment="1">
      <alignment horizontal="left" vertical="top" wrapText="1"/>
    </xf>
    <xf numFmtId="4" fontId="2" fillId="19" borderId="2" xfId="0" applyNumberFormat="1" applyFont="1" applyFill="1" applyBorder="1" applyAlignment="1">
      <alignment horizontal="center" vertical="top" wrapText="1"/>
    </xf>
    <xf numFmtId="4" fontId="2" fillId="19" borderId="4" xfId="0" applyNumberFormat="1" applyFont="1" applyFill="1" applyBorder="1" applyAlignment="1">
      <alignment horizontal="center" vertical="top" wrapText="1"/>
    </xf>
    <xf numFmtId="0" fontId="8" fillId="13" borderId="1" xfId="0" applyFont="1" applyFill="1" applyBorder="1" applyAlignment="1">
      <alignment horizontal="center" vertical="top" wrapText="1"/>
    </xf>
    <xf numFmtId="0" fontId="2" fillId="14" borderId="2" xfId="0" applyFont="1" applyFill="1" applyBorder="1" applyAlignment="1">
      <alignment horizontal="left" vertical="top" wrapText="1"/>
    </xf>
    <xf numFmtId="0" fontId="2" fillId="14" borderId="4" xfId="0" applyFont="1" applyFill="1" applyBorder="1" applyAlignment="1">
      <alignment horizontal="left" vertical="top" wrapText="1"/>
    </xf>
    <xf numFmtId="4" fontId="2" fillId="14" borderId="2" xfId="0" applyNumberFormat="1" applyFont="1" applyFill="1" applyBorder="1" applyAlignment="1">
      <alignment horizontal="center" vertical="top" wrapText="1"/>
    </xf>
    <xf numFmtId="4" fontId="2" fillId="14" borderId="4" xfId="0" applyNumberFormat="1" applyFont="1" applyFill="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4" fontId="3" fillId="29" borderId="1" xfId="0" applyNumberFormat="1" applyFont="1" applyFill="1" applyBorder="1" applyAlignment="1">
      <alignment horizontal="center" vertical="top" shrinkToFit="1"/>
    </xf>
    <xf numFmtId="4" fontId="3" fillId="29" borderId="2" xfId="0" applyNumberFormat="1" applyFont="1" applyFill="1" applyBorder="1" applyAlignment="1">
      <alignment horizontal="center" vertical="top" shrinkToFit="1"/>
    </xf>
    <xf numFmtId="4" fontId="3" fillId="29" borderId="4" xfId="0" applyNumberFormat="1" applyFont="1" applyFill="1" applyBorder="1" applyAlignment="1">
      <alignment horizontal="center" vertical="top" shrinkToFit="1"/>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0" fontId="8" fillId="10" borderId="5"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2" fillId="11" borderId="3" xfId="0" applyFont="1" applyFill="1" applyBorder="1" applyAlignment="1">
      <alignment horizontal="left" vertical="top" wrapText="1"/>
    </xf>
    <xf numFmtId="0" fontId="2" fillId="11" borderId="4" xfId="0" applyFont="1" applyFill="1" applyBorder="1" applyAlignment="1">
      <alignment horizontal="left" vertical="top" wrapText="1"/>
    </xf>
    <xf numFmtId="4" fontId="2" fillId="11" borderId="2" xfId="0" applyNumberFormat="1" applyFont="1" applyFill="1" applyBorder="1" applyAlignment="1">
      <alignment horizontal="center" vertical="top" wrapText="1"/>
    </xf>
    <xf numFmtId="4" fontId="2" fillId="11" borderId="4" xfId="0" applyNumberFormat="1" applyFont="1" applyFill="1" applyBorder="1" applyAlignment="1">
      <alignment horizontal="center" vertical="top" wrapText="1"/>
    </xf>
    <xf numFmtId="0" fontId="2" fillId="5" borderId="3" xfId="0" applyFont="1" applyFill="1" applyBorder="1" applyAlignment="1">
      <alignment horizontal="left" vertical="top" wrapText="1"/>
    </xf>
    <xf numFmtId="0" fontId="3" fillId="0" borderId="2" xfId="0" applyFont="1" applyBorder="1" applyAlignment="1">
      <alignment horizontal="justify" vertical="justify" wrapText="1"/>
    </xf>
    <xf numFmtId="0" fontId="3" fillId="0" borderId="4" xfId="0" applyFont="1" applyBorder="1" applyAlignment="1">
      <alignment horizontal="justify" vertical="justify" wrapText="1"/>
    </xf>
    <xf numFmtId="0" fontId="8" fillId="30" borderId="1" xfId="0" applyFont="1" applyFill="1" applyBorder="1" applyAlignment="1">
      <alignment horizontal="center" vertical="top" wrapText="1"/>
    </xf>
    <xf numFmtId="0" fontId="2" fillId="24" borderId="3" xfId="0" applyFont="1" applyFill="1" applyBorder="1" applyAlignment="1">
      <alignment horizontal="left" vertical="top" wrapText="1"/>
    </xf>
    <xf numFmtId="0" fontId="2" fillId="24" borderId="4" xfId="0" applyFont="1" applyFill="1" applyBorder="1" applyAlignment="1">
      <alignment horizontal="left" vertical="top" wrapText="1"/>
    </xf>
    <xf numFmtId="4" fontId="2" fillId="24" borderId="2" xfId="0" applyNumberFormat="1" applyFont="1" applyFill="1" applyBorder="1" applyAlignment="1">
      <alignment horizontal="center" vertical="top" wrapText="1"/>
    </xf>
    <xf numFmtId="4" fontId="2" fillId="24" borderId="4" xfId="0" applyNumberFormat="1" applyFont="1" applyFill="1" applyBorder="1" applyAlignment="1">
      <alignment horizontal="center" vertical="top" wrapText="1"/>
    </xf>
    <xf numFmtId="0" fontId="8" fillId="7" borderId="1" xfId="0" applyFont="1" applyFill="1" applyBorder="1" applyAlignment="1">
      <alignment horizontal="left" vertical="top" wrapText="1"/>
    </xf>
    <xf numFmtId="0" fontId="2" fillId="22" borderId="2" xfId="0" applyFont="1" applyFill="1" applyBorder="1" applyAlignment="1">
      <alignment horizontal="left" vertical="top" wrapText="1"/>
    </xf>
    <xf numFmtId="0" fontId="2" fillId="22" borderId="4" xfId="0" applyFont="1" applyFill="1" applyBorder="1" applyAlignment="1">
      <alignment horizontal="left" vertical="top" wrapText="1"/>
    </xf>
    <xf numFmtId="4" fontId="2" fillId="22" borderId="2" xfId="0" applyNumberFormat="1" applyFont="1" applyFill="1" applyBorder="1" applyAlignment="1">
      <alignment horizontal="center" vertical="top" wrapText="1"/>
    </xf>
    <xf numFmtId="4" fontId="2" fillId="22" borderId="4" xfId="0" applyNumberFormat="1" applyFont="1" applyFill="1" applyBorder="1" applyAlignment="1">
      <alignment horizontal="center" vertical="top" wrapText="1"/>
    </xf>
    <xf numFmtId="0" fontId="2" fillId="5" borderId="1" xfId="0" applyFont="1" applyFill="1" applyBorder="1" applyAlignment="1">
      <alignment horizontal="left" vertical="top" wrapText="1"/>
    </xf>
    <xf numFmtId="4" fontId="3" fillId="0" borderId="1" xfId="0" applyNumberFormat="1" applyFont="1" applyBorder="1" applyAlignment="1">
      <alignment horizontal="left" vertical="top" shrinkToFit="1"/>
    </xf>
    <xf numFmtId="0" fontId="8" fillId="28" borderId="1" xfId="0" applyFont="1" applyFill="1" applyBorder="1" applyAlignment="1">
      <alignment horizontal="center" vertical="top" wrapText="1"/>
    </xf>
    <xf numFmtId="0" fontId="2" fillId="20" borderId="2" xfId="0" applyFont="1" applyFill="1" applyBorder="1" applyAlignment="1">
      <alignment horizontal="left" vertical="top" wrapText="1"/>
    </xf>
    <xf numFmtId="0" fontId="2" fillId="20" borderId="4" xfId="0" applyFont="1" applyFill="1" applyBorder="1" applyAlignment="1">
      <alignment horizontal="left" vertical="top" wrapText="1"/>
    </xf>
    <xf numFmtId="4" fontId="2" fillId="20" borderId="2" xfId="0" applyNumberFormat="1" applyFont="1" applyFill="1" applyBorder="1" applyAlignment="1">
      <alignment horizontal="center" vertical="top" wrapText="1"/>
    </xf>
    <xf numFmtId="4" fontId="2" fillId="20" borderId="4"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4" fontId="3" fillId="0" borderId="2" xfId="0" applyNumberFormat="1" applyFont="1" applyBorder="1" applyAlignment="1">
      <alignment horizontal="left" vertical="top" shrinkToFit="1"/>
    </xf>
    <xf numFmtId="4" fontId="3" fillId="0" borderId="4" xfId="0" applyNumberFormat="1" applyFont="1" applyBorder="1" applyAlignment="1">
      <alignment horizontal="left" vertical="top" shrinkToFit="1"/>
    </xf>
    <xf numFmtId="0" fontId="2" fillId="0" borderId="1" xfId="0" applyFont="1" applyBorder="1" applyAlignment="1">
      <alignment horizontal="left" vertical="top" wrapText="1"/>
    </xf>
    <xf numFmtId="4" fontId="2" fillId="0" borderId="1" xfId="0" applyNumberFormat="1" applyFont="1" applyBorder="1" applyAlignment="1">
      <alignment horizontal="center" vertical="top" wrapText="1"/>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wrapText="1"/>
    </xf>
    <xf numFmtId="4" fontId="2" fillId="4" borderId="2" xfId="0" applyNumberFormat="1" applyFont="1" applyFill="1" applyBorder="1" applyAlignment="1">
      <alignment horizontal="center" vertical="top" wrapText="1"/>
    </xf>
    <xf numFmtId="4" fontId="2" fillId="4" borderId="4" xfId="0" applyNumberFormat="1" applyFont="1" applyFill="1" applyBorder="1" applyAlignment="1">
      <alignment horizontal="center" vertical="top" wrapText="1"/>
    </xf>
    <xf numFmtId="0" fontId="8" fillId="0" borderId="0" xfId="0" applyFont="1" applyAlignment="1">
      <alignment horizontal="right" vertical="top" wrapText="1"/>
    </xf>
    <xf numFmtId="0" fontId="8" fillId="2" borderId="1" xfId="0" applyFont="1" applyFill="1" applyBorder="1" applyAlignment="1">
      <alignment horizontal="center"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horizontal="justify" vertical="top" wrapText="1"/>
    </xf>
    <xf numFmtId="0" fontId="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26" borderId="1" xfId="0" applyFont="1" applyFill="1" applyBorder="1" applyAlignment="1">
      <alignment horizontal="center" vertical="top" wrapText="1"/>
    </xf>
    <xf numFmtId="0" fontId="2" fillId="26" borderId="2" xfId="0" applyFont="1" applyFill="1" applyBorder="1" applyAlignment="1">
      <alignment horizontal="center" vertical="top" wrapText="1"/>
    </xf>
    <xf numFmtId="0" fontId="8" fillId="26" borderId="3" xfId="0" applyFont="1" applyFill="1" applyBorder="1" applyAlignment="1">
      <alignment horizontal="center" vertical="top" wrapText="1"/>
    </xf>
    <xf numFmtId="0" fontId="8" fillId="26" borderId="4" xfId="0" applyFont="1" applyFill="1" applyBorder="1" applyAlignment="1">
      <alignment horizontal="center" vertical="top" wrapText="1"/>
    </xf>
    <xf numFmtId="0" fontId="2" fillId="26" borderId="10" xfId="0" applyFont="1" applyFill="1" applyBorder="1" applyAlignment="1">
      <alignment horizontal="center" vertical="top" wrapText="1"/>
    </xf>
    <xf numFmtId="0" fontId="2" fillId="26" borderId="12" xfId="0" applyFont="1" applyFill="1" applyBorder="1" applyAlignment="1">
      <alignment horizontal="center" vertical="top" wrapText="1"/>
    </xf>
    <xf numFmtId="0" fontId="2" fillId="26" borderId="14" xfId="0" applyFont="1" applyFill="1" applyBorder="1" applyAlignment="1">
      <alignment horizontal="center" vertical="top" wrapText="1"/>
    </xf>
    <xf numFmtId="4" fontId="2" fillId="3" borderId="5" xfId="0" applyNumberFormat="1" applyFont="1" applyFill="1" applyBorder="1" applyAlignment="1">
      <alignment horizontal="center" vertical="top" wrapText="1"/>
    </xf>
    <xf numFmtId="4" fontId="8" fillId="3" borderId="6" xfId="0" applyNumberFormat="1" applyFont="1" applyFill="1" applyBorder="1" applyAlignment="1">
      <alignment horizontal="center" vertical="top" wrapText="1"/>
    </xf>
    <xf numFmtId="4" fontId="8" fillId="3" borderId="7" xfId="0" applyNumberFormat="1" applyFont="1" applyFill="1" applyBorder="1" applyAlignment="1">
      <alignment horizontal="center"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5" xfId="0" applyFont="1" applyFill="1" applyBorder="1" applyAlignment="1">
      <alignment horizontal="left" vertical="top" wrapText="1"/>
    </xf>
    <xf numFmtId="0" fontId="11" fillId="18" borderId="1" xfId="0" applyFont="1" applyFill="1" applyBorder="1" applyAlignment="1">
      <alignment horizontal="center" vertical="top" wrapText="1"/>
    </xf>
    <xf numFmtId="0" fontId="2" fillId="19"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0" borderId="1" xfId="0" applyFont="1" applyBorder="1" applyAlignment="1">
      <alignment horizontal="left" vertical="top" wrapText="1" indent="4"/>
    </xf>
    <xf numFmtId="0" fontId="11" fillId="10" borderId="1" xfId="0" applyFont="1" applyFill="1" applyBorder="1" applyAlignment="1">
      <alignment horizontal="center" vertical="top" wrapText="1"/>
    </xf>
    <xf numFmtId="0" fontId="2" fillId="11" borderId="1" xfId="0" applyFont="1" applyFill="1" applyBorder="1" applyAlignment="1">
      <alignment horizontal="left" vertical="top" wrapText="1"/>
    </xf>
    <xf numFmtId="0" fontId="11" fillId="13" borderId="1" xfId="0" applyFont="1" applyFill="1" applyBorder="1" applyAlignment="1">
      <alignment horizontal="center" vertical="top" wrapText="1"/>
    </xf>
    <xf numFmtId="0" fontId="2" fillId="14" borderId="1" xfId="0" applyFont="1" applyFill="1" applyBorder="1" applyAlignment="1">
      <alignment horizontal="left" vertical="top" wrapText="1"/>
    </xf>
    <xf numFmtId="0" fontId="11" fillId="23" borderId="1" xfId="0" applyFont="1" applyFill="1" applyBorder="1" applyAlignment="1">
      <alignment horizontal="center" vertical="top" wrapText="1"/>
    </xf>
    <xf numFmtId="0" fontId="2" fillId="8" borderId="1" xfId="0" applyFont="1" applyFill="1" applyBorder="1" applyAlignment="1">
      <alignment horizontal="left" vertical="top" wrapText="1"/>
    </xf>
    <xf numFmtId="0" fontId="11" fillId="21" borderId="1" xfId="0" applyFont="1" applyFill="1" applyBorder="1" applyAlignment="1">
      <alignment horizontal="center" vertical="top" wrapText="1"/>
    </xf>
    <xf numFmtId="0" fontId="2" fillId="20"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2" fillId="22" borderId="1"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0" borderId="7" xfId="0" applyFont="1" applyBorder="1" applyAlignment="1">
      <alignment horizontal="left" vertical="top" wrapText="1"/>
    </xf>
    <xf numFmtId="0" fontId="11" fillId="2" borderId="1" xfId="0" applyFont="1" applyFill="1" applyBorder="1" applyAlignment="1">
      <alignment horizontal="center" vertical="top" wrapText="1"/>
    </xf>
    <xf numFmtId="0" fontId="2" fillId="4" borderId="1" xfId="0" applyFont="1" applyFill="1" applyBorder="1" applyAlignment="1">
      <alignment horizontal="left" vertical="top" wrapText="1"/>
    </xf>
    <xf numFmtId="4" fontId="2" fillId="17" borderId="5" xfId="0" applyNumberFormat="1" applyFont="1" applyFill="1" applyBorder="1" applyAlignment="1">
      <alignment horizontal="center" vertical="top" wrapText="1"/>
    </xf>
    <xf numFmtId="4" fontId="2" fillId="17" borderId="6" xfId="0" applyNumberFormat="1" applyFont="1" applyFill="1" applyBorder="1" applyAlignment="1">
      <alignment horizontal="center" vertical="top" wrapText="1"/>
    </xf>
    <xf numFmtId="4" fontId="2" fillId="17" borderId="17" xfId="0" applyNumberFormat="1"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0" fontId="11" fillId="0" borderId="9" xfId="0" applyFont="1" applyBorder="1" applyAlignment="1">
      <alignment horizontal="right" vertical="top" wrapText="1"/>
    </xf>
    <xf numFmtId="0" fontId="11" fillId="0" borderId="9" xfId="0" applyFont="1" applyBorder="1" applyAlignment="1">
      <alignment horizontal="right" vertical="top"/>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3" borderId="1" xfId="0" applyFont="1" applyFill="1" applyBorder="1" applyAlignment="1">
      <alignment horizontal="left" vertical="top" wrapText="1"/>
    </xf>
    <xf numFmtId="0" fontId="11" fillId="3" borderId="16" xfId="0" applyFont="1" applyFill="1" applyBorder="1" applyAlignment="1">
      <alignment horizontal="left" vertical="top" wrapText="1"/>
    </xf>
    <xf numFmtId="4" fontId="2" fillId="17" borderId="1" xfId="0" applyNumberFormat="1" applyFont="1" applyFill="1" applyBorder="1" applyAlignment="1">
      <alignment horizontal="left" vertical="top" wrapText="1"/>
    </xf>
    <xf numFmtId="4" fontId="2" fillId="17" borderId="16" xfId="0" applyNumberFormat="1" applyFont="1" applyFill="1" applyBorder="1" applyAlignment="1">
      <alignment horizontal="left" vertical="top" wrapText="1"/>
    </xf>
    <xf numFmtId="4" fontId="2" fillId="26" borderId="1" xfId="0" applyNumberFormat="1" applyFont="1" applyFill="1" applyBorder="1" applyAlignment="1">
      <alignment horizontal="center" vertical="top" wrapText="1"/>
    </xf>
    <xf numFmtId="4" fontId="2" fillId="26" borderId="16" xfId="0" applyNumberFormat="1" applyFont="1" applyFill="1" applyBorder="1" applyAlignment="1">
      <alignment horizontal="center" vertical="top" wrapText="1"/>
    </xf>
    <xf numFmtId="4" fontId="2" fillId="3" borderId="1" xfId="0" applyNumberFormat="1" applyFont="1" applyFill="1" applyBorder="1" applyAlignment="1">
      <alignment horizontal="left" vertical="top" wrapText="1"/>
    </xf>
    <xf numFmtId="4" fontId="2" fillId="3" borderId="16" xfId="0" applyNumberFormat="1" applyFont="1" applyFill="1" applyBorder="1" applyAlignment="1">
      <alignment horizontal="left" vertical="top" wrapText="1"/>
    </xf>
    <xf numFmtId="4" fontId="2" fillId="17" borderId="1" xfId="0" applyNumberFormat="1" applyFont="1" applyFill="1" applyBorder="1" applyAlignment="1">
      <alignment horizontal="center" vertical="top" wrapText="1"/>
    </xf>
    <xf numFmtId="4" fontId="11" fillId="17" borderId="1" xfId="0" applyNumberFormat="1" applyFont="1" applyFill="1" applyBorder="1" applyAlignment="1">
      <alignment horizontal="center" vertical="top" wrapText="1"/>
    </xf>
    <xf numFmtId="4" fontId="11" fillId="17" borderId="16" xfId="0" applyNumberFormat="1" applyFont="1" applyFill="1" applyBorder="1" applyAlignment="1">
      <alignment horizontal="center" vertical="top" wrapText="1"/>
    </xf>
    <xf numFmtId="0" fontId="23" fillId="0" borderId="9" xfId="0" applyFont="1" applyBorder="1" applyAlignment="1">
      <alignment horizontal="right" vertical="top" wrapText="1"/>
    </xf>
    <xf numFmtId="0" fontId="23" fillId="0" borderId="9" xfId="0" applyFont="1" applyBorder="1" applyAlignment="1">
      <alignment horizontal="right" vertical="top"/>
    </xf>
    <xf numFmtId="0" fontId="25" fillId="0" borderId="1" xfId="0" applyFont="1" applyBorder="1" applyAlignment="1">
      <alignment horizontal="left" vertical="top" wrapText="1" indent="2"/>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3" fillId="0" borderId="7" xfId="0" applyFont="1" applyBorder="1" applyAlignment="1">
      <alignment horizontal="center" vertical="top" wrapText="1"/>
    </xf>
    <xf numFmtId="0" fontId="26" fillId="3" borderId="5" xfId="0" applyFont="1" applyFill="1" applyBorder="1" applyAlignment="1">
      <alignment horizontal="left" vertical="top" wrapText="1"/>
    </xf>
    <xf numFmtId="0" fontId="26" fillId="3" borderId="6"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16" xfId="0" applyFont="1" applyFill="1" applyBorder="1" applyAlignment="1">
      <alignment horizontal="left" vertical="top" wrapText="1"/>
    </xf>
    <xf numFmtId="0" fontId="23" fillId="3" borderId="1"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3" borderId="16" xfId="0" applyFont="1" applyFill="1" applyBorder="1" applyAlignment="1">
      <alignment horizontal="left" vertical="top" wrapText="1"/>
    </xf>
    <xf numFmtId="4" fontId="26" fillId="17" borderId="1" xfId="0" applyNumberFormat="1" applyFont="1" applyFill="1" applyBorder="1" applyAlignment="1">
      <alignment horizontal="left" vertical="top" wrapText="1"/>
    </xf>
    <xf numFmtId="4" fontId="26" fillId="17" borderId="5" xfId="0" applyNumberFormat="1" applyFont="1" applyFill="1" applyBorder="1" applyAlignment="1">
      <alignment horizontal="left" vertical="top" wrapText="1"/>
    </xf>
    <xf numFmtId="4" fontId="26" fillId="17" borderId="16" xfId="0" applyNumberFormat="1" applyFont="1" applyFill="1" applyBorder="1" applyAlignment="1">
      <alignment horizontal="left" vertical="top" wrapText="1"/>
    </xf>
    <xf numFmtId="0" fontId="26" fillId="26" borderId="2" xfId="0" applyFont="1" applyFill="1" applyBorder="1" applyAlignment="1">
      <alignment horizontal="center" vertical="top" wrapText="1"/>
    </xf>
    <xf numFmtId="0" fontId="26" fillId="26" borderId="3" xfId="0" applyFont="1" applyFill="1" applyBorder="1" applyAlignment="1">
      <alignment horizontal="center" vertical="top" wrapText="1"/>
    </xf>
    <xf numFmtId="0" fontId="26" fillId="26" borderId="4" xfId="0" applyFont="1" applyFill="1" applyBorder="1" applyAlignment="1">
      <alignment horizontal="center" vertical="top" wrapText="1"/>
    </xf>
    <xf numFmtId="4" fontId="26" fillId="26" borderId="1" xfId="0" applyNumberFormat="1" applyFont="1" applyFill="1" applyBorder="1" applyAlignment="1">
      <alignment horizontal="center" vertical="top" wrapText="1"/>
    </xf>
    <xf numFmtId="4" fontId="26" fillId="26" borderId="5" xfId="0" applyNumberFormat="1" applyFont="1" applyFill="1" applyBorder="1" applyAlignment="1">
      <alignment horizontal="center" vertical="top" wrapText="1"/>
    </xf>
    <xf numFmtId="4" fontId="26" fillId="26" borderId="16" xfId="0" applyNumberFormat="1" applyFont="1" applyFill="1" applyBorder="1" applyAlignment="1">
      <alignment horizontal="center" vertical="top" wrapText="1"/>
    </xf>
    <xf numFmtId="4" fontId="26" fillId="3" borderId="1" xfId="0" applyNumberFormat="1" applyFont="1" applyFill="1" applyBorder="1" applyAlignment="1">
      <alignment horizontal="left" vertical="top" wrapText="1"/>
    </xf>
    <xf numFmtId="4" fontId="26" fillId="3" borderId="5" xfId="0" applyNumberFormat="1" applyFont="1" applyFill="1" applyBorder="1" applyAlignment="1">
      <alignment horizontal="left" vertical="top" wrapText="1"/>
    </xf>
    <xf numFmtId="4" fontId="26" fillId="3" borderId="16" xfId="0" applyNumberFormat="1" applyFont="1" applyFill="1" applyBorder="1" applyAlignment="1">
      <alignment horizontal="left" vertical="top" wrapText="1"/>
    </xf>
    <xf numFmtId="4" fontId="26" fillId="17" borderId="1" xfId="0" applyNumberFormat="1" applyFont="1" applyFill="1" applyBorder="1" applyAlignment="1">
      <alignment horizontal="center" vertical="top" wrapText="1"/>
    </xf>
    <xf numFmtId="4" fontId="23" fillId="17" borderId="1" xfId="0" applyNumberFormat="1" applyFont="1" applyFill="1" applyBorder="1" applyAlignment="1">
      <alignment horizontal="center" vertical="top" wrapText="1"/>
    </xf>
    <xf numFmtId="4" fontId="23" fillId="17" borderId="5" xfId="0" applyNumberFormat="1" applyFont="1" applyFill="1" applyBorder="1" applyAlignment="1">
      <alignment horizontal="center" vertical="top" wrapText="1"/>
    </xf>
    <xf numFmtId="4" fontId="23" fillId="17" borderId="16" xfId="0" applyNumberFormat="1" applyFont="1" applyFill="1" applyBorder="1" applyAlignment="1">
      <alignment horizontal="center" vertical="top" wrapText="1"/>
    </xf>
    <xf numFmtId="4" fontId="26" fillId="17" borderId="5" xfId="0" applyNumberFormat="1" applyFont="1" applyFill="1" applyBorder="1" applyAlignment="1">
      <alignment horizontal="center" vertical="top" wrapText="1"/>
    </xf>
    <xf numFmtId="4" fontId="26" fillId="17" borderId="6" xfId="0" applyNumberFormat="1" applyFont="1" applyFill="1" applyBorder="1" applyAlignment="1">
      <alignment horizontal="center" vertical="top" wrapText="1"/>
    </xf>
    <xf numFmtId="4" fontId="26" fillId="17" borderId="17" xfId="0" applyNumberFormat="1" applyFont="1" applyFill="1" applyBorder="1" applyAlignment="1">
      <alignment horizontal="center" vertical="top" wrapText="1"/>
    </xf>
    <xf numFmtId="0" fontId="26" fillId="3" borderId="2"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4" xfId="0" applyFont="1" applyFill="1" applyBorder="1" applyAlignment="1">
      <alignment horizontal="center" vertical="top" wrapText="1"/>
    </xf>
    <xf numFmtId="4" fontId="26" fillId="3" borderId="1" xfId="0" applyNumberFormat="1" applyFont="1" applyFill="1" applyBorder="1" applyAlignment="1">
      <alignment horizontal="center" vertical="top" wrapText="1"/>
    </xf>
    <xf numFmtId="0" fontId="23" fillId="3" borderId="2" xfId="0" applyFont="1" applyFill="1" applyBorder="1" applyAlignment="1">
      <alignment horizontal="center" vertical="top" wrapText="1"/>
    </xf>
    <xf numFmtId="0" fontId="23" fillId="3" borderId="4" xfId="0" applyFont="1" applyFill="1" applyBorder="1" applyAlignment="1">
      <alignment horizontal="center" vertical="top" wrapText="1"/>
    </xf>
    <xf numFmtId="4" fontId="23" fillId="3" borderId="5" xfId="0" applyNumberFormat="1" applyFont="1" applyFill="1" applyBorder="1" applyAlignment="1">
      <alignment horizontal="center" vertical="top" wrapText="1"/>
    </xf>
    <xf numFmtId="4" fontId="23" fillId="3" borderId="17" xfId="0" applyNumberFormat="1" applyFont="1" applyFill="1" applyBorder="1" applyAlignment="1">
      <alignment horizontal="center" vertical="top" wrapText="1"/>
    </xf>
    <xf numFmtId="4" fontId="26" fillId="3" borderId="5" xfId="0" applyNumberFormat="1" applyFont="1" applyFill="1" applyBorder="1" applyAlignment="1">
      <alignment horizontal="center" vertical="top" wrapText="1"/>
    </xf>
    <xf numFmtId="4" fontId="26" fillId="3" borderId="17" xfId="0" applyNumberFormat="1" applyFont="1" applyFill="1" applyBorder="1" applyAlignment="1">
      <alignment horizontal="center" vertical="top" wrapText="1"/>
    </xf>
    <xf numFmtId="0" fontId="26" fillId="0" borderId="7" xfId="0" applyFont="1" applyBorder="1" applyAlignment="1">
      <alignment horizontal="left" vertical="top" wrapText="1"/>
    </xf>
    <xf numFmtId="4" fontId="26" fillId="3" borderId="10" xfId="0" applyNumberFormat="1" applyFont="1" applyFill="1" applyBorder="1" applyAlignment="1">
      <alignment horizontal="center" vertical="top" wrapText="1"/>
    </xf>
    <xf numFmtId="4" fontId="26" fillId="3" borderId="11" xfId="0" applyNumberFormat="1" applyFont="1" applyFill="1" applyBorder="1" applyAlignment="1">
      <alignment horizontal="center" vertical="top" wrapText="1"/>
    </xf>
    <xf numFmtId="0" fontId="26" fillId="5" borderId="1" xfId="0" applyFont="1" applyFill="1" applyBorder="1" applyAlignment="1">
      <alignment horizontal="left" vertical="top" wrapText="1"/>
    </xf>
    <xf numFmtId="0" fontId="23" fillId="21" borderId="1" xfId="0" applyFont="1" applyFill="1" applyBorder="1" applyAlignment="1">
      <alignment horizontal="center" vertical="top" wrapText="1"/>
    </xf>
    <xf numFmtId="0" fontId="26" fillId="20" borderId="1" xfId="0" applyFont="1" applyFill="1" applyBorder="1" applyAlignment="1">
      <alignment horizontal="left" vertical="top" wrapText="1"/>
    </xf>
    <xf numFmtId="0" fontId="23" fillId="2" borderId="1" xfId="0" applyFont="1" applyFill="1" applyBorder="1" applyAlignment="1">
      <alignment horizontal="center" vertical="top" wrapText="1"/>
    </xf>
    <xf numFmtId="0" fontId="26" fillId="4"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6" fillId="22" borderId="1" xfId="0" applyFont="1" applyFill="1" applyBorder="1" applyAlignment="1">
      <alignment horizontal="left" vertical="top" wrapText="1"/>
    </xf>
    <xf numFmtId="0" fontId="23" fillId="13" borderId="1" xfId="0" applyFont="1" applyFill="1" applyBorder="1" applyAlignment="1">
      <alignment horizontal="center" vertical="top" wrapText="1"/>
    </xf>
    <xf numFmtId="0" fontId="26" fillId="14" borderId="1" xfId="0" applyFont="1" applyFill="1" applyBorder="1" applyAlignment="1">
      <alignment horizontal="left" vertical="top" wrapText="1"/>
    </xf>
    <xf numFmtId="0" fontId="23" fillId="10" borderId="1" xfId="0" applyFont="1" applyFill="1" applyBorder="1" applyAlignment="1">
      <alignment horizontal="center" vertical="top" wrapText="1"/>
    </xf>
    <xf numFmtId="0" fontId="26" fillId="11" borderId="1" xfId="0" applyFont="1" applyFill="1" applyBorder="1" applyAlignment="1">
      <alignment horizontal="left" vertical="top" wrapText="1"/>
    </xf>
    <xf numFmtId="0" fontId="23" fillId="23" borderId="1" xfId="0" applyFont="1" applyFill="1" applyBorder="1" applyAlignment="1">
      <alignment horizontal="center" vertical="top" wrapText="1"/>
    </xf>
    <xf numFmtId="0" fontId="26" fillId="8" borderId="1" xfId="0" applyFont="1" applyFill="1" applyBorder="1" applyAlignment="1">
      <alignment horizontal="left" vertical="top" wrapText="1"/>
    </xf>
    <xf numFmtId="0" fontId="23" fillId="18" borderId="1" xfId="0" applyFont="1" applyFill="1" applyBorder="1" applyAlignment="1">
      <alignment horizontal="center" vertical="top" wrapText="1"/>
    </xf>
    <xf numFmtId="0" fontId="26" fillId="19" borderId="1" xfId="0" applyFont="1" applyFill="1" applyBorder="1" applyAlignment="1">
      <alignment horizontal="left" vertical="top" wrapText="1"/>
    </xf>
    <xf numFmtId="0" fontId="23" fillId="0" borderId="1" xfId="0" applyFont="1" applyBorder="1" applyAlignment="1">
      <alignment horizontal="left" vertical="top" wrapText="1" indent="4"/>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colors>
    <mruColors>
      <color rgb="FFECE9FB"/>
      <color rgb="FFEFF9DE"/>
      <color rgb="FFFEF9D9"/>
      <color rgb="FFEFF1FF"/>
      <color rgb="FF7D6EE5"/>
      <color rgb="FFFBD900"/>
      <color rgb="FFF7F3EE"/>
      <color rgb="FFAF8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7"/>
  <sheetViews>
    <sheetView tabSelected="1" view="pageBreakPreview" zoomScale="115" zoomScaleNormal="90" zoomScaleSheetLayoutView="115" workbookViewId="0">
      <pane xSplit="15" ySplit="3" topLeftCell="P166" activePane="bottomRight" state="frozen"/>
      <selection pane="topRight" activeCell="P1" sqref="P1"/>
      <selection pane="bottomLeft" activeCell="A3" sqref="A3"/>
      <selection pane="bottomRight" activeCell="Q1" sqref="Q1"/>
    </sheetView>
  </sheetViews>
  <sheetFormatPr defaultColWidth="8.83203125" defaultRowHeight="12.75" x14ac:dyDescent="0.2"/>
  <cols>
    <col min="1" max="1" width="4.6640625" style="11" customWidth="1"/>
    <col min="2" max="2" width="6.5" style="11" customWidth="1"/>
    <col min="3" max="3" width="31.5" style="12" customWidth="1"/>
    <col min="4" max="4" width="8.83203125" style="11" customWidth="1"/>
    <col min="5" max="6" width="12" style="11" customWidth="1"/>
    <col min="7" max="7" width="7.33203125" style="11" customWidth="1"/>
    <col min="8" max="8" width="7.6640625" style="11" customWidth="1"/>
    <col min="9" max="9" width="6" style="11" customWidth="1"/>
    <col min="10" max="10" width="6.33203125" style="11" customWidth="1"/>
    <col min="11" max="11" width="12.83203125" style="11" customWidth="1"/>
    <col min="12" max="12" width="54.33203125" style="12" customWidth="1"/>
    <col min="13" max="13" width="32" style="12" customWidth="1"/>
    <col min="14" max="14" width="24.5" style="12" customWidth="1"/>
    <col min="15" max="15" width="36.6640625" style="12" customWidth="1"/>
    <col min="16" max="16384" width="8.83203125" style="11"/>
  </cols>
  <sheetData>
    <row r="1" spans="1:15" ht="112.9" customHeight="1" x14ac:dyDescent="0.2">
      <c r="A1" s="238" t="s">
        <v>1480</v>
      </c>
      <c r="B1" s="239"/>
      <c r="C1" s="239"/>
      <c r="D1" s="239"/>
      <c r="E1" s="239"/>
      <c r="F1" s="239"/>
      <c r="G1" s="239"/>
      <c r="H1" s="239"/>
      <c r="I1" s="239"/>
      <c r="J1" s="239"/>
      <c r="K1" s="239"/>
      <c r="L1" s="239"/>
      <c r="M1" s="239"/>
      <c r="N1" s="239"/>
      <c r="O1" s="239"/>
    </row>
    <row r="2" spans="1:15" ht="18" x14ac:dyDescent="0.2">
      <c r="A2" s="234" t="s">
        <v>44</v>
      </c>
      <c r="B2" s="234"/>
      <c r="C2" s="234"/>
      <c r="D2" s="234"/>
      <c r="E2" s="234"/>
      <c r="F2" s="234"/>
      <c r="G2" s="234"/>
      <c r="H2" s="234"/>
      <c r="I2" s="234"/>
      <c r="J2" s="234"/>
      <c r="K2" s="234"/>
      <c r="L2" s="234"/>
      <c r="M2" s="234"/>
      <c r="N2" s="234"/>
      <c r="O2" s="234"/>
    </row>
    <row r="3" spans="1:15" ht="65.25" customHeight="1" x14ac:dyDescent="0.2">
      <c r="A3" s="199"/>
      <c r="B3" s="20" t="s">
        <v>864</v>
      </c>
      <c r="C3" s="9" t="s">
        <v>180</v>
      </c>
      <c r="D3" s="20" t="s">
        <v>302</v>
      </c>
      <c r="E3" s="20" t="s">
        <v>1377</v>
      </c>
      <c r="F3" s="20" t="s">
        <v>1378</v>
      </c>
      <c r="G3" s="20" t="s">
        <v>306</v>
      </c>
      <c r="H3" s="20" t="s">
        <v>311</v>
      </c>
      <c r="I3" s="235" t="s">
        <v>312</v>
      </c>
      <c r="J3" s="235"/>
      <c r="K3" s="20" t="s">
        <v>313</v>
      </c>
      <c r="L3" s="9" t="s">
        <v>873</v>
      </c>
      <c r="M3" s="9" t="s">
        <v>874</v>
      </c>
      <c r="N3" s="9" t="s">
        <v>875</v>
      </c>
      <c r="O3" s="9" t="s">
        <v>876</v>
      </c>
    </row>
    <row r="4" spans="1:15" ht="13.5" x14ac:dyDescent="0.2">
      <c r="A4" s="200"/>
      <c r="B4" s="236" t="s">
        <v>322</v>
      </c>
      <c r="C4" s="236"/>
      <c r="D4" s="236"/>
      <c r="E4" s="236"/>
      <c r="F4" s="236"/>
      <c r="G4" s="236"/>
      <c r="H4" s="236"/>
      <c r="I4" s="236"/>
      <c r="J4" s="236"/>
      <c r="K4" s="236"/>
      <c r="L4" s="236"/>
      <c r="M4" s="236"/>
      <c r="N4" s="236"/>
      <c r="O4" s="236"/>
    </row>
    <row r="5" spans="1:15" ht="13.5" x14ac:dyDescent="0.2">
      <c r="A5" s="231"/>
      <c r="B5" s="237" t="s">
        <v>1379</v>
      </c>
      <c r="C5" s="237"/>
      <c r="D5" s="237"/>
      <c r="E5" s="237"/>
      <c r="F5" s="237"/>
      <c r="G5" s="237"/>
      <c r="H5" s="237"/>
      <c r="I5" s="237"/>
      <c r="J5" s="237"/>
      <c r="K5" s="237"/>
      <c r="L5" s="237"/>
      <c r="M5" s="237"/>
      <c r="N5" s="237"/>
      <c r="O5" s="237"/>
    </row>
    <row r="6" spans="1:15" ht="13.5" x14ac:dyDescent="0.2">
      <c r="A6" s="232"/>
      <c r="B6" s="212" t="s">
        <v>1380</v>
      </c>
      <c r="C6" s="212"/>
      <c r="D6" s="212"/>
      <c r="E6" s="212"/>
      <c r="F6" s="212"/>
      <c r="G6" s="212"/>
      <c r="H6" s="212"/>
      <c r="I6" s="212"/>
      <c r="J6" s="212"/>
      <c r="K6" s="212"/>
      <c r="L6" s="212"/>
      <c r="M6" s="212"/>
      <c r="N6" s="212"/>
      <c r="O6" s="212"/>
    </row>
    <row r="7" spans="1:15" ht="45" customHeight="1" x14ac:dyDescent="0.2">
      <c r="A7" s="232"/>
      <c r="B7" s="2" t="s">
        <v>327</v>
      </c>
      <c r="C7" s="10" t="s">
        <v>328</v>
      </c>
      <c r="D7" s="1" t="s">
        <v>329</v>
      </c>
      <c r="E7" s="1" t="s">
        <v>7</v>
      </c>
      <c r="F7" s="1" t="s">
        <v>152</v>
      </c>
      <c r="G7" s="1" t="s">
        <v>48</v>
      </c>
      <c r="H7" s="1" t="s">
        <v>47</v>
      </c>
      <c r="I7" s="213">
        <v>205</v>
      </c>
      <c r="J7" s="213"/>
      <c r="K7" s="1" t="s">
        <v>69</v>
      </c>
      <c r="L7" s="10" t="s">
        <v>1466</v>
      </c>
      <c r="M7" s="10" t="s">
        <v>331</v>
      </c>
      <c r="N7" s="10" t="s">
        <v>332</v>
      </c>
      <c r="O7" s="10" t="s">
        <v>48</v>
      </c>
    </row>
    <row r="8" spans="1:15" ht="84.75" customHeight="1" x14ac:dyDescent="0.2">
      <c r="A8" s="232"/>
      <c r="B8" s="2" t="s">
        <v>333</v>
      </c>
      <c r="C8" s="10" t="s">
        <v>334</v>
      </c>
      <c r="D8" s="1" t="s">
        <v>335</v>
      </c>
      <c r="E8" s="1" t="s">
        <v>69</v>
      </c>
      <c r="F8" s="1" t="s">
        <v>152</v>
      </c>
      <c r="G8" s="1" t="s">
        <v>48</v>
      </c>
      <c r="H8" s="1" t="s">
        <v>47</v>
      </c>
      <c r="I8" s="213">
        <v>120</v>
      </c>
      <c r="J8" s="213"/>
      <c r="K8" s="1" t="s">
        <v>69</v>
      </c>
      <c r="L8" s="10" t="s">
        <v>63</v>
      </c>
      <c r="M8" s="10" t="s">
        <v>297</v>
      </c>
      <c r="N8" s="10" t="s">
        <v>243</v>
      </c>
      <c r="O8" s="10" t="s">
        <v>182</v>
      </c>
    </row>
    <row r="9" spans="1:15" ht="166.15" customHeight="1" x14ac:dyDescent="0.2">
      <c r="A9" s="232"/>
      <c r="B9" s="2" t="s">
        <v>340</v>
      </c>
      <c r="C9" s="10" t="s">
        <v>161</v>
      </c>
      <c r="D9" s="1" t="s">
        <v>335</v>
      </c>
      <c r="E9" s="1" t="s">
        <v>69</v>
      </c>
      <c r="F9" s="1" t="s">
        <v>46</v>
      </c>
      <c r="G9" s="1" t="s">
        <v>47</v>
      </c>
      <c r="H9" s="1" t="s">
        <v>47</v>
      </c>
      <c r="I9" s="213">
        <v>350</v>
      </c>
      <c r="J9" s="213"/>
      <c r="K9" s="1" t="s">
        <v>7</v>
      </c>
      <c r="L9" s="10" t="s">
        <v>1381</v>
      </c>
      <c r="M9" s="10" t="s">
        <v>142</v>
      </c>
      <c r="N9" s="10" t="s">
        <v>158</v>
      </c>
      <c r="O9" s="10" t="s">
        <v>1425</v>
      </c>
    </row>
    <row r="10" spans="1:15" ht="96" customHeight="1" x14ac:dyDescent="0.2">
      <c r="A10" s="232"/>
      <c r="B10" s="2" t="s">
        <v>346</v>
      </c>
      <c r="C10" s="10" t="s">
        <v>77</v>
      </c>
      <c r="D10" s="1" t="s">
        <v>335</v>
      </c>
      <c r="E10" s="1" t="s">
        <v>69</v>
      </c>
      <c r="F10" s="1" t="s">
        <v>152</v>
      </c>
      <c r="G10" s="1" t="s">
        <v>48</v>
      </c>
      <c r="H10" s="1" t="s">
        <v>47</v>
      </c>
      <c r="I10" s="213">
        <v>600</v>
      </c>
      <c r="J10" s="213"/>
      <c r="K10" s="1" t="s">
        <v>69</v>
      </c>
      <c r="L10" s="10" t="s">
        <v>883</v>
      </c>
      <c r="M10" s="10" t="s">
        <v>298</v>
      </c>
      <c r="N10" s="10" t="s">
        <v>243</v>
      </c>
      <c r="O10" s="10" t="s">
        <v>257</v>
      </c>
    </row>
    <row r="11" spans="1:15" ht="126" customHeight="1" x14ac:dyDescent="0.2">
      <c r="A11" s="232"/>
      <c r="B11" s="2" t="s">
        <v>350</v>
      </c>
      <c r="C11" s="10" t="s">
        <v>351</v>
      </c>
      <c r="D11" s="1" t="s">
        <v>335</v>
      </c>
      <c r="E11" s="1" t="s">
        <v>69</v>
      </c>
      <c r="F11" s="1" t="s">
        <v>152</v>
      </c>
      <c r="G11" s="1" t="s">
        <v>48</v>
      </c>
      <c r="H11" s="1" t="s">
        <v>47</v>
      </c>
      <c r="I11" s="213">
        <v>240</v>
      </c>
      <c r="J11" s="213"/>
      <c r="K11" s="1" t="s">
        <v>69</v>
      </c>
      <c r="L11" s="10" t="s">
        <v>71</v>
      </c>
      <c r="M11" s="10" t="s">
        <v>353</v>
      </c>
      <c r="N11" s="10" t="s">
        <v>243</v>
      </c>
      <c r="O11" s="10" t="s">
        <v>186</v>
      </c>
    </row>
    <row r="12" spans="1:15" ht="147.6" customHeight="1" x14ac:dyDescent="0.2">
      <c r="A12" s="232"/>
      <c r="B12" s="2" t="s">
        <v>355</v>
      </c>
      <c r="C12" s="10" t="s">
        <v>1426</v>
      </c>
      <c r="D12" s="1" t="s">
        <v>357</v>
      </c>
      <c r="E12" s="1" t="s">
        <v>146</v>
      </c>
      <c r="F12" s="1" t="s">
        <v>152</v>
      </c>
      <c r="G12" s="1" t="s">
        <v>47</v>
      </c>
      <c r="H12" s="1" t="s">
        <v>47</v>
      </c>
      <c r="I12" s="213">
        <v>830</v>
      </c>
      <c r="J12" s="213"/>
      <c r="K12" s="1" t="s">
        <v>7</v>
      </c>
      <c r="L12" s="10" t="s">
        <v>1427</v>
      </c>
      <c r="M12" s="10" t="s">
        <v>147</v>
      </c>
      <c r="N12" s="10" t="s">
        <v>10</v>
      </c>
      <c r="O12" s="10" t="s">
        <v>258</v>
      </c>
    </row>
    <row r="13" spans="1:15" ht="71.25" customHeight="1" x14ac:dyDescent="0.2">
      <c r="A13" s="232"/>
      <c r="B13" s="2" t="s">
        <v>361</v>
      </c>
      <c r="C13" s="10" t="s">
        <v>362</v>
      </c>
      <c r="D13" s="1" t="s">
        <v>357</v>
      </c>
      <c r="E13" s="1" t="s">
        <v>7</v>
      </c>
      <c r="F13" s="1" t="s">
        <v>46</v>
      </c>
      <c r="G13" s="1" t="s">
        <v>47</v>
      </c>
      <c r="H13" s="1" t="s">
        <v>47</v>
      </c>
      <c r="I13" s="213">
        <v>600</v>
      </c>
      <c r="J13" s="213"/>
      <c r="K13" s="1" t="s">
        <v>69</v>
      </c>
      <c r="L13" s="10" t="s">
        <v>1382</v>
      </c>
      <c r="M13" s="10" t="s">
        <v>244</v>
      </c>
      <c r="N13" s="10" t="s">
        <v>243</v>
      </c>
      <c r="O13" s="10" t="s">
        <v>48</v>
      </c>
    </row>
    <row r="14" spans="1:15" ht="51" customHeight="1" x14ac:dyDescent="0.2">
      <c r="A14" s="232"/>
      <c r="B14" s="2" t="s">
        <v>366</v>
      </c>
      <c r="C14" s="10" t="s">
        <v>367</v>
      </c>
      <c r="D14" s="1" t="s">
        <v>368</v>
      </c>
      <c r="E14" s="1" t="s">
        <v>69</v>
      </c>
      <c r="F14" s="1" t="s">
        <v>152</v>
      </c>
      <c r="G14" s="1" t="s">
        <v>48</v>
      </c>
      <c r="H14" s="1" t="s">
        <v>47</v>
      </c>
      <c r="I14" s="213">
        <v>50</v>
      </c>
      <c r="J14" s="213"/>
      <c r="K14" s="1" t="s">
        <v>69</v>
      </c>
      <c r="L14" s="10" t="s">
        <v>145</v>
      </c>
      <c r="M14" s="10" t="s">
        <v>369</v>
      </c>
      <c r="N14" s="10" t="s">
        <v>243</v>
      </c>
      <c r="O14" s="10" t="s">
        <v>48</v>
      </c>
    </row>
    <row r="15" spans="1:15" ht="60.75" customHeight="1" x14ac:dyDescent="0.2">
      <c r="A15" s="232"/>
      <c r="B15" s="2" t="s">
        <v>370</v>
      </c>
      <c r="C15" s="10" t="s">
        <v>371</v>
      </c>
      <c r="D15" s="1" t="s">
        <v>372</v>
      </c>
      <c r="E15" s="1" t="s">
        <v>7</v>
      </c>
      <c r="F15" s="1" t="s">
        <v>46</v>
      </c>
      <c r="G15" s="1" t="s">
        <v>47</v>
      </c>
      <c r="H15" s="1" t="s">
        <v>47</v>
      </c>
      <c r="I15" s="213">
        <v>360</v>
      </c>
      <c r="J15" s="213"/>
      <c r="K15" s="1" t="s">
        <v>69</v>
      </c>
      <c r="L15" s="10" t="s">
        <v>890</v>
      </c>
      <c r="M15" s="10" t="s">
        <v>374</v>
      </c>
      <c r="N15" s="10" t="s">
        <v>243</v>
      </c>
      <c r="O15" s="10" t="s">
        <v>78</v>
      </c>
    </row>
    <row r="16" spans="1:15" ht="56.25" customHeight="1" x14ac:dyDescent="0.2">
      <c r="A16" s="232"/>
      <c r="B16" s="2" t="s">
        <v>891</v>
      </c>
      <c r="C16" s="10" t="s">
        <v>892</v>
      </c>
      <c r="D16" s="1" t="s">
        <v>893</v>
      </c>
      <c r="E16" s="1" t="s">
        <v>69</v>
      </c>
      <c r="F16" s="1" t="s">
        <v>446</v>
      </c>
      <c r="G16" s="1" t="s">
        <v>48</v>
      </c>
      <c r="H16" s="1" t="s">
        <v>47</v>
      </c>
      <c r="I16" s="213">
        <v>1200</v>
      </c>
      <c r="J16" s="213"/>
      <c r="K16" s="1" t="s">
        <v>7</v>
      </c>
      <c r="L16" s="10" t="s">
        <v>894</v>
      </c>
      <c r="M16" s="10" t="s">
        <v>895</v>
      </c>
      <c r="N16" s="10" t="s">
        <v>332</v>
      </c>
      <c r="O16" s="10" t="s">
        <v>183</v>
      </c>
    </row>
    <row r="17" spans="1:15" ht="101.25" customHeight="1" x14ac:dyDescent="0.2">
      <c r="A17" s="232"/>
      <c r="B17" s="2" t="s">
        <v>375</v>
      </c>
      <c r="C17" s="10" t="s">
        <v>376</v>
      </c>
      <c r="D17" s="1" t="s">
        <v>377</v>
      </c>
      <c r="E17" s="1" t="s">
        <v>7</v>
      </c>
      <c r="F17" s="1" t="s">
        <v>152</v>
      </c>
      <c r="G17" s="1" t="s">
        <v>47</v>
      </c>
      <c r="H17" s="1" t="s">
        <v>47</v>
      </c>
      <c r="I17" s="213">
        <v>480</v>
      </c>
      <c r="J17" s="213"/>
      <c r="K17" s="1" t="s">
        <v>69</v>
      </c>
      <c r="L17" s="10" t="s">
        <v>897</v>
      </c>
      <c r="M17" s="10" t="s">
        <v>379</v>
      </c>
      <c r="N17" s="10" t="s">
        <v>123</v>
      </c>
      <c r="O17" s="10" t="s">
        <v>79</v>
      </c>
    </row>
    <row r="18" spans="1:15" ht="49.5" customHeight="1" x14ac:dyDescent="0.2">
      <c r="A18" s="232"/>
      <c r="B18" s="2" t="s">
        <v>380</v>
      </c>
      <c r="C18" s="10" t="s">
        <v>8</v>
      </c>
      <c r="D18" s="1" t="s">
        <v>381</v>
      </c>
      <c r="E18" s="1" t="s">
        <v>7</v>
      </c>
      <c r="F18" s="1" t="s">
        <v>46</v>
      </c>
      <c r="G18" s="1" t="s">
        <v>47</v>
      </c>
      <c r="H18" s="1" t="s">
        <v>47</v>
      </c>
      <c r="I18" s="213">
        <v>300</v>
      </c>
      <c r="J18" s="213"/>
      <c r="K18" s="1" t="s">
        <v>69</v>
      </c>
      <c r="L18" s="10" t="s">
        <v>1383</v>
      </c>
      <c r="M18" s="10" t="s">
        <v>899</v>
      </c>
      <c r="N18" s="10" t="s">
        <v>243</v>
      </c>
      <c r="O18" s="10" t="s">
        <v>48</v>
      </c>
    </row>
    <row r="19" spans="1:15" ht="51" customHeight="1" x14ac:dyDescent="0.2">
      <c r="A19" s="232"/>
      <c r="B19" s="2" t="s">
        <v>384</v>
      </c>
      <c r="C19" s="10" t="s">
        <v>9</v>
      </c>
      <c r="D19" s="1" t="s">
        <v>381</v>
      </c>
      <c r="E19" s="1" t="s">
        <v>7</v>
      </c>
      <c r="F19" s="1" t="s">
        <v>46</v>
      </c>
      <c r="G19" s="1" t="s">
        <v>47</v>
      </c>
      <c r="H19" s="1" t="s">
        <v>47</v>
      </c>
      <c r="I19" s="213">
        <v>240</v>
      </c>
      <c r="J19" s="213"/>
      <c r="K19" s="1" t="s">
        <v>81</v>
      </c>
      <c r="L19" s="10" t="s">
        <v>385</v>
      </c>
      <c r="M19" s="10" t="s">
        <v>1384</v>
      </c>
      <c r="N19" s="10" t="s">
        <v>243</v>
      </c>
      <c r="O19" s="10" t="s">
        <v>125</v>
      </c>
    </row>
    <row r="20" spans="1:15" ht="78.75" customHeight="1" x14ac:dyDescent="0.2">
      <c r="A20" s="232"/>
      <c r="B20" s="2" t="s">
        <v>901</v>
      </c>
      <c r="C20" s="10" t="s">
        <v>902</v>
      </c>
      <c r="D20" s="1" t="s">
        <v>903</v>
      </c>
      <c r="E20" s="1" t="s">
        <v>69</v>
      </c>
      <c r="F20" s="1" t="s">
        <v>152</v>
      </c>
      <c r="G20" s="1" t="s">
        <v>48</v>
      </c>
      <c r="H20" s="1" t="s">
        <v>47</v>
      </c>
      <c r="I20" s="213">
        <v>1000</v>
      </c>
      <c r="J20" s="213"/>
      <c r="K20" s="1" t="s">
        <v>81</v>
      </c>
      <c r="L20" s="10" t="s">
        <v>1385</v>
      </c>
      <c r="M20" s="10" t="s">
        <v>905</v>
      </c>
      <c r="N20" s="10" t="s">
        <v>144</v>
      </c>
      <c r="O20" s="10" t="s">
        <v>259</v>
      </c>
    </row>
    <row r="21" spans="1:15" ht="79.5" customHeight="1" x14ac:dyDescent="0.2">
      <c r="A21" s="232"/>
      <c r="B21" s="2" t="s">
        <v>907</v>
      </c>
      <c r="C21" s="10" t="s">
        <v>908</v>
      </c>
      <c r="D21" s="1" t="s">
        <v>903</v>
      </c>
      <c r="E21" s="1" t="s">
        <v>69</v>
      </c>
      <c r="F21" s="1" t="s">
        <v>446</v>
      </c>
      <c r="G21" s="1" t="s">
        <v>48</v>
      </c>
      <c r="H21" s="1" t="s">
        <v>47</v>
      </c>
      <c r="I21" s="230" t="s">
        <v>48</v>
      </c>
      <c r="J21" s="230"/>
      <c r="K21" s="1" t="s">
        <v>7</v>
      </c>
      <c r="L21" s="10" t="s">
        <v>11</v>
      </c>
      <c r="M21" s="10" t="s">
        <v>909</v>
      </c>
      <c r="N21" s="10" t="s">
        <v>144</v>
      </c>
      <c r="O21" s="10" t="s">
        <v>260</v>
      </c>
    </row>
    <row r="22" spans="1:15" ht="383.25" customHeight="1" x14ac:dyDescent="0.2">
      <c r="A22" s="232"/>
      <c r="B22" s="2" t="s">
        <v>387</v>
      </c>
      <c r="C22" s="10" t="s">
        <v>388</v>
      </c>
      <c r="D22" s="1" t="s">
        <v>154</v>
      </c>
      <c r="E22" s="1" t="s">
        <v>7</v>
      </c>
      <c r="F22" s="1" t="s">
        <v>46</v>
      </c>
      <c r="G22" s="1" t="s">
        <v>47</v>
      </c>
      <c r="H22" s="1" t="s">
        <v>47</v>
      </c>
      <c r="I22" s="213">
        <v>600</v>
      </c>
      <c r="J22" s="213"/>
      <c r="K22" s="1" t="s">
        <v>7</v>
      </c>
      <c r="L22" s="10" t="s">
        <v>1386</v>
      </c>
      <c r="M22" s="10" t="s">
        <v>390</v>
      </c>
      <c r="N22" s="10" t="s">
        <v>243</v>
      </c>
      <c r="O22" s="10" t="s">
        <v>1428</v>
      </c>
    </row>
    <row r="23" spans="1:15" ht="51.6" customHeight="1" x14ac:dyDescent="0.2">
      <c r="A23" s="232"/>
      <c r="B23" s="2" t="s">
        <v>392</v>
      </c>
      <c r="C23" s="10" t="s">
        <v>393</v>
      </c>
      <c r="D23" s="1" t="s">
        <v>394</v>
      </c>
      <c r="E23" s="1" t="s">
        <v>69</v>
      </c>
      <c r="F23" s="1" t="s">
        <v>152</v>
      </c>
      <c r="G23" s="1" t="s">
        <v>47</v>
      </c>
      <c r="H23" s="1" t="s">
        <v>47</v>
      </c>
      <c r="I23" s="213">
        <v>480</v>
      </c>
      <c r="J23" s="213"/>
      <c r="K23" s="1" t="s">
        <v>69</v>
      </c>
      <c r="L23" s="10" t="s">
        <v>913</v>
      </c>
      <c r="M23" s="10" t="s">
        <v>396</v>
      </c>
      <c r="N23" s="10" t="s">
        <v>128</v>
      </c>
      <c r="O23" s="10" t="s">
        <v>126</v>
      </c>
    </row>
    <row r="24" spans="1:15" ht="39" customHeight="1" x14ac:dyDescent="0.2">
      <c r="A24" s="232"/>
      <c r="B24" s="2" t="s">
        <v>397</v>
      </c>
      <c r="C24" s="10" t="s">
        <v>398</v>
      </c>
      <c r="D24" s="1" t="s">
        <v>399</v>
      </c>
      <c r="E24" s="1" t="s">
        <v>69</v>
      </c>
      <c r="F24" s="1" t="s">
        <v>46</v>
      </c>
      <c r="G24" s="1" t="s">
        <v>47</v>
      </c>
      <c r="H24" s="1" t="s">
        <v>47</v>
      </c>
      <c r="I24" s="213">
        <v>120</v>
      </c>
      <c r="J24" s="213"/>
      <c r="K24" s="1" t="s">
        <v>7</v>
      </c>
      <c r="L24" s="10" t="s">
        <v>914</v>
      </c>
      <c r="M24" s="10" t="s">
        <v>48</v>
      </c>
      <c r="N24" s="10" t="s">
        <v>401</v>
      </c>
      <c r="O24" s="10" t="s">
        <v>123</v>
      </c>
    </row>
    <row r="25" spans="1:15" ht="139.5" customHeight="1" x14ac:dyDescent="0.2">
      <c r="A25" s="232"/>
      <c r="B25" s="2" t="s">
        <v>402</v>
      </c>
      <c r="C25" s="10" t="s">
        <v>403</v>
      </c>
      <c r="D25" s="1" t="s">
        <v>404</v>
      </c>
      <c r="E25" s="1" t="s">
        <v>7</v>
      </c>
      <c r="F25" s="1" t="s">
        <v>46</v>
      </c>
      <c r="G25" s="1" t="s">
        <v>47</v>
      </c>
      <c r="H25" s="1" t="s">
        <v>47</v>
      </c>
      <c r="I25" s="230">
        <v>2265.27</v>
      </c>
      <c r="J25" s="230"/>
      <c r="K25" s="1" t="s">
        <v>7</v>
      </c>
      <c r="L25" s="10" t="s">
        <v>1479</v>
      </c>
      <c r="M25" s="10" t="s">
        <v>406</v>
      </c>
      <c r="N25" s="10" t="s">
        <v>401</v>
      </c>
      <c r="O25" s="10" t="s">
        <v>185</v>
      </c>
    </row>
    <row r="26" spans="1:15" ht="172.15" customHeight="1" x14ac:dyDescent="0.2">
      <c r="A26" s="232"/>
      <c r="B26" s="2" t="s">
        <v>170</v>
      </c>
      <c r="C26" s="10" t="s">
        <v>171</v>
      </c>
      <c r="D26" s="1" t="s">
        <v>154</v>
      </c>
      <c r="E26" s="1" t="s">
        <v>69</v>
      </c>
      <c r="F26" s="1" t="s">
        <v>152</v>
      </c>
      <c r="G26" s="1" t="s">
        <v>47</v>
      </c>
      <c r="H26" s="1" t="s">
        <v>47</v>
      </c>
      <c r="I26" s="207">
        <v>64.56</v>
      </c>
      <c r="J26" s="208"/>
      <c r="K26" s="1" t="s">
        <v>7</v>
      </c>
      <c r="L26" s="10" t="s">
        <v>250</v>
      </c>
      <c r="M26" s="10" t="s">
        <v>172</v>
      </c>
      <c r="N26" s="10" t="s">
        <v>153</v>
      </c>
      <c r="O26" s="10" t="s">
        <v>243</v>
      </c>
    </row>
    <row r="27" spans="1:15" ht="211.15" customHeight="1" x14ac:dyDescent="0.2">
      <c r="A27" s="232"/>
      <c r="B27" s="2" t="s">
        <v>245</v>
      </c>
      <c r="C27" s="10" t="s">
        <v>246</v>
      </c>
      <c r="D27" s="1" t="s">
        <v>247</v>
      </c>
      <c r="E27" s="1" t="s">
        <v>69</v>
      </c>
      <c r="F27" s="1" t="s">
        <v>152</v>
      </c>
      <c r="G27" s="1" t="s">
        <v>47</v>
      </c>
      <c r="H27" s="1" t="s">
        <v>47</v>
      </c>
      <c r="I27" s="207">
        <v>668.77571</v>
      </c>
      <c r="J27" s="208"/>
      <c r="K27" s="1" t="s">
        <v>7</v>
      </c>
      <c r="L27" s="10" t="s">
        <v>1429</v>
      </c>
      <c r="M27" s="10" t="s">
        <v>248</v>
      </c>
      <c r="N27" s="10" t="s">
        <v>153</v>
      </c>
      <c r="O27" s="10" t="s">
        <v>249</v>
      </c>
    </row>
    <row r="28" spans="1:15" ht="13.5" x14ac:dyDescent="0.2">
      <c r="A28" s="232"/>
      <c r="B28" s="212" t="s">
        <v>1387</v>
      </c>
      <c r="C28" s="212"/>
      <c r="D28" s="212"/>
      <c r="E28" s="212"/>
      <c r="F28" s="212"/>
      <c r="G28" s="212"/>
      <c r="H28" s="212"/>
      <c r="I28" s="212"/>
      <c r="J28" s="212"/>
      <c r="K28" s="212"/>
      <c r="L28" s="212"/>
      <c r="M28" s="212"/>
      <c r="N28" s="212"/>
      <c r="O28" s="212"/>
    </row>
    <row r="29" spans="1:15" ht="48.75" customHeight="1" x14ac:dyDescent="0.2">
      <c r="A29" s="232"/>
      <c r="B29" s="2" t="s">
        <v>409</v>
      </c>
      <c r="C29" s="10" t="s">
        <v>410</v>
      </c>
      <c r="D29" s="1" t="s">
        <v>411</v>
      </c>
      <c r="E29" s="1" t="s">
        <v>69</v>
      </c>
      <c r="F29" s="1" t="s">
        <v>46</v>
      </c>
      <c r="G29" s="1" t="s">
        <v>48</v>
      </c>
      <c r="H29" s="1" t="s">
        <v>47</v>
      </c>
      <c r="I29" s="213">
        <v>240</v>
      </c>
      <c r="J29" s="213"/>
      <c r="K29" s="1" t="s">
        <v>7</v>
      </c>
      <c r="L29" s="10" t="s">
        <v>918</v>
      </c>
      <c r="M29" s="10" t="s">
        <v>413</v>
      </c>
      <c r="N29" s="10" t="s">
        <v>401</v>
      </c>
      <c r="O29" s="10" t="s">
        <v>123</v>
      </c>
    </row>
    <row r="30" spans="1:15" ht="227.45" customHeight="1" x14ac:dyDescent="0.2">
      <c r="A30" s="232"/>
      <c r="B30" s="2" t="s">
        <v>414</v>
      </c>
      <c r="C30" s="10" t="s">
        <v>12</v>
      </c>
      <c r="D30" s="1" t="s">
        <v>411</v>
      </c>
      <c r="E30" s="1" t="s">
        <v>7</v>
      </c>
      <c r="F30" s="1" t="s">
        <v>46</v>
      </c>
      <c r="G30" s="1" t="s">
        <v>47</v>
      </c>
      <c r="H30" s="1" t="s">
        <v>47</v>
      </c>
      <c r="I30" s="213">
        <v>9933.31</v>
      </c>
      <c r="J30" s="213"/>
      <c r="K30" s="1" t="s">
        <v>7</v>
      </c>
      <c r="L30" s="10" t="s">
        <v>261</v>
      </c>
      <c r="M30" s="10" t="s">
        <v>416</v>
      </c>
      <c r="N30" s="10" t="s">
        <v>10</v>
      </c>
      <c r="O30" s="10" t="s">
        <v>417</v>
      </c>
    </row>
    <row r="31" spans="1:15" ht="327.60000000000002" customHeight="1" x14ac:dyDescent="0.2">
      <c r="A31" s="232"/>
      <c r="B31" s="2" t="s">
        <v>921</v>
      </c>
      <c r="C31" s="10" t="s">
        <v>1149</v>
      </c>
      <c r="D31" s="1" t="s">
        <v>411</v>
      </c>
      <c r="E31" s="1" t="s">
        <v>69</v>
      </c>
      <c r="F31" s="1" t="s">
        <v>46</v>
      </c>
      <c r="G31" s="1" t="s">
        <v>48</v>
      </c>
      <c r="H31" s="1" t="s">
        <v>48</v>
      </c>
      <c r="I31" s="230">
        <v>5000</v>
      </c>
      <c r="J31" s="230"/>
      <c r="K31" s="1" t="s">
        <v>7</v>
      </c>
      <c r="L31" s="10" t="s">
        <v>1369</v>
      </c>
      <c r="M31" s="10" t="s">
        <v>141</v>
      </c>
      <c r="N31" s="10" t="s">
        <v>144</v>
      </c>
      <c r="O31" s="10" t="s">
        <v>187</v>
      </c>
    </row>
    <row r="32" spans="1:15" ht="36" customHeight="1" x14ac:dyDescent="0.2">
      <c r="A32" s="232"/>
      <c r="B32" s="2" t="s">
        <v>924</v>
      </c>
      <c r="C32" s="10" t="s">
        <v>925</v>
      </c>
      <c r="D32" s="1" t="s">
        <v>411</v>
      </c>
      <c r="E32" s="1" t="s">
        <v>69</v>
      </c>
      <c r="F32" s="1" t="s">
        <v>446</v>
      </c>
      <c r="G32" s="1" t="s">
        <v>48</v>
      </c>
      <c r="H32" s="1" t="s">
        <v>47</v>
      </c>
      <c r="I32" s="230" t="s">
        <v>48</v>
      </c>
      <c r="J32" s="230"/>
      <c r="K32" s="1" t="s">
        <v>69</v>
      </c>
      <c r="L32" s="10" t="s">
        <v>926</v>
      </c>
      <c r="M32" s="10" t="s">
        <v>927</v>
      </c>
      <c r="N32" s="10" t="s">
        <v>144</v>
      </c>
      <c r="O32" s="10" t="s">
        <v>48</v>
      </c>
    </row>
    <row r="33" spans="1:15" ht="52.5" customHeight="1" x14ac:dyDescent="0.2">
      <c r="A33" s="232"/>
      <c r="B33" s="2" t="s">
        <v>418</v>
      </c>
      <c r="C33" s="10" t="s">
        <v>419</v>
      </c>
      <c r="D33" s="1" t="s">
        <v>420</v>
      </c>
      <c r="E33" s="1" t="s">
        <v>7</v>
      </c>
      <c r="F33" s="1" t="s">
        <v>46</v>
      </c>
      <c r="G33" s="1" t="s">
        <v>47</v>
      </c>
      <c r="H33" s="1" t="s">
        <v>47</v>
      </c>
      <c r="I33" s="213">
        <v>720</v>
      </c>
      <c r="J33" s="213"/>
      <c r="K33" s="1" t="s">
        <v>69</v>
      </c>
      <c r="L33" s="10" t="s">
        <v>1388</v>
      </c>
      <c r="M33" s="10" t="s">
        <v>48</v>
      </c>
      <c r="N33" s="10" t="s">
        <v>160</v>
      </c>
      <c r="O33" s="10" t="s">
        <v>422</v>
      </c>
    </row>
    <row r="34" spans="1:15" ht="94.15" customHeight="1" x14ac:dyDescent="0.2">
      <c r="A34" s="232"/>
      <c r="B34" s="2" t="s">
        <v>423</v>
      </c>
      <c r="C34" s="10" t="s">
        <v>1430</v>
      </c>
      <c r="D34" s="1" t="s">
        <v>425</v>
      </c>
      <c r="E34" s="1" t="s">
        <v>7</v>
      </c>
      <c r="F34" s="1" t="s">
        <v>46</v>
      </c>
      <c r="G34" s="1" t="s">
        <v>47</v>
      </c>
      <c r="H34" s="1" t="s">
        <v>48</v>
      </c>
      <c r="I34" s="213">
        <v>490</v>
      </c>
      <c r="J34" s="213"/>
      <c r="K34" s="1" t="s">
        <v>7</v>
      </c>
      <c r="L34" s="10" t="s">
        <v>1431</v>
      </c>
      <c r="M34" s="10" t="s">
        <v>427</v>
      </c>
      <c r="N34" s="10" t="s">
        <v>140</v>
      </c>
      <c r="O34" s="10" t="s">
        <v>127</v>
      </c>
    </row>
    <row r="35" spans="1:15" ht="69" customHeight="1" x14ac:dyDescent="0.2">
      <c r="A35" s="232"/>
      <c r="B35" s="2" t="s">
        <v>428</v>
      </c>
      <c r="C35" s="10" t="s">
        <v>429</v>
      </c>
      <c r="D35" s="1" t="s">
        <v>117</v>
      </c>
      <c r="E35" s="1" t="s">
        <v>7</v>
      </c>
      <c r="F35" s="1" t="s">
        <v>46</v>
      </c>
      <c r="G35" s="1" t="s">
        <v>47</v>
      </c>
      <c r="H35" s="1" t="s">
        <v>47</v>
      </c>
      <c r="I35" s="230">
        <v>4235.7</v>
      </c>
      <c r="J35" s="230"/>
      <c r="K35" s="1" t="s">
        <v>7</v>
      </c>
      <c r="L35" s="10" t="s">
        <v>1135</v>
      </c>
      <c r="M35" s="10" t="s">
        <v>48</v>
      </c>
      <c r="N35" s="10" t="s">
        <v>128</v>
      </c>
      <c r="O35" s="10" t="s">
        <v>48</v>
      </c>
    </row>
    <row r="36" spans="1:15" ht="141.6" customHeight="1" x14ac:dyDescent="0.2">
      <c r="A36" s="232"/>
      <c r="B36" s="2" t="s">
        <v>137</v>
      </c>
      <c r="C36" s="10" t="s">
        <v>262</v>
      </c>
      <c r="D36" s="1" t="s">
        <v>138</v>
      </c>
      <c r="E36" s="1" t="s">
        <v>69</v>
      </c>
      <c r="F36" s="1" t="s">
        <v>46</v>
      </c>
      <c r="G36" s="1" t="s">
        <v>47</v>
      </c>
      <c r="H36" s="1" t="s">
        <v>47</v>
      </c>
      <c r="I36" s="207">
        <v>416.4</v>
      </c>
      <c r="J36" s="208"/>
      <c r="K36" s="1" t="s">
        <v>7</v>
      </c>
      <c r="L36" s="10" t="s">
        <v>1432</v>
      </c>
      <c r="M36" s="10" t="s">
        <v>139</v>
      </c>
      <c r="N36" s="10" t="s">
        <v>140</v>
      </c>
      <c r="O36" s="10" t="s">
        <v>124</v>
      </c>
    </row>
    <row r="37" spans="1:15" ht="280.89999999999998" customHeight="1" x14ac:dyDescent="0.2">
      <c r="A37" s="232"/>
      <c r="B37" s="2" t="s">
        <v>228</v>
      </c>
      <c r="C37" s="10" t="s">
        <v>232</v>
      </c>
      <c r="D37" s="1" t="s">
        <v>231</v>
      </c>
      <c r="E37" s="1" t="s">
        <v>69</v>
      </c>
      <c r="F37" s="1" t="s">
        <v>46</v>
      </c>
      <c r="G37" s="1" t="s">
        <v>47</v>
      </c>
      <c r="H37" s="1" t="s">
        <v>47</v>
      </c>
      <c r="I37" s="207">
        <v>108.63</v>
      </c>
      <c r="J37" s="208">
        <v>108.63</v>
      </c>
      <c r="K37" s="1" t="s">
        <v>7</v>
      </c>
      <c r="L37" s="10" t="s">
        <v>1361</v>
      </c>
      <c r="M37" s="10" t="s">
        <v>229</v>
      </c>
      <c r="N37" s="10" t="s">
        <v>158</v>
      </c>
      <c r="O37" s="10" t="s">
        <v>230</v>
      </c>
    </row>
    <row r="38" spans="1:15" ht="250.9" customHeight="1" x14ac:dyDescent="0.2">
      <c r="A38" s="232"/>
      <c r="B38" s="2" t="s">
        <v>1127</v>
      </c>
      <c r="C38" s="10" t="s">
        <v>1128</v>
      </c>
      <c r="D38" s="1" t="s">
        <v>1129</v>
      </c>
      <c r="E38" s="1" t="s">
        <v>69</v>
      </c>
      <c r="F38" s="1" t="s">
        <v>46</v>
      </c>
      <c r="G38" s="1" t="s">
        <v>47</v>
      </c>
      <c r="H38" s="1" t="s">
        <v>47</v>
      </c>
      <c r="I38" s="207">
        <v>3500</v>
      </c>
      <c r="J38" s="208"/>
      <c r="K38" s="1" t="s">
        <v>7</v>
      </c>
      <c r="L38" s="10" t="s">
        <v>1467</v>
      </c>
      <c r="M38" s="10" t="s">
        <v>1468</v>
      </c>
      <c r="N38" s="10" t="s">
        <v>128</v>
      </c>
      <c r="O38" s="10" t="s">
        <v>158</v>
      </c>
    </row>
    <row r="39" spans="1:15" ht="13.5" x14ac:dyDescent="0.2">
      <c r="A39" s="232"/>
      <c r="B39" s="212" t="s">
        <v>1389</v>
      </c>
      <c r="C39" s="212"/>
      <c r="D39" s="212"/>
      <c r="E39" s="212"/>
      <c r="F39" s="212"/>
      <c r="G39" s="212"/>
      <c r="H39" s="212"/>
      <c r="I39" s="212"/>
      <c r="J39" s="212"/>
      <c r="K39" s="212"/>
      <c r="L39" s="212"/>
      <c r="M39" s="212"/>
      <c r="N39" s="212"/>
      <c r="O39" s="212"/>
    </row>
    <row r="40" spans="1:15" ht="57" customHeight="1" x14ac:dyDescent="0.2">
      <c r="A40" s="232"/>
      <c r="B40" s="2" t="s">
        <v>436</v>
      </c>
      <c r="C40" s="10" t="s">
        <v>437</v>
      </c>
      <c r="D40" s="1" t="s">
        <v>1433</v>
      </c>
      <c r="E40" s="1" t="s">
        <v>7</v>
      </c>
      <c r="F40" s="1" t="s">
        <v>46</v>
      </c>
      <c r="G40" s="1" t="s">
        <v>47</v>
      </c>
      <c r="H40" s="1" t="s">
        <v>47</v>
      </c>
      <c r="I40" s="213">
        <v>1333.85</v>
      </c>
      <c r="J40" s="213"/>
      <c r="K40" s="1" t="s">
        <v>69</v>
      </c>
      <c r="L40" s="10" t="s">
        <v>936</v>
      </c>
      <c r="M40" s="10" t="s">
        <v>937</v>
      </c>
      <c r="N40" s="10" t="s">
        <v>440</v>
      </c>
      <c r="O40" s="10" t="s">
        <v>124</v>
      </c>
    </row>
    <row r="41" spans="1:15" ht="37.15" customHeight="1" x14ac:dyDescent="0.2">
      <c r="A41" s="232"/>
      <c r="B41" s="2" t="s">
        <v>441</v>
      </c>
      <c r="C41" s="10" t="s">
        <v>442</v>
      </c>
      <c r="D41" s="1" t="s">
        <v>53</v>
      </c>
      <c r="E41" s="1" t="s">
        <v>7</v>
      </c>
      <c r="F41" s="1" t="s">
        <v>46</v>
      </c>
      <c r="G41" s="1" t="s">
        <v>47</v>
      </c>
      <c r="H41" s="1" t="s">
        <v>47</v>
      </c>
      <c r="I41" s="213">
        <v>1410.31</v>
      </c>
      <c r="J41" s="213"/>
      <c r="K41" s="1" t="s">
        <v>69</v>
      </c>
      <c r="L41" s="10" t="s">
        <v>938</v>
      </c>
      <c r="M41" s="10" t="s">
        <v>444</v>
      </c>
      <c r="N41" s="10" t="s">
        <v>440</v>
      </c>
      <c r="O41" s="10" t="s">
        <v>124</v>
      </c>
    </row>
    <row r="42" spans="1:15" ht="93.75" customHeight="1" x14ac:dyDescent="0.2">
      <c r="A42" s="232"/>
      <c r="B42" s="2" t="s">
        <v>445</v>
      </c>
      <c r="C42" s="10" t="s">
        <v>13</v>
      </c>
      <c r="D42" s="1" t="s">
        <v>1469</v>
      </c>
      <c r="E42" s="1" t="s">
        <v>69</v>
      </c>
      <c r="F42" s="1" t="s">
        <v>446</v>
      </c>
      <c r="G42" s="1" t="s">
        <v>47</v>
      </c>
      <c r="H42" s="1" t="s">
        <v>48</v>
      </c>
      <c r="I42" s="213">
        <v>6100000</v>
      </c>
      <c r="J42" s="213"/>
      <c r="K42" s="1" t="s">
        <v>7</v>
      </c>
      <c r="L42" s="10" t="s">
        <v>1434</v>
      </c>
      <c r="M42" s="10" t="s">
        <v>448</v>
      </c>
      <c r="N42" s="10" t="s">
        <v>440</v>
      </c>
      <c r="O42" s="10" t="s">
        <v>124</v>
      </c>
    </row>
    <row r="43" spans="1:15" ht="83.25" customHeight="1" x14ac:dyDescent="0.2">
      <c r="A43" s="232"/>
      <c r="B43" s="2" t="s">
        <v>449</v>
      </c>
      <c r="C43" s="10" t="s">
        <v>1435</v>
      </c>
      <c r="D43" s="1" t="s">
        <v>53</v>
      </c>
      <c r="E43" s="1" t="s">
        <v>7</v>
      </c>
      <c r="F43" s="1" t="s">
        <v>152</v>
      </c>
      <c r="G43" s="1" t="s">
        <v>47</v>
      </c>
      <c r="H43" s="1" t="s">
        <v>48</v>
      </c>
      <c r="I43" s="213">
        <v>6015.4229999999998</v>
      </c>
      <c r="J43" s="213"/>
      <c r="K43" s="1" t="s">
        <v>7</v>
      </c>
      <c r="L43" s="10" t="s">
        <v>1436</v>
      </c>
      <c r="M43" s="10" t="s">
        <v>452</v>
      </c>
      <c r="N43" s="10" t="s">
        <v>440</v>
      </c>
      <c r="O43" s="10" t="s">
        <v>129</v>
      </c>
    </row>
    <row r="44" spans="1:15" ht="77.45" customHeight="1" x14ac:dyDescent="0.2">
      <c r="A44" s="232"/>
      <c r="B44" s="2" t="s">
        <v>453</v>
      </c>
      <c r="C44" s="10" t="s">
        <v>454</v>
      </c>
      <c r="D44" s="1" t="s">
        <v>53</v>
      </c>
      <c r="E44" s="1" t="s">
        <v>7</v>
      </c>
      <c r="F44" s="1" t="s">
        <v>446</v>
      </c>
      <c r="G44" s="1" t="s">
        <v>47</v>
      </c>
      <c r="H44" s="1" t="s">
        <v>47</v>
      </c>
      <c r="I44" s="213">
        <v>150</v>
      </c>
      <c r="J44" s="213"/>
      <c r="K44" s="1" t="s">
        <v>69</v>
      </c>
      <c r="L44" s="10" t="s">
        <v>15</v>
      </c>
      <c r="M44" s="10" t="s">
        <v>456</v>
      </c>
      <c r="N44" s="10" t="s">
        <v>440</v>
      </c>
      <c r="O44" s="10" t="s">
        <v>124</v>
      </c>
    </row>
    <row r="45" spans="1:15" ht="251.45" customHeight="1" x14ac:dyDescent="0.2">
      <c r="A45" s="232"/>
      <c r="B45" s="2" t="s">
        <v>457</v>
      </c>
      <c r="C45" s="10" t="s">
        <v>458</v>
      </c>
      <c r="D45" s="1" t="s">
        <v>1437</v>
      </c>
      <c r="E45" s="1" t="s">
        <v>7</v>
      </c>
      <c r="F45" s="1" t="s">
        <v>46</v>
      </c>
      <c r="G45" s="1" t="s">
        <v>47</v>
      </c>
      <c r="H45" s="1" t="s">
        <v>47</v>
      </c>
      <c r="I45" s="213">
        <v>437.505</v>
      </c>
      <c r="J45" s="213"/>
      <c r="K45" s="1" t="s">
        <v>69</v>
      </c>
      <c r="L45" s="10" t="s">
        <v>1367</v>
      </c>
      <c r="M45" s="10" t="s">
        <v>460</v>
      </c>
      <c r="N45" s="10" t="s">
        <v>440</v>
      </c>
      <c r="O45" s="10" t="s">
        <v>124</v>
      </c>
    </row>
    <row r="46" spans="1:15" ht="135" customHeight="1" x14ac:dyDescent="0.2">
      <c r="A46" s="232"/>
      <c r="B46" s="2" t="s">
        <v>461</v>
      </c>
      <c r="C46" s="10" t="s">
        <v>1390</v>
      </c>
      <c r="D46" s="1" t="s">
        <v>463</v>
      </c>
      <c r="E46" s="1" t="s">
        <v>7</v>
      </c>
      <c r="F46" s="1" t="s">
        <v>46</v>
      </c>
      <c r="G46" s="1" t="s">
        <v>47</v>
      </c>
      <c r="H46" s="1" t="s">
        <v>48</v>
      </c>
      <c r="I46" s="213">
        <v>73162</v>
      </c>
      <c r="J46" s="213"/>
      <c r="K46" s="1" t="s">
        <v>7</v>
      </c>
      <c r="L46" s="10" t="s">
        <v>263</v>
      </c>
      <c r="M46" s="10" t="s">
        <v>465</v>
      </c>
      <c r="N46" s="10" t="s">
        <v>140</v>
      </c>
      <c r="O46" s="10" t="s">
        <v>124</v>
      </c>
    </row>
    <row r="47" spans="1:15" ht="109.5" customHeight="1" x14ac:dyDescent="0.2">
      <c r="A47" s="232"/>
      <c r="B47" s="2" t="s">
        <v>466</v>
      </c>
      <c r="C47" s="10" t="s">
        <v>467</v>
      </c>
      <c r="D47" s="1" t="s">
        <v>463</v>
      </c>
      <c r="E47" s="1" t="s">
        <v>7</v>
      </c>
      <c r="F47" s="1" t="s">
        <v>152</v>
      </c>
      <c r="G47" s="1" t="s">
        <v>47</v>
      </c>
      <c r="H47" s="1" t="s">
        <v>47</v>
      </c>
      <c r="I47" s="213">
        <v>15072</v>
      </c>
      <c r="J47" s="213"/>
      <c r="K47" s="1" t="s">
        <v>69</v>
      </c>
      <c r="L47" s="10" t="s">
        <v>1362</v>
      </c>
      <c r="M47" s="10" t="s">
        <v>48</v>
      </c>
      <c r="N47" s="10" t="s">
        <v>140</v>
      </c>
      <c r="O47" s="10" t="s">
        <v>124</v>
      </c>
    </row>
    <row r="48" spans="1:15" ht="71.25" customHeight="1" x14ac:dyDescent="0.2">
      <c r="A48" s="232"/>
      <c r="B48" s="2" t="s">
        <v>469</v>
      </c>
      <c r="C48" s="10" t="s">
        <v>470</v>
      </c>
      <c r="D48" s="1" t="s">
        <v>463</v>
      </c>
      <c r="E48" s="1" t="s">
        <v>7</v>
      </c>
      <c r="F48" s="1" t="s">
        <v>152</v>
      </c>
      <c r="G48" s="1" t="s">
        <v>47</v>
      </c>
      <c r="H48" s="1" t="s">
        <v>47</v>
      </c>
      <c r="I48" s="213">
        <v>10000</v>
      </c>
      <c r="J48" s="213"/>
      <c r="K48" s="1" t="s">
        <v>7</v>
      </c>
      <c r="L48" s="10" t="s">
        <v>16</v>
      </c>
      <c r="M48" s="10" t="s">
        <v>472</v>
      </c>
      <c r="N48" s="10" t="s">
        <v>140</v>
      </c>
      <c r="O48" s="10" t="s">
        <v>124</v>
      </c>
    </row>
    <row r="49" spans="1:15" ht="79.5" customHeight="1" x14ac:dyDescent="0.2">
      <c r="A49" s="232"/>
      <c r="B49" s="2" t="s">
        <v>473</v>
      </c>
      <c r="C49" s="10" t="s">
        <v>1438</v>
      </c>
      <c r="D49" s="1" t="s">
        <v>156</v>
      </c>
      <c r="E49" s="1" t="s">
        <v>7</v>
      </c>
      <c r="F49" s="1" t="s">
        <v>46</v>
      </c>
      <c r="G49" s="1" t="s">
        <v>47</v>
      </c>
      <c r="H49" s="1" t="s">
        <v>48</v>
      </c>
      <c r="I49" s="213">
        <v>2167</v>
      </c>
      <c r="J49" s="213"/>
      <c r="K49" s="1" t="s">
        <v>7</v>
      </c>
      <c r="L49" s="10" t="s">
        <v>1439</v>
      </c>
      <c r="M49" s="10" t="s">
        <v>476</v>
      </c>
      <c r="N49" s="10" t="s">
        <v>140</v>
      </c>
      <c r="O49" s="10" t="s">
        <v>124</v>
      </c>
    </row>
    <row r="50" spans="1:15" ht="231" customHeight="1" x14ac:dyDescent="0.2">
      <c r="A50" s="232"/>
      <c r="B50" s="2" t="s">
        <v>477</v>
      </c>
      <c r="C50" s="10" t="s">
        <v>478</v>
      </c>
      <c r="D50" s="1" t="s">
        <v>156</v>
      </c>
      <c r="E50" s="1" t="s">
        <v>69</v>
      </c>
      <c r="F50" s="1" t="s">
        <v>152</v>
      </c>
      <c r="G50" s="10" t="s">
        <v>48</v>
      </c>
      <c r="H50" s="1" t="s">
        <v>47</v>
      </c>
      <c r="I50" s="213">
        <v>1197.94</v>
      </c>
      <c r="J50" s="213"/>
      <c r="K50" s="1" t="s">
        <v>7</v>
      </c>
      <c r="L50" s="10" t="s">
        <v>264</v>
      </c>
      <c r="M50" s="10" t="s">
        <v>179</v>
      </c>
      <c r="N50" s="10" t="s">
        <v>157</v>
      </c>
      <c r="O50" s="10" t="s">
        <v>124</v>
      </c>
    </row>
    <row r="51" spans="1:15" ht="237.6" customHeight="1" x14ac:dyDescent="0.2">
      <c r="A51" s="232"/>
      <c r="B51" s="2" t="s">
        <v>481</v>
      </c>
      <c r="C51" s="10" t="s">
        <v>17</v>
      </c>
      <c r="D51" s="1" t="s">
        <v>156</v>
      </c>
      <c r="E51" s="1" t="s">
        <v>69</v>
      </c>
      <c r="F51" s="1" t="s">
        <v>152</v>
      </c>
      <c r="G51" s="1" t="s">
        <v>47</v>
      </c>
      <c r="H51" s="1" t="s">
        <v>47</v>
      </c>
      <c r="I51" s="213">
        <v>2059.6999999999998</v>
      </c>
      <c r="J51" s="213"/>
      <c r="K51" s="1" t="s">
        <v>7</v>
      </c>
      <c r="L51" s="10" t="s">
        <v>1470</v>
      </c>
      <c r="M51" s="10" t="s">
        <v>951</v>
      </c>
      <c r="N51" s="10" t="s">
        <v>140</v>
      </c>
      <c r="O51" s="10" t="s">
        <v>124</v>
      </c>
    </row>
    <row r="52" spans="1:15" ht="54.75" customHeight="1" x14ac:dyDescent="0.2">
      <c r="A52" s="232"/>
      <c r="B52" s="2" t="s">
        <v>483</v>
      </c>
      <c r="C52" s="10" t="s">
        <v>484</v>
      </c>
      <c r="D52" s="1" t="s">
        <v>156</v>
      </c>
      <c r="E52" s="1" t="s">
        <v>69</v>
      </c>
      <c r="F52" s="1" t="s">
        <v>152</v>
      </c>
      <c r="G52" s="1" t="s">
        <v>47</v>
      </c>
      <c r="H52" s="1" t="s">
        <v>47</v>
      </c>
      <c r="I52" s="213">
        <v>2000</v>
      </c>
      <c r="J52" s="213"/>
      <c r="K52" s="1" t="s">
        <v>7</v>
      </c>
      <c r="L52" s="10" t="s">
        <v>952</v>
      </c>
      <c r="M52" s="10" t="s">
        <v>486</v>
      </c>
      <c r="N52" s="10" t="s">
        <v>140</v>
      </c>
      <c r="O52" s="10" t="s">
        <v>124</v>
      </c>
    </row>
    <row r="53" spans="1:15" ht="301.14999999999998" customHeight="1" x14ac:dyDescent="0.2">
      <c r="A53" s="232"/>
      <c r="B53" s="2" t="s">
        <v>487</v>
      </c>
      <c r="C53" s="10" t="s">
        <v>1440</v>
      </c>
      <c r="D53" s="1" t="s">
        <v>156</v>
      </c>
      <c r="E53" s="1" t="s">
        <v>7</v>
      </c>
      <c r="F53" s="1" t="s">
        <v>152</v>
      </c>
      <c r="G53" s="1" t="s">
        <v>47</v>
      </c>
      <c r="H53" s="1" t="s">
        <v>47</v>
      </c>
      <c r="I53" s="213">
        <v>7000</v>
      </c>
      <c r="J53" s="213"/>
      <c r="K53" s="1" t="s">
        <v>7</v>
      </c>
      <c r="L53" s="10" t="s">
        <v>1441</v>
      </c>
      <c r="M53" s="10" t="s">
        <v>490</v>
      </c>
      <c r="N53" s="10" t="s">
        <v>140</v>
      </c>
      <c r="O53" s="10" t="s">
        <v>124</v>
      </c>
    </row>
    <row r="54" spans="1:15" ht="62.25" customHeight="1" x14ac:dyDescent="0.2">
      <c r="A54" s="232"/>
      <c r="B54" s="2" t="s">
        <v>491</v>
      </c>
      <c r="C54" s="10" t="s">
        <v>492</v>
      </c>
      <c r="D54" s="1" t="s">
        <v>156</v>
      </c>
      <c r="E54" s="1" t="s">
        <v>69</v>
      </c>
      <c r="F54" s="1" t="s">
        <v>152</v>
      </c>
      <c r="G54" s="1" t="s">
        <v>47</v>
      </c>
      <c r="H54" s="1" t="s">
        <v>47</v>
      </c>
      <c r="I54" s="213">
        <v>11360</v>
      </c>
      <c r="J54" s="213"/>
      <c r="K54" s="1" t="s">
        <v>7</v>
      </c>
      <c r="L54" s="10" t="s">
        <v>1391</v>
      </c>
      <c r="M54" s="10" t="s">
        <v>1392</v>
      </c>
      <c r="N54" s="10" t="s">
        <v>140</v>
      </c>
      <c r="O54" s="10" t="s">
        <v>124</v>
      </c>
    </row>
    <row r="55" spans="1:15" ht="56.25" customHeight="1" x14ac:dyDescent="0.2">
      <c r="A55" s="232"/>
      <c r="B55" s="14" t="s">
        <v>52</v>
      </c>
      <c r="C55" s="10" t="s">
        <v>265</v>
      </c>
      <c r="D55" s="1" t="s">
        <v>53</v>
      </c>
      <c r="E55" s="1" t="s">
        <v>7</v>
      </c>
      <c r="F55" s="1" t="s">
        <v>46</v>
      </c>
      <c r="G55" s="1" t="s">
        <v>47</v>
      </c>
      <c r="H55" s="1" t="s">
        <v>48</v>
      </c>
      <c r="I55" s="213">
        <v>5377</v>
      </c>
      <c r="J55" s="213"/>
      <c r="K55" s="1" t="s">
        <v>7</v>
      </c>
      <c r="L55" s="10" t="s">
        <v>266</v>
      </c>
      <c r="M55" s="10" t="s">
        <v>54</v>
      </c>
      <c r="N55" s="10" t="s">
        <v>55</v>
      </c>
      <c r="O55" s="10" t="s">
        <v>124</v>
      </c>
    </row>
    <row r="56" spans="1:15" ht="85.5" customHeight="1" x14ac:dyDescent="0.2">
      <c r="A56" s="232"/>
      <c r="B56" s="14" t="s">
        <v>122</v>
      </c>
      <c r="C56" s="10" t="s">
        <v>267</v>
      </c>
      <c r="D56" s="1" t="s">
        <v>156</v>
      </c>
      <c r="E56" s="1" t="s">
        <v>69</v>
      </c>
      <c r="F56" s="1" t="s">
        <v>152</v>
      </c>
      <c r="G56" s="1" t="s">
        <v>47</v>
      </c>
      <c r="H56" s="1" t="s">
        <v>48</v>
      </c>
      <c r="I56" s="209">
        <v>123.06</v>
      </c>
      <c r="J56" s="210"/>
      <c r="K56" s="1" t="s">
        <v>7</v>
      </c>
      <c r="L56" s="10" t="s">
        <v>268</v>
      </c>
      <c r="M56" s="10" t="s">
        <v>221</v>
      </c>
      <c r="N56" s="10" t="s">
        <v>140</v>
      </c>
      <c r="O56" s="10" t="s">
        <v>124</v>
      </c>
    </row>
    <row r="57" spans="1:15" ht="205.9" customHeight="1" x14ac:dyDescent="0.2">
      <c r="A57" s="232"/>
      <c r="B57" s="14" t="s">
        <v>173</v>
      </c>
      <c r="C57" s="10" t="s">
        <v>1442</v>
      </c>
      <c r="D57" s="1" t="s">
        <v>156</v>
      </c>
      <c r="E57" s="1" t="s">
        <v>69</v>
      </c>
      <c r="F57" s="1" t="s">
        <v>152</v>
      </c>
      <c r="G57" s="1" t="s">
        <v>47</v>
      </c>
      <c r="H57" s="1" t="s">
        <v>48</v>
      </c>
      <c r="I57" s="209">
        <v>1098</v>
      </c>
      <c r="J57" s="210"/>
      <c r="K57" s="1" t="s">
        <v>7</v>
      </c>
      <c r="L57" s="10" t="s">
        <v>1443</v>
      </c>
      <c r="M57" s="10" t="s">
        <v>177</v>
      </c>
      <c r="N57" s="10" t="s">
        <v>140</v>
      </c>
      <c r="O57" s="10" t="s">
        <v>124</v>
      </c>
    </row>
    <row r="58" spans="1:15" ht="201.6" customHeight="1" x14ac:dyDescent="0.2">
      <c r="A58" s="232"/>
      <c r="B58" s="14" t="s">
        <v>174</v>
      </c>
      <c r="C58" s="10" t="s">
        <v>1444</v>
      </c>
      <c r="D58" s="1" t="s">
        <v>156</v>
      </c>
      <c r="E58" s="1" t="s">
        <v>69</v>
      </c>
      <c r="F58" s="1" t="s">
        <v>152</v>
      </c>
      <c r="G58" s="1" t="s">
        <v>47</v>
      </c>
      <c r="H58" s="1" t="s">
        <v>48</v>
      </c>
      <c r="I58" s="209">
        <v>449</v>
      </c>
      <c r="J58" s="210"/>
      <c r="K58" s="1" t="s">
        <v>7</v>
      </c>
      <c r="L58" s="10" t="s">
        <v>1445</v>
      </c>
      <c r="M58" s="10" t="s">
        <v>178</v>
      </c>
      <c r="N58" s="10" t="s">
        <v>140</v>
      </c>
      <c r="O58" s="10" t="s">
        <v>124</v>
      </c>
    </row>
    <row r="59" spans="1:15" ht="13.5" x14ac:dyDescent="0.2">
      <c r="A59" s="232"/>
      <c r="B59" s="212" t="s">
        <v>1393</v>
      </c>
      <c r="C59" s="212"/>
      <c r="D59" s="212"/>
      <c r="E59" s="212"/>
      <c r="F59" s="212"/>
      <c r="G59" s="212"/>
      <c r="H59" s="212"/>
      <c r="I59" s="212"/>
      <c r="J59" s="212"/>
      <c r="K59" s="212"/>
      <c r="L59" s="212"/>
      <c r="M59" s="212"/>
      <c r="N59" s="212"/>
      <c r="O59" s="212"/>
    </row>
    <row r="60" spans="1:15" ht="60" customHeight="1" x14ac:dyDescent="0.2">
      <c r="A60" s="232"/>
      <c r="B60" s="2" t="s">
        <v>503</v>
      </c>
      <c r="C60" s="10" t="s">
        <v>504</v>
      </c>
      <c r="D60" s="1" t="s">
        <v>505</v>
      </c>
      <c r="E60" s="1" t="s">
        <v>69</v>
      </c>
      <c r="F60" s="1" t="s">
        <v>152</v>
      </c>
      <c r="G60" s="1" t="s">
        <v>48</v>
      </c>
      <c r="H60" s="1" t="s">
        <v>47</v>
      </c>
      <c r="I60" s="213">
        <v>1800</v>
      </c>
      <c r="J60" s="213"/>
      <c r="K60" s="1" t="s">
        <v>7</v>
      </c>
      <c r="L60" s="10" t="s">
        <v>18</v>
      </c>
      <c r="M60" s="10" t="s">
        <v>507</v>
      </c>
      <c r="N60" s="10" t="s">
        <v>287</v>
      </c>
      <c r="O60" s="10" t="s">
        <v>158</v>
      </c>
    </row>
    <row r="61" spans="1:15" ht="70.5" customHeight="1" x14ac:dyDescent="0.2">
      <c r="A61" s="232"/>
      <c r="B61" s="2" t="s">
        <v>508</v>
      </c>
      <c r="C61" s="10" t="s">
        <v>291</v>
      </c>
      <c r="D61" s="1" t="s">
        <v>505</v>
      </c>
      <c r="E61" s="1" t="s">
        <v>69</v>
      </c>
      <c r="F61" s="1" t="s">
        <v>152</v>
      </c>
      <c r="G61" s="1" t="s">
        <v>48</v>
      </c>
      <c r="H61" s="1" t="s">
        <v>47</v>
      </c>
      <c r="I61" s="213">
        <v>2400</v>
      </c>
      <c r="J61" s="213"/>
      <c r="K61" s="1" t="s">
        <v>7</v>
      </c>
      <c r="L61" s="10" t="s">
        <v>18</v>
      </c>
      <c r="M61" s="10" t="s">
        <v>507</v>
      </c>
      <c r="N61" s="10" t="s">
        <v>287</v>
      </c>
      <c r="O61" s="10" t="s">
        <v>158</v>
      </c>
    </row>
    <row r="62" spans="1:15" ht="65.25" customHeight="1" x14ac:dyDescent="0.2">
      <c r="A62" s="232"/>
      <c r="B62" s="2" t="s">
        <v>963</v>
      </c>
      <c r="C62" s="10" t="s">
        <v>289</v>
      </c>
      <c r="D62" s="1" t="s">
        <v>505</v>
      </c>
      <c r="E62" s="1" t="s">
        <v>69</v>
      </c>
      <c r="F62" s="1" t="s">
        <v>446</v>
      </c>
      <c r="G62" s="1" t="s">
        <v>48</v>
      </c>
      <c r="H62" s="1" t="s">
        <v>47</v>
      </c>
      <c r="I62" s="213">
        <v>1207.2</v>
      </c>
      <c r="J62" s="213"/>
      <c r="K62" s="1" t="s">
        <v>7</v>
      </c>
      <c r="L62" s="10" t="s">
        <v>18</v>
      </c>
      <c r="M62" s="10" t="s">
        <v>507</v>
      </c>
      <c r="N62" s="10" t="s">
        <v>287</v>
      </c>
      <c r="O62" s="10" t="s">
        <v>158</v>
      </c>
    </row>
    <row r="63" spans="1:15" ht="66" customHeight="1" x14ac:dyDescent="0.2">
      <c r="A63" s="232"/>
      <c r="B63" s="2" t="s">
        <v>509</v>
      </c>
      <c r="C63" s="10" t="s">
        <v>290</v>
      </c>
      <c r="D63" s="1" t="s">
        <v>964</v>
      </c>
      <c r="E63" s="1" t="s">
        <v>69</v>
      </c>
      <c r="F63" s="1" t="s">
        <v>152</v>
      </c>
      <c r="G63" s="1" t="s">
        <v>47</v>
      </c>
      <c r="H63" s="1" t="s">
        <v>47</v>
      </c>
      <c r="I63" s="213">
        <v>1200</v>
      </c>
      <c r="J63" s="213"/>
      <c r="K63" s="1" t="s">
        <v>7</v>
      </c>
      <c r="L63" s="10" t="s">
        <v>18</v>
      </c>
      <c r="M63" s="10" t="s">
        <v>288</v>
      </c>
      <c r="N63" s="10" t="s">
        <v>206</v>
      </c>
      <c r="O63" s="10" t="s">
        <v>158</v>
      </c>
    </row>
    <row r="64" spans="1:15" ht="123" customHeight="1" x14ac:dyDescent="0.2">
      <c r="A64" s="233"/>
      <c r="B64" s="2" t="s">
        <v>511</v>
      </c>
      <c r="C64" s="10" t="s">
        <v>512</v>
      </c>
      <c r="D64" s="1" t="s">
        <v>513</v>
      </c>
      <c r="E64" s="1" t="s">
        <v>7</v>
      </c>
      <c r="F64" s="1" t="s">
        <v>152</v>
      </c>
      <c r="G64" s="1" t="s">
        <v>47</v>
      </c>
      <c r="H64" s="1" t="s">
        <v>47</v>
      </c>
      <c r="I64" s="213">
        <v>252</v>
      </c>
      <c r="J64" s="213"/>
      <c r="K64" s="1" t="s">
        <v>81</v>
      </c>
      <c r="L64" s="10" t="s">
        <v>251</v>
      </c>
      <c r="M64" s="10" t="s">
        <v>515</v>
      </c>
      <c r="N64" s="10" t="s">
        <v>158</v>
      </c>
      <c r="O64" s="10" t="s">
        <v>19</v>
      </c>
    </row>
    <row r="65" spans="1:15" ht="13.5" x14ac:dyDescent="0.2">
      <c r="A65" s="223"/>
      <c r="B65" s="226" t="s">
        <v>72</v>
      </c>
      <c r="C65" s="227"/>
      <c r="D65" s="227"/>
      <c r="E65" s="227"/>
      <c r="F65" s="227"/>
      <c r="G65" s="227"/>
      <c r="H65" s="227"/>
      <c r="I65" s="227"/>
      <c r="J65" s="227"/>
      <c r="K65" s="227"/>
      <c r="L65" s="227"/>
      <c r="M65" s="227"/>
      <c r="N65" s="227"/>
      <c r="O65" s="228"/>
    </row>
    <row r="66" spans="1:15" ht="13.5" x14ac:dyDescent="0.2">
      <c r="A66" s="224"/>
      <c r="B66" s="212" t="s">
        <v>1394</v>
      </c>
      <c r="C66" s="212"/>
      <c r="D66" s="212"/>
      <c r="E66" s="212"/>
      <c r="F66" s="212"/>
      <c r="G66" s="212"/>
      <c r="H66" s="212"/>
      <c r="I66" s="212"/>
      <c r="J66" s="212"/>
      <c r="K66" s="212"/>
      <c r="L66" s="212"/>
      <c r="M66" s="212"/>
      <c r="N66" s="212"/>
      <c r="O66" s="212"/>
    </row>
    <row r="67" spans="1:15" ht="126" customHeight="1" x14ac:dyDescent="0.2">
      <c r="A67" s="224"/>
      <c r="B67" s="3" t="s">
        <v>92</v>
      </c>
      <c r="C67" s="10" t="s">
        <v>520</v>
      </c>
      <c r="D67" s="1" t="s">
        <v>521</v>
      </c>
      <c r="E67" s="1" t="s">
        <v>7</v>
      </c>
      <c r="F67" s="1" t="s">
        <v>46</v>
      </c>
      <c r="G67" s="1" t="s">
        <v>47</v>
      </c>
      <c r="H67" s="1" t="s">
        <v>47</v>
      </c>
      <c r="I67" s="213">
        <v>8056.73</v>
      </c>
      <c r="J67" s="213"/>
      <c r="K67" s="1" t="s">
        <v>69</v>
      </c>
      <c r="L67" s="10" t="s">
        <v>1395</v>
      </c>
      <c r="M67" s="10" t="s">
        <v>523</v>
      </c>
      <c r="N67" s="10" t="s">
        <v>49</v>
      </c>
      <c r="O67" s="10" t="s">
        <v>188</v>
      </c>
    </row>
    <row r="68" spans="1:15" ht="91.5" customHeight="1" x14ac:dyDescent="0.2">
      <c r="A68" s="224"/>
      <c r="B68" s="3" t="s">
        <v>93</v>
      </c>
      <c r="C68" s="10" t="s">
        <v>525</v>
      </c>
      <c r="D68" s="1" t="s">
        <v>521</v>
      </c>
      <c r="E68" s="1" t="s">
        <v>7</v>
      </c>
      <c r="F68" s="1" t="s">
        <v>46</v>
      </c>
      <c r="G68" s="1" t="s">
        <v>47</v>
      </c>
      <c r="H68" s="1" t="s">
        <v>47</v>
      </c>
      <c r="I68" s="213">
        <v>4800</v>
      </c>
      <c r="J68" s="213"/>
      <c r="K68" s="1" t="s">
        <v>81</v>
      </c>
      <c r="L68" s="10" t="s">
        <v>970</v>
      </c>
      <c r="M68" s="10" t="s">
        <v>523</v>
      </c>
      <c r="N68" s="10" t="s">
        <v>206</v>
      </c>
      <c r="O68" s="10" t="s">
        <v>189</v>
      </c>
    </row>
    <row r="69" spans="1:15" ht="90" customHeight="1" x14ac:dyDescent="0.2">
      <c r="A69" s="224"/>
      <c r="B69" s="3" t="s">
        <v>94</v>
      </c>
      <c r="C69" s="10" t="s">
        <v>528</v>
      </c>
      <c r="D69" s="1" t="s">
        <v>521</v>
      </c>
      <c r="E69" s="1" t="s">
        <v>69</v>
      </c>
      <c r="F69" s="1" t="s">
        <v>46</v>
      </c>
      <c r="G69" s="1" t="s">
        <v>48</v>
      </c>
      <c r="H69" s="1" t="s">
        <v>47</v>
      </c>
      <c r="I69" s="213">
        <v>4800</v>
      </c>
      <c r="J69" s="213"/>
      <c r="K69" s="1" t="s">
        <v>69</v>
      </c>
      <c r="L69" s="10" t="s">
        <v>971</v>
      </c>
      <c r="M69" s="10" t="s">
        <v>523</v>
      </c>
      <c r="N69" s="10" t="s">
        <v>206</v>
      </c>
      <c r="O69" s="10" t="s">
        <v>190</v>
      </c>
    </row>
    <row r="70" spans="1:15" ht="96.75" customHeight="1" x14ac:dyDescent="0.2">
      <c r="A70" s="224"/>
      <c r="B70" s="3" t="s">
        <v>95</v>
      </c>
      <c r="C70" s="10" t="s">
        <v>531</v>
      </c>
      <c r="D70" s="1" t="s">
        <v>521</v>
      </c>
      <c r="E70" s="1" t="s">
        <v>69</v>
      </c>
      <c r="F70" s="1" t="s">
        <v>46</v>
      </c>
      <c r="G70" s="1" t="s">
        <v>47</v>
      </c>
      <c r="H70" s="1" t="s">
        <v>47</v>
      </c>
      <c r="I70" s="213">
        <v>4800</v>
      </c>
      <c r="J70" s="213"/>
      <c r="K70" s="1" t="s">
        <v>69</v>
      </c>
      <c r="L70" s="10" t="s">
        <v>971</v>
      </c>
      <c r="M70" s="10" t="s">
        <v>523</v>
      </c>
      <c r="N70" s="10" t="s">
        <v>206</v>
      </c>
      <c r="O70" s="10" t="s">
        <v>191</v>
      </c>
    </row>
    <row r="71" spans="1:15" ht="91.5" customHeight="1" x14ac:dyDescent="0.2">
      <c r="A71" s="224"/>
      <c r="B71" s="3" t="s">
        <v>96</v>
      </c>
      <c r="C71" s="10" t="s">
        <v>974</v>
      </c>
      <c r="D71" s="1" t="s">
        <v>521</v>
      </c>
      <c r="E71" s="1" t="s">
        <v>69</v>
      </c>
      <c r="F71" s="1" t="s">
        <v>446</v>
      </c>
      <c r="G71" s="1" t="s">
        <v>48</v>
      </c>
      <c r="H71" s="1" t="s">
        <v>47</v>
      </c>
      <c r="I71" s="213">
        <v>4800</v>
      </c>
      <c r="J71" s="213"/>
      <c r="K71" s="1" t="s">
        <v>69</v>
      </c>
      <c r="L71" s="10" t="s">
        <v>971</v>
      </c>
      <c r="M71" s="10" t="s">
        <v>523</v>
      </c>
      <c r="N71" s="10" t="s">
        <v>206</v>
      </c>
      <c r="O71" s="10" t="s">
        <v>192</v>
      </c>
    </row>
    <row r="72" spans="1:15" ht="97.5" customHeight="1" x14ac:dyDescent="0.2">
      <c r="A72" s="224"/>
      <c r="B72" s="3" t="s">
        <v>97</v>
      </c>
      <c r="C72" s="10" t="s">
        <v>975</v>
      </c>
      <c r="D72" s="1" t="s">
        <v>521</v>
      </c>
      <c r="E72" s="1" t="s">
        <v>69</v>
      </c>
      <c r="F72" s="1" t="s">
        <v>446</v>
      </c>
      <c r="G72" s="1" t="s">
        <v>48</v>
      </c>
      <c r="H72" s="1" t="s">
        <v>47</v>
      </c>
      <c r="I72" s="213">
        <v>4800</v>
      </c>
      <c r="J72" s="213"/>
      <c r="K72" s="1" t="s">
        <v>69</v>
      </c>
      <c r="L72" s="10" t="s">
        <v>971</v>
      </c>
      <c r="M72" s="10" t="s">
        <v>523</v>
      </c>
      <c r="N72" s="10" t="s">
        <v>206</v>
      </c>
      <c r="O72" s="10" t="s">
        <v>193</v>
      </c>
    </row>
    <row r="73" spans="1:15" ht="100.5" customHeight="1" x14ac:dyDescent="0.2">
      <c r="A73" s="224"/>
      <c r="B73" s="3" t="s">
        <v>98</v>
      </c>
      <c r="C73" s="10" t="s">
        <v>976</v>
      </c>
      <c r="D73" s="1" t="s">
        <v>521</v>
      </c>
      <c r="E73" s="1" t="s">
        <v>69</v>
      </c>
      <c r="F73" s="1" t="s">
        <v>446</v>
      </c>
      <c r="G73" s="1" t="s">
        <v>48</v>
      </c>
      <c r="H73" s="1" t="s">
        <v>47</v>
      </c>
      <c r="I73" s="213">
        <v>4800</v>
      </c>
      <c r="J73" s="213"/>
      <c r="K73" s="1" t="s">
        <v>69</v>
      </c>
      <c r="L73" s="10" t="s">
        <v>971</v>
      </c>
      <c r="M73" s="10" t="s">
        <v>523</v>
      </c>
      <c r="N73" s="10" t="s">
        <v>206</v>
      </c>
      <c r="O73" s="10" t="s">
        <v>194</v>
      </c>
    </row>
    <row r="74" spans="1:15" ht="91.5" customHeight="1" x14ac:dyDescent="0.2">
      <c r="A74" s="224"/>
      <c r="B74" s="3" t="s">
        <v>99</v>
      </c>
      <c r="C74" s="10" t="s">
        <v>977</v>
      </c>
      <c r="D74" s="1" t="s">
        <v>521</v>
      </c>
      <c r="E74" s="1" t="s">
        <v>69</v>
      </c>
      <c r="F74" s="1" t="s">
        <v>446</v>
      </c>
      <c r="G74" s="1" t="s">
        <v>48</v>
      </c>
      <c r="H74" s="1" t="s">
        <v>47</v>
      </c>
      <c r="I74" s="213">
        <v>2400</v>
      </c>
      <c r="J74" s="213"/>
      <c r="K74" s="1" t="s">
        <v>69</v>
      </c>
      <c r="L74" s="10" t="s">
        <v>971</v>
      </c>
      <c r="M74" s="10" t="s">
        <v>523</v>
      </c>
      <c r="N74" s="10" t="s">
        <v>206</v>
      </c>
      <c r="O74" s="10" t="s">
        <v>195</v>
      </c>
    </row>
    <row r="75" spans="1:15" ht="102.75" customHeight="1" x14ac:dyDescent="0.2">
      <c r="A75" s="224"/>
      <c r="B75" s="3" t="s">
        <v>100</v>
      </c>
      <c r="C75" s="10" t="s">
        <v>978</v>
      </c>
      <c r="D75" s="1" t="s">
        <v>521</v>
      </c>
      <c r="E75" s="1" t="s">
        <v>69</v>
      </c>
      <c r="F75" s="1" t="s">
        <v>446</v>
      </c>
      <c r="G75" s="1" t="s">
        <v>48</v>
      </c>
      <c r="H75" s="1" t="s">
        <v>47</v>
      </c>
      <c r="I75" s="213">
        <v>4800</v>
      </c>
      <c r="J75" s="213"/>
      <c r="K75" s="1" t="s">
        <v>69</v>
      </c>
      <c r="L75" s="10" t="s">
        <v>971</v>
      </c>
      <c r="M75" s="10" t="s">
        <v>523</v>
      </c>
      <c r="N75" s="10" t="s">
        <v>206</v>
      </c>
      <c r="O75" s="10" t="s">
        <v>196</v>
      </c>
    </row>
    <row r="76" spans="1:15" ht="81" customHeight="1" x14ac:dyDescent="0.2">
      <c r="A76" s="224"/>
      <c r="B76" s="3" t="s">
        <v>101</v>
      </c>
      <c r="C76" s="10" t="s">
        <v>269</v>
      </c>
      <c r="D76" s="1" t="s">
        <v>521</v>
      </c>
      <c r="E76" s="1" t="s">
        <v>69</v>
      </c>
      <c r="F76" s="1" t="s">
        <v>152</v>
      </c>
      <c r="G76" s="1" t="s">
        <v>48</v>
      </c>
      <c r="H76" s="1" t="s">
        <v>47</v>
      </c>
      <c r="I76" s="213">
        <v>4800</v>
      </c>
      <c r="J76" s="213"/>
      <c r="K76" s="1" t="s">
        <v>69</v>
      </c>
      <c r="L76" s="10" t="s">
        <v>971</v>
      </c>
      <c r="M76" s="10" t="s">
        <v>523</v>
      </c>
      <c r="N76" s="10" t="s">
        <v>206</v>
      </c>
      <c r="O76" s="10" t="s">
        <v>197</v>
      </c>
    </row>
    <row r="77" spans="1:15" ht="72" customHeight="1" x14ac:dyDescent="0.2">
      <c r="A77" s="224"/>
      <c r="B77" s="3" t="s">
        <v>102</v>
      </c>
      <c r="C77" s="10" t="s">
        <v>535</v>
      </c>
      <c r="D77" s="1" t="s">
        <v>521</v>
      </c>
      <c r="E77" s="1" t="s">
        <v>69</v>
      </c>
      <c r="F77" s="1" t="s">
        <v>46</v>
      </c>
      <c r="G77" s="1" t="s">
        <v>47</v>
      </c>
      <c r="H77" s="1" t="s">
        <v>47</v>
      </c>
      <c r="I77" s="213">
        <v>3600</v>
      </c>
      <c r="J77" s="213"/>
      <c r="K77" s="1" t="s">
        <v>69</v>
      </c>
      <c r="L77" s="10" t="s">
        <v>1396</v>
      </c>
      <c r="M77" s="10" t="s">
        <v>537</v>
      </c>
      <c r="N77" s="10" t="s">
        <v>206</v>
      </c>
      <c r="O77" s="10" t="s">
        <v>1366</v>
      </c>
    </row>
    <row r="78" spans="1:15" ht="76.900000000000006" customHeight="1" x14ac:dyDescent="0.2">
      <c r="A78" s="224"/>
      <c r="B78" s="3" t="s">
        <v>103</v>
      </c>
      <c r="C78" s="10" t="s">
        <v>540</v>
      </c>
      <c r="D78" s="1" t="s">
        <v>521</v>
      </c>
      <c r="E78" s="1" t="s">
        <v>69</v>
      </c>
      <c r="F78" s="1" t="s">
        <v>152</v>
      </c>
      <c r="G78" s="1" t="s">
        <v>48</v>
      </c>
      <c r="H78" s="1" t="s">
        <v>47</v>
      </c>
      <c r="I78" s="213">
        <v>4800</v>
      </c>
      <c r="J78" s="213"/>
      <c r="K78" s="1" t="s">
        <v>69</v>
      </c>
      <c r="L78" s="10" t="s">
        <v>982</v>
      </c>
      <c r="M78" s="10" t="s">
        <v>542</v>
      </c>
      <c r="N78" s="10" t="s">
        <v>206</v>
      </c>
      <c r="O78" s="10" t="s">
        <v>197</v>
      </c>
    </row>
    <row r="79" spans="1:15" ht="272.25" customHeight="1" x14ac:dyDescent="0.2">
      <c r="A79" s="224"/>
      <c r="B79" s="3" t="s">
        <v>104</v>
      </c>
      <c r="C79" s="17" t="s">
        <v>1476</v>
      </c>
      <c r="D79" s="1" t="s">
        <v>51</v>
      </c>
      <c r="E79" s="1" t="s">
        <v>7</v>
      </c>
      <c r="F79" s="1" t="s">
        <v>46</v>
      </c>
      <c r="G79" s="1" t="s">
        <v>47</v>
      </c>
      <c r="H79" s="1" t="s">
        <v>47</v>
      </c>
      <c r="I79" s="213">
        <v>16936.240000000002</v>
      </c>
      <c r="J79" s="213"/>
      <c r="K79" s="1" t="s">
        <v>7</v>
      </c>
      <c r="L79" s="10" t="s">
        <v>1150</v>
      </c>
      <c r="M79" s="10" t="s">
        <v>545</v>
      </c>
      <c r="N79" s="10" t="s">
        <v>10</v>
      </c>
      <c r="O79" s="10" t="s">
        <v>198</v>
      </c>
    </row>
    <row r="80" spans="1:15" ht="100.5" customHeight="1" x14ac:dyDescent="0.2">
      <c r="A80" s="224"/>
      <c r="B80" s="3" t="s">
        <v>105</v>
      </c>
      <c r="C80" s="10" t="s">
        <v>1446</v>
      </c>
      <c r="D80" s="1" t="s">
        <v>51</v>
      </c>
      <c r="E80" s="1" t="s">
        <v>7</v>
      </c>
      <c r="F80" s="1" t="s">
        <v>46</v>
      </c>
      <c r="G80" s="1" t="s">
        <v>47</v>
      </c>
      <c r="H80" s="1" t="s">
        <v>48</v>
      </c>
      <c r="I80" s="213">
        <v>608.4</v>
      </c>
      <c r="J80" s="213"/>
      <c r="K80" s="1" t="s">
        <v>69</v>
      </c>
      <c r="L80" s="10" t="s">
        <v>1447</v>
      </c>
      <c r="M80" s="10" t="s">
        <v>549</v>
      </c>
      <c r="N80" s="10" t="s">
        <v>49</v>
      </c>
      <c r="O80" s="10" t="s">
        <v>199</v>
      </c>
    </row>
    <row r="81" spans="1:15" ht="99" customHeight="1" x14ac:dyDescent="0.2">
      <c r="A81" s="224"/>
      <c r="B81" s="3" t="s">
        <v>106</v>
      </c>
      <c r="C81" s="10" t="s">
        <v>551</v>
      </c>
      <c r="D81" s="1" t="s">
        <v>51</v>
      </c>
      <c r="E81" s="1" t="s">
        <v>69</v>
      </c>
      <c r="F81" s="1" t="s">
        <v>152</v>
      </c>
      <c r="G81" s="1" t="s">
        <v>47</v>
      </c>
      <c r="H81" s="1" t="s">
        <v>47</v>
      </c>
      <c r="I81" s="213">
        <v>412.49</v>
      </c>
      <c r="J81" s="213"/>
      <c r="K81" s="1" t="s">
        <v>69</v>
      </c>
      <c r="L81" s="10" t="s">
        <v>988</v>
      </c>
      <c r="M81" s="10" t="s">
        <v>50</v>
      </c>
      <c r="N81" s="10" t="s">
        <v>538</v>
      </c>
      <c r="O81" s="10" t="s">
        <v>200</v>
      </c>
    </row>
    <row r="82" spans="1:15" ht="99.75" customHeight="1" x14ac:dyDescent="0.2">
      <c r="A82" s="224"/>
      <c r="B82" s="3" t="s">
        <v>107</v>
      </c>
      <c r="C82" s="10" t="s">
        <v>990</v>
      </c>
      <c r="D82" s="1" t="s">
        <v>51</v>
      </c>
      <c r="E82" s="1" t="s">
        <v>69</v>
      </c>
      <c r="F82" s="1" t="s">
        <v>152</v>
      </c>
      <c r="G82" s="1" t="s">
        <v>48</v>
      </c>
      <c r="H82" s="1" t="s">
        <v>47</v>
      </c>
      <c r="I82" s="213">
        <v>6000</v>
      </c>
      <c r="J82" s="213"/>
      <c r="K82" s="1" t="s">
        <v>69</v>
      </c>
      <c r="L82" s="10" t="s">
        <v>991</v>
      </c>
      <c r="M82" s="10" t="s">
        <v>992</v>
      </c>
      <c r="N82" s="10" t="s">
        <v>206</v>
      </c>
      <c r="O82" s="10" t="s">
        <v>201</v>
      </c>
    </row>
    <row r="83" spans="1:15" ht="92.25" customHeight="1" x14ac:dyDescent="0.2">
      <c r="A83" s="224"/>
      <c r="B83" s="3" t="s">
        <v>108</v>
      </c>
      <c r="C83" s="10" t="s">
        <v>553</v>
      </c>
      <c r="D83" s="1" t="s">
        <v>51</v>
      </c>
      <c r="E83" s="1" t="s">
        <v>69</v>
      </c>
      <c r="F83" s="1" t="s">
        <v>46</v>
      </c>
      <c r="G83" s="1" t="s">
        <v>47</v>
      </c>
      <c r="H83" s="1" t="s">
        <v>47</v>
      </c>
      <c r="I83" s="213">
        <v>3600</v>
      </c>
      <c r="J83" s="213"/>
      <c r="K83" s="1" t="s">
        <v>69</v>
      </c>
      <c r="L83" s="10" t="s">
        <v>1013</v>
      </c>
      <c r="M83" s="10" t="s">
        <v>555</v>
      </c>
      <c r="N83" s="10" t="s">
        <v>206</v>
      </c>
      <c r="O83" s="10" t="s">
        <v>1365</v>
      </c>
    </row>
    <row r="84" spans="1:15" ht="155.25" customHeight="1" x14ac:dyDescent="0.2">
      <c r="A84" s="224"/>
      <c r="B84" s="3" t="s">
        <v>109</v>
      </c>
      <c r="C84" s="10" t="s">
        <v>1371</v>
      </c>
      <c r="D84" s="1" t="s">
        <v>45</v>
      </c>
      <c r="E84" s="1" t="s">
        <v>7</v>
      </c>
      <c r="F84" s="1" t="s">
        <v>46</v>
      </c>
      <c r="G84" s="1" t="s">
        <v>47</v>
      </c>
      <c r="H84" s="1" t="s">
        <v>48</v>
      </c>
      <c r="I84" s="213">
        <v>1527.47</v>
      </c>
      <c r="J84" s="213"/>
      <c r="K84" s="1" t="s">
        <v>69</v>
      </c>
      <c r="L84" s="10" t="s">
        <v>270</v>
      </c>
      <c r="M84" s="10" t="s">
        <v>559</v>
      </c>
      <c r="N84" s="10" t="s">
        <v>49</v>
      </c>
      <c r="O84" s="10" t="s">
        <v>202</v>
      </c>
    </row>
    <row r="85" spans="1:15" ht="148.5" customHeight="1" x14ac:dyDescent="0.2">
      <c r="A85" s="224"/>
      <c r="B85" s="3" t="s">
        <v>110</v>
      </c>
      <c r="C85" s="10" t="s">
        <v>1372</v>
      </c>
      <c r="D85" s="1" t="s">
        <v>45</v>
      </c>
      <c r="E85" s="1" t="s">
        <v>7</v>
      </c>
      <c r="F85" s="1" t="s">
        <v>46</v>
      </c>
      <c r="G85" s="1" t="s">
        <v>47</v>
      </c>
      <c r="H85" s="1" t="s">
        <v>47</v>
      </c>
      <c r="I85" s="213">
        <v>1215.2</v>
      </c>
      <c r="J85" s="213"/>
      <c r="K85" s="1" t="s">
        <v>69</v>
      </c>
      <c r="L85" s="10" t="s">
        <v>271</v>
      </c>
      <c r="M85" s="10" t="s">
        <v>559</v>
      </c>
      <c r="N85" s="10" t="s">
        <v>49</v>
      </c>
      <c r="O85" s="10" t="s">
        <v>203</v>
      </c>
    </row>
    <row r="86" spans="1:15" ht="49.5" customHeight="1" x14ac:dyDescent="0.2">
      <c r="A86" s="224"/>
      <c r="B86" s="3" t="s">
        <v>111</v>
      </c>
      <c r="C86" s="10" t="s">
        <v>564</v>
      </c>
      <c r="D86" s="1" t="s">
        <v>45</v>
      </c>
      <c r="E86" s="1" t="s">
        <v>7</v>
      </c>
      <c r="F86" s="1" t="s">
        <v>46</v>
      </c>
      <c r="G86" s="1" t="s">
        <v>47</v>
      </c>
      <c r="H86" s="1" t="s">
        <v>47</v>
      </c>
      <c r="I86" s="213">
        <v>1920</v>
      </c>
      <c r="J86" s="213"/>
      <c r="K86" s="1" t="s">
        <v>69</v>
      </c>
      <c r="L86" s="10" t="s">
        <v>999</v>
      </c>
      <c r="M86" s="10" t="s">
        <v>559</v>
      </c>
      <c r="N86" s="10" t="s">
        <v>143</v>
      </c>
      <c r="O86" s="10" t="s">
        <v>204</v>
      </c>
    </row>
    <row r="87" spans="1:15" ht="63" customHeight="1" x14ac:dyDescent="0.2">
      <c r="A87" s="224"/>
      <c r="B87" s="3" t="s">
        <v>112</v>
      </c>
      <c r="C87" s="10" t="s">
        <v>568</v>
      </c>
      <c r="D87" s="1" t="s">
        <v>45</v>
      </c>
      <c r="E87" s="1" t="s">
        <v>7</v>
      </c>
      <c r="F87" s="1" t="s">
        <v>152</v>
      </c>
      <c r="G87" s="1" t="s">
        <v>48</v>
      </c>
      <c r="H87" s="1" t="s">
        <v>47</v>
      </c>
      <c r="I87" s="213">
        <v>1200</v>
      </c>
      <c r="J87" s="213"/>
      <c r="K87" s="1" t="s">
        <v>69</v>
      </c>
      <c r="L87" s="10" t="s">
        <v>1000</v>
      </c>
      <c r="M87" s="10" t="s">
        <v>559</v>
      </c>
      <c r="N87" s="10" t="s">
        <v>49</v>
      </c>
      <c r="O87" s="10" t="s">
        <v>205</v>
      </c>
    </row>
    <row r="88" spans="1:15" ht="51" customHeight="1" x14ac:dyDescent="0.2">
      <c r="A88" s="224"/>
      <c r="B88" s="3" t="s">
        <v>113</v>
      </c>
      <c r="C88" s="10" t="s">
        <v>571</v>
      </c>
      <c r="D88" s="1" t="s">
        <v>45</v>
      </c>
      <c r="E88" s="1" t="s">
        <v>69</v>
      </c>
      <c r="F88" s="1" t="s">
        <v>152</v>
      </c>
      <c r="G88" s="1" t="s">
        <v>48</v>
      </c>
      <c r="H88" s="1" t="s">
        <v>47</v>
      </c>
      <c r="I88" s="213">
        <v>1560</v>
      </c>
      <c r="J88" s="213"/>
      <c r="K88" s="1" t="s">
        <v>69</v>
      </c>
      <c r="L88" s="10" t="s">
        <v>999</v>
      </c>
      <c r="M88" s="10" t="s">
        <v>559</v>
      </c>
      <c r="N88" s="10" t="s">
        <v>206</v>
      </c>
      <c r="O88" s="10" t="s">
        <v>207</v>
      </c>
    </row>
    <row r="89" spans="1:15" ht="55.5" customHeight="1" x14ac:dyDescent="0.2">
      <c r="A89" s="224"/>
      <c r="B89" s="3" t="s">
        <v>114</v>
      </c>
      <c r="C89" s="10" t="s">
        <v>574</v>
      </c>
      <c r="D89" s="1" t="s">
        <v>45</v>
      </c>
      <c r="E89" s="1" t="s">
        <v>69</v>
      </c>
      <c r="F89" s="1" t="s">
        <v>152</v>
      </c>
      <c r="G89" s="1" t="s">
        <v>47</v>
      </c>
      <c r="H89" s="1" t="s">
        <v>47</v>
      </c>
      <c r="I89" s="213">
        <v>1900</v>
      </c>
      <c r="J89" s="213"/>
      <c r="K89" s="1" t="s">
        <v>69</v>
      </c>
      <c r="L89" s="10" t="s">
        <v>1002</v>
      </c>
      <c r="M89" s="10" t="s">
        <v>559</v>
      </c>
      <c r="N89" s="10" t="s">
        <v>206</v>
      </c>
      <c r="O89" s="10" t="s">
        <v>208</v>
      </c>
    </row>
    <row r="90" spans="1:15" ht="66" customHeight="1" x14ac:dyDescent="0.2">
      <c r="A90" s="224"/>
      <c r="B90" s="3" t="s">
        <v>115</v>
      </c>
      <c r="C90" s="10" t="s">
        <v>20</v>
      </c>
      <c r="D90" s="1" t="s">
        <v>45</v>
      </c>
      <c r="E90" s="1" t="s">
        <v>69</v>
      </c>
      <c r="F90" s="1" t="s">
        <v>152</v>
      </c>
      <c r="G90" s="1" t="s">
        <v>48</v>
      </c>
      <c r="H90" s="1" t="s">
        <v>47</v>
      </c>
      <c r="I90" s="213">
        <v>240</v>
      </c>
      <c r="J90" s="213"/>
      <c r="K90" s="1" t="s">
        <v>69</v>
      </c>
      <c r="L90" s="10" t="s">
        <v>1003</v>
      </c>
      <c r="M90" s="10" t="s">
        <v>578</v>
      </c>
      <c r="N90" s="10" t="s">
        <v>538</v>
      </c>
      <c r="O90" s="10" t="s">
        <v>209</v>
      </c>
    </row>
    <row r="91" spans="1:15" ht="166.5" customHeight="1" x14ac:dyDescent="0.2">
      <c r="A91" s="224"/>
      <c r="B91" s="15" t="s">
        <v>61</v>
      </c>
      <c r="C91" s="10" t="s">
        <v>272</v>
      </c>
      <c r="D91" s="1" t="s">
        <v>51</v>
      </c>
      <c r="E91" s="1" t="s">
        <v>7</v>
      </c>
      <c r="F91" s="1" t="s">
        <v>46</v>
      </c>
      <c r="G91" s="1" t="s">
        <v>47</v>
      </c>
      <c r="H91" s="1" t="s">
        <v>48</v>
      </c>
      <c r="I91" s="209">
        <v>6339.89</v>
      </c>
      <c r="J91" s="210"/>
      <c r="K91" s="1" t="s">
        <v>7</v>
      </c>
      <c r="L91" s="10" t="s">
        <v>273</v>
      </c>
      <c r="M91" s="10" t="s">
        <v>50</v>
      </c>
      <c r="N91" s="10" t="s">
        <v>49</v>
      </c>
      <c r="O91" s="10" t="s">
        <v>204</v>
      </c>
    </row>
    <row r="92" spans="1:15" ht="150" customHeight="1" x14ac:dyDescent="0.2">
      <c r="A92" s="224"/>
      <c r="B92" s="15" t="s">
        <v>62</v>
      </c>
      <c r="C92" s="10" t="s">
        <v>274</v>
      </c>
      <c r="D92" s="1" t="s">
        <v>51</v>
      </c>
      <c r="E92" s="1" t="s">
        <v>7</v>
      </c>
      <c r="F92" s="1" t="s">
        <v>46</v>
      </c>
      <c r="G92" s="1" t="s">
        <v>47</v>
      </c>
      <c r="H92" s="1" t="s">
        <v>48</v>
      </c>
      <c r="I92" s="209">
        <f>16600.42+2000</f>
        <v>18600.419999999998</v>
      </c>
      <c r="J92" s="210"/>
      <c r="K92" s="1" t="s">
        <v>69</v>
      </c>
      <c r="L92" s="10" t="s">
        <v>275</v>
      </c>
      <c r="M92" s="10" t="s">
        <v>50</v>
      </c>
      <c r="N92" s="10" t="s">
        <v>49</v>
      </c>
      <c r="O92" s="10" t="s">
        <v>210</v>
      </c>
    </row>
    <row r="93" spans="1:15" ht="247.9" customHeight="1" x14ac:dyDescent="0.2">
      <c r="A93" s="224"/>
      <c r="B93" s="15" t="s">
        <v>163</v>
      </c>
      <c r="C93" s="10" t="s">
        <v>276</v>
      </c>
      <c r="D93" s="1" t="s">
        <v>164</v>
      </c>
      <c r="E93" s="1" t="s">
        <v>69</v>
      </c>
      <c r="F93" s="1" t="s">
        <v>46</v>
      </c>
      <c r="G93" s="1" t="s">
        <v>48</v>
      </c>
      <c r="H93" s="1" t="s">
        <v>48</v>
      </c>
      <c r="I93" s="209">
        <v>2926.18</v>
      </c>
      <c r="J93" s="210"/>
      <c r="K93" s="1" t="s">
        <v>7</v>
      </c>
      <c r="L93" s="10" t="s">
        <v>1151</v>
      </c>
      <c r="M93" s="10" t="s">
        <v>220</v>
      </c>
      <c r="N93" s="10" t="s">
        <v>169</v>
      </c>
      <c r="O93" s="10" t="s">
        <v>211</v>
      </c>
    </row>
    <row r="94" spans="1:15" ht="107.25" customHeight="1" x14ac:dyDescent="0.2">
      <c r="A94" s="224"/>
      <c r="B94" s="15" t="s">
        <v>166</v>
      </c>
      <c r="C94" s="10" t="s">
        <v>168</v>
      </c>
      <c r="D94" s="1" t="s">
        <v>51</v>
      </c>
      <c r="E94" s="1" t="s">
        <v>69</v>
      </c>
      <c r="F94" s="1" t="s">
        <v>152</v>
      </c>
      <c r="G94" s="1" t="s">
        <v>47</v>
      </c>
      <c r="H94" s="1" t="s">
        <v>47</v>
      </c>
      <c r="I94" s="209">
        <v>700</v>
      </c>
      <c r="J94" s="210"/>
      <c r="K94" s="1" t="s">
        <v>7</v>
      </c>
      <c r="L94" s="10" t="s">
        <v>277</v>
      </c>
      <c r="M94" s="10" t="s">
        <v>167</v>
      </c>
      <c r="N94" s="10" t="s">
        <v>169</v>
      </c>
      <c r="O94" s="10" t="s">
        <v>144</v>
      </c>
    </row>
    <row r="95" spans="1:15" ht="13.5" x14ac:dyDescent="0.2">
      <c r="A95" s="224"/>
      <c r="B95" s="212" t="s">
        <v>1397</v>
      </c>
      <c r="C95" s="212"/>
      <c r="D95" s="212"/>
      <c r="E95" s="212"/>
      <c r="F95" s="212"/>
      <c r="G95" s="212"/>
      <c r="H95" s="212"/>
      <c r="I95" s="212"/>
      <c r="J95" s="212"/>
      <c r="K95" s="212"/>
      <c r="L95" s="212"/>
      <c r="M95" s="212"/>
      <c r="N95" s="212"/>
      <c r="O95" s="212"/>
    </row>
    <row r="96" spans="1:15" ht="80.25" customHeight="1" x14ac:dyDescent="0.2">
      <c r="A96" s="224"/>
      <c r="B96" s="3" t="s">
        <v>588</v>
      </c>
      <c r="C96" s="10" t="s">
        <v>21</v>
      </c>
      <c r="D96" s="1" t="s">
        <v>589</v>
      </c>
      <c r="E96" s="1" t="s">
        <v>69</v>
      </c>
      <c r="F96" s="1" t="s">
        <v>152</v>
      </c>
      <c r="G96" s="1" t="s">
        <v>47</v>
      </c>
      <c r="H96" s="1" t="s">
        <v>47</v>
      </c>
      <c r="I96" s="213">
        <v>240</v>
      </c>
      <c r="J96" s="213"/>
      <c r="K96" s="1" t="s">
        <v>69</v>
      </c>
      <c r="L96" s="10" t="s">
        <v>1013</v>
      </c>
      <c r="M96" s="10" t="s">
        <v>590</v>
      </c>
      <c r="N96" s="10" t="s">
        <v>538</v>
      </c>
      <c r="O96" s="10" t="s">
        <v>212</v>
      </c>
    </row>
    <row r="97" spans="1:15" ht="84" customHeight="1" x14ac:dyDescent="0.2">
      <c r="A97" s="224"/>
      <c r="B97" s="3" t="s">
        <v>235</v>
      </c>
      <c r="C97" s="10" t="s">
        <v>236</v>
      </c>
      <c r="D97" s="1" t="s">
        <v>237</v>
      </c>
      <c r="E97" s="1" t="s">
        <v>69</v>
      </c>
      <c r="F97" s="1" t="s">
        <v>46</v>
      </c>
      <c r="G97" s="1" t="s">
        <v>47</v>
      </c>
      <c r="H97" s="1" t="s">
        <v>47</v>
      </c>
      <c r="I97" s="213">
        <v>165.85</v>
      </c>
      <c r="J97" s="213"/>
      <c r="K97" s="1" t="s">
        <v>69</v>
      </c>
      <c r="L97" s="10" t="s">
        <v>252</v>
      </c>
      <c r="M97" s="10" t="s">
        <v>253</v>
      </c>
      <c r="N97" s="10" t="s">
        <v>238</v>
      </c>
      <c r="O97" s="10" t="s">
        <v>169</v>
      </c>
    </row>
    <row r="98" spans="1:15" ht="13.5" x14ac:dyDescent="0.2">
      <c r="A98" s="224"/>
      <c r="B98" s="204" t="s">
        <v>1398</v>
      </c>
      <c r="C98" s="205"/>
      <c r="D98" s="205"/>
      <c r="E98" s="205"/>
      <c r="F98" s="205"/>
      <c r="G98" s="205"/>
      <c r="H98" s="205"/>
      <c r="I98" s="205"/>
      <c r="J98" s="205"/>
      <c r="K98" s="205"/>
      <c r="L98" s="205"/>
      <c r="M98" s="205"/>
      <c r="N98" s="205"/>
      <c r="O98" s="206"/>
    </row>
    <row r="99" spans="1:15" ht="66.75" customHeight="1" x14ac:dyDescent="0.2">
      <c r="A99" s="225"/>
      <c r="B99" s="3" t="s">
        <v>594</v>
      </c>
      <c r="C99" s="10" t="s">
        <v>1448</v>
      </c>
      <c r="D99" s="1" t="s">
        <v>596</v>
      </c>
      <c r="E99" s="1" t="s">
        <v>69</v>
      </c>
      <c r="F99" s="1" t="s">
        <v>152</v>
      </c>
      <c r="G99" s="1" t="s">
        <v>48</v>
      </c>
      <c r="H99" s="1" t="s">
        <v>47</v>
      </c>
      <c r="I99" s="213">
        <v>240</v>
      </c>
      <c r="J99" s="213"/>
      <c r="K99" s="1" t="s">
        <v>69</v>
      </c>
      <c r="L99" s="10" t="s">
        <v>1147</v>
      </c>
      <c r="M99" s="10" t="s">
        <v>598</v>
      </c>
      <c r="N99" s="10" t="s">
        <v>538</v>
      </c>
      <c r="O99" s="10" t="s">
        <v>1148</v>
      </c>
    </row>
    <row r="100" spans="1:15" ht="13.5" x14ac:dyDescent="0.2">
      <c r="A100" s="229"/>
      <c r="B100" s="211" t="s">
        <v>1399</v>
      </c>
      <c r="C100" s="211"/>
      <c r="D100" s="211"/>
      <c r="E100" s="211"/>
      <c r="F100" s="211"/>
      <c r="G100" s="211"/>
      <c r="H100" s="211"/>
      <c r="I100" s="211"/>
      <c r="J100" s="211"/>
      <c r="K100" s="211"/>
      <c r="L100" s="211"/>
      <c r="M100" s="211"/>
      <c r="N100" s="211"/>
      <c r="O100" s="211"/>
    </row>
    <row r="101" spans="1:15" ht="13.5" x14ac:dyDescent="0.2">
      <c r="A101" s="229"/>
      <c r="B101" s="212" t="s">
        <v>1400</v>
      </c>
      <c r="C101" s="212"/>
      <c r="D101" s="212"/>
      <c r="E101" s="212"/>
      <c r="F101" s="212"/>
      <c r="G101" s="212"/>
      <c r="H101" s="212"/>
      <c r="I101" s="212"/>
      <c r="J101" s="212"/>
      <c r="K101" s="212"/>
      <c r="L101" s="212"/>
      <c r="M101" s="212"/>
      <c r="N101" s="212"/>
      <c r="O101" s="212"/>
    </row>
    <row r="102" spans="1:15" ht="70.5" customHeight="1" x14ac:dyDescent="0.2">
      <c r="A102" s="229"/>
      <c r="B102" s="4" t="s">
        <v>604</v>
      </c>
      <c r="C102" s="10" t="s">
        <v>22</v>
      </c>
      <c r="D102" s="1" t="s">
        <v>165</v>
      </c>
      <c r="E102" s="1" t="s">
        <v>7</v>
      </c>
      <c r="F102" s="1" t="s">
        <v>46</v>
      </c>
      <c r="G102" s="1" t="s">
        <v>47</v>
      </c>
      <c r="H102" s="1" t="s">
        <v>47</v>
      </c>
      <c r="I102" s="213">
        <v>240</v>
      </c>
      <c r="J102" s="213"/>
      <c r="K102" s="1" t="s">
        <v>69</v>
      </c>
      <c r="L102" s="10" t="s">
        <v>1017</v>
      </c>
      <c r="M102" s="10" t="s">
        <v>48</v>
      </c>
      <c r="N102" s="10" t="s">
        <v>538</v>
      </c>
      <c r="O102" s="10" t="s">
        <v>278</v>
      </c>
    </row>
    <row r="103" spans="1:15" ht="63.75" customHeight="1" x14ac:dyDescent="0.2">
      <c r="A103" s="229"/>
      <c r="B103" s="4" t="s">
        <v>608</v>
      </c>
      <c r="C103" s="10" t="s">
        <v>609</v>
      </c>
      <c r="D103" s="1" t="s">
        <v>610</v>
      </c>
      <c r="E103" s="1" t="s">
        <v>7</v>
      </c>
      <c r="F103" s="1" t="s">
        <v>152</v>
      </c>
      <c r="G103" s="1" t="s">
        <v>47</v>
      </c>
      <c r="H103" s="1" t="s">
        <v>47</v>
      </c>
      <c r="I103" s="213">
        <v>240</v>
      </c>
      <c r="J103" s="213"/>
      <c r="K103" s="1" t="s">
        <v>69</v>
      </c>
      <c r="L103" s="10" t="s">
        <v>1017</v>
      </c>
      <c r="M103" s="10" t="s">
        <v>48</v>
      </c>
      <c r="N103" s="10" t="s">
        <v>538</v>
      </c>
      <c r="O103" s="10" t="s">
        <v>86</v>
      </c>
    </row>
    <row r="104" spans="1:15" ht="34.15" customHeight="1" x14ac:dyDescent="0.2">
      <c r="A104" s="229"/>
      <c r="B104" s="4" t="s">
        <v>1019</v>
      </c>
      <c r="C104" s="10" t="s">
        <v>1020</v>
      </c>
      <c r="D104" s="1" t="s">
        <v>1021</v>
      </c>
      <c r="E104" s="1" t="s">
        <v>7</v>
      </c>
      <c r="F104" s="1" t="s">
        <v>152</v>
      </c>
      <c r="G104" s="1" t="s">
        <v>48</v>
      </c>
      <c r="H104" s="1" t="s">
        <v>47</v>
      </c>
      <c r="I104" s="213">
        <v>2400</v>
      </c>
      <c r="J104" s="213"/>
      <c r="K104" s="1" t="s">
        <v>7</v>
      </c>
      <c r="L104" s="10" t="s">
        <v>1022</v>
      </c>
      <c r="M104" s="10" t="s">
        <v>1023</v>
      </c>
      <c r="N104" s="10" t="s">
        <v>87</v>
      </c>
      <c r="O104" s="10" t="s">
        <v>48</v>
      </c>
    </row>
    <row r="105" spans="1:15" ht="13.5" x14ac:dyDescent="0.2">
      <c r="A105" s="229"/>
      <c r="B105" s="212" t="s">
        <v>1401</v>
      </c>
      <c r="C105" s="212"/>
      <c r="D105" s="212"/>
      <c r="E105" s="212"/>
      <c r="F105" s="212"/>
      <c r="G105" s="212"/>
      <c r="H105" s="212"/>
      <c r="I105" s="212"/>
      <c r="J105" s="212"/>
      <c r="K105" s="212"/>
      <c r="L105" s="212"/>
      <c r="M105" s="212"/>
      <c r="N105" s="212"/>
      <c r="O105" s="212"/>
    </row>
    <row r="106" spans="1:15" ht="71.45" customHeight="1" x14ac:dyDescent="0.2">
      <c r="A106" s="229"/>
      <c r="B106" s="4" t="s">
        <v>613</v>
      </c>
      <c r="C106" s="10" t="s">
        <v>614</v>
      </c>
      <c r="D106" s="1" t="s">
        <v>615</v>
      </c>
      <c r="E106" s="1" t="s">
        <v>7</v>
      </c>
      <c r="F106" s="1" t="s">
        <v>152</v>
      </c>
      <c r="G106" s="1" t="s">
        <v>47</v>
      </c>
      <c r="H106" s="1" t="s">
        <v>47</v>
      </c>
      <c r="I106" s="213">
        <v>9600</v>
      </c>
      <c r="J106" s="213"/>
      <c r="K106" s="1" t="s">
        <v>81</v>
      </c>
      <c r="L106" s="10" t="s">
        <v>116</v>
      </c>
      <c r="M106" s="10" t="s">
        <v>1026</v>
      </c>
      <c r="N106" s="10" t="s">
        <v>124</v>
      </c>
      <c r="O106" s="10" t="s">
        <v>1152</v>
      </c>
    </row>
    <row r="107" spans="1:15" ht="63.75" customHeight="1" x14ac:dyDescent="0.2">
      <c r="A107" s="229"/>
      <c r="B107" s="4" t="s">
        <v>619</v>
      </c>
      <c r="C107" s="10" t="s">
        <v>620</v>
      </c>
      <c r="D107" s="1" t="s">
        <v>621</v>
      </c>
      <c r="E107" s="1" t="s">
        <v>69</v>
      </c>
      <c r="F107" s="1" t="s">
        <v>152</v>
      </c>
      <c r="G107" s="1" t="s">
        <v>47</v>
      </c>
      <c r="H107" s="1" t="s">
        <v>48</v>
      </c>
      <c r="I107" s="213">
        <v>240</v>
      </c>
      <c r="J107" s="213"/>
      <c r="K107" s="1" t="s">
        <v>7</v>
      </c>
      <c r="L107" s="10" t="s">
        <v>1028</v>
      </c>
      <c r="M107" s="10" t="s">
        <v>623</v>
      </c>
      <c r="N107" s="10" t="s">
        <v>538</v>
      </c>
      <c r="O107" s="10" t="s">
        <v>624</v>
      </c>
    </row>
    <row r="108" spans="1:15" ht="13.5" x14ac:dyDescent="0.2">
      <c r="A108" s="229"/>
      <c r="B108" s="212" t="s">
        <v>1402</v>
      </c>
      <c r="C108" s="212"/>
      <c r="D108" s="212"/>
      <c r="E108" s="212"/>
      <c r="F108" s="212"/>
      <c r="G108" s="212"/>
      <c r="H108" s="212"/>
      <c r="I108" s="212"/>
      <c r="J108" s="212"/>
      <c r="K108" s="212"/>
      <c r="L108" s="212"/>
      <c r="M108" s="212"/>
      <c r="N108" s="212"/>
      <c r="O108" s="212"/>
    </row>
    <row r="109" spans="1:15" ht="71.25" customHeight="1" x14ac:dyDescent="0.2">
      <c r="A109" s="229"/>
      <c r="B109" s="4" t="s">
        <v>627</v>
      </c>
      <c r="C109" s="10" t="s">
        <v>75</v>
      </c>
      <c r="D109" s="1" t="s">
        <v>118</v>
      </c>
      <c r="E109" s="1" t="s">
        <v>7</v>
      </c>
      <c r="F109" s="1" t="s">
        <v>152</v>
      </c>
      <c r="G109" s="1" t="s">
        <v>47</v>
      </c>
      <c r="H109" s="1" t="s">
        <v>48</v>
      </c>
      <c r="I109" s="213">
        <v>1200</v>
      </c>
      <c r="J109" s="213"/>
      <c r="K109" s="1" t="s">
        <v>7</v>
      </c>
      <c r="L109" s="10" t="s">
        <v>23</v>
      </c>
      <c r="M109" s="10" t="s">
        <v>48</v>
      </c>
      <c r="N109" s="10" t="s">
        <v>538</v>
      </c>
      <c r="O109" s="10" t="s">
        <v>279</v>
      </c>
    </row>
    <row r="110" spans="1:15" ht="55.5" customHeight="1" x14ac:dyDescent="0.2">
      <c r="A110" s="229"/>
      <c r="B110" s="4" t="s">
        <v>1031</v>
      </c>
      <c r="C110" s="10" t="s">
        <v>1032</v>
      </c>
      <c r="D110" s="1" t="s">
        <v>1033</v>
      </c>
      <c r="E110" s="1" t="s">
        <v>69</v>
      </c>
      <c r="F110" s="1" t="s">
        <v>446</v>
      </c>
      <c r="G110" s="1" t="s">
        <v>48</v>
      </c>
      <c r="H110" s="1" t="s">
        <v>47</v>
      </c>
      <c r="I110" s="230">
        <v>1.33</v>
      </c>
      <c r="J110" s="230"/>
      <c r="K110" s="1" t="s">
        <v>48</v>
      </c>
      <c r="L110" s="10" t="s">
        <v>1034</v>
      </c>
      <c r="M110" s="10" t="s">
        <v>1035</v>
      </c>
      <c r="N110" s="10" t="s">
        <v>332</v>
      </c>
      <c r="O110" s="10" t="s">
        <v>87</v>
      </c>
    </row>
    <row r="111" spans="1:15" ht="13.5" x14ac:dyDescent="0.2">
      <c r="A111" s="249"/>
      <c r="B111" s="240" t="s">
        <v>73</v>
      </c>
      <c r="C111" s="241"/>
      <c r="D111" s="241"/>
      <c r="E111" s="241"/>
      <c r="F111" s="241"/>
      <c r="G111" s="241"/>
      <c r="H111" s="241"/>
      <c r="I111" s="241"/>
      <c r="J111" s="241"/>
      <c r="K111" s="241"/>
      <c r="L111" s="241"/>
      <c r="M111" s="241"/>
      <c r="N111" s="241"/>
      <c r="O111" s="242"/>
    </row>
    <row r="112" spans="1:15" ht="13.5" x14ac:dyDescent="0.2">
      <c r="A112" s="250"/>
      <c r="B112" s="212" t="s">
        <v>1403</v>
      </c>
      <c r="C112" s="212"/>
      <c r="D112" s="212"/>
      <c r="E112" s="212"/>
      <c r="F112" s="212"/>
      <c r="G112" s="212"/>
      <c r="H112" s="212"/>
      <c r="I112" s="212"/>
      <c r="J112" s="212"/>
      <c r="K112" s="212"/>
      <c r="L112" s="212"/>
      <c r="M112" s="212"/>
      <c r="N112" s="212"/>
      <c r="O112" s="212"/>
    </row>
    <row r="113" spans="1:15" ht="202.5" customHeight="1" x14ac:dyDescent="0.2">
      <c r="A113" s="250"/>
      <c r="B113" s="5" t="s">
        <v>641</v>
      </c>
      <c r="C113" s="10" t="s">
        <v>280</v>
      </c>
      <c r="D113" s="1" t="s">
        <v>643</v>
      </c>
      <c r="E113" s="1" t="s">
        <v>7</v>
      </c>
      <c r="F113" s="1" t="s">
        <v>46</v>
      </c>
      <c r="G113" s="1" t="s">
        <v>47</v>
      </c>
      <c r="H113" s="1" t="s">
        <v>48</v>
      </c>
      <c r="I113" s="213">
        <v>1206.3699999999999</v>
      </c>
      <c r="J113" s="213"/>
      <c r="K113" s="1" t="s">
        <v>7</v>
      </c>
      <c r="L113" s="10" t="s">
        <v>1404</v>
      </c>
      <c r="M113" s="10" t="s">
        <v>281</v>
      </c>
      <c r="N113" s="10" t="s">
        <v>49</v>
      </c>
      <c r="O113" s="10" t="s">
        <v>159</v>
      </c>
    </row>
    <row r="114" spans="1:15" ht="177.75" customHeight="1" x14ac:dyDescent="0.2">
      <c r="A114" s="250"/>
      <c r="B114" s="5" t="s">
        <v>646</v>
      </c>
      <c r="C114" s="10" t="s">
        <v>282</v>
      </c>
      <c r="D114" s="1" t="s">
        <v>643</v>
      </c>
      <c r="E114" s="1" t="s">
        <v>7</v>
      </c>
      <c r="F114" s="1" t="s">
        <v>46</v>
      </c>
      <c r="G114" s="1" t="s">
        <v>47</v>
      </c>
      <c r="H114" s="1" t="s">
        <v>48</v>
      </c>
      <c r="I114" s="213">
        <v>1161.29</v>
      </c>
      <c r="J114" s="213"/>
      <c r="K114" s="1" t="s">
        <v>7</v>
      </c>
      <c r="L114" s="10" t="s">
        <v>1370</v>
      </c>
      <c r="M114" s="10" t="s">
        <v>1276</v>
      </c>
      <c r="N114" s="10" t="s">
        <v>49</v>
      </c>
      <c r="O114" s="10" t="s">
        <v>159</v>
      </c>
    </row>
    <row r="115" spans="1:15" ht="73.5" customHeight="1" x14ac:dyDescent="0.2">
      <c r="A115" s="250"/>
      <c r="B115" s="5" t="s">
        <v>650</v>
      </c>
      <c r="C115" s="10" t="s">
        <v>1449</v>
      </c>
      <c r="D115" s="1" t="s">
        <v>234</v>
      </c>
      <c r="E115" s="1" t="s">
        <v>7</v>
      </c>
      <c r="F115" s="1" t="s">
        <v>46</v>
      </c>
      <c r="G115" s="1" t="s">
        <v>47</v>
      </c>
      <c r="H115" s="1" t="s">
        <v>48</v>
      </c>
      <c r="I115" s="213">
        <v>4961</v>
      </c>
      <c r="J115" s="213"/>
      <c r="K115" s="1" t="s">
        <v>69</v>
      </c>
      <c r="L115" s="10" t="s">
        <v>1450</v>
      </c>
      <c r="M115" s="10" t="s">
        <v>653</v>
      </c>
      <c r="N115" s="10" t="s">
        <v>58</v>
      </c>
      <c r="O115" s="10" t="s">
        <v>124</v>
      </c>
    </row>
    <row r="116" spans="1:15" ht="102.6" customHeight="1" x14ac:dyDescent="0.2">
      <c r="A116" s="250"/>
      <c r="B116" s="5" t="s">
        <v>654</v>
      </c>
      <c r="C116" s="10" t="s">
        <v>655</v>
      </c>
      <c r="D116" s="1" t="s">
        <v>234</v>
      </c>
      <c r="E116" s="1" t="s">
        <v>7</v>
      </c>
      <c r="F116" s="1" t="s">
        <v>152</v>
      </c>
      <c r="G116" s="1" t="s">
        <v>47</v>
      </c>
      <c r="H116" s="1" t="s">
        <v>47</v>
      </c>
      <c r="I116" s="213">
        <v>7420</v>
      </c>
      <c r="J116" s="213"/>
      <c r="K116" s="1" t="s">
        <v>7</v>
      </c>
      <c r="L116" s="10" t="s">
        <v>1405</v>
      </c>
      <c r="M116" s="10" t="s">
        <v>657</v>
      </c>
      <c r="N116" s="10" t="s">
        <v>58</v>
      </c>
      <c r="O116" s="10" t="s">
        <v>124</v>
      </c>
    </row>
    <row r="117" spans="1:15" ht="123" customHeight="1" x14ac:dyDescent="0.2">
      <c r="A117" s="250"/>
      <c r="B117" s="5" t="s">
        <v>658</v>
      </c>
      <c r="C117" s="10" t="s">
        <v>659</v>
      </c>
      <c r="D117" s="1" t="s">
        <v>234</v>
      </c>
      <c r="E117" s="1" t="s">
        <v>7</v>
      </c>
      <c r="F117" s="1" t="s">
        <v>46</v>
      </c>
      <c r="G117" s="1" t="s">
        <v>47</v>
      </c>
      <c r="H117" s="1" t="s">
        <v>47</v>
      </c>
      <c r="I117" s="213">
        <v>282</v>
      </c>
      <c r="J117" s="213"/>
      <c r="K117" s="1" t="s">
        <v>7</v>
      </c>
      <c r="L117" s="10" t="s">
        <v>1280</v>
      </c>
      <c r="M117" s="10" t="s">
        <v>48</v>
      </c>
      <c r="N117" s="10" t="s">
        <v>58</v>
      </c>
      <c r="O117" s="10" t="s">
        <v>124</v>
      </c>
    </row>
    <row r="118" spans="1:15" ht="65.25" customHeight="1" x14ac:dyDescent="0.2">
      <c r="A118" s="250"/>
      <c r="B118" s="5" t="s">
        <v>661</v>
      </c>
      <c r="C118" s="10" t="s">
        <v>662</v>
      </c>
      <c r="D118" s="1" t="s">
        <v>234</v>
      </c>
      <c r="E118" s="1" t="s">
        <v>7</v>
      </c>
      <c r="F118" s="1" t="s">
        <v>152</v>
      </c>
      <c r="G118" s="1" t="s">
        <v>47</v>
      </c>
      <c r="H118" s="1" t="s">
        <v>47</v>
      </c>
      <c r="I118" s="213">
        <v>300</v>
      </c>
      <c r="J118" s="213"/>
      <c r="K118" s="1" t="s">
        <v>69</v>
      </c>
      <c r="L118" s="10" t="s">
        <v>1013</v>
      </c>
      <c r="M118" s="10" t="s">
        <v>48</v>
      </c>
      <c r="N118" s="10" t="s">
        <v>538</v>
      </c>
      <c r="O118" s="10" t="s">
        <v>159</v>
      </c>
    </row>
    <row r="119" spans="1:15" ht="87.75" customHeight="1" x14ac:dyDescent="0.2">
      <c r="A119" s="250"/>
      <c r="B119" s="13" t="s">
        <v>56</v>
      </c>
      <c r="C119" s="10" t="s">
        <v>283</v>
      </c>
      <c r="D119" s="1" t="s">
        <v>234</v>
      </c>
      <c r="E119" s="1" t="s">
        <v>7</v>
      </c>
      <c r="F119" s="1" t="s">
        <v>46</v>
      </c>
      <c r="G119" s="1" t="s">
        <v>47</v>
      </c>
      <c r="H119" s="1" t="s">
        <v>48</v>
      </c>
      <c r="I119" s="213">
        <v>3102</v>
      </c>
      <c r="J119" s="213"/>
      <c r="K119" s="1" t="s">
        <v>7</v>
      </c>
      <c r="L119" s="10" t="s">
        <v>284</v>
      </c>
      <c r="M119" s="10" t="s">
        <v>57</v>
      </c>
      <c r="N119" s="10" t="s">
        <v>58</v>
      </c>
      <c r="O119" s="10" t="s">
        <v>124</v>
      </c>
    </row>
    <row r="120" spans="1:15" ht="13.5" x14ac:dyDescent="0.2">
      <c r="A120" s="250"/>
      <c r="B120" s="212" t="s">
        <v>119</v>
      </c>
      <c r="C120" s="212"/>
      <c r="D120" s="212"/>
      <c r="E120" s="212"/>
      <c r="F120" s="212"/>
      <c r="G120" s="212"/>
      <c r="H120" s="212"/>
      <c r="I120" s="212"/>
      <c r="J120" s="212"/>
      <c r="K120" s="212"/>
      <c r="L120" s="212"/>
      <c r="M120" s="212"/>
      <c r="N120" s="212"/>
      <c r="O120" s="212"/>
    </row>
    <row r="121" spans="1:15" ht="221.45" customHeight="1" x14ac:dyDescent="0.2">
      <c r="A121" s="250"/>
      <c r="B121" s="5" t="s">
        <v>667</v>
      </c>
      <c r="C121" s="10" t="s">
        <v>668</v>
      </c>
      <c r="D121" s="1" t="s">
        <v>669</v>
      </c>
      <c r="E121" s="1" t="s">
        <v>7</v>
      </c>
      <c r="F121" s="1" t="s">
        <v>46</v>
      </c>
      <c r="G121" s="1" t="s">
        <v>47</v>
      </c>
      <c r="H121" s="1">
        <v>4</v>
      </c>
      <c r="I121" s="213">
        <v>482</v>
      </c>
      <c r="J121" s="213"/>
      <c r="K121" s="1" t="s">
        <v>69</v>
      </c>
      <c r="L121" s="10" t="s">
        <v>1406</v>
      </c>
      <c r="M121" s="10" t="s">
        <v>1048</v>
      </c>
      <c r="N121" s="10" t="s">
        <v>672</v>
      </c>
      <c r="O121" s="10" t="s">
        <v>124</v>
      </c>
    </row>
    <row r="122" spans="1:15" ht="70.5" customHeight="1" x14ac:dyDescent="0.2">
      <c r="A122" s="250"/>
      <c r="B122" s="5" t="s">
        <v>673</v>
      </c>
      <c r="C122" s="10" t="s">
        <v>674</v>
      </c>
      <c r="D122" s="1" t="s">
        <v>675</v>
      </c>
      <c r="E122" s="1" t="s">
        <v>7</v>
      </c>
      <c r="F122" s="1" t="s">
        <v>46</v>
      </c>
      <c r="G122" s="1" t="s">
        <v>47</v>
      </c>
      <c r="H122" s="1" t="s">
        <v>47</v>
      </c>
      <c r="I122" s="213">
        <v>1284</v>
      </c>
      <c r="J122" s="213"/>
      <c r="K122" s="1" t="s">
        <v>7</v>
      </c>
      <c r="L122" s="10" t="s">
        <v>24</v>
      </c>
      <c r="M122" s="10" t="s">
        <v>227</v>
      </c>
      <c r="N122" s="10" t="s">
        <v>226</v>
      </c>
      <c r="O122" s="10" t="s">
        <v>124</v>
      </c>
    </row>
    <row r="123" spans="1:15" ht="73.5" customHeight="1" x14ac:dyDescent="0.2">
      <c r="A123" s="250"/>
      <c r="B123" s="13" t="s">
        <v>677</v>
      </c>
      <c r="C123" s="10" t="s">
        <v>25</v>
      </c>
      <c r="D123" s="1" t="s">
        <v>675</v>
      </c>
      <c r="E123" s="1" t="s">
        <v>7</v>
      </c>
      <c r="F123" s="1" t="s">
        <v>46</v>
      </c>
      <c r="G123" s="1" t="s">
        <v>47</v>
      </c>
      <c r="H123" s="1" t="s">
        <v>47</v>
      </c>
      <c r="I123" s="213">
        <v>4721.8</v>
      </c>
      <c r="J123" s="213"/>
      <c r="K123" s="1" t="s">
        <v>7</v>
      </c>
      <c r="L123" s="10" t="s">
        <v>1368</v>
      </c>
      <c r="M123" s="10" t="s">
        <v>679</v>
      </c>
      <c r="N123" s="10" t="s">
        <v>226</v>
      </c>
      <c r="O123" s="10" t="s">
        <v>124</v>
      </c>
    </row>
    <row r="124" spans="1:15" ht="178.5" customHeight="1" x14ac:dyDescent="0.2">
      <c r="A124" s="250"/>
      <c r="B124" s="13" t="s">
        <v>222</v>
      </c>
      <c r="C124" s="10" t="s">
        <v>223</v>
      </c>
      <c r="D124" s="1" t="s">
        <v>224</v>
      </c>
      <c r="E124" s="1" t="s">
        <v>69</v>
      </c>
      <c r="F124" s="1" t="s">
        <v>46</v>
      </c>
      <c r="G124" s="1" t="s">
        <v>47</v>
      </c>
      <c r="H124" s="1" t="s">
        <v>47</v>
      </c>
      <c r="I124" s="209">
        <v>1452.94</v>
      </c>
      <c r="J124" s="210"/>
      <c r="K124" s="1" t="s">
        <v>7</v>
      </c>
      <c r="L124" s="10" t="s">
        <v>254</v>
      </c>
      <c r="M124" s="10" t="s">
        <v>225</v>
      </c>
      <c r="N124" s="10" t="s">
        <v>226</v>
      </c>
      <c r="O124" s="10" t="s">
        <v>124</v>
      </c>
    </row>
    <row r="125" spans="1:15" ht="13.5" x14ac:dyDescent="0.2">
      <c r="A125" s="250"/>
      <c r="B125" s="212" t="s">
        <v>1407</v>
      </c>
      <c r="C125" s="212"/>
      <c r="D125" s="212"/>
      <c r="E125" s="212"/>
      <c r="F125" s="212"/>
      <c r="G125" s="212"/>
      <c r="H125" s="212"/>
      <c r="I125" s="212"/>
      <c r="J125" s="212"/>
      <c r="K125" s="212"/>
      <c r="L125" s="212"/>
      <c r="M125" s="212"/>
      <c r="N125" s="212"/>
      <c r="O125" s="212"/>
    </row>
    <row r="126" spans="1:15" ht="78.599999999999994" customHeight="1" x14ac:dyDescent="0.2">
      <c r="A126" s="250"/>
      <c r="B126" s="5" t="s">
        <v>682</v>
      </c>
      <c r="C126" s="10" t="s">
        <v>683</v>
      </c>
      <c r="D126" s="1" t="s">
        <v>120</v>
      </c>
      <c r="E126" s="1" t="s">
        <v>69</v>
      </c>
      <c r="F126" s="1" t="s">
        <v>152</v>
      </c>
      <c r="G126" s="1" t="s">
        <v>47</v>
      </c>
      <c r="H126" s="1" t="s">
        <v>47</v>
      </c>
      <c r="I126" s="213">
        <v>5040</v>
      </c>
      <c r="J126" s="213"/>
      <c r="K126" s="1" t="s">
        <v>69</v>
      </c>
      <c r="L126" s="10" t="s">
        <v>1471</v>
      </c>
      <c r="M126" s="10" t="s">
        <v>26</v>
      </c>
      <c r="N126" s="10" t="s">
        <v>214</v>
      </c>
      <c r="O126" s="10" t="s">
        <v>213</v>
      </c>
    </row>
    <row r="127" spans="1:15" ht="55.9" customHeight="1" x14ac:dyDescent="0.2">
      <c r="A127" s="250"/>
      <c r="B127" s="5" t="s">
        <v>686</v>
      </c>
      <c r="C127" s="10" t="s">
        <v>28</v>
      </c>
      <c r="D127" s="1" t="s">
        <v>687</v>
      </c>
      <c r="E127" s="1" t="s">
        <v>7</v>
      </c>
      <c r="F127" s="1" t="s">
        <v>152</v>
      </c>
      <c r="G127" s="1" t="s">
        <v>47</v>
      </c>
      <c r="H127" s="1" t="s">
        <v>47</v>
      </c>
      <c r="I127" s="213">
        <v>480</v>
      </c>
      <c r="J127" s="213"/>
      <c r="K127" s="1" t="s">
        <v>69</v>
      </c>
      <c r="L127" s="10" t="s">
        <v>1288</v>
      </c>
      <c r="M127" s="10" t="s">
        <v>27</v>
      </c>
      <c r="N127" s="10" t="s">
        <v>243</v>
      </c>
      <c r="O127" s="10" t="s">
        <v>214</v>
      </c>
    </row>
    <row r="128" spans="1:15" ht="13.5" x14ac:dyDescent="0.2">
      <c r="A128" s="250"/>
      <c r="B128" s="212" t="s">
        <v>1408</v>
      </c>
      <c r="C128" s="212"/>
      <c r="D128" s="212"/>
      <c r="E128" s="212"/>
      <c r="F128" s="212"/>
      <c r="G128" s="212"/>
      <c r="H128" s="212"/>
      <c r="I128" s="212"/>
      <c r="J128" s="212"/>
      <c r="K128" s="212"/>
      <c r="L128" s="212"/>
      <c r="M128" s="212"/>
      <c r="N128" s="212"/>
      <c r="O128" s="212"/>
    </row>
    <row r="129" spans="1:15" ht="36.6" customHeight="1" x14ac:dyDescent="0.2">
      <c r="A129" s="250"/>
      <c r="B129" s="5" t="s">
        <v>691</v>
      </c>
      <c r="C129" s="10" t="s">
        <v>692</v>
      </c>
      <c r="D129" s="1" t="s">
        <v>693</v>
      </c>
      <c r="E129" s="1" t="s">
        <v>69</v>
      </c>
      <c r="F129" s="1" t="s">
        <v>46</v>
      </c>
      <c r="G129" s="1" t="s">
        <v>47</v>
      </c>
      <c r="H129" s="1" t="s">
        <v>47</v>
      </c>
      <c r="I129" s="213">
        <v>360</v>
      </c>
      <c r="J129" s="213"/>
      <c r="K129" s="1" t="s">
        <v>81</v>
      </c>
      <c r="L129" s="10" t="s">
        <v>1424</v>
      </c>
      <c r="M129" s="10" t="s">
        <v>48</v>
      </c>
      <c r="N129" s="10" t="s">
        <v>695</v>
      </c>
      <c r="O129" s="10" t="s">
        <v>48</v>
      </c>
    </row>
    <row r="130" spans="1:15" ht="118.15" customHeight="1" x14ac:dyDescent="0.2">
      <c r="A130" s="250"/>
      <c r="B130" s="5" t="s">
        <v>1131</v>
      </c>
      <c r="C130" s="10" t="s">
        <v>1146</v>
      </c>
      <c r="D130" s="1" t="s">
        <v>1132</v>
      </c>
      <c r="E130" s="1" t="s">
        <v>69</v>
      </c>
      <c r="F130" s="1" t="s">
        <v>46</v>
      </c>
      <c r="G130" s="1" t="s">
        <v>47</v>
      </c>
      <c r="H130" s="1" t="s">
        <v>47</v>
      </c>
      <c r="I130" s="213">
        <v>506.233</v>
      </c>
      <c r="J130" s="213"/>
      <c r="K130" s="1" t="s">
        <v>7</v>
      </c>
      <c r="L130" s="10" t="s">
        <v>1451</v>
      </c>
      <c r="M130" s="10" t="s">
        <v>1133</v>
      </c>
      <c r="N130" s="10" t="s">
        <v>206</v>
      </c>
      <c r="O130" s="10" t="s">
        <v>1364</v>
      </c>
    </row>
    <row r="131" spans="1:15" ht="13.5" x14ac:dyDescent="0.2">
      <c r="A131" s="250"/>
      <c r="B131" s="212" t="s">
        <v>1409</v>
      </c>
      <c r="C131" s="212"/>
      <c r="D131" s="212"/>
      <c r="E131" s="212"/>
      <c r="F131" s="212"/>
      <c r="G131" s="212"/>
      <c r="H131" s="212"/>
      <c r="I131" s="212"/>
      <c r="J131" s="212"/>
      <c r="K131" s="212"/>
      <c r="L131" s="212"/>
      <c r="M131" s="212"/>
      <c r="N131" s="212"/>
      <c r="O131" s="212"/>
    </row>
    <row r="132" spans="1:15" ht="34.9" customHeight="1" x14ac:dyDescent="0.2">
      <c r="A132" s="250"/>
      <c r="B132" s="5" t="s">
        <v>698</v>
      </c>
      <c r="C132" s="10" t="s">
        <v>699</v>
      </c>
      <c r="D132" s="1" t="s">
        <v>700</v>
      </c>
      <c r="E132" s="1" t="s">
        <v>7</v>
      </c>
      <c r="F132" s="1" t="s">
        <v>46</v>
      </c>
      <c r="G132" s="1" t="s">
        <v>47</v>
      </c>
      <c r="H132" s="1" t="s">
        <v>47</v>
      </c>
      <c r="I132" s="213">
        <v>600</v>
      </c>
      <c r="J132" s="213"/>
      <c r="K132" s="1" t="s">
        <v>69</v>
      </c>
      <c r="L132" s="10" t="s">
        <v>1013</v>
      </c>
      <c r="M132" s="10" t="s">
        <v>48</v>
      </c>
      <c r="N132" s="10" t="s">
        <v>123</v>
      </c>
      <c r="O132" s="10" t="s">
        <v>159</v>
      </c>
    </row>
    <row r="133" spans="1:15" ht="43.9" customHeight="1" x14ac:dyDescent="0.2">
      <c r="A133" s="250"/>
      <c r="B133" s="5" t="s">
        <v>1058</v>
      </c>
      <c r="C133" s="10" t="s">
        <v>29</v>
      </c>
      <c r="D133" s="1" t="s">
        <v>700</v>
      </c>
      <c r="E133" s="1" t="s">
        <v>69</v>
      </c>
      <c r="F133" s="1" t="s">
        <v>446</v>
      </c>
      <c r="G133" s="1" t="s">
        <v>48</v>
      </c>
      <c r="H133" s="1" t="s">
        <v>47</v>
      </c>
      <c r="I133" s="213">
        <v>720</v>
      </c>
      <c r="J133" s="213"/>
      <c r="K133" s="1" t="s">
        <v>69</v>
      </c>
      <c r="L133" s="10" t="s">
        <v>1059</v>
      </c>
      <c r="M133" s="10" t="s">
        <v>1060</v>
      </c>
      <c r="N133" s="10" t="s">
        <v>123</v>
      </c>
      <c r="O133" s="10" t="s">
        <v>159</v>
      </c>
    </row>
    <row r="134" spans="1:15" ht="41.45" customHeight="1" x14ac:dyDescent="0.2">
      <c r="A134" s="250"/>
      <c r="B134" s="5" t="s">
        <v>1061</v>
      </c>
      <c r="C134" s="10" t="s">
        <v>59</v>
      </c>
      <c r="D134" s="1" t="s">
        <v>700</v>
      </c>
      <c r="E134" s="1" t="s">
        <v>69</v>
      </c>
      <c r="F134" s="1" t="s">
        <v>446</v>
      </c>
      <c r="G134" s="1" t="s">
        <v>48</v>
      </c>
      <c r="H134" s="1" t="s">
        <v>47</v>
      </c>
      <c r="I134" s="213">
        <v>720</v>
      </c>
      <c r="J134" s="213"/>
      <c r="K134" s="1" t="s">
        <v>69</v>
      </c>
      <c r="L134" s="10" t="s">
        <v>1136</v>
      </c>
      <c r="M134" s="10" t="s">
        <v>1060</v>
      </c>
      <c r="N134" s="10" t="s">
        <v>123</v>
      </c>
      <c r="O134" s="10" t="s">
        <v>159</v>
      </c>
    </row>
    <row r="135" spans="1:15" ht="72.75" customHeight="1" x14ac:dyDescent="0.2">
      <c r="A135" s="251"/>
      <c r="B135" s="5" t="s">
        <v>701</v>
      </c>
      <c r="C135" s="10" t="s">
        <v>30</v>
      </c>
      <c r="D135" s="1" t="s">
        <v>700</v>
      </c>
      <c r="E135" s="1" t="s">
        <v>7</v>
      </c>
      <c r="F135" s="1" t="s">
        <v>152</v>
      </c>
      <c r="G135" s="1" t="s">
        <v>47</v>
      </c>
      <c r="H135" s="1" t="s">
        <v>47</v>
      </c>
      <c r="I135" s="213">
        <v>5126.6899999999996</v>
      </c>
      <c r="J135" s="213"/>
      <c r="K135" s="1" t="s">
        <v>7</v>
      </c>
      <c r="L135" s="10" t="s">
        <v>31</v>
      </c>
      <c r="M135" s="10" t="s">
        <v>1295</v>
      </c>
      <c r="N135" s="10" t="s">
        <v>49</v>
      </c>
      <c r="O135" s="10" t="s">
        <v>159</v>
      </c>
    </row>
    <row r="136" spans="1:15" ht="13.5" x14ac:dyDescent="0.2">
      <c r="A136" s="220"/>
      <c r="B136" s="219" t="s">
        <v>1410</v>
      </c>
      <c r="C136" s="219"/>
      <c r="D136" s="219"/>
      <c r="E136" s="219"/>
      <c r="F136" s="219"/>
      <c r="G136" s="219"/>
      <c r="H136" s="219"/>
      <c r="I136" s="219"/>
      <c r="J136" s="219"/>
      <c r="K136" s="219"/>
      <c r="L136" s="219"/>
      <c r="M136" s="219"/>
      <c r="N136" s="219"/>
      <c r="O136" s="219"/>
    </row>
    <row r="137" spans="1:15" ht="13.5" x14ac:dyDescent="0.2">
      <c r="A137" s="221"/>
      <c r="B137" s="212" t="s">
        <v>1411</v>
      </c>
      <c r="C137" s="212"/>
      <c r="D137" s="212"/>
      <c r="E137" s="212"/>
      <c r="F137" s="212"/>
      <c r="G137" s="212"/>
      <c r="H137" s="212"/>
      <c r="I137" s="212"/>
      <c r="J137" s="212"/>
      <c r="K137" s="212"/>
      <c r="L137" s="212"/>
      <c r="M137" s="212"/>
      <c r="N137" s="212"/>
      <c r="O137" s="212"/>
    </row>
    <row r="138" spans="1:15" ht="159" customHeight="1" x14ac:dyDescent="0.2">
      <c r="A138" s="221"/>
      <c r="B138" s="6" t="s">
        <v>708</v>
      </c>
      <c r="C138" s="10" t="s">
        <v>32</v>
      </c>
      <c r="D138" s="1" t="s">
        <v>66</v>
      </c>
      <c r="E138" s="1" t="s">
        <v>7</v>
      </c>
      <c r="F138" s="1" t="s">
        <v>46</v>
      </c>
      <c r="G138" s="1" t="s">
        <v>47</v>
      </c>
      <c r="H138" s="1" t="s">
        <v>47</v>
      </c>
      <c r="I138" s="213">
        <v>126.23599999999999</v>
      </c>
      <c r="J138" s="213"/>
      <c r="K138" s="1" t="s">
        <v>81</v>
      </c>
      <c r="L138" s="10" t="s">
        <v>1373</v>
      </c>
      <c r="M138" s="10" t="s">
        <v>33</v>
      </c>
      <c r="N138" s="10" t="s">
        <v>181</v>
      </c>
      <c r="O138" s="10" t="s">
        <v>292</v>
      </c>
    </row>
    <row r="139" spans="1:15" ht="52.5" customHeight="1" x14ac:dyDescent="0.2">
      <c r="A139" s="221"/>
      <c r="B139" s="6" t="s">
        <v>712</v>
      </c>
      <c r="C139" s="10" t="s">
        <v>713</v>
      </c>
      <c r="D139" s="1" t="s">
        <v>714</v>
      </c>
      <c r="E139" s="1" t="s">
        <v>7</v>
      </c>
      <c r="F139" s="1" t="s">
        <v>46</v>
      </c>
      <c r="G139" s="1" t="s">
        <v>47</v>
      </c>
      <c r="H139" s="1" t="s">
        <v>47</v>
      </c>
      <c r="I139" s="213">
        <v>977.84</v>
      </c>
      <c r="J139" s="213"/>
      <c r="K139" s="1" t="s">
        <v>69</v>
      </c>
      <c r="L139" s="10" t="s">
        <v>1412</v>
      </c>
      <c r="M139" s="10" t="s">
        <v>48</v>
      </c>
      <c r="N139" s="10" t="s">
        <v>181</v>
      </c>
      <c r="O139" s="10" t="s">
        <v>48</v>
      </c>
    </row>
    <row r="140" spans="1:15" ht="57.6" customHeight="1" x14ac:dyDescent="0.2">
      <c r="A140" s="221"/>
      <c r="B140" s="6" t="s">
        <v>716</v>
      </c>
      <c r="C140" s="10" t="s">
        <v>717</v>
      </c>
      <c r="D140" s="1" t="s">
        <v>718</v>
      </c>
      <c r="E140" s="1" t="s">
        <v>7</v>
      </c>
      <c r="F140" s="1" t="s">
        <v>46</v>
      </c>
      <c r="G140" s="1" t="s">
        <v>47</v>
      </c>
      <c r="H140" s="1" t="s">
        <v>47</v>
      </c>
      <c r="I140" s="213">
        <v>954.47</v>
      </c>
      <c r="J140" s="213"/>
      <c r="K140" s="1" t="s">
        <v>69</v>
      </c>
      <c r="L140" s="10" t="s">
        <v>1374</v>
      </c>
      <c r="M140" s="10" t="s">
        <v>720</v>
      </c>
      <c r="N140" s="10" t="s">
        <v>181</v>
      </c>
      <c r="O140" s="10" t="s">
        <v>48</v>
      </c>
    </row>
    <row r="141" spans="1:15" ht="68.25" customHeight="1" x14ac:dyDescent="0.2">
      <c r="A141" s="221"/>
      <c r="B141" s="6" t="s">
        <v>721</v>
      </c>
      <c r="C141" s="10" t="s">
        <v>722</v>
      </c>
      <c r="D141" s="1" t="s">
        <v>723</v>
      </c>
      <c r="E141" s="1" t="s">
        <v>7</v>
      </c>
      <c r="F141" s="1" t="s">
        <v>46</v>
      </c>
      <c r="G141" s="1" t="s">
        <v>47</v>
      </c>
      <c r="H141" s="1" t="s">
        <v>47</v>
      </c>
      <c r="I141" s="213">
        <v>5795.1</v>
      </c>
      <c r="J141" s="213"/>
      <c r="K141" s="1" t="s">
        <v>69</v>
      </c>
      <c r="L141" s="10" t="s">
        <v>1452</v>
      </c>
      <c r="M141" s="10" t="s">
        <v>48</v>
      </c>
      <c r="N141" s="10" t="s">
        <v>181</v>
      </c>
      <c r="O141" s="10" t="s">
        <v>48</v>
      </c>
    </row>
    <row r="142" spans="1:15" ht="84" customHeight="1" x14ac:dyDescent="0.2">
      <c r="A142" s="221"/>
      <c r="B142" s="6" t="s">
        <v>725</v>
      </c>
      <c r="C142" s="10" t="s">
        <v>726</v>
      </c>
      <c r="D142" s="1" t="s">
        <v>723</v>
      </c>
      <c r="E142" s="1" t="s">
        <v>7</v>
      </c>
      <c r="F142" s="1" t="s">
        <v>46</v>
      </c>
      <c r="G142" s="1" t="s">
        <v>47</v>
      </c>
      <c r="H142" s="1" t="s">
        <v>47</v>
      </c>
      <c r="I142" s="213">
        <v>1126.42</v>
      </c>
      <c r="J142" s="213"/>
      <c r="K142" s="1" t="s">
        <v>69</v>
      </c>
      <c r="L142" s="10" t="s">
        <v>1453</v>
      </c>
      <c r="M142" s="10" t="s">
        <v>48</v>
      </c>
      <c r="N142" s="10" t="s">
        <v>181</v>
      </c>
      <c r="O142" s="10" t="s">
        <v>48</v>
      </c>
    </row>
    <row r="143" spans="1:15" ht="54" customHeight="1" x14ac:dyDescent="0.2">
      <c r="A143" s="221"/>
      <c r="B143" s="6" t="s">
        <v>728</v>
      </c>
      <c r="C143" s="17" t="s">
        <v>1477</v>
      </c>
      <c r="D143" s="1" t="s">
        <v>723</v>
      </c>
      <c r="E143" s="1" t="s">
        <v>7</v>
      </c>
      <c r="F143" s="1" t="s">
        <v>46</v>
      </c>
      <c r="G143" s="1" t="s">
        <v>47</v>
      </c>
      <c r="H143" s="1" t="s">
        <v>47</v>
      </c>
      <c r="I143" s="213">
        <v>1266.72</v>
      </c>
      <c r="J143" s="213"/>
      <c r="K143" s="1" t="s">
        <v>69</v>
      </c>
      <c r="L143" s="10" t="s">
        <v>1413</v>
      </c>
      <c r="M143" s="10" t="s">
        <v>48</v>
      </c>
      <c r="N143" s="10" t="s">
        <v>181</v>
      </c>
      <c r="O143" s="10" t="s">
        <v>48</v>
      </c>
    </row>
    <row r="144" spans="1:15" ht="35.450000000000003" customHeight="1" x14ac:dyDescent="0.2">
      <c r="A144" s="221"/>
      <c r="B144" s="6" t="s">
        <v>731</v>
      </c>
      <c r="C144" s="10" t="s">
        <v>732</v>
      </c>
      <c r="D144" s="1" t="s">
        <v>723</v>
      </c>
      <c r="E144" s="1" t="s">
        <v>7</v>
      </c>
      <c r="F144" s="1" t="s">
        <v>152</v>
      </c>
      <c r="G144" s="1" t="s">
        <v>47</v>
      </c>
      <c r="H144" s="1" t="s">
        <v>47</v>
      </c>
      <c r="I144" s="213">
        <v>1870.64</v>
      </c>
      <c r="J144" s="213"/>
      <c r="K144" s="1" t="s">
        <v>69</v>
      </c>
      <c r="L144" s="10" t="s">
        <v>1414</v>
      </c>
      <c r="M144" s="10" t="s">
        <v>734</v>
      </c>
      <c r="N144" s="10" t="s">
        <v>181</v>
      </c>
      <c r="O144" s="10" t="s">
        <v>48</v>
      </c>
    </row>
    <row r="145" spans="1:15" ht="52.9" customHeight="1" x14ac:dyDescent="0.2">
      <c r="A145" s="221"/>
      <c r="B145" s="6" t="s">
        <v>1072</v>
      </c>
      <c r="C145" s="10" t="s">
        <v>1073</v>
      </c>
      <c r="D145" s="1" t="s">
        <v>723</v>
      </c>
      <c r="E145" s="1" t="s">
        <v>69</v>
      </c>
      <c r="F145" s="1" t="s">
        <v>446</v>
      </c>
      <c r="G145" s="1" t="s">
        <v>48</v>
      </c>
      <c r="H145" s="1" t="s">
        <v>47</v>
      </c>
      <c r="I145" s="213">
        <v>24000</v>
      </c>
      <c r="J145" s="213"/>
      <c r="K145" s="1" t="s">
        <v>7</v>
      </c>
      <c r="L145" s="10" t="s">
        <v>1074</v>
      </c>
      <c r="M145" s="10" t="s">
        <v>1075</v>
      </c>
      <c r="N145" s="10" t="s">
        <v>181</v>
      </c>
      <c r="O145" s="10" t="s">
        <v>48</v>
      </c>
    </row>
    <row r="146" spans="1:15" ht="94.5" customHeight="1" x14ac:dyDescent="0.2">
      <c r="A146" s="221"/>
      <c r="B146" s="6" t="s">
        <v>735</v>
      </c>
      <c r="C146" s="10" t="s">
        <v>736</v>
      </c>
      <c r="D146" s="1" t="s">
        <v>723</v>
      </c>
      <c r="E146" s="1" t="s">
        <v>7</v>
      </c>
      <c r="F146" s="1" t="s">
        <v>46</v>
      </c>
      <c r="G146" s="1" t="s">
        <v>47</v>
      </c>
      <c r="H146" s="1" t="s">
        <v>47</v>
      </c>
      <c r="I146" s="213">
        <v>776.29700000000003</v>
      </c>
      <c r="J146" s="213"/>
      <c r="K146" s="1" t="s">
        <v>69</v>
      </c>
      <c r="L146" s="10" t="s">
        <v>1137</v>
      </c>
      <c r="M146" s="10" t="s">
        <v>48</v>
      </c>
      <c r="N146" s="10" t="s">
        <v>181</v>
      </c>
      <c r="O146" s="10" t="s">
        <v>48</v>
      </c>
    </row>
    <row r="147" spans="1:15" ht="109.15" customHeight="1" x14ac:dyDescent="0.2">
      <c r="A147" s="221"/>
      <c r="B147" s="6" t="s">
        <v>738</v>
      </c>
      <c r="C147" s="10" t="s">
        <v>1454</v>
      </c>
      <c r="D147" s="1" t="s">
        <v>723</v>
      </c>
      <c r="E147" s="1" t="s">
        <v>7</v>
      </c>
      <c r="F147" s="1" t="s">
        <v>46</v>
      </c>
      <c r="G147" s="1" t="s">
        <v>47</v>
      </c>
      <c r="H147" s="1" t="s">
        <v>48</v>
      </c>
      <c r="I147" s="213">
        <v>9119.02</v>
      </c>
      <c r="J147" s="213"/>
      <c r="K147" s="1" t="s">
        <v>69</v>
      </c>
      <c r="L147" s="10" t="s">
        <v>1455</v>
      </c>
      <c r="M147" s="10" t="s">
        <v>1310</v>
      </c>
      <c r="N147" s="10" t="s">
        <v>10</v>
      </c>
      <c r="O147" s="10" t="s">
        <v>48</v>
      </c>
    </row>
    <row r="148" spans="1:15" ht="34.15" customHeight="1" x14ac:dyDescent="0.2">
      <c r="A148" s="221"/>
      <c r="B148" s="6" t="s">
        <v>1079</v>
      </c>
      <c r="C148" s="10" t="s">
        <v>1080</v>
      </c>
      <c r="D148" s="1" t="s">
        <v>723</v>
      </c>
      <c r="E148" s="1" t="s">
        <v>69</v>
      </c>
      <c r="F148" s="1" t="s">
        <v>446</v>
      </c>
      <c r="G148" s="1" t="s">
        <v>48</v>
      </c>
      <c r="H148" s="1" t="s">
        <v>48</v>
      </c>
      <c r="I148" s="213">
        <v>120</v>
      </c>
      <c r="J148" s="213"/>
      <c r="K148" s="1" t="s">
        <v>7</v>
      </c>
      <c r="L148" s="10" t="s">
        <v>1081</v>
      </c>
      <c r="M148" s="10" t="s">
        <v>1082</v>
      </c>
      <c r="N148" s="10" t="s">
        <v>181</v>
      </c>
      <c r="O148" s="10" t="s">
        <v>88</v>
      </c>
    </row>
    <row r="149" spans="1:15" ht="37.15" customHeight="1" x14ac:dyDescent="0.2">
      <c r="A149" s="221"/>
      <c r="B149" s="6" t="s">
        <v>742</v>
      </c>
      <c r="C149" s="10" t="s">
        <v>743</v>
      </c>
      <c r="D149" s="1" t="s">
        <v>744</v>
      </c>
      <c r="E149" s="1" t="s">
        <v>7</v>
      </c>
      <c r="F149" s="1" t="s">
        <v>152</v>
      </c>
      <c r="G149" s="1" t="s">
        <v>47</v>
      </c>
      <c r="H149" s="1" t="s">
        <v>47</v>
      </c>
      <c r="I149" s="213">
        <v>1970.33</v>
      </c>
      <c r="J149" s="213"/>
      <c r="K149" s="1" t="s">
        <v>69</v>
      </c>
      <c r="L149" s="10" t="s">
        <v>1415</v>
      </c>
      <c r="M149" s="10" t="s">
        <v>746</v>
      </c>
      <c r="N149" s="10" t="s">
        <v>181</v>
      </c>
      <c r="O149" s="10" t="s">
        <v>48</v>
      </c>
    </row>
    <row r="150" spans="1:15" ht="49.9" customHeight="1" x14ac:dyDescent="0.2">
      <c r="A150" s="221"/>
      <c r="B150" s="6" t="s">
        <v>747</v>
      </c>
      <c r="C150" s="10" t="s">
        <v>748</v>
      </c>
      <c r="D150" s="1" t="s">
        <v>83</v>
      </c>
      <c r="E150" s="1" t="s">
        <v>7</v>
      </c>
      <c r="F150" s="1" t="s">
        <v>46</v>
      </c>
      <c r="G150" s="1" t="s">
        <v>47</v>
      </c>
      <c r="H150" s="1" t="s">
        <v>47</v>
      </c>
      <c r="I150" s="213">
        <v>500.49</v>
      </c>
      <c r="J150" s="213"/>
      <c r="K150" s="1" t="s">
        <v>69</v>
      </c>
      <c r="L150" s="10" t="s">
        <v>749</v>
      </c>
      <c r="M150" s="10" t="s">
        <v>48</v>
      </c>
      <c r="N150" s="10" t="s">
        <v>750</v>
      </c>
      <c r="O150" s="10" t="s">
        <v>215</v>
      </c>
    </row>
    <row r="151" spans="1:15" ht="38.450000000000003" customHeight="1" x14ac:dyDescent="0.2">
      <c r="A151" s="221"/>
      <c r="B151" s="6" t="s">
        <v>752</v>
      </c>
      <c r="C151" s="10" t="s">
        <v>753</v>
      </c>
      <c r="D151" s="1" t="s">
        <v>754</v>
      </c>
      <c r="E151" s="1" t="s">
        <v>7</v>
      </c>
      <c r="F151" s="1" t="s">
        <v>46</v>
      </c>
      <c r="G151" s="1" t="s">
        <v>47</v>
      </c>
      <c r="H151" s="1" t="s">
        <v>47</v>
      </c>
      <c r="I151" s="213">
        <v>3600</v>
      </c>
      <c r="J151" s="213"/>
      <c r="K151" s="1" t="s">
        <v>81</v>
      </c>
      <c r="L151" s="10" t="s">
        <v>1416</v>
      </c>
      <c r="M151" s="10" t="s">
        <v>48</v>
      </c>
      <c r="N151" s="10" t="s">
        <v>750</v>
      </c>
      <c r="O151" s="10" t="s">
        <v>124</v>
      </c>
    </row>
    <row r="152" spans="1:15" ht="53.25" customHeight="1" x14ac:dyDescent="0.2">
      <c r="A152" s="221"/>
      <c r="B152" s="6" t="s">
        <v>756</v>
      </c>
      <c r="C152" s="10" t="s">
        <v>757</v>
      </c>
      <c r="D152" s="1" t="s">
        <v>754</v>
      </c>
      <c r="E152" s="1" t="s">
        <v>7</v>
      </c>
      <c r="F152" s="1" t="s">
        <v>46</v>
      </c>
      <c r="G152" s="1" t="s">
        <v>47</v>
      </c>
      <c r="H152" s="1" t="s">
        <v>47</v>
      </c>
      <c r="I152" s="213">
        <v>1237</v>
      </c>
      <c r="J152" s="213"/>
      <c r="K152" s="1" t="s">
        <v>69</v>
      </c>
      <c r="L152" s="10" t="s">
        <v>34</v>
      </c>
      <c r="M152" s="10" t="s">
        <v>48</v>
      </c>
      <c r="N152" s="10" t="s">
        <v>750</v>
      </c>
      <c r="O152" s="10" t="s">
        <v>124</v>
      </c>
    </row>
    <row r="153" spans="1:15" ht="69.75" customHeight="1" x14ac:dyDescent="0.2">
      <c r="A153" s="221"/>
      <c r="B153" s="6" t="s">
        <v>759</v>
      </c>
      <c r="C153" s="10" t="s">
        <v>760</v>
      </c>
      <c r="D153" s="1" t="s">
        <v>761</v>
      </c>
      <c r="E153" s="1" t="s">
        <v>69</v>
      </c>
      <c r="F153" s="1" t="s">
        <v>152</v>
      </c>
      <c r="G153" s="1" t="s">
        <v>47</v>
      </c>
      <c r="H153" s="1" t="s">
        <v>47</v>
      </c>
      <c r="I153" s="213">
        <v>2041</v>
      </c>
      <c r="J153" s="213"/>
      <c r="K153" s="1" t="s">
        <v>81</v>
      </c>
      <c r="L153" s="10" t="s">
        <v>1417</v>
      </c>
      <c r="M153" s="10" t="s">
        <v>48</v>
      </c>
      <c r="N153" s="10" t="s">
        <v>750</v>
      </c>
      <c r="O153" s="10" t="s">
        <v>124</v>
      </c>
    </row>
    <row r="154" spans="1:15" ht="56.25" customHeight="1" x14ac:dyDescent="0.2">
      <c r="A154" s="221"/>
      <c r="B154" s="6" t="s">
        <v>763</v>
      </c>
      <c r="C154" s="10" t="s">
        <v>35</v>
      </c>
      <c r="D154" s="1" t="s">
        <v>764</v>
      </c>
      <c r="E154" s="1" t="s">
        <v>7</v>
      </c>
      <c r="F154" s="1" t="s">
        <v>152</v>
      </c>
      <c r="G154" s="1" t="s">
        <v>47</v>
      </c>
      <c r="H154" s="1" t="s">
        <v>47</v>
      </c>
      <c r="I154" s="213">
        <v>840</v>
      </c>
      <c r="J154" s="213"/>
      <c r="K154" s="1" t="s">
        <v>69</v>
      </c>
      <c r="L154" s="10" t="s">
        <v>1418</v>
      </c>
      <c r="M154" s="10" t="s">
        <v>48</v>
      </c>
      <c r="N154" s="10" t="s">
        <v>750</v>
      </c>
      <c r="O154" s="10" t="s">
        <v>124</v>
      </c>
    </row>
    <row r="155" spans="1:15" ht="54.75" customHeight="1" x14ac:dyDescent="0.2">
      <c r="A155" s="221"/>
      <c r="B155" s="6" t="s">
        <v>766</v>
      </c>
      <c r="C155" s="10" t="s">
        <v>767</v>
      </c>
      <c r="D155" s="1" t="s">
        <v>121</v>
      </c>
      <c r="E155" s="1" t="s">
        <v>69</v>
      </c>
      <c r="F155" s="1" t="s">
        <v>152</v>
      </c>
      <c r="G155" s="1" t="s">
        <v>47</v>
      </c>
      <c r="H155" s="1" t="s">
        <v>47</v>
      </c>
      <c r="I155" s="213">
        <v>960</v>
      </c>
      <c r="J155" s="213"/>
      <c r="K155" s="1" t="s">
        <v>7</v>
      </c>
      <c r="L155" s="10" t="s">
        <v>1090</v>
      </c>
      <c r="M155" s="10" t="s">
        <v>36</v>
      </c>
      <c r="N155" s="10" t="s">
        <v>233</v>
      </c>
      <c r="O155" s="10" t="s">
        <v>131</v>
      </c>
    </row>
    <row r="156" spans="1:15" ht="59.45" customHeight="1" x14ac:dyDescent="0.2">
      <c r="A156" s="221"/>
      <c r="B156" s="6" t="s">
        <v>769</v>
      </c>
      <c r="C156" s="10" t="s">
        <v>770</v>
      </c>
      <c r="D156" s="1" t="s">
        <v>771</v>
      </c>
      <c r="E156" s="1" t="s">
        <v>69</v>
      </c>
      <c r="F156" s="1" t="s">
        <v>152</v>
      </c>
      <c r="G156" s="1" t="s">
        <v>47</v>
      </c>
      <c r="H156" s="1" t="s">
        <v>48</v>
      </c>
      <c r="I156" s="213">
        <v>3600</v>
      </c>
      <c r="J156" s="213"/>
      <c r="K156" s="1" t="s">
        <v>69</v>
      </c>
      <c r="L156" s="10" t="s">
        <v>1091</v>
      </c>
      <c r="M156" s="10" t="s">
        <v>48</v>
      </c>
      <c r="N156" s="10" t="s">
        <v>233</v>
      </c>
      <c r="O156" s="10" t="s">
        <v>132</v>
      </c>
    </row>
    <row r="157" spans="1:15" ht="56.25" customHeight="1" x14ac:dyDescent="0.2">
      <c r="A157" s="221"/>
      <c r="B157" s="6" t="s">
        <v>773</v>
      </c>
      <c r="C157" s="10" t="s">
        <v>774</v>
      </c>
      <c r="D157" s="1" t="s">
        <v>775</v>
      </c>
      <c r="E157" s="1" t="s">
        <v>69</v>
      </c>
      <c r="F157" s="1" t="s">
        <v>46</v>
      </c>
      <c r="G157" s="1" t="s">
        <v>47</v>
      </c>
      <c r="H157" s="1" t="s">
        <v>47</v>
      </c>
      <c r="I157" s="213">
        <v>240</v>
      </c>
      <c r="J157" s="213"/>
      <c r="K157" s="1" t="s">
        <v>81</v>
      </c>
      <c r="L157" s="10" t="s">
        <v>1092</v>
      </c>
      <c r="M157" s="10" t="s">
        <v>37</v>
      </c>
      <c r="N157" s="10" t="s">
        <v>133</v>
      </c>
      <c r="O157" s="10" t="s">
        <v>48</v>
      </c>
    </row>
    <row r="158" spans="1:15" ht="168" customHeight="1" x14ac:dyDescent="0.2">
      <c r="A158" s="221"/>
      <c r="B158" s="6" t="s">
        <v>64</v>
      </c>
      <c r="C158" s="10" t="s">
        <v>285</v>
      </c>
      <c r="D158" s="1" t="s">
        <v>66</v>
      </c>
      <c r="E158" s="1" t="s">
        <v>7</v>
      </c>
      <c r="F158" s="1" t="s">
        <v>46</v>
      </c>
      <c r="G158" s="1" t="s">
        <v>65</v>
      </c>
      <c r="H158" s="1" t="s">
        <v>48</v>
      </c>
      <c r="I158" s="209">
        <v>1294.7034699999999</v>
      </c>
      <c r="J158" s="210"/>
      <c r="K158" s="1" t="s">
        <v>7</v>
      </c>
      <c r="L158" s="10" t="s">
        <v>1126</v>
      </c>
      <c r="M158" s="10" t="s">
        <v>48</v>
      </c>
      <c r="N158" s="10" t="s">
        <v>128</v>
      </c>
      <c r="O158" s="10" t="s">
        <v>48</v>
      </c>
    </row>
    <row r="159" spans="1:15" ht="203.45" customHeight="1" x14ac:dyDescent="0.2">
      <c r="A159" s="221"/>
      <c r="B159" s="6" t="s">
        <v>67</v>
      </c>
      <c r="C159" s="10" t="s">
        <v>1456</v>
      </c>
      <c r="D159" s="1" t="s">
        <v>85</v>
      </c>
      <c r="E159" s="1" t="s">
        <v>69</v>
      </c>
      <c r="F159" s="1" t="s">
        <v>46</v>
      </c>
      <c r="G159" s="1" t="s">
        <v>65</v>
      </c>
      <c r="H159" s="1" t="s">
        <v>48</v>
      </c>
      <c r="I159" s="209">
        <v>190.73</v>
      </c>
      <c r="J159" s="210"/>
      <c r="K159" s="1" t="s">
        <v>7</v>
      </c>
      <c r="L159" s="10" t="s">
        <v>1457</v>
      </c>
      <c r="M159" s="10" t="s">
        <v>255</v>
      </c>
      <c r="N159" s="10" t="s">
        <v>70</v>
      </c>
      <c r="O159" s="16" t="s">
        <v>134</v>
      </c>
    </row>
    <row r="160" spans="1:15" ht="198.6" customHeight="1" x14ac:dyDescent="0.2">
      <c r="A160" s="222"/>
      <c r="B160" s="6" t="s">
        <v>76</v>
      </c>
      <c r="C160" s="10" t="s">
        <v>82</v>
      </c>
      <c r="D160" s="1" t="s">
        <v>83</v>
      </c>
      <c r="E160" s="1" t="s">
        <v>69</v>
      </c>
      <c r="F160" s="1" t="s">
        <v>46</v>
      </c>
      <c r="G160" s="1" t="s">
        <v>47</v>
      </c>
      <c r="H160" s="1" t="s">
        <v>48</v>
      </c>
      <c r="I160" s="209">
        <v>110</v>
      </c>
      <c r="J160" s="210"/>
      <c r="K160" s="1" t="s">
        <v>7</v>
      </c>
      <c r="L160" s="10" t="s">
        <v>1472</v>
      </c>
      <c r="M160" s="10" t="s">
        <v>84</v>
      </c>
      <c r="N160" s="10" t="s">
        <v>70</v>
      </c>
      <c r="O160" s="10" t="s">
        <v>216</v>
      </c>
    </row>
    <row r="161" spans="1:15" ht="72.75" customHeight="1" x14ac:dyDescent="0.2">
      <c r="A161" s="202"/>
      <c r="B161" s="6" t="s">
        <v>1139</v>
      </c>
      <c r="C161" s="10" t="s">
        <v>1140</v>
      </c>
      <c r="D161" s="1" t="s">
        <v>1141</v>
      </c>
      <c r="E161" s="1" t="s">
        <v>69</v>
      </c>
      <c r="F161" s="1" t="s">
        <v>46</v>
      </c>
      <c r="G161" s="1" t="s">
        <v>47</v>
      </c>
      <c r="H161" s="1" t="s">
        <v>47</v>
      </c>
      <c r="I161" s="209">
        <v>1252.6600000000001</v>
      </c>
      <c r="J161" s="210"/>
      <c r="K161" s="1" t="s">
        <v>7</v>
      </c>
      <c r="L161" s="10" t="s">
        <v>1143</v>
      </c>
      <c r="M161" s="10" t="s">
        <v>1142</v>
      </c>
      <c r="N161" s="10" t="s">
        <v>10</v>
      </c>
      <c r="O161" s="10" t="s">
        <v>1144</v>
      </c>
    </row>
    <row r="162" spans="1:15" ht="126.6" customHeight="1" x14ac:dyDescent="0.2">
      <c r="A162" s="202"/>
      <c r="B162" s="6" t="s">
        <v>1357</v>
      </c>
      <c r="C162" s="10" t="s">
        <v>1358</v>
      </c>
      <c r="D162" s="1" t="s">
        <v>723</v>
      </c>
      <c r="E162" s="1" t="s">
        <v>69</v>
      </c>
      <c r="F162" s="1" t="s">
        <v>46</v>
      </c>
      <c r="G162" s="1" t="s">
        <v>48</v>
      </c>
      <c r="H162" s="1" t="s">
        <v>47</v>
      </c>
      <c r="I162" s="209">
        <v>1852.01</v>
      </c>
      <c r="J162" s="210"/>
      <c r="K162" s="1" t="s">
        <v>7</v>
      </c>
      <c r="L162" s="10" t="s">
        <v>1359</v>
      </c>
      <c r="M162" s="10" t="s">
        <v>1360</v>
      </c>
      <c r="N162" s="10" t="s">
        <v>128</v>
      </c>
      <c r="O162" s="10" t="s">
        <v>48</v>
      </c>
    </row>
    <row r="163" spans="1:15" ht="13.5" x14ac:dyDescent="0.2">
      <c r="A163" s="216"/>
      <c r="B163" s="214" t="s">
        <v>1419</v>
      </c>
      <c r="C163" s="214"/>
      <c r="D163" s="214"/>
      <c r="E163" s="214"/>
      <c r="F163" s="214"/>
      <c r="G163" s="214"/>
      <c r="H163" s="214"/>
      <c r="I163" s="214"/>
      <c r="J163" s="214"/>
      <c r="K163" s="214"/>
      <c r="L163" s="214"/>
      <c r="M163" s="214"/>
      <c r="N163" s="214"/>
      <c r="O163" s="214"/>
    </row>
    <row r="164" spans="1:15" ht="13.5" x14ac:dyDescent="0.2">
      <c r="A164" s="217"/>
      <c r="B164" s="212" t="s">
        <v>1420</v>
      </c>
      <c r="C164" s="212"/>
      <c r="D164" s="212"/>
      <c r="E164" s="212"/>
      <c r="F164" s="212"/>
      <c r="G164" s="212"/>
      <c r="H164" s="212"/>
      <c r="I164" s="212"/>
      <c r="J164" s="212"/>
      <c r="K164" s="212"/>
      <c r="L164" s="212"/>
      <c r="M164" s="212"/>
      <c r="N164" s="212"/>
      <c r="O164" s="212"/>
    </row>
    <row r="165" spans="1:15" ht="327" customHeight="1" x14ac:dyDescent="0.2">
      <c r="A165" s="217"/>
      <c r="B165" s="7" t="s">
        <v>788</v>
      </c>
      <c r="C165" s="203" t="s">
        <v>1478</v>
      </c>
      <c r="D165" s="1" t="s">
        <v>790</v>
      </c>
      <c r="E165" s="1" t="s">
        <v>7</v>
      </c>
      <c r="F165" s="1" t="s">
        <v>46</v>
      </c>
      <c r="G165" s="1" t="s">
        <v>47</v>
      </c>
      <c r="H165" s="1" t="s">
        <v>47</v>
      </c>
      <c r="I165" s="213">
        <v>13786.25411</v>
      </c>
      <c r="J165" s="213"/>
      <c r="K165" s="1" t="s">
        <v>7</v>
      </c>
      <c r="L165" s="10" t="s">
        <v>1473</v>
      </c>
      <c r="M165" s="10" t="s">
        <v>294</v>
      </c>
      <c r="N165" s="10" t="s">
        <v>10</v>
      </c>
      <c r="O165" s="10" t="s">
        <v>153</v>
      </c>
    </row>
    <row r="166" spans="1:15" ht="289.14999999999998" customHeight="1" x14ac:dyDescent="0.2">
      <c r="A166" s="217"/>
      <c r="B166" s="7" t="s">
        <v>793</v>
      </c>
      <c r="C166" s="10" t="s">
        <v>296</v>
      </c>
      <c r="D166" s="1" t="s">
        <v>790</v>
      </c>
      <c r="E166" s="1" t="s">
        <v>7</v>
      </c>
      <c r="F166" s="1" t="s">
        <v>46</v>
      </c>
      <c r="G166" s="1" t="s">
        <v>47</v>
      </c>
      <c r="H166" s="1" t="s">
        <v>47</v>
      </c>
      <c r="I166" s="213">
        <v>8839.9245599999995</v>
      </c>
      <c r="J166" s="213"/>
      <c r="K166" s="1" t="s">
        <v>7</v>
      </c>
      <c r="L166" s="10" t="s">
        <v>1458</v>
      </c>
      <c r="M166" s="10" t="s">
        <v>295</v>
      </c>
      <c r="N166" s="10" t="s">
        <v>10</v>
      </c>
      <c r="O166" s="10" t="s">
        <v>89</v>
      </c>
    </row>
    <row r="167" spans="1:15" ht="93.75" customHeight="1" x14ac:dyDescent="0.2">
      <c r="A167" s="217"/>
      <c r="B167" s="7" t="s">
        <v>797</v>
      </c>
      <c r="C167" s="10" t="s">
        <v>38</v>
      </c>
      <c r="D167" s="1" t="s">
        <v>798</v>
      </c>
      <c r="E167" s="1" t="s">
        <v>7</v>
      </c>
      <c r="F167" s="1" t="s">
        <v>152</v>
      </c>
      <c r="G167" s="1" t="s">
        <v>47</v>
      </c>
      <c r="H167" s="1" t="s">
        <v>47</v>
      </c>
      <c r="I167" s="213">
        <v>260</v>
      </c>
      <c r="J167" s="213"/>
      <c r="K167" s="1" t="s">
        <v>7</v>
      </c>
      <c r="L167" s="10" t="s">
        <v>1102</v>
      </c>
      <c r="M167" s="10" t="s">
        <v>39</v>
      </c>
      <c r="N167" s="10" t="s">
        <v>153</v>
      </c>
      <c r="O167" s="16" t="s">
        <v>217</v>
      </c>
    </row>
    <row r="168" spans="1:15" ht="55.5" customHeight="1" x14ac:dyDescent="0.2">
      <c r="A168" s="217"/>
      <c r="B168" s="7" t="s">
        <v>802</v>
      </c>
      <c r="C168" s="10" t="s">
        <v>803</v>
      </c>
      <c r="D168" s="1" t="s">
        <v>804</v>
      </c>
      <c r="E168" s="1" t="s">
        <v>7</v>
      </c>
      <c r="F168" s="1" t="s">
        <v>152</v>
      </c>
      <c r="G168" s="1" t="s">
        <v>47</v>
      </c>
      <c r="H168" s="1" t="s">
        <v>47</v>
      </c>
      <c r="I168" s="213">
        <v>500</v>
      </c>
      <c r="J168" s="213"/>
      <c r="K168" s="1" t="s">
        <v>7</v>
      </c>
      <c r="L168" s="10" t="s">
        <v>1104</v>
      </c>
      <c r="M168" s="10" t="s">
        <v>48</v>
      </c>
      <c r="N168" s="10" t="s">
        <v>153</v>
      </c>
      <c r="O168" s="10" t="s">
        <v>48</v>
      </c>
    </row>
    <row r="169" spans="1:15" ht="13.5" x14ac:dyDescent="0.2">
      <c r="A169" s="217"/>
      <c r="B169" s="204" t="s">
        <v>148</v>
      </c>
      <c r="C169" s="205"/>
      <c r="D169" s="205"/>
      <c r="E169" s="205"/>
      <c r="F169" s="205"/>
      <c r="G169" s="205"/>
      <c r="H169" s="205"/>
      <c r="I169" s="205"/>
      <c r="J169" s="205"/>
      <c r="K169" s="205"/>
      <c r="L169" s="205"/>
      <c r="M169" s="205"/>
      <c r="N169" s="205"/>
      <c r="O169" s="206"/>
    </row>
    <row r="170" spans="1:15" ht="222" customHeight="1" x14ac:dyDescent="0.2">
      <c r="A170" s="217"/>
      <c r="B170" s="7" t="s">
        <v>149</v>
      </c>
      <c r="C170" s="10" t="s">
        <v>150</v>
      </c>
      <c r="D170" s="18" t="s">
        <v>151</v>
      </c>
      <c r="E170" s="1" t="s">
        <v>69</v>
      </c>
      <c r="F170" s="201" t="s">
        <v>152</v>
      </c>
      <c r="G170" s="1" t="s">
        <v>47</v>
      </c>
      <c r="H170" s="1" t="s">
        <v>47</v>
      </c>
      <c r="I170" s="207">
        <v>0</v>
      </c>
      <c r="J170" s="208"/>
      <c r="K170" s="1" t="s">
        <v>7</v>
      </c>
      <c r="L170" s="10" t="s">
        <v>1375</v>
      </c>
      <c r="M170" s="10" t="s">
        <v>162</v>
      </c>
      <c r="N170" s="10" t="s">
        <v>144</v>
      </c>
      <c r="O170" s="10" t="s">
        <v>286</v>
      </c>
    </row>
    <row r="171" spans="1:15" ht="13.5" x14ac:dyDescent="0.2">
      <c r="A171" s="217"/>
      <c r="B171" s="204" t="s">
        <v>1421</v>
      </c>
      <c r="C171" s="205"/>
      <c r="D171" s="205"/>
      <c r="E171" s="205"/>
      <c r="F171" s="205"/>
      <c r="G171" s="205"/>
      <c r="H171" s="205"/>
      <c r="I171" s="205"/>
      <c r="J171" s="205"/>
      <c r="K171" s="205"/>
      <c r="L171" s="205"/>
      <c r="M171" s="205"/>
      <c r="N171" s="205"/>
      <c r="O171" s="206"/>
    </row>
    <row r="172" spans="1:15" ht="98.25" customHeight="1" x14ac:dyDescent="0.2">
      <c r="A172" s="217"/>
      <c r="B172" s="7" t="s">
        <v>808</v>
      </c>
      <c r="C172" s="10" t="s">
        <v>1459</v>
      </c>
      <c r="D172" s="1" t="s">
        <v>810</v>
      </c>
      <c r="E172" s="1" t="s">
        <v>7</v>
      </c>
      <c r="F172" s="1" t="s">
        <v>152</v>
      </c>
      <c r="G172" s="1" t="s">
        <v>47</v>
      </c>
      <c r="H172" s="1" t="s">
        <v>48</v>
      </c>
      <c r="I172" s="213">
        <v>1204.8</v>
      </c>
      <c r="J172" s="213"/>
      <c r="K172" s="1" t="s">
        <v>7</v>
      </c>
      <c r="L172" s="10" t="s">
        <v>1460</v>
      </c>
      <c r="M172" s="10" t="s">
        <v>48</v>
      </c>
      <c r="N172" s="10" t="s">
        <v>226</v>
      </c>
      <c r="O172" s="10" t="s">
        <v>135</v>
      </c>
    </row>
    <row r="173" spans="1:15" ht="65.25" customHeight="1" x14ac:dyDescent="0.2">
      <c r="A173" s="217"/>
      <c r="B173" s="7" t="s">
        <v>812</v>
      </c>
      <c r="C173" s="10" t="s">
        <v>813</v>
      </c>
      <c r="D173" s="1" t="s">
        <v>814</v>
      </c>
      <c r="E173" s="1" t="s">
        <v>69</v>
      </c>
      <c r="F173" s="1" t="s">
        <v>152</v>
      </c>
      <c r="G173" s="1" t="s">
        <v>47</v>
      </c>
      <c r="H173" s="1" t="s">
        <v>47</v>
      </c>
      <c r="I173" s="213">
        <v>360</v>
      </c>
      <c r="J173" s="213"/>
      <c r="K173" s="1" t="s">
        <v>69</v>
      </c>
      <c r="L173" s="10" t="s">
        <v>1461</v>
      </c>
      <c r="M173" s="10" t="s">
        <v>48</v>
      </c>
      <c r="N173" s="10" t="s">
        <v>78</v>
      </c>
      <c r="O173" s="10" t="s">
        <v>90</v>
      </c>
    </row>
    <row r="174" spans="1:15" ht="74.25" customHeight="1" x14ac:dyDescent="0.2">
      <c r="A174" s="217"/>
      <c r="B174" s="7" t="s">
        <v>817</v>
      </c>
      <c r="C174" s="10" t="s">
        <v>818</v>
      </c>
      <c r="D174" s="1" t="s">
        <v>819</v>
      </c>
      <c r="E174" s="1" t="s">
        <v>7</v>
      </c>
      <c r="F174" s="1" t="s">
        <v>152</v>
      </c>
      <c r="G174" s="1" t="s">
        <v>47</v>
      </c>
      <c r="H174" s="1" t="s">
        <v>47</v>
      </c>
      <c r="I174" s="213">
        <v>1910</v>
      </c>
      <c r="J174" s="213"/>
      <c r="K174" s="1" t="s">
        <v>7</v>
      </c>
      <c r="L174" s="10" t="s">
        <v>1376</v>
      </c>
      <c r="M174" s="10" t="s">
        <v>48</v>
      </c>
      <c r="N174" s="10" t="s">
        <v>206</v>
      </c>
      <c r="O174" s="10" t="s">
        <v>821</v>
      </c>
    </row>
    <row r="175" spans="1:15" ht="52.15" customHeight="1" x14ac:dyDescent="0.2">
      <c r="A175" s="218"/>
      <c r="B175" s="7" t="s">
        <v>1111</v>
      </c>
      <c r="C175" s="10" t="s">
        <v>1112</v>
      </c>
      <c r="D175" s="1" t="s">
        <v>1113</v>
      </c>
      <c r="E175" s="1" t="s">
        <v>69</v>
      </c>
      <c r="F175" s="1" t="s">
        <v>446</v>
      </c>
      <c r="G175" s="1" t="s">
        <v>48</v>
      </c>
      <c r="H175" s="1" t="s">
        <v>47</v>
      </c>
      <c r="I175" s="213">
        <v>11604</v>
      </c>
      <c r="J175" s="213"/>
      <c r="K175" s="1" t="s">
        <v>1114</v>
      </c>
      <c r="L175" s="10" t="s">
        <v>1115</v>
      </c>
      <c r="M175" s="10" t="s">
        <v>1116</v>
      </c>
      <c r="N175" s="10" t="s">
        <v>206</v>
      </c>
      <c r="O175" s="10" t="s">
        <v>1153</v>
      </c>
    </row>
    <row r="176" spans="1:15" ht="13.5" x14ac:dyDescent="0.2">
      <c r="A176" s="246"/>
      <c r="B176" s="243" t="s">
        <v>74</v>
      </c>
      <c r="C176" s="244"/>
      <c r="D176" s="244"/>
      <c r="E176" s="244"/>
      <c r="F176" s="244"/>
      <c r="G176" s="244"/>
      <c r="H176" s="244"/>
      <c r="I176" s="244"/>
      <c r="J176" s="244"/>
      <c r="K176" s="244"/>
      <c r="L176" s="244"/>
      <c r="M176" s="244"/>
      <c r="N176" s="244"/>
      <c r="O176" s="245"/>
    </row>
    <row r="177" spans="1:15" ht="13.5" x14ac:dyDescent="0.2">
      <c r="A177" s="247"/>
      <c r="B177" s="212" t="s">
        <v>1422</v>
      </c>
      <c r="C177" s="212"/>
      <c r="D177" s="212"/>
      <c r="E177" s="212"/>
      <c r="F177" s="212"/>
      <c r="G177" s="212"/>
      <c r="H177" s="212"/>
      <c r="I177" s="212"/>
      <c r="J177" s="212"/>
      <c r="K177" s="212"/>
      <c r="L177" s="212"/>
      <c r="M177" s="212"/>
      <c r="N177" s="212"/>
      <c r="O177" s="212"/>
    </row>
    <row r="178" spans="1:15" ht="61.15" customHeight="1" x14ac:dyDescent="0.2">
      <c r="A178" s="247"/>
      <c r="B178" s="8" t="s">
        <v>825</v>
      </c>
      <c r="C178" s="10" t="s">
        <v>826</v>
      </c>
      <c r="D178" s="1" t="s">
        <v>827</v>
      </c>
      <c r="E178" s="1" t="s">
        <v>7</v>
      </c>
      <c r="F178" s="1" t="s">
        <v>152</v>
      </c>
      <c r="G178" s="1" t="s">
        <v>47</v>
      </c>
      <c r="H178" s="1" t="s">
        <v>47</v>
      </c>
      <c r="I178" s="213">
        <v>960</v>
      </c>
      <c r="J178" s="213"/>
      <c r="K178" s="1" t="s">
        <v>69</v>
      </c>
      <c r="L178" s="10" t="s">
        <v>41</v>
      </c>
      <c r="M178" s="10" t="s">
        <v>48</v>
      </c>
      <c r="N178" s="10" t="s">
        <v>155</v>
      </c>
      <c r="O178" s="10" t="s">
        <v>80</v>
      </c>
    </row>
    <row r="179" spans="1:15" ht="72" customHeight="1" x14ac:dyDescent="0.2">
      <c r="A179" s="247"/>
      <c r="B179" s="8" t="s">
        <v>831</v>
      </c>
      <c r="C179" s="10" t="s">
        <v>832</v>
      </c>
      <c r="D179" s="1" t="s">
        <v>833</v>
      </c>
      <c r="E179" s="1" t="s">
        <v>7</v>
      </c>
      <c r="F179" s="1" t="s">
        <v>152</v>
      </c>
      <c r="G179" s="1" t="s">
        <v>47</v>
      </c>
      <c r="H179" s="1" t="s">
        <v>47</v>
      </c>
      <c r="I179" s="213">
        <v>600</v>
      </c>
      <c r="J179" s="213"/>
      <c r="K179" s="1"/>
      <c r="L179" s="10" t="s">
        <v>42</v>
      </c>
      <c r="M179" s="10" t="s">
        <v>48</v>
      </c>
      <c r="N179" s="10" t="s">
        <v>78</v>
      </c>
      <c r="O179" s="10" t="s">
        <v>1462</v>
      </c>
    </row>
    <row r="180" spans="1:15" ht="75" customHeight="1" x14ac:dyDescent="0.2">
      <c r="A180" s="247"/>
      <c r="B180" s="8" t="s">
        <v>835</v>
      </c>
      <c r="C180" s="10" t="s">
        <v>1475</v>
      </c>
      <c r="D180" s="1" t="s">
        <v>833</v>
      </c>
      <c r="E180" s="1" t="s">
        <v>7</v>
      </c>
      <c r="F180" s="1" t="s">
        <v>152</v>
      </c>
      <c r="G180" s="1" t="s">
        <v>47</v>
      </c>
      <c r="H180" s="1" t="s">
        <v>47</v>
      </c>
      <c r="I180" s="213">
        <v>2000</v>
      </c>
      <c r="J180" s="213"/>
      <c r="K180" s="1" t="s">
        <v>69</v>
      </c>
      <c r="L180" s="10" t="s">
        <v>1474</v>
      </c>
      <c r="M180" s="10" t="s">
        <v>1138</v>
      </c>
      <c r="N180" s="10" t="s">
        <v>78</v>
      </c>
      <c r="O180" s="10" t="s">
        <v>218</v>
      </c>
    </row>
    <row r="181" spans="1:15" ht="41.45" customHeight="1" x14ac:dyDescent="0.2">
      <c r="A181" s="247"/>
      <c r="B181" s="8" t="s">
        <v>840</v>
      </c>
      <c r="C181" s="10" t="s">
        <v>841</v>
      </c>
      <c r="D181" s="1" t="s">
        <v>842</v>
      </c>
      <c r="E181" s="1" t="s">
        <v>7</v>
      </c>
      <c r="F181" s="1" t="s">
        <v>46</v>
      </c>
      <c r="G181" s="1" t="s">
        <v>47</v>
      </c>
      <c r="H181" s="1" t="s">
        <v>47</v>
      </c>
      <c r="I181" s="213">
        <v>420</v>
      </c>
      <c r="J181" s="213"/>
      <c r="K181" s="1" t="s">
        <v>7</v>
      </c>
      <c r="L181" s="10" t="s">
        <v>1423</v>
      </c>
      <c r="M181" s="10" t="s">
        <v>48</v>
      </c>
      <c r="N181" s="10" t="s">
        <v>233</v>
      </c>
      <c r="O181" s="10" t="s">
        <v>136</v>
      </c>
    </row>
    <row r="182" spans="1:15" ht="84" customHeight="1" x14ac:dyDescent="0.2">
      <c r="A182" s="247"/>
      <c r="B182" s="8" t="s">
        <v>844</v>
      </c>
      <c r="C182" s="10" t="s">
        <v>845</v>
      </c>
      <c r="D182" s="1" t="s">
        <v>846</v>
      </c>
      <c r="E182" s="1" t="s">
        <v>7</v>
      </c>
      <c r="F182" s="1" t="s">
        <v>152</v>
      </c>
      <c r="G182" s="1" t="s">
        <v>47</v>
      </c>
      <c r="H182" s="1" t="s">
        <v>47</v>
      </c>
      <c r="I182" s="213">
        <v>360</v>
      </c>
      <c r="J182" s="213"/>
      <c r="K182" s="1" t="s">
        <v>69</v>
      </c>
      <c r="L182" s="10" t="s">
        <v>1121</v>
      </c>
      <c r="M182" s="10" t="s">
        <v>848</v>
      </c>
      <c r="N182" s="10" t="s">
        <v>695</v>
      </c>
      <c r="O182" s="10" t="s">
        <v>219</v>
      </c>
    </row>
    <row r="183" spans="1:15" ht="46.15" customHeight="1" x14ac:dyDescent="0.2">
      <c r="A183" s="247"/>
      <c r="B183" s="8" t="s">
        <v>850</v>
      </c>
      <c r="C183" s="10" t="s">
        <v>851</v>
      </c>
      <c r="D183" s="1" t="s">
        <v>852</v>
      </c>
      <c r="E183" s="1" t="s">
        <v>7</v>
      </c>
      <c r="F183" s="1" t="s">
        <v>46</v>
      </c>
      <c r="G183" s="1" t="s">
        <v>47</v>
      </c>
      <c r="H183" s="1" t="s">
        <v>47</v>
      </c>
      <c r="I183" s="213">
        <v>2400</v>
      </c>
      <c r="J183" s="213"/>
      <c r="K183" s="1" t="s">
        <v>69</v>
      </c>
      <c r="L183" s="10" t="s">
        <v>1122</v>
      </c>
      <c r="M183" s="10" t="s">
        <v>48</v>
      </c>
      <c r="N183" s="10" t="s">
        <v>695</v>
      </c>
      <c r="O183" s="10" t="s">
        <v>160</v>
      </c>
    </row>
    <row r="184" spans="1:15" ht="208.15" customHeight="1" x14ac:dyDescent="0.2">
      <c r="A184" s="247"/>
      <c r="B184" s="8" t="s">
        <v>239</v>
      </c>
      <c r="C184" s="10" t="s">
        <v>1463</v>
      </c>
      <c r="D184" s="1" t="s">
        <v>241</v>
      </c>
      <c r="E184" s="1" t="s">
        <v>69</v>
      </c>
      <c r="F184" s="1" t="s">
        <v>46</v>
      </c>
      <c r="G184" s="1" t="s">
        <v>48</v>
      </c>
      <c r="H184" s="1" t="s">
        <v>48</v>
      </c>
      <c r="I184" s="213">
        <v>3950</v>
      </c>
      <c r="J184" s="213"/>
      <c r="K184" s="1" t="s">
        <v>7</v>
      </c>
      <c r="L184" s="10" t="s">
        <v>1464</v>
      </c>
      <c r="M184" s="10" t="s">
        <v>242</v>
      </c>
      <c r="N184" s="10" t="s">
        <v>157</v>
      </c>
      <c r="O184" s="10" t="s">
        <v>256</v>
      </c>
    </row>
    <row r="185" spans="1:15" ht="13.5" x14ac:dyDescent="0.2">
      <c r="A185" s="247"/>
      <c r="B185" s="212" t="s">
        <v>854</v>
      </c>
      <c r="C185" s="212"/>
      <c r="D185" s="212"/>
      <c r="E185" s="212"/>
      <c r="F185" s="212"/>
      <c r="G185" s="212"/>
      <c r="H185" s="212"/>
      <c r="I185" s="212"/>
      <c r="J185" s="212"/>
      <c r="K185" s="212"/>
      <c r="L185" s="212"/>
      <c r="M185" s="212"/>
      <c r="N185" s="212"/>
      <c r="O185" s="212"/>
    </row>
    <row r="186" spans="1:15" ht="180" customHeight="1" x14ac:dyDescent="0.2">
      <c r="A186" s="248"/>
      <c r="B186" s="8" t="s">
        <v>856</v>
      </c>
      <c r="C186" s="10" t="s">
        <v>857</v>
      </c>
      <c r="D186" s="1" t="s">
        <v>858</v>
      </c>
      <c r="E186" s="1" t="s">
        <v>69</v>
      </c>
      <c r="F186" s="1" t="s">
        <v>46</v>
      </c>
      <c r="G186" s="1" t="s">
        <v>47</v>
      </c>
      <c r="H186" s="1" t="s">
        <v>47</v>
      </c>
      <c r="I186" s="213">
        <v>349.1</v>
      </c>
      <c r="J186" s="213"/>
      <c r="K186" s="1" t="s">
        <v>69</v>
      </c>
      <c r="L186" s="10" t="s">
        <v>1465</v>
      </c>
      <c r="M186" s="10" t="s">
        <v>860</v>
      </c>
      <c r="N186" s="10" t="s">
        <v>158</v>
      </c>
      <c r="O186" s="10" t="s">
        <v>1363</v>
      </c>
    </row>
    <row r="187" spans="1:15" ht="15" x14ac:dyDescent="0.2">
      <c r="A187" s="215" t="s">
        <v>6</v>
      </c>
      <c r="B187" s="215"/>
      <c r="C187" s="215"/>
      <c r="D187" s="215"/>
      <c r="E187" s="215"/>
      <c r="F187" s="215"/>
      <c r="G187" s="215"/>
      <c r="H187" s="215"/>
      <c r="I187" s="215"/>
      <c r="J187" s="215"/>
      <c r="K187" s="215"/>
      <c r="L187" s="215"/>
      <c r="M187" s="215"/>
      <c r="N187" s="215"/>
      <c r="O187" s="215"/>
    </row>
  </sheetData>
  <mergeCells count="194">
    <mergeCell ref="I27:J27"/>
    <mergeCell ref="I58:J58"/>
    <mergeCell ref="I26:J26"/>
    <mergeCell ref="A1:O1"/>
    <mergeCell ref="B111:O111"/>
    <mergeCell ref="B176:O176"/>
    <mergeCell ref="A176:A186"/>
    <mergeCell ref="A111:A135"/>
    <mergeCell ref="I14:J14"/>
    <mergeCell ref="I15:J15"/>
    <mergeCell ref="I16:J16"/>
    <mergeCell ref="I17:J17"/>
    <mergeCell ref="I18:J18"/>
    <mergeCell ref="B59:O59"/>
    <mergeCell ref="I60:J60"/>
    <mergeCell ref="I61:J61"/>
    <mergeCell ref="I62:J62"/>
    <mergeCell ref="I63:J63"/>
    <mergeCell ref="I64:J64"/>
    <mergeCell ref="I44:J44"/>
    <mergeCell ref="I45:J45"/>
    <mergeCell ref="I46:J46"/>
    <mergeCell ref="I47:J47"/>
    <mergeCell ref="I48:J48"/>
    <mergeCell ref="I77:J77"/>
    <mergeCell ref="I68:J68"/>
    <mergeCell ref="I69:J69"/>
    <mergeCell ref="I70:J70"/>
    <mergeCell ref="I71:J71"/>
    <mergeCell ref="I72:J72"/>
    <mergeCell ref="I73:J73"/>
    <mergeCell ref="I74:J74"/>
    <mergeCell ref="I75:J75"/>
    <mergeCell ref="I76:J76"/>
    <mergeCell ref="I50:J50"/>
    <mergeCell ref="I42:J42"/>
    <mergeCell ref="I51:J51"/>
    <mergeCell ref="I52:J52"/>
    <mergeCell ref="I53:J53"/>
    <mergeCell ref="I55:J55"/>
    <mergeCell ref="I54:J54"/>
    <mergeCell ref="I30:J30"/>
    <mergeCell ref="I31:J31"/>
    <mergeCell ref="I49:J49"/>
    <mergeCell ref="I37:J37"/>
    <mergeCell ref="I38:J38"/>
    <mergeCell ref="A2:O2"/>
    <mergeCell ref="I3:J3"/>
    <mergeCell ref="B4:O4"/>
    <mergeCell ref="B5:O5"/>
    <mergeCell ref="B6:O6"/>
    <mergeCell ref="I7:J7"/>
    <mergeCell ref="I8:J8"/>
    <mergeCell ref="I9:J9"/>
    <mergeCell ref="I10:J10"/>
    <mergeCell ref="I11:J11"/>
    <mergeCell ref="I12:J12"/>
    <mergeCell ref="I13:J13"/>
    <mergeCell ref="A5:A64"/>
    <mergeCell ref="I43:J43"/>
    <mergeCell ref="I19:J19"/>
    <mergeCell ref="I20:J20"/>
    <mergeCell ref="I21:J21"/>
    <mergeCell ref="I22:J22"/>
    <mergeCell ref="I23:J23"/>
    <mergeCell ref="I24:J24"/>
    <mergeCell ref="I25:J25"/>
    <mergeCell ref="B28:O28"/>
    <mergeCell ref="I29:J29"/>
    <mergeCell ref="I32:J32"/>
    <mergeCell ref="I33:J33"/>
    <mergeCell ref="I34:J34"/>
    <mergeCell ref="I35:J35"/>
    <mergeCell ref="B39:O39"/>
    <mergeCell ref="I40:J40"/>
    <mergeCell ref="I41:J41"/>
    <mergeCell ref="I36:J36"/>
    <mergeCell ref="I56:J56"/>
    <mergeCell ref="I57:J57"/>
    <mergeCell ref="I109:J109"/>
    <mergeCell ref="I110:J110"/>
    <mergeCell ref="I103:J103"/>
    <mergeCell ref="B98:O98"/>
    <mergeCell ref="I90:J90"/>
    <mergeCell ref="B95:O95"/>
    <mergeCell ref="I96:J96"/>
    <mergeCell ref="I99:J99"/>
    <mergeCell ref="I93:J93"/>
    <mergeCell ref="I92:J92"/>
    <mergeCell ref="I94:J94"/>
    <mergeCell ref="I91:J91"/>
    <mergeCell ref="I104:J104"/>
    <mergeCell ref="I97:J97"/>
    <mergeCell ref="I113:J113"/>
    <mergeCell ref="I114:J114"/>
    <mergeCell ref="A65:A99"/>
    <mergeCell ref="B66:O66"/>
    <mergeCell ref="B65:O65"/>
    <mergeCell ref="I159:J159"/>
    <mergeCell ref="I83:J83"/>
    <mergeCell ref="I84:J84"/>
    <mergeCell ref="I85:J85"/>
    <mergeCell ref="I86:J86"/>
    <mergeCell ref="I87:J87"/>
    <mergeCell ref="I78:J78"/>
    <mergeCell ref="I79:J79"/>
    <mergeCell ref="I80:J80"/>
    <mergeCell ref="I81:J81"/>
    <mergeCell ref="I82:J82"/>
    <mergeCell ref="B105:O105"/>
    <mergeCell ref="I106:J106"/>
    <mergeCell ref="I107:J107"/>
    <mergeCell ref="B108:O108"/>
    <mergeCell ref="I88:J88"/>
    <mergeCell ref="I89:J89"/>
    <mergeCell ref="A100:A110"/>
    <mergeCell ref="I67:J67"/>
    <mergeCell ref="A187:O187"/>
    <mergeCell ref="I121:J121"/>
    <mergeCell ref="I122:J122"/>
    <mergeCell ref="I123:J123"/>
    <mergeCell ref="B125:O125"/>
    <mergeCell ref="I126:J126"/>
    <mergeCell ref="I127:J127"/>
    <mergeCell ref="B128:O128"/>
    <mergeCell ref="B131:O131"/>
    <mergeCell ref="I132:J132"/>
    <mergeCell ref="I133:J133"/>
    <mergeCell ref="I134:J134"/>
    <mergeCell ref="A163:A175"/>
    <mergeCell ref="B136:O136"/>
    <mergeCell ref="B137:O137"/>
    <mergeCell ref="I138:J138"/>
    <mergeCell ref="I139:J139"/>
    <mergeCell ref="I150:J150"/>
    <mergeCell ref="I151:J151"/>
    <mergeCell ref="B164:O164"/>
    <mergeCell ref="A136:A160"/>
    <mergeCell ref="I129:J129"/>
    <mergeCell ref="I152:J152"/>
    <mergeCell ref="I153:J153"/>
    <mergeCell ref="I157:J157"/>
    <mergeCell ref="B163:O163"/>
    <mergeCell ref="I119:J119"/>
    <mergeCell ref="I135:J135"/>
    <mergeCell ref="I154:J154"/>
    <mergeCell ref="I155:J155"/>
    <mergeCell ref="I156:J156"/>
    <mergeCell ref="I140:J140"/>
    <mergeCell ref="I141:J141"/>
    <mergeCell ref="I149:J149"/>
    <mergeCell ref="I124:J124"/>
    <mergeCell ref="I130:J130"/>
    <mergeCell ref="I162:J162"/>
    <mergeCell ref="I161:J161"/>
    <mergeCell ref="B171:O171"/>
    <mergeCell ref="I186:J186"/>
    <mergeCell ref="I178:J178"/>
    <mergeCell ref="I179:J179"/>
    <mergeCell ref="I180:J180"/>
    <mergeCell ref="I181:J181"/>
    <mergeCell ref="I182:J182"/>
    <mergeCell ref="B185:O185"/>
    <mergeCell ref="I172:J172"/>
    <mergeCell ref="I173:J173"/>
    <mergeCell ref="I174:J174"/>
    <mergeCell ref="I175:J175"/>
    <mergeCell ref="B177:O177"/>
    <mergeCell ref="I183:J183"/>
    <mergeCell ref="I184:J184"/>
    <mergeCell ref="B169:O169"/>
    <mergeCell ref="I170:J170"/>
    <mergeCell ref="I158:J158"/>
    <mergeCell ref="I160:J160"/>
    <mergeCell ref="B100:O100"/>
    <mergeCell ref="B101:O101"/>
    <mergeCell ref="I102:J102"/>
    <mergeCell ref="B112:O112"/>
    <mergeCell ref="B120:O120"/>
    <mergeCell ref="I118:J118"/>
    <mergeCell ref="I144:J144"/>
    <mergeCell ref="I145:J145"/>
    <mergeCell ref="I146:J146"/>
    <mergeCell ref="I147:J147"/>
    <mergeCell ref="I148:J148"/>
    <mergeCell ref="I142:J142"/>
    <mergeCell ref="I143:J143"/>
    <mergeCell ref="I165:J165"/>
    <mergeCell ref="I166:J166"/>
    <mergeCell ref="I167:J167"/>
    <mergeCell ref="I168:J168"/>
    <mergeCell ref="I115:J115"/>
    <mergeCell ref="I116:J116"/>
    <mergeCell ref="I117:J117"/>
  </mergeCells>
  <pageMargins left="0.70866141732283472" right="0.70866141732283472" top="0.74803149606299213" bottom="0.74803149606299213" header="0.31496062992125984" footer="0.31496062992125984"/>
  <pageSetup paperSize="8" scale="81" fitToHeight="0" orientation="landscape" r:id="rId1"/>
  <rowBreaks count="2" manualBreakCount="2">
    <brk id="36" max="14"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54"/>
  <sheetViews>
    <sheetView zoomScale="80" zoomScaleNormal="80" workbookViewId="0">
      <selection activeCell="E13" sqref="E13"/>
    </sheetView>
  </sheetViews>
  <sheetFormatPr defaultRowHeight="12.75" x14ac:dyDescent="0.2"/>
  <cols>
    <col min="1" max="1" width="4.6640625" style="11" customWidth="1"/>
    <col min="2" max="2" width="5.6640625" style="11" customWidth="1"/>
    <col min="3" max="3" width="31.33203125" style="12" customWidth="1"/>
    <col min="4" max="4" width="8.33203125" style="11" customWidth="1"/>
    <col min="5" max="5" width="8.83203125" style="11"/>
    <col min="6" max="6" width="14.5" style="11" customWidth="1"/>
    <col min="7" max="7" width="9" style="11" customWidth="1"/>
    <col min="8" max="8" width="10.1640625" style="11" hidden="1" customWidth="1"/>
    <col min="9" max="10" width="13.1640625" style="11" customWidth="1"/>
    <col min="11" max="11" width="13.33203125" style="11" customWidth="1"/>
    <col min="12" max="12" width="9.1640625" style="11" customWidth="1"/>
    <col min="13" max="13" width="13.1640625" style="11" customWidth="1"/>
    <col min="14" max="14" width="15.1640625" style="11" customWidth="1"/>
    <col min="15" max="15" width="12.6640625" style="11" customWidth="1"/>
    <col min="16" max="16" width="13.1640625" style="11" customWidth="1"/>
    <col min="17" max="18" width="12.6640625" style="11" customWidth="1"/>
    <col min="19" max="19" width="15.33203125" style="11" customWidth="1"/>
    <col min="20" max="20" width="13.1640625" style="11" customWidth="1"/>
    <col min="21" max="21" width="16.1640625" style="11" customWidth="1"/>
    <col min="22" max="22" width="18" style="11" customWidth="1"/>
    <col min="23" max="23" width="14.33203125" style="85" customWidth="1"/>
    <col min="24" max="24" width="6" style="11" customWidth="1"/>
    <col min="25" max="25" width="6.5" style="11" customWidth="1"/>
    <col min="26" max="26" width="12.83203125" style="11" customWidth="1"/>
    <col min="27" max="27" width="47.83203125" style="12" customWidth="1"/>
    <col min="28" max="28" width="35.33203125" style="12" customWidth="1"/>
    <col min="29" max="29" width="28.33203125" style="12" customWidth="1"/>
    <col min="30" max="30" width="36.6640625" style="12" customWidth="1"/>
    <col min="31" max="31" width="8.83203125" style="11"/>
  </cols>
  <sheetData>
    <row r="1" spans="1:31" ht="33" customHeight="1" x14ac:dyDescent="0.2">
      <c r="A1" s="310" t="s">
        <v>299</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row>
    <row r="2" spans="1:31" ht="18" x14ac:dyDescent="0.2">
      <c r="A2" s="234" t="s">
        <v>300</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row>
    <row r="3" spans="1:31" x14ac:dyDescent="0.2">
      <c r="A3" s="311"/>
      <c r="B3" s="312" t="s">
        <v>0</v>
      </c>
      <c r="C3" s="315" t="s">
        <v>301</v>
      </c>
      <c r="D3" s="312" t="s">
        <v>302</v>
      </c>
      <c r="E3" s="312" t="s">
        <v>303</v>
      </c>
      <c r="F3" s="312" t="s">
        <v>304</v>
      </c>
      <c r="G3" s="312" t="s">
        <v>305</v>
      </c>
      <c r="H3" s="312" t="s">
        <v>306</v>
      </c>
      <c r="I3" s="321" t="s">
        <v>307</v>
      </c>
      <c r="J3" s="321"/>
      <c r="K3" s="321"/>
      <c r="L3" s="321"/>
      <c r="M3" s="321"/>
      <c r="N3" s="321"/>
      <c r="O3" s="322" t="s">
        <v>308</v>
      </c>
      <c r="P3" s="323"/>
      <c r="Q3" s="323"/>
      <c r="R3" s="323"/>
      <c r="S3" s="323"/>
      <c r="T3" s="324"/>
      <c r="U3" s="325" t="s">
        <v>309</v>
      </c>
      <c r="V3" s="312" t="s">
        <v>310</v>
      </c>
      <c r="W3" s="328" t="s">
        <v>311</v>
      </c>
      <c r="X3" s="331" t="s">
        <v>312</v>
      </c>
      <c r="Y3" s="332"/>
      <c r="Z3" s="312" t="s">
        <v>313</v>
      </c>
      <c r="AA3" s="315" t="s">
        <v>1</v>
      </c>
      <c r="AB3" s="315" t="s">
        <v>2</v>
      </c>
      <c r="AC3" s="315" t="s">
        <v>3</v>
      </c>
      <c r="AD3" s="315" t="s">
        <v>4</v>
      </c>
    </row>
    <row r="4" spans="1:31" x14ac:dyDescent="0.2">
      <c r="A4" s="311"/>
      <c r="B4" s="313"/>
      <c r="C4" s="316"/>
      <c r="D4" s="318"/>
      <c r="E4" s="313"/>
      <c r="F4" s="313"/>
      <c r="G4" s="313"/>
      <c r="H4" s="313"/>
      <c r="I4" s="320" t="s">
        <v>314</v>
      </c>
      <c r="J4" s="320"/>
      <c r="K4" s="320"/>
      <c r="L4" s="320"/>
      <c r="M4" s="320"/>
      <c r="N4" s="320"/>
      <c r="O4" s="320" t="s">
        <v>314</v>
      </c>
      <c r="P4" s="320"/>
      <c r="Q4" s="320"/>
      <c r="R4" s="320"/>
      <c r="S4" s="320"/>
      <c r="T4" s="320"/>
      <c r="U4" s="326"/>
      <c r="V4" s="313"/>
      <c r="W4" s="329"/>
      <c r="X4" s="333"/>
      <c r="Y4" s="334"/>
      <c r="Z4" s="313"/>
      <c r="AA4" s="316"/>
      <c r="AB4" s="316"/>
      <c r="AC4" s="316"/>
      <c r="AD4" s="316"/>
    </row>
    <row r="5" spans="1:31" ht="52.5" x14ac:dyDescent="0.2">
      <c r="A5" s="311"/>
      <c r="B5" s="314"/>
      <c r="C5" s="317"/>
      <c r="D5" s="319"/>
      <c r="E5" s="314"/>
      <c r="F5" s="314"/>
      <c r="G5" s="314"/>
      <c r="H5" s="314"/>
      <c r="I5" s="28" t="s">
        <v>315</v>
      </c>
      <c r="J5" s="28" t="s">
        <v>316</v>
      </c>
      <c r="K5" s="28" t="s">
        <v>317</v>
      </c>
      <c r="L5" s="28" t="s">
        <v>318</v>
      </c>
      <c r="M5" s="28" t="s">
        <v>319</v>
      </c>
      <c r="N5" s="20" t="s">
        <v>320</v>
      </c>
      <c r="O5" s="28" t="s">
        <v>315</v>
      </c>
      <c r="P5" s="28" t="s">
        <v>316</v>
      </c>
      <c r="Q5" s="28" t="s">
        <v>321</v>
      </c>
      <c r="R5" s="28" t="s">
        <v>318</v>
      </c>
      <c r="S5" s="28" t="s">
        <v>319</v>
      </c>
      <c r="T5" s="20" t="s">
        <v>320</v>
      </c>
      <c r="U5" s="327"/>
      <c r="V5" s="314"/>
      <c r="W5" s="330"/>
      <c r="X5" s="335"/>
      <c r="Y5" s="336"/>
      <c r="Z5" s="314"/>
      <c r="AA5" s="317"/>
      <c r="AB5" s="317"/>
      <c r="AC5" s="317"/>
      <c r="AD5" s="317"/>
    </row>
    <row r="6" spans="1:31" x14ac:dyDescent="0.2">
      <c r="A6" s="311"/>
      <c r="B6" s="304" t="s">
        <v>322</v>
      </c>
      <c r="C6" s="304"/>
      <c r="D6" s="29" t="s">
        <v>48</v>
      </c>
      <c r="E6" s="29" t="s">
        <v>48</v>
      </c>
      <c r="F6" s="30">
        <f>F7+F54+F80+F90+F111+F134+F144</f>
        <v>111546.64861</v>
      </c>
      <c r="G6" s="29" t="s">
        <v>48</v>
      </c>
      <c r="H6" s="31"/>
      <c r="I6" s="30">
        <f>I7+I54+I80+I90+I111+I134+I144</f>
        <v>5280.0171899999996</v>
      </c>
      <c r="J6" s="30">
        <f t="shared" ref="J6:M6" si="0">J7+J54+J80+J90+J111+J134+J144</f>
        <v>28786.748970000001</v>
      </c>
      <c r="K6" s="30">
        <f t="shared" si="0"/>
        <v>15292.806299999997</v>
      </c>
      <c r="L6" s="30">
        <f t="shared" si="0"/>
        <v>644.04900000000009</v>
      </c>
      <c r="M6" s="30">
        <f t="shared" si="0"/>
        <v>13875.2732</v>
      </c>
      <c r="N6" s="30">
        <f>SUM(I6:M6)</f>
        <v>63878.894659999991</v>
      </c>
      <c r="O6" s="30">
        <f>O7+O54+O80+O90+O111+O134+O144</f>
        <v>12614.386450000002</v>
      </c>
      <c r="P6" s="30">
        <f t="shared" ref="P6:S6" si="1">P7+P54+P80+P90+P111+P134+P144</f>
        <v>12117.363730000001</v>
      </c>
      <c r="Q6" s="30">
        <f t="shared" si="1"/>
        <v>10875.452500000001</v>
      </c>
      <c r="R6" s="30">
        <f t="shared" si="1"/>
        <v>1132.3048800000001</v>
      </c>
      <c r="S6" s="30">
        <f t="shared" si="1"/>
        <v>6122.42</v>
      </c>
      <c r="T6" s="30">
        <f>SUM(O6:S6)</f>
        <v>42861.927560000004</v>
      </c>
      <c r="U6" s="30">
        <f>U7+U54+U80+U90+U111+U134+U144</f>
        <v>1016884.74683</v>
      </c>
      <c r="V6" s="30">
        <f>N6+T6+U6</f>
        <v>1123625.56905</v>
      </c>
      <c r="W6" s="32">
        <f>SUM(W7+W54+W80+W90+W111+W134+W144)</f>
        <v>307159.37599999999</v>
      </c>
      <c r="X6" s="305" t="s">
        <v>48</v>
      </c>
      <c r="Y6" s="305"/>
      <c r="Z6" s="29" t="s">
        <v>48</v>
      </c>
      <c r="AA6" s="29" t="s">
        <v>48</v>
      </c>
      <c r="AB6" s="29" t="s">
        <v>48</v>
      </c>
      <c r="AC6" s="29" t="s">
        <v>48</v>
      </c>
      <c r="AD6" s="29" t="s">
        <v>48</v>
      </c>
    </row>
    <row r="7" spans="1:31" x14ac:dyDescent="0.2">
      <c r="A7" s="311"/>
      <c r="B7" s="306" t="s">
        <v>323</v>
      </c>
      <c r="C7" s="307"/>
      <c r="D7" s="33" t="s">
        <v>324</v>
      </c>
      <c r="E7" s="34" t="s">
        <v>48</v>
      </c>
      <c r="F7" s="35">
        <f>F8+F25+F31+F49</f>
        <v>86662.048450000002</v>
      </c>
      <c r="G7" s="34" t="s">
        <v>48</v>
      </c>
      <c r="H7" s="33"/>
      <c r="I7" s="35">
        <f>I8+I25+I31+I49</f>
        <v>310.47429999999997</v>
      </c>
      <c r="J7" s="35">
        <f t="shared" ref="J7:M7" si="2">J8+J25+J31+J49</f>
        <v>1790.4359999999999</v>
      </c>
      <c r="K7" s="35">
        <f t="shared" si="2"/>
        <v>8902.744999999999</v>
      </c>
      <c r="L7" s="35">
        <f>L8+L25+L31+L49</f>
        <v>0</v>
      </c>
      <c r="M7" s="35">
        <f t="shared" si="2"/>
        <v>8229.8524999999991</v>
      </c>
      <c r="N7" s="35">
        <f>SUM(I7:M7)</f>
        <v>19233.507799999999</v>
      </c>
      <c r="O7" s="35">
        <f>O8+O25+O31+O49</f>
        <v>1184</v>
      </c>
      <c r="P7" s="35">
        <f t="shared" ref="P7:S7" si="3">P8+P25+P31+P49</f>
        <v>0</v>
      </c>
      <c r="Q7" s="35">
        <f t="shared" si="3"/>
        <v>5781.95</v>
      </c>
      <c r="R7" s="35">
        <f t="shared" si="3"/>
        <v>0</v>
      </c>
      <c r="S7" s="35">
        <f t="shared" si="3"/>
        <v>2866.11</v>
      </c>
      <c r="T7" s="35">
        <f>SUM(O7:S7)</f>
        <v>9832.06</v>
      </c>
      <c r="U7" s="36">
        <f>U8+U25+U31+U49</f>
        <v>19849.11</v>
      </c>
      <c r="V7" s="36">
        <f t="shared" ref="V7:V75" si="4">N7+T7+U7</f>
        <v>48914.677799999998</v>
      </c>
      <c r="W7" s="37">
        <f>SUM(W8+W25+W31+W49)</f>
        <v>209403.57499999998</v>
      </c>
      <c r="X7" s="308" t="s">
        <v>48</v>
      </c>
      <c r="Y7" s="309"/>
      <c r="Z7" s="34" t="s">
        <v>48</v>
      </c>
      <c r="AA7" s="34" t="s">
        <v>48</v>
      </c>
      <c r="AB7" s="34" t="s">
        <v>48</v>
      </c>
      <c r="AC7" s="34" t="s">
        <v>48</v>
      </c>
      <c r="AD7" s="34" t="s">
        <v>48</v>
      </c>
    </row>
    <row r="8" spans="1:31" x14ac:dyDescent="0.2">
      <c r="A8" s="311"/>
      <c r="B8" s="255" t="s">
        <v>325</v>
      </c>
      <c r="C8" s="256"/>
      <c r="D8" s="38" t="s">
        <v>326</v>
      </c>
      <c r="E8" s="39" t="s">
        <v>48</v>
      </c>
      <c r="F8" s="40">
        <f>SUM(F9:F24)</f>
        <v>189.196</v>
      </c>
      <c r="G8" s="39" t="s">
        <v>48</v>
      </c>
      <c r="H8" s="38"/>
      <c r="I8" s="40">
        <f>SUM(I9:I24)</f>
        <v>241.85729999999998</v>
      </c>
      <c r="J8" s="40">
        <f>SUM(J9:J24)</f>
        <v>0</v>
      </c>
      <c r="K8" s="40">
        <f>SUM(K9:K24)</f>
        <v>0</v>
      </c>
      <c r="L8" s="40">
        <f t="shared" ref="L8:M8" si="5">SUM(L9:L24)</f>
        <v>0</v>
      </c>
      <c r="M8" s="40">
        <f t="shared" si="5"/>
        <v>296.61450000000002</v>
      </c>
      <c r="N8" s="40">
        <f>SUM(I8:M8)</f>
        <v>538.47180000000003</v>
      </c>
      <c r="O8" s="40">
        <f>SUM(O9:O24)</f>
        <v>983</v>
      </c>
      <c r="P8" s="40">
        <f t="shared" ref="P8:S8" si="6">SUM(P9:P24)</f>
        <v>0</v>
      </c>
      <c r="Q8" s="40">
        <f t="shared" si="6"/>
        <v>0</v>
      </c>
      <c r="R8" s="40">
        <f t="shared" si="6"/>
        <v>0</v>
      </c>
      <c r="S8" s="40">
        <f t="shared" si="6"/>
        <v>236.61</v>
      </c>
      <c r="T8" s="40">
        <f>SUM(O8:S8)</f>
        <v>1219.6100000000001</v>
      </c>
      <c r="U8" s="40">
        <f>SUM(U9:U24)</f>
        <v>1478.6100000000001</v>
      </c>
      <c r="V8" s="41">
        <f t="shared" si="4"/>
        <v>3236.6918000000005</v>
      </c>
      <c r="W8" s="42">
        <f>SUM(W9:W24)</f>
        <v>200026.53</v>
      </c>
      <c r="X8" s="252" t="s">
        <v>48</v>
      </c>
      <c r="Y8" s="253"/>
      <c r="Z8" s="39" t="s">
        <v>48</v>
      </c>
      <c r="AA8" s="39" t="s">
        <v>48</v>
      </c>
      <c r="AB8" s="39" t="s">
        <v>48</v>
      </c>
      <c r="AC8" s="39" t="s">
        <v>48</v>
      </c>
      <c r="AD8" s="39" t="s">
        <v>48</v>
      </c>
    </row>
    <row r="9" spans="1:31" ht="40.5" x14ac:dyDescent="0.2">
      <c r="A9" s="311"/>
      <c r="B9" s="2" t="s">
        <v>327</v>
      </c>
      <c r="C9" s="10" t="s">
        <v>328</v>
      </c>
      <c r="D9" s="1" t="s">
        <v>329</v>
      </c>
      <c r="E9" s="1" t="s">
        <v>7</v>
      </c>
      <c r="F9" s="43">
        <v>9.1959999999999997</v>
      </c>
      <c r="G9" s="1" t="s">
        <v>46</v>
      </c>
      <c r="H9" s="1" t="s">
        <v>47</v>
      </c>
      <c r="I9" s="43">
        <v>0</v>
      </c>
      <c r="J9" s="43">
        <v>0</v>
      </c>
      <c r="K9" s="43">
        <v>0</v>
      </c>
      <c r="L9" s="43">
        <v>0</v>
      </c>
      <c r="M9" s="43">
        <v>0</v>
      </c>
      <c r="N9" s="43">
        <f>SUM(I9:M9)</f>
        <v>0</v>
      </c>
      <c r="O9" s="43">
        <v>205</v>
      </c>
      <c r="P9" s="43">
        <v>0</v>
      </c>
      <c r="Q9" s="43">
        <v>0</v>
      </c>
      <c r="R9" s="43">
        <v>0</v>
      </c>
      <c r="S9" s="43">
        <v>0</v>
      </c>
      <c r="T9" s="43">
        <f>SUM(O9:S9)</f>
        <v>205</v>
      </c>
      <c r="U9" s="43">
        <v>0</v>
      </c>
      <c r="V9" s="30">
        <f t="shared" si="4"/>
        <v>205</v>
      </c>
      <c r="W9" s="26">
        <v>0</v>
      </c>
      <c r="X9" s="295">
        <v>205</v>
      </c>
      <c r="Y9" s="295"/>
      <c r="Z9" s="1" t="s">
        <v>69</v>
      </c>
      <c r="AA9" s="10" t="s">
        <v>330</v>
      </c>
      <c r="AB9" s="10" t="s">
        <v>331</v>
      </c>
      <c r="AC9" s="10" t="s">
        <v>332</v>
      </c>
      <c r="AD9" s="44" t="s">
        <v>48</v>
      </c>
      <c r="AE9" s="45"/>
    </row>
    <row r="10" spans="1:31" ht="54" x14ac:dyDescent="0.2">
      <c r="A10" s="311"/>
      <c r="B10" s="2" t="s">
        <v>333</v>
      </c>
      <c r="C10" s="10" t="s">
        <v>334</v>
      </c>
      <c r="D10" s="1" t="s">
        <v>335</v>
      </c>
      <c r="E10" s="1" t="s">
        <v>69</v>
      </c>
      <c r="F10" s="43">
        <v>0</v>
      </c>
      <c r="G10" s="1" t="s">
        <v>152</v>
      </c>
      <c r="H10" s="1" t="s">
        <v>47</v>
      </c>
      <c r="I10" s="43">
        <v>0</v>
      </c>
      <c r="J10" s="43">
        <v>0</v>
      </c>
      <c r="K10" s="43">
        <v>0</v>
      </c>
      <c r="L10" s="43">
        <v>0</v>
      </c>
      <c r="M10" s="43">
        <v>0</v>
      </c>
      <c r="N10" s="43">
        <f t="shared" ref="N10:N24" si="7">SUM(I10:M10)</f>
        <v>0</v>
      </c>
      <c r="O10" s="43">
        <v>20</v>
      </c>
      <c r="P10" s="43">
        <v>0</v>
      </c>
      <c r="Q10" s="43">
        <v>0</v>
      </c>
      <c r="R10" s="43">
        <v>0</v>
      </c>
      <c r="S10" s="43">
        <v>0</v>
      </c>
      <c r="T10" s="43">
        <f t="shared" ref="T10:T24" si="8">SUM(O10:S10)</f>
        <v>20</v>
      </c>
      <c r="U10" s="43">
        <v>100</v>
      </c>
      <c r="V10" s="30">
        <f t="shared" si="4"/>
        <v>120</v>
      </c>
      <c r="W10" s="26">
        <v>0</v>
      </c>
      <c r="X10" s="295">
        <v>120</v>
      </c>
      <c r="Y10" s="295"/>
      <c r="Z10" s="1" t="s">
        <v>69</v>
      </c>
      <c r="AA10" s="10" t="s">
        <v>336</v>
      </c>
      <c r="AB10" s="10" t="s">
        <v>337</v>
      </c>
      <c r="AC10" s="10" t="s">
        <v>338</v>
      </c>
      <c r="AD10" s="10" t="s">
        <v>339</v>
      </c>
      <c r="AE10" s="45"/>
    </row>
    <row r="11" spans="1:31" ht="94.5" x14ac:dyDescent="0.2">
      <c r="A11" s="311"/>
      <c r="B11" s="2" t="s">
        <v>340</v>
      </c>
      <c r="C11" s="10" t="s">
        <v>341</v>
      </c>
      <c r="D11" s="1" t="s">
        <v>335</v>
      </c>
      <c r="E11" s="1" t="s">
        <v>7</v>
      </c>
      <c r="F11" s="43">
        <v>0</v>
      </c>
      <c r="G11" s="1" t="s">
        <v>46</v>
      </c>
      <c r="H11" s="1" t="s">
        <v>47</v>
      </c>
      <c r="I11" s="43">
        <v>0</v>
      </c>
      <c r="J11" s="43">
        <v>0</v>
      </c>
      <c r="K11" s="43">
        <v>0</v>
      </c>
      <c r="L11" s="43">
        <v>0</v>
      </c>
      <c r="M11" s="43">
        <v>0</v>
      </c>
      <c r="N11" s="43">
        <f t="shared" si="7"/>
        <v>0</v>
      </c>
      <c r="O11" s="43">
        <v>60</v>
      </c>
      <c r="P11" s="43">
        <v>0</v>
      </c>
      <c r="Q11" s="43">
        <v>0</v>
      </c>
      <c r="R11" s="43">
        <v>0</v>
      </c>
      <c r="S11" s="43">
        <v>0</v>
      </c>
      <c r="T11" s="43">
        <f t="shared" si="8"/>
        <v>60</v>
      </c>
      <c r="U11" s="43">
        <v>60</v>
      </c>
      <c r="V11" s="30">
        <f t="shared" si="4"/>
        <v>120</v>
      </c>
      <c r="W11" s="26">
        <v>0</v>
      </c>
      <c r="X11" s="295">
        <v>120</v>
      </c>
      <c r="Y11" s="295"/>
      <c r="Z11" s="1" t="s">
        <v>69</v>
      </c>
      <c r="AA11" s="10" t="s">
        <v>342</v>
      </c>
      <c r="AB11" s="10" t="s">
        <v>343</v>
      </c>
      <c r="AC11" s="10" t="s">
        <v>344</v>
      </c>
      <c r="AD11" s="10" t="s">
        <v>345</v>
      </c>
      <c r="AE11" s="45"/>
    </row>
    <row r="12" spans="1:31" ht="67.5" x14ac:dyDescent="0.2">
      <c r="A12" s="311"/>
      <c r="B12" s="2" t="s">
        <v>346</v>
      </c>
      <c r="C12" s="10" t="s">
        <v>77</v>
      </c>
      <c r="D12" s="1" t="s">
        <v>335</v>
      </c>
      <c r="E12" s="1" t="s">
        <v>69</v>
      </c>
      <c r="F12" s="43">
        <v>0</v>
      </c>
      <c r="G12" s="1" t="s">
        <v>152</v>
      </c>
      <c r="H12" s="1"/>
      <c r="I12" s="43">
        <v>0</v>
      </c>
      <c r="J12" s="43">
        <v>0</v>
      </c>
      <c r="K12" s="43">
        <v>0</v>
      </c>
      <c r="L12" s="43">
        <v>0</v>
      </c>
      <c r="M12" s="43">
        <v>0</v>
      </c>
      <c r="N12" s="43">
        <f t="shared" si="7"/>
        <v>0</v>
      </c>
      <c r="O12" s="43">
        <v>50</v>
      </c>
      <c r="P12" s="43">
        <v>0</v>
      </c>
      <c r="Q12" s="43">
        <v>0</v>
      </c>
      <c r="R12" s="43">
        <v>0</v>
      </c>
      <c r="S12" s="43">
        <v>0</v>
      </c>
      <c r="T12" s="43">
        <f t="shared" si="8"/>
        <v>50</v>
      </c>
      <c r="U12" s="43">
        <v>80</v>
      </c>
      <c r="V12" s="30">
        <f t="shared" si="4"/>
        <v>130</v>
      </c>
      <c r="W12" s="26">
        <v>470</v>
      </c>
      <c r="X12" s="302">
        <v>600</v>
      </c>
      <c r="Y12" s="303"/>
      <c r="Z12" s="1" t="s">
        <v>69</v>
      </c>
      <c r="AA12" s="10" t="s">
        <v>5</v>
      </c>
      <c r="AB12" s="10" t="s">
        <v>347</v>
      </c>
      <c r="AC12" s="10" t="s">
        <v>348</v>
      </c>
      <c r="AD12" s="10" t="s">
        <v>349</v>
      </c>
      <c r="AE12" s="45"/>
    </row>
    <row r="13" spans="1:31" ht="81" x14ac:dyDescent="0.2">
      <c r="A13" s="311"/>
      <c r="B13" s="2" t="s">
        <v>350</v>
      </c>
      <c r="C13" s="10" t="s">
        <v>351</v>
      </c>
      <c r="D13" s="1" t="s">
        <v>335</v>
      </c>
      <c r="E13" s="1" t="s">
        <v>69</v>
      </c>
      <c r="F13" s="43">
        <v>0</v>
      </c>
      <c r="G13" s="1" t="s">
        <v>152</v>
      </c>
      <c r="H13" s="1" t="s">
        <v>47</v>
      </c>
      <c r="I13" s="43">
        <v>0</v>
      </c>
      <c r="J13" s="43">
        <v>0</v>
      </c>
      <c r="K13" s="43">
        <v>0</v>
      </c>
      <c r="L13" s="43">
        <v>0</v>
      </c>
      <c r="M13" s="43">
        <v>0</v>
      </c>
      <c r="N13" s="43">
        <f t="shared" si="7"/>
        <v>0</v>
      </c>
      <c r="O13" s="43">
        <v>0</v>
      </c>
      <c r="P13" s="43">
        <v>0</v>
      </c>
      <c r="Q13" s="43">
        <v>0</v>
      </c>
      <c r="R13" s="43">
        <v>0</v>
      </c>
      <c r="S13" s="43">
        <v>0</v>
      </c>
      <c r="T13" s="43">
        <f t="shared" si="8"/>
        <v>0</v>
      </c>
      <c r="U13" s="43">
        <v>130</v>
      </c>
      <c r="V13" s="30">
        <f t="shared" si="4"/>
        <v>130</v>
      </c>
      <c r="W13" s="26">
        <v>110</v>
      </c>
      <c r="X13" s="295">
        <v>240</v>
      </c>
      <c r="Y13" s="295"/>
      <c r="Z13" s="1" t="s">
        <v>69</v>
      </c>
      <c r="AA13" s="10" t="s">
        <v>352</v>
      </c>
      <c r="AB13" s="10" t="s">
        <v>353</v>
      </c>
      <c r="AC13" s="10" t="s">
        <v>344</v>
      </c>
      <c r="AD13" s="10" t="s">
        <v>354</v>
      </c>
      <c r="AE13" s="45"/>
    </row>
    <row r="14" spans="1:31" ht="67.5" x14ac:dyDescent="0.2">
      <c r="A14" s="311"/>
      <c r="B14" s="2" t="s">
        <v>355</v>
      </c>
      <c r="C14" s="10" t="s">
        <v>356</v>
      </c>
      <c r="D14" s="1" t="s">
        <v>357</v>
      </c>
      <c r="E14" s="1" t="s">
        <v>69</v>
      </c>
      <c r="F14" s="43">
        <v>0</v>
      </c>
      <c r="G14" s="1" t="s">
        <v>152</v>
      </c>
      <c r="H14" s="1" t="s">
        <v>47</v>
      </c>
      <c r="I14" s="43">
        <v>0</v>
      </c>
      <c r="J14" s="43">
        <v>0</v>
      </c>
      <c r="K14" s="43">
        <v>0</v>
      </c>
      <c r="L14" s="43">
        <v>0</v>
      </c>
      <c r="M14" s="43">
        <v>60</v>
      </c>
      <c r="N14" s="43">
        <f t="shared" si="7"/>
        <v>60</v>
      </c>
      <c r="O14" s="43">
        <v>0</v>
      </c>
      <c r="P14" s="43">
        <v>0</v>
      </c>
      <c r="Q14" s="43">
        <v>0</v>
      </c>
      <c r="R14" s="43">
        <v>0</v>
      </c>
      <c r="S14" s="43">
        <v>0</v>
      </c>
      <c r="T14" s="43">
        <f t="shared" si="8"/>
        <v>0</v>
      </c>
      <c r="U14" s="43">
        <v>0</v>
      </c>
      <c r="V14" s="30">
        <f t="shared" si="4"/>
        <v>60</v>
      </c>
      <c r="W14" s="26">
        <v>0</v>
      </c>
      <c r="X14" s="295">
        <v>60</v>
      </c>
      <c r="Y14" s="295"/>
      <c r="Z14" s="1" t="s">
        <v>69</v>
      </c>
      <c r="AA14" s="10" t="s">
        <v>358</v>
      </c>
      <c r="AB14" s="10" t="s">
        <v>359</v>
      </c>
      <c r="AC14" s="10" t="s">
        <v>338</v>
      </c>
      <c r="AD14" s="10" t="s">
        <v>360</v>
      </c>
      <c r="AE14" s="45"/>
    </row>
    <row r="15" spans="1:31" ht="135" x14ac:dyDescent="0.2">
      <c r="A15" s="311"/>
      <c r="B15" s="2" t="s">
        <v>361</v>
      </c>
      <c r="C15" s="10" t="s">
        <v>362</v>
      </c>
      <c r="D15" s="1" t="s">
        <v>357</v>
      </c>
      <c r="E15" s="1" t="s">
        <v>7</v>
      </c>
      <c r="F15" s="43">
        <v>0</v>
      </c>
      <c r="G15" s="1" t="s">
        <v>46</v>
      </c>
      <c r="H15" s="1" t="s">
        <v>47</v>
      </c>
      <c r="I15" s="43">
        <f>SUM(130+13.0623)</f>
        <v>143.06229999999999</v>
      </c>
      <c r="J15" s="43">
        <v>0</v>
      </c>
      <c r="K15" s="43">
        <v>0</v>
      </c>
      <c r="L15" s="43">
        <v>0</v>
      </c>
      <c r="M15" s="43">
        <v>0</v>
      </c>
      <c r="N15" s="43">
        <f t="shared" si="7"/>
        <v>143.06229999999999</v>
      </c>
      <c r="O15" s="43">
        <v>130</v>
      </c>
      <c r="P15" s="43">
        <v>0</v>
      </c>
      <c r="Q15" s="43">
        <v>0</v>
      </c>
      <c r="R15" s="43">
        <v>0</v>
      </c>
      <c r="S15" s="43">
        <v>0</v>
      </c>
      <c r="T15" s="43">
        <f t="shared" si="8"/>
        <v>130</v>
      </c>
      <c r="U15" s="43">
        <v>130</v>
      </c>
      <c r="V15" s="30">
        <f t="shared" si="4"/>
        <v>403.06229999999999</v>
      </c>
      <c r="W15" s="26">
        <v>196940</v>
      </c>
      <c r="X15" s="295">
        <v>600</v>
      </c>
      <c r="Y15" s="295"/>
      <c r="Z15" s="1" t="s">
        <v>69</v>
      </c>
      <c r="AA15" s="10" t="s">
        <v>363</v>
      </c>
      <c r="AB15" s="10" t="s">
        <v>364</v>
      </c>
      <c r="AC15" s="10" t="s">
        <v>344</v>
      </c>
      <c r="AD15" s="10" t="s">
        <v>365</v>
      </c>
      <c r="AE15" s="45"/>
    </row>
    <row r="16" spans="1:31" ht="40.5" x14ac:dyDescent="0.2">
      <c r="A16" s="311"/>
      <c r="B16" s="2" t="s">
        <v>366</v>
      </c>
      <c r="C16" s="10" t="s">
        <v>367</v>
      </c>
      <c r="D16" s="1" t="s">
        <v>368</v>
      </c>
      <c r="E16" s="1" t="s">
        <v>69</v>
      </c>
      <c r="F16" s="43">
        <v>0</v>
      </c>
      <c r="G16" s="1" t="s">
        <v>152</v>
      </c>
      <c r="H16" s="1" t="s">
        <v>47</v>
      </c>
      <c r="I16" s="43">
        <v>0</v>
      </c>
      <c r="J16" s="43">
        <v>0</v>
      </c>
      <c r="K16" s="43">
        <v>0</v>
      </c>
      <c r="L16" s="43">
        <v>0</v>
      </c>
      <c r="M16" s="43">
        <v>0</v>
      </c>
      <c r="N16" s="43">
        <f t="shared" si="7"/>
        <v>0</v>
      </c>
      <c r="O16" s="43">
        <v>5</v>
      </c>
      <c r="P16" s="43">
        <v>0</v>
      </c>
      <c r="Q16" s="43">
        <v>0</v>
      </c>
      <c r="R16" s="43">
        <v>0</v>
      </c>
      <c r="S16" s="43">
        <v>0</v>
      </c>
      <c r="T16" s="43">
        <f t="shared" si="8"/>
        <v>5</v>
      </c>
      <c r="U16" s="43">
        <v>45</v>
      </c>
      <c r="V16" s="30">
        <f t="shared" si="4"/>
        <v>50</v>
      </c>
      <c r="W16" s="26" t="s">
        <v>48</v>
      </c>
      <c r="X16" s="295">
        <v>50</v>
      </c>
      <c r="Y16" s="295"/>
      <c r="Z16" s="1" t="s">
        <v>69</v>
      </c>
      <c r="AA16" s="10" t="s">
        <v>145</v>
      </c>
      <c r="AB16" s="10" t="s">
        <v>369</v>
      </c>
      <c r="AC16" s="10" t="s">
        <v>338</v>
      </c>
      <c r="AD16" s="44" t="s">
        <v>48</v>
      </c>
      <c r="AE16" s="45"/>
    </row>
    <row r="17" spans="1:31" ht="40.5" x14ac:dyDescent="0.2">
      <c r="A17" s="311"/>
      <c r="B17" s="2" t="s">
        <v>370</v>
      </c>
      <c r="C17" s="10" t="s">
        <v>371</v>
      </c>
      <c r="D17" s="1" t="s">
        <v>372</v>
      </c>
      <c r="E17" s="1" t="s">
        <v>7</v>
      </c>
      <c r="F17" s="43">
        <v>0</v>
      </c>
      <c r="G17" s="1" t="s">
        <v>46</v>
      </c>
      <c r="H17" s="1" t="s">
        <v>47</v>
      </c>
      <c r="I17" s="43">
        <v>0</v>
      </c>
      <c r="J17" s="43">
        <v>0</v>
      </c>
      <c r="K17" s="43">
        <v>0</v>
      </c>
      <c r="L17" s="43">
        <v>0</v>
      </c>
      <c r="M17" s="43">
        <v>0</v>
      </c>
      <c r="N17" s="43">
        <f t="shared" si="7"/>
        <v>0</v>
      </c>
      <c r="O17" s="43">
        <v>136</v>
      </c>
      <c r="P17" s="43">
        <v>0</v>
      </c>
      <c r="Q17" s="43">
        <v>0</v>
      </c>
      <c r="R17" s="43">
        <v>0</v>
      </c>
      <c r="S17" s="43">
        <v>0</v>
      </c>
      <c r="T17" s="43">
        <f t="shared" si="8"/>
        <v>136</v>
      </c>
      <c r="U17" s="43">
        <v>100</v>
      </c>
      <c r="V17" s="30">
        <f t="shared" si="4"/>
        <v>236</v>
      </c>
      <c r="W17" s="26">
        <v>124</v>
      </c>
      <c r="X17" s="295">
        <v>360</v>
      </c>
      <c r="Y17" s="295"/>
      <c r="Z17" s="1" t="s">
        <v>69</v>
      </c>
      <c r="AA17" s="10" t="s">
        <v>373</v>
      </c>
      <c r="AB17" s="10" t="s">
        <v>374</v>
      </c>
      <c r="AC17" s="10" t="s">
        <v>338</v>
      </c>
      <c r="AD17" s="44" t="s">
        <v>48</v>
      </c>
      <c r="AE17" s="45"/>
    </row>
    <row r="18" spans="1:31" ht="81" x14ac:dyDescent="0.2">
      <c r="A18" s="311"/>
      <c r="B18" s="2" t="s">
        <v>375</v>
      </c>
      <c r="C18" s="10" t="s">
        <v>376</v>
      </c>
      <c r="D18" s="1" t="s">
        <v>377</v>
      </c>
      <c r="E18" s="1" t="s">
        <v>7</v>
      </c>
      <c r="F18" s="43">
        <v>0</v>
      </c>
      <c r="G18" s="1" t="s">
        <v>152</v>
      </c>
      <c r="H18" s="1" t="s">
        <v>47</v>
      </c>
      <c r="I18" s="43">
        <v>0</v>
      </c>
      <c r="J18" s="43">
        <v>0</v>
      </c>
      <c r="K18" s="43">
        <v>0</v>
      </c>
      <c r="L18" s="43">
        <v>0</v>
      </c>
      <c r="M18" s="43">
        <v>0</v>
      </c>
      <c r="N18" s="43">
        <f t="shared" si="7"/>
        <v>0</v>
      </c>
      <c r="O18" s="43">
        <v>60</v>
      </c>
      <c r="P18" s="43">
        <v>0</v>
      </c>
      <c r="Q18" s="43">
        <v>0</v>
      </c>
      <c r="R18" s="43">
        <v>0</v>
      </c>
      <c r="S18" s="43">
        <v>0</v>
      </c>
      <c r="T18" s="43">
        <f t="shared" si="8"/>
        <v>60</v>
      </c>
      <c r="U18" s="43">
        <v>60</v>
      </c>
      <c r="V18" s="30">
        <f t="shared" si="4"/>
        <v>120</v>
      </c>
      <c r="W18" s="26">
        <v>360</v>
      </c>
      <c r="X18" s="295">
        <v>480</v>
      </c>
      <c r="Y18" s="295"/>
      <c r="Z18" s="1" t="s">
        <v>69</v>
      </c>
      <c r="AA18" s="10" t="s">
        <v>378</v>
      </c>
      <c r="AB18" s="10" t="s">
        <v>379</v>
      </c>
      <c r="AC18" s="10" t="s">
        <v>78</v>
      </c>
      <c r="AD18" s="10" t="s">
        <v>79</v>
      </c>
      <c r="AE18" s="45"/>
    </row>
    <row r="19" spans="1:31" ht="40.5" x14ac:dyDescent="0.2">
      <c r="A19" s="311"/>
      <c r="B19" s="2" t="s">
        <v>380</v>
      </c>
      <c r="C19" s="10" t="s">
        <v>8</v>
      </c>
      <c r="D19" s="1" t="s">
        <v>381</v>
      </c>
      <c r="E19" s="1" t="s">
        <v>7</v>
      </c>
      <c r="F19" s="43">
        <v>0</v>
      </c>
      <c r="G19" s="1" t="s">
        <v>46</v>
      </c>
      <c r="H19" s="1" t="s">
        <v>47</v>
      </c>
      <c r="I19" s="43">
        <f>8.295</f>
        <v>8.2949999999999999</v>
      </c>
      <c r="J19" s="43">
        <v>0</v>
      </c>
      <c r="K19" s="43">
        <v>0</v>
      </c>
      <c r="L19" s="43">
        <v>0</v>
      </c>
      <c r="M19" s="43">
        <v>0</v>
      </c>
      <c r="N19" s="43">
        <f t="shared" si="7"/>
        <v>8.2949999999999999</v>
      </c>
      <c r="O19" s="43">
        <v>50</v>
      </c>
      <c r="P19" s="43">
        <v>0</v>
      </c>
      <c r="Q19" s="43">
        <v>0</v>
      </c>
      <c r="R19" s="43">
        <v>0</v>
      </c>
      <c r="S19" s="43">
        <v>0</v>
      </c>
      <c r="T19" s="43">
        <f t="shared" si="8"/>
        <v>50</v>
      </c>
      <c r="U19" s="43">
        <v>70</v>
      </c>
      <c r="V19" s="30">
        <f t="shared" si="4"/>
        <v>128.29500000000002</v>
      </c>
      <c r="W19" s="26">
        <v>171.7</v>
      </c>
      <c r="X19" s="295">
        <v>300</v>
      </c>
      <c r="Y19" s="295"/>
      <c r="Z19" s="1" t="s">
        <v>69</v>
      </c>
      <c r="AA19" s="10" t="s">
        <v>382</v>
      </c>
      <c r="AB19" s="10" t="s">
        <v>383</v>
      </c>
      <c r="AC19" s="10" t="s">
        <v>344</v>
      </c>
      <c r="AD19" s="44" t="s">
        <v>48</v>
      </c>
      <c r="AE19" s="45"/>
    </row>
    <row r="20" spans="1:31" ht="54" x14ac:dyDescent="0.2">
      <c r="A20" s="311"/>
      <c r="B20" s="2" t="s">
        <v>384</v>
      </c>
      <c r="C20" s="10" t="s">
        <v>9</v>
      </c>
      <c r="D20" s="1" t="s">
        <v>381</v>
      </c>
      <c r="E20" s="1" t="s">
        <v>7</v>
      </c>
      <c r="F20" s="43">
        <v>0</v>
      </c>
      <c r="G20" s="1" t="s">
        <v>46</v>
      </c>
      <c r="H20" s="1" t="s">
        <v>47</v>
      </c>
      <c r="I20" s="43">
        <v>0</v>
      </c>
      <c r="J20" s="43">
        <v>0</v>
      </c>
      <c r="K20" s="43">
        <v>0</v>
      </c>
      <c r="L20" s="43">
        <v>0</v>
      </c>
      <c r="M20" s="43">
        <v>0</v>
      </c>
      <c r="N20" s="43">
        <f t="shared" si="7"/>
        <v>0</v>
      </c>
      <c r="O20" s="43">
        <v>50</v>
      </c>
      <c r="P20" s="43">
        <v>0</v>
      </c>
      <c r="Q20" s="43">
        <v>0</v>
      </c>
      <c r="R20" s="43">
        <v>0</v>
      </c>
      <c r="S20" s="43">
        <v>0</v>
      </c>
      <c r="T20" s="43">
        <f t="shared" si="8"/>
        <v>50</v>
      </c>
      <c r="U20" s="43">
        <v>50</v>
      </c>
      <c r="V20" s="30">
        <f t="shared" si="4"/>
        <v>100</v>
      </c>
      <c r="W20" s="26">
        <v>140</v>
      </c>
      <c r="X20" s="295">
        <v>240</v>
      </c>
      <c r="Y20" s="295"/>
      <c r="Z20" s="1" t="s">
        <v>81</v>
      </c>
      <c r="AA20" s="10" t="s">
        <v>385</v>
      </c>
      <c r="AB20" s="10" t="s">
        <v>386</v>
      </c>
      <c r="AC20" s="10" t="s">
        <v>338</v>
      </c>
      <c r="AD20" s="10" t="s">
        <v>125</v>
      </c>
      <c r="AE20" s="45"/>
    </row>
    <row r="21" spans="1:31" ht="54" x14ac:dyDescent="0.2">
      <c r="A21" s="311"/>
      <c r="B21" s="2" t="s">
        <v>387</v>
      </c>
      <c r="C21" s="10" t="s">
        <v>388</v>
      </c>
      <c r="D21" s="1" t="s">
        <v>154</v>
      </c>
      <c r="E21" s="1" t="s">
        <v>7</v>
      </c>
      <c r="F21" s="43">
        <v>0</v>
      </c>
      <c r="G21" s="1" t="s">
        <v>46</v>
      </c>
      <c r="H21" s="1" t="s">
        <v>47</v>
      </c>
      <c r="I21" s="43">
        <v>0</v>
      </c>
      <c r="J21" s="43">
        <v>0</v>
      </c>
      <c r="K21" s="43">
        <v>0</v>
      </c>
      <c r="L21" s="43">
        <v>0</v>
      </c>
      <c r="M21" s="43">
        <v>0</v>
      </c>
      <c r="N21" s="43">
        <f t="shared" si="7"/>
        <v>0</v>
      </c>
      <c r="O21" s="43">
        <v>50</v>
      </c>
      <c r="P21" s="43">
        <v>0</v>
      </c>
      <c r="Q21" s="43">
        <v>0</v>
      </c>
      <c r="R21" s="43">
        <v>0</v>
      </c>
      <c r="S21" s="43">
        <v>0</v>
      </c>
      <c r="T21" s="43">
        <f t="shared" si="8"/>
        <v>50</v>
      </c>
      <c r="U21" s="43">
        <v>200</v>
      </c>
      <c r="V21" s="30">
        <f t="shared" si="4"/>
        <v>250</v>
      </c>
      <c r="W21" s="26">
        <v>350</v>
      </c>
      <c r="X21" s="295">
        <v>600</v>
      </c>
      <c r="Y21" s="295"/>
      <c r="Z21" s="1" t="s">
        <v>7</v>
      </c>
      <c r="AA21" s="10" t="s">
        <v>389</v>
      </c>
      <c r="AB21" s="10" t="s">
        <v>390</v>
      </c>
      <c r="AC21" s="10" t="s">
        <v>338</v>
      </c>
      <c r="AD21" s="10" t="s">
        <v>391</v>
      </c>
      <c r="AE21" s="45"/>
    </row>
    <row r="22" spans="1:31" ht="40.5" x14ac:dyDescent="0.2">
      <c r="A22" s="311"/>
      <c r="B22" s="2" t="s">
        <v>392</v>
      </c>
      <c r="C22" s="10" t="s">
        <v>393</v>
      </c>
      <c r="D22" s="1" t="s">
        <v>394</v>
      </c>
      <c r="E22" s="1" t="s">
        <v>69</v>
      </c>
      <c r="F22" s="43">
        <v>0</v>
      </c>
      <c r="G22" s="1" t="s">
        <v>152</v>
      </c>
      <c r="H22" s="1" t="s">
        <v>47</v>
      </c>
      <c r="I22" s="43">
        <v>0</v>
      </c>
      <c r="J22" s="43">
        <v>0</v>
      </c>
      <c r="K22" s="43">
        <v>0</v>
      </c>
      <c r="L22" s="43">
        <v>0</v>
      </c>
      <c r="M22" s="43">
        <v>0</v>
      </c>
      <c r="N22" s="43">
        <f t="shared" si="7"/>
        <v>0</v>
      </c>
      <c r="O22" s="43">
        <v>50</v>
      </c>
      <c r="P22" s="43">
        <v>0</v>
      </c>
      <c r="Q22" s="43">
        <v>0</v>
      </c>
      <c r="R22" s="43">
        <v>0</v>
      </c>
      <c r="S22" s="43">
        <v>0</v>
      </c>
      <c r="T22" s="43">
        <f t="shared" si="8"/>
        <v>50</v>
      </c>
      <c r="U22" s="43">
        <v>100</v>
      </c>
      <c r="V22" s="30">
        <f t="shared" si="4"/>
        <v>150</v>
      </c>
      <c r="W22" s="26">
        <v>330</v>
      </c>
      <c r="X22" s="295">
        <v>480</v>
      </c>
      <c r="Y22" s="295"/>
      <c r="Z22" s="1" t="s">
        <v>69</v>
      </c>
      <c r="AA22" s="10" t="s">
        <v>395</v>
      </c>
      <c r="AB22" s="10" t="s">
        <v>396</v>
      </c>
      <c r="AC22" s="10" t="s">
        <v>10</v>
      </c>
      <c r="AD22" s="10" t="s">
        <v>126</v>
      </c>
      <c r="AE22" s="45"/>
    </row>
    <row r="23" spans="1:31" ht="27" x14ac:dyDescent="0.2">
      <c r="A23" s="311"/>
      <c r="B23" s="2" t="s">
        <v>397</v>
      </c>
      <c r="C23" s="10" t="s">
        <v>398</v>
      </c>
      <c r="D23" s="1" t="s">
        <v>399</v>
      </c>
      <c r="E23" s="1" t="s">
        <v>69</v>
      </c>
      <c r="F23" s="43">
        <v>0</v>
      </c>
      <c r="G23" s="1" t="s">
        <v>46</v>
      </c>
      <c r="H23" s="1" t="s">
        <v>47</v>
      </c>
      <c r="I23" s="43">
        <v>0</v>
      </c>
      <c r="J23" s="43">
        <v>0</v>
      </c>
      <c r="K23" s="43">
        <v>0</v>
      </c>
      <c r="L23" s="43">
        <v>0</v>
      </c>
      <c r="M23" s="43">
        <v>0</v>
      </c>
      <c r="N23" s="43">
        <f t="shared" si="7"/>
        <v>0</v>
      </c>
      <c r="O23" s="43">
        <v>30</v>
      </c>
      <c r="P23" s="43">
        <v>0</v>
      </c>
      <c r="Q23" s="43">
        <v>0</v>
      </c>
      <c r="R23" s="43">
        <v>0</v>
      </c>
      <c r="S23" s="43">
        <v>0</v>
      </c>
      <c r="T23" s="43">
        <f t="shared" si="8"/>
        <v>30</v>
      </c>
      <c r="U23" s="43">
        <v>30</v>
      </c>
      <c r="V23" s="30">
        <f t="shared" si="4"/>
        <v>60</v>
      </c>
      <c r="W23" s="26">
        <v>60</v>
      </c>
      <c r="X23" s="295">
        <v>120</v>
      </c>
      <c r="Y23" s="295"/>
      <c r="Z23" s="1" t="s">
        <v>7</v>
      </c>
      <c r="AA23" s="10" t="s">
        <v>400</v>
      </c>
      <c r="AB23" s="10" t="s">
        <v>48</v>
      </c>
      <c r="AC23" s="10" t="s">
        <v>401</v>
      </c>
      <c r="AD23" s="10" t="s">
        <v>123</v>
      </c>
      <c r="AE23" s="45"/>
    </row>
    <row r="24" spans="1:31" ht="27" x14ac:dyDescent="0.2">
      <c r="A24" s="311"/>
      <c r="B24" s="2" t="s">
        <v>402</v>
      </c>
      <c r="C24" s="10" t="s">
        <v>403</v>
      </c>
      <c r="D24" s="1" t="s">
        <v>404</v>
      </c>
      <c r="E24" s="1" t="s">
        <v>7</v>
      </c>
      <c r="F24" s="43">
        <v>180</v>
      </c>
      <c r="G24" s="1" t="s">
        <v>46</v>
      </c>
      <c r="H24" s="1" t="s">
        <v>47</v>
      </c>
      <c r="I24" s="43">
        <f>SUM(87+3.5)</f>
        <v>90.5</v>
      </c>
      <c r="J24" s="43">
        <v>0</v>
      </c>
      <c r="K24" s="43">
        <v>0</v>
      </c>
      <c r="L24" s="43">
        <v>0</v>
      </c>
      <c r="M24" s="43">
        <v>236.61449999999999</v>
      </c>
      <c r="N24" s="43">
        <f t="shared" si="7"/>
        <v>327.11450000000002</v>
      </c>
      <c r="O24" s="43">
        <v>87</v>
      </c>
      <c r="P24" s="43">
        <v>0</v>
      </c>
      <c r="Q24" s="43">
        <v>0</v>
      </c>
      <c r="R24" s="43">
        <v>0</v>
      </c>
      <c r="S24" s="43">
        <v>236.61</v>
      </c>
      <c r="T24" s="43">
        <f t="shared" si="8"/>
        <v>323.61</v>
      </c>
      <c r="U24" s="43">
        <v>323.61</v>
      </c>
      <c r="V24" s="30">
        <f t="shared" si="4"/>
        <v>974.33450000000005</v>
      </c>
      <c r="W24" s="26">
        <v>970.83</v>
      </c>
      <c r="X24" s="301">
        <v>2265.27</v>
      </c>
      <c r="Y24" s="301"/>
      <c r="Z24" s="1" t="s">
        <v>7</v>
      </c>
      <c r="AA24" s="10" t="s">
        <v>405</v>
      </c>
      <c r="AB24" s="10" t="s">
        <v>406</v>
      </c>
      <c r="AC24" s="10" t="s">
        <v>401</v>
      </c>
      <c r="AD24" s="10" t="s">
        <v>123</v>
      </c>
      <c r="AE24" s="45"/>
    </row>
    <row r="25" spans="1:31" x14ac:dyDescent="0.2">
      <c r="A25" s="311"/>
      <c r="B25" s="255" t="s">
        <v>407</v>
      </c>
      <c r="C25" s="256"/>
      <c r="D25" s="38" t="s">
        <v>408</v>
      </c>
      <c r="E25" s="38" t="s">
        <v>48</v>
      </c>
      <c r="F25" s="40">
        <f>SUM(F26:F30)</f>
        <v>2552.8690000000001</v>
      </c>
      <c r="G25" s="38" t="s">
        <v>48</v>
      </c>
      <c r="H25" s="38"/>
      <c r="I25" s="40">
        <f>SUM(I26:I30)</f>
        <v>54.616999999999997</v>
      </c>
      <c r="J25" s="40">
        <f t="shared" ref="J25:M25" si="9">SUM(J26:J30)</f>
        <v>1790.4359999999999</v>
      </c>
      <c r="K25" s="40">
        <f t="shared" si="9"/>
        <v>2398.8249999999998</v>
      </c>
      <c r="L25" s="40">
        <f t="shared" si="9"/>
        <v>0</v>
      </c>
      <c r="M25" s="40">
        <f t="shared" si="9"/>
        <v>36.75</v>
      </c>
      <c r="N25" s="40">
        <f>SUM(I25:M25)</f>
        <v>4280.6279999999997</v>
      </c>
      <c r="O25" s="40">
        <f>SUM(O26:O30)</f>
        <v>180</v>
      </c>
      <c r="P25" s="40">
        <f t="shared" ref="P25:S25" si="10">SUM(P26:P30)</f>
        <v>0</v>
      </c>
      <c r="Q25" s="40">
        <f t="shared" si="10"/>
        <v>208.25</v>
      </c>
      <c r="R25" s="40">
        <f t="shared" si="10"/>
        <v>0</v>
      </c>
      <c r="S25" s="40">
        <f t="shared" si="10"/>
        <v>36.75</v>
      </c>
      <c r="T25" s="40">
        <f>SUM(O25:S25)</f>
        <v>425</v>
      </c>
      <c r="U25" s="40">
        <f>SUM(U26:U30)</f>
        <v>360</v>
      </c>
      <c r="V25" s="41">
        <f t="shared" si="4"/>
        <v>5065.6279999999997</v>
      </c>
      <c r="W25" s="42">
        <f>SUM(W26:W30)</f>
        <v>398.995</v>
      </c>
      <c r="X25" s="252" t="s">
        <v>48</v>
      </c>
      <c r="Y25" s="253"/>
      <c r="Z25" s="39" t="s">
        <v>48</v>
      </c>
      <c r="AA25" s="39" t="s">
        <v>48</v>
      </c>
      <c r="AB25" s="39" t="s">
        <v>48</v>
      </c>
      <c r="AC25" s="39" t="s">
        <v>48</v>
      </c>
      <c r="AD25" s="39" t="s">
        <v>48</v>
      </c>
      <c r="AE25" s="46"/>
    </row>
    <row r="26" spans="1:31" ht="27" x14ac:dyDescent="0.2">
      <c r="A26" s="311"/>
      <c r="B26" s="2" t="s">
        <v>409</v>
      </c>
      <c r="C26" s="10" t="s">
        <v>410</v>
      </c>
      <c r="D26" s="1" t="s">
        <v>411</v>
      </c>
      <c r="E26" s="1" t="s">
        <v>69</v>
      </c>
      <c r="F26" s="43">
        <v>0</v>
      </c>
      <c r="G26" s="1" t="s">
        <v>46</v>
      </c>
      <c r="H26" s="1" t="s">
        <v>47</v>
      </c>
      <c r="I26" s="43">
        <v>0</v>
      </c>
      <c r="J26" s="43">
        <v>0</v>
      </c>
      <c r="K26" s="43">
        <v>0</v>
      </c>
      <c r="L26" s="43">
        <v>0</v>
      </c>
      <c r="M26" s="43">
        <v>0</v>
      </c>
      <c r="N26" s="43">
        <f>SUM(I26:M26)</f>
        <v>0</v>
      </c>
      <c r="O26" s="43">
        <v>80</v>
      </c>
      <c r="P26" s="43">
        <v>0</v>
      </c>
      <c r="Q26" s="43">
        <v>0</v>
      </c>
      <c r="R26" s="43">
        <v>0</v>
      </c>
      <c r="S26" s="43">
        <v>0</v>
      </c>
      <c r="T26" s="43">
        <f>SUM(O26:S26)</f>
        <v>80</v>
      </c>
      <c r="U26" s="43">
        <v>160</v>
      </c>
      <c r="V26" s="30">
        <f t="shared" si="4"/>
        <v>240</v>
      </c>
      <c r="W26" s="26" t="s">
        <v>48</v>
      </c>
      <c r="X26" s="295">
        <v>240</v>
      </c>
      <c r="Y26" s="295"/>
      <c r="Z26" s="1" t="s">
        <v>7</v>
      </c>
      <c r="AA26" s="10" t="s">
        <v>412</v>
      </c>
      <c r="AB26" s="10" t="s">
        <v>413</v>
      </c>
      <c r="AC26" s="10" t="s">
        <v>401</v>
      </c>
      <c r="AD26" s="10" t="s">
        <v>123</v>
      </c>
      <c r="AE26" s="47"/>
    </row>
    <row r="27" spans="1:31" ht="229.5" x14ac:dyDescent="0.2">
      <c r="A27" s="311"/>
      <c r="B27" s="2" t="s">
        <v>414</v>
      </c>
      <c r="C27" s="10" t="s">
        <v>12</v>
      </c>
      <c r="D27" s="1" t="s">
        <v>411</v>
      </c>
      <c r="E27" s="1" t="s">
        <v>7</v>
      </c>
      <c r="F27" s="43">
        <v>2552.8690000000001</v>
      </c>
      <c r="G27" s="1" t="s">
        <v>46</v>
      </c>
      <c r="H27" s="1" t="s">
        <v>47</v>
      </c>
      <c r="I27" s="43">
        <f>6.005+3.407</f>
        <v>9.411999999999999</v>
      </c>
      <c r="J27" s="43">
        <v>1790.4359999999999</v>
      </c>
      <c r="K27" s="43">
        <v>2190.5749999999998</v>
      </c>
      <c r="L27" s="43">
        <v>0</v>
      </c>
      <c r="M27" s="43">
        <v>0</v>
      </c>
      <c r="N27" s="43">
        <f t="shared" ref="N27:N30" si="11">SUM(I27:M27)</f>
        <v>3990.4229999999998</v>
      </c>
      <c r="O27" s="43">
        <v>0</v>
      </c>
      <c r="P27" s="43">
        <v>0</v>
      </c>
      <c r="Q27" s="43">
        <v>0</v>
      </c>
      <c r="R27" s="43">
        <v>0</v>
      </c>
      <c r="S27" s="43">
        <v>0</v>
      </c>
      <c r="T27" s="43">
        <f t="shared" ref="T27:T30" si="12">SUM(O27:S27)</f>
        <v>0</v>
      </c>
      <c r="U27" s="43">
        <v>0</v>
      </c>
      <c r="V27" s="30">
        <f>N27+T27+U27</f>
        <v>3990.4229999999998</v>
      </c>
      <c r="W27" s="26" t="s">
        <v>48</v>
      </c>
      <c r="X27" s="295">
        <v>5205.5537700000004</v>
      </c>
      <c r="Y27" s="295"/>
      <c r="Z27" s="1" t="s">
        <v>7</v>
      </c>
      <c r="AA27" s="10" t="s">
        <v>415</v>
      </c>
      <c r="AB27" s="10" t="s">
        <v>416</v>
      </c>
      <c r="AC27" s="10" t="s">
        <v>10</v>
      </c>
      <c r="AD27" s="10" t="s">
        <v>417</v>
      </c>
      <c r="AE27" s="47"/>
    </row>
    <row r="28" spans="1:31" ht="81" x14ac:dyDescent="0.2">
      <c r="A28" s="311"/>
      <c r="B28" s="2" t="s">
        <v>418</v>
      </c>
      <c r="C28" s="10" t="s">
        <v>419</v>
      </c>
      <c r="D28" s="1" t="s">
        <v>420</v>
      </c>
      <c r="E28" s="1" t="s">
        <v>7</v>
      </c>
      <c r="F28" s="43" t="s">
        <v>48</v>
      </c>
      <c r="G28" s="1" t="s">
        <v>46</v>
      </c>
      <c r="H28" s="1" t="s">
        <v>47</v>
      </c>
      <c r="I28" s="43">
        <f>SUM(20.4+0.605)</f>
        <v>21.004999999999999</v>
      </c>
      <c r="J28" s="43">
        <v>0</v>
      </c>
      <c r="K28" s="43">
        <v>0</v>
      </c>
      <c r="L28" s="43">
        <v>0</v>
      </c>
      <c r="M28" s="43">
        <v>0</v>
      </c>
      <c r="N28" s="43">
        <f t="shared" si="11"/>
        <v>21.004999999999999</v>
      </c>
      <c r="O28" s="43">
        <v>100</v>
      </c>
      <c r="P28" s="43">
        <v>0</v>
      </c>
      <c r="Q28" s="43">
        <v>0</v>
      </c>
      <c r="R28" s="43">
        <v>0</v>
      </c>
      <c r="S28" s="43">
        <v>0</v>
      </c>
      <c r="T28" s="43">
        <f t="shared" si="12"/>
        <v>100</v>
      </c>
      <c r="U28" s="43">
        <v>200</v>
      </c>
      <c r="V28" s="30">
        <f t="shared" si="4"/>
        <v>321.005</v>
      </c>
      <c r="W28" s="26">
        <v>398.995</v>
      </c>
      <c r="X28" s="295">
        <v>720</v>
      </c>
      <c r="Y28" s="295"/>
      <c r="Z28" s="1" t="s">
        <v>69</v>
      </c>
      <c r="AA28" s="10" t="s">
        <v>421</v>
      </c>
      <c r="AB28" s="44" t="s">
        <v>48</v>
      </c>
      <c r="AC28" s="10" t="s">
        <v>155</v>
      </c>
      <c r="AD28" s="10" t="s">
        <v>422</v>
      </c>
      <c r="AE28" s="47"/>
    </row>
    <row r="29" spans="1:31" ht="81" x14ac:dyDescent="0.2">
      <c r="A29" s="311"/>
      <c r="B29" s="2" t="s">
        <v>423</v>
      </c>
      <c r="C29" s="10" t="s">
        <v>424</v>
      </c>
      <c r="D29" s="1" t="s">
        <v>425</v>
      </c>
      <c r="E29" s="1" t="s">
        <v>7</v>
      </c>
      <c r="F29" s="43">
        <v>0</v>
      </c>
      <c r="G29" s="1" t="s">
        <v>152</v>
      </c>
      <c r="H29" s="1" t="s">
        <v>47</v>
      </c>
      <c r="I29" s="43">
        <v>0</v>
      </c>
      <c r="J29" s="43">
        <v>0</v>
      </c>
      <c r="K29" s="43">
        <v>208.25</v>
      </c>
      <c r="L29" s="43">
        <v>0</v>
      </c>
      <c r="M29" s="43">
        <v>36.75</v>
      </c>
      <c r="N29" s="43">
        <f t="shared" si="11"/>
        <v>245</v>
      </c>
      <c r="O29" s="43">
        <v>0</v>
      </c>
      <c r="P29" s="43">
        <v>0</v>
      </c>
      <c r="Q29" s="43">
        <v>208.25</v>
      </c>
      <c r="R29" s="43">
        <v>0</v>
      </c>
      <c r="S29" s="43">
        <v>36.75</v>
      </c>
      <c r="T29" s="43">
        <f t="shared" si="12"/>
        <v>245</v>
      </c>
      <c r="U29" s="43">
        <v>0</v>
      </c>
      <c r="V29" s="30">
        <f t="shared" si="4"/>
        <v>490</v>
      </c>
      <c r="W29" s="26">
        <v>0</v>
      </c>
      <c r="X29" s="295">
        <v>490</v>
      </c>
      <c r="Y29" s="295"/>
      <c r="Z29" s="1" t="s">
        <v>7</v>
      </c>
      <c r="AA29" s="10" t="s">
        <v>426</v>
      </c>
      <c r="AB29" s="10" t="s">
        <v>427</v>
      </c>
      <c r="AC29" s="10" t="s">
        <v>140</v>
      </c>
      <c r="AD29" s="10" t="s">
        <v>127</v>
      </c>
      <c r="AE29" s="47"/>
    </row>
    <row r="30" spans="1:31" ht="40.5" x14ac:dyDescent="0.2">
      <c r="A30" s="311"/>
      <c r="B30" s="2" t="s">
        <v>428</v>
      </c>
      <c r="C30" s="10" t="s">
        <v>429</v>
      </c>
      <c r="D30" s="1" t="s">
        <v>430</v>
      </c>
      <c r="E30" s="1" t="s">
        <v>7</v>
      </c>
      <c r="F30" s="43">
        <v>0</v>
      </c>
      <c r="G30" s="1" t="s">
        <v>46</v>
      </c>
      <c r="H30" s="1" t="s">
        <v>47</v>
      </c>
      <c r="I30" s="43">
        <v>24.2</v>
      </c>
      <c r="J30" s="43">
        <v>0</v>
      </c>
      <c r="K30" s="43">
        <v>0</v>
      </c>
      <c r="L30" s="43">
        <v>0</v>
      </c>
      <c r="M30" s="43">
        <v>0</v>
      </c>
      <c r="N30" s="43">
        <f t="shared" si="11"/>
        <v>24.2</v>
      </c>
      <c r="O30" s="43">
        <v>0</v>
      </c>
      <c r="P30" s="43">
        <v>0</v>
      </c>
      <c r="Q30" s="43">
        <v>0</v>
      </c>
      <c r="R30" s="43">
        <v>0</v>
      </c>
      <c r="S30" s="43">
        <v>0</v>
      </c>
      <c r="T30" s="43">
        <f t="shared" si="12"/>
        <v>0</v>
      </c>
      <c r="U30" s="43">
        <v>0</v>
      </c>
      <c r="V30" s="30">
        <f t="shared" si="4"/>
        <v>24.2</v>
      </c>
      <c r="W30" s="26">
        <v>0</v>
      </c>
      <c r="X30" s="301" t="s">
        <v>431</v>
      </c>
      <c r="Y30" s="301"/>
      <c r="Z30" s="1" t="s">
        <v>69</v>
      </c>
      <c r="AA30" s="10" t="s">
        <v>432</v>
      </c>
      <c r="AB30" s="44" t="s">
        <v>48</v>
      </c>
      <c r="AC30" s="10" t="s">
        <v>433</v>
      </c>
      <c r="AD30" s="44" t="s">
        <v>48</v>
      </c>
      <c r="AE30" s="47"/>
    </row>
    <row r="31" spans="1:31" x14ac:dyDescent="0.2">
      <c r="A31" s="311"/>
      <c r="B31" s="255" t="s">
        <v>434</v>
      </c>
      <c r="C31" s="256"/>
      <c r="D31" s="38" t="s">
        <v>435</v>
      </c>
      <c r="E31" s="39" t="s">
        <v>48</v>
      </c>
      <c r="F31" s="40">
        <f>SUM(F32:F47)</f>
        <v>83919.98345</v>
      </c>
      <c r="G31" s="38"/>
      <c r="H31" s="38"/>
      <c r="I31" s="40">
        <f>SUM(I32:I47)</f>
        <v>0</v>
      </c>
      <c r="J31" s="40">
        <f t="shared" ref="J31:M31" si="13">SUM(J32:J47)</f>
        <v>0</v>
      </c>
      <c r="K31" s="40">
        <f t="shared" si="13"/>
        <v>6503.92</v>
      </c>
      <c r="L31" s="40">
        <f t="shared" si="13"/>
        <v>0</v>
      </c>
      <c r="M31" s="40">
        <f t="shared" si="13"/>
        <v>7896.4879999999994</v>
      </c>
      <c r="N31" s="40">
        <f>SUM(I31:M31)</f>
        <v>14400.407999999999</v>
      </c>
      <c r="O31" s="40">
        <f>SUM(O32:O47)</f>
        <v>0</v>
      </c>
      <c r="P31" s="40">
        <f t="shared" ref="P31:S31" si="14">SUM(P32:P47)</f>
        <v>0</v>
      </c>
      <c r="Q31" s="40">
        <f t="shared" si="14"/>
        <v>5573.7</v>
      </c>
      <c r="R31" s="40">
        <f t="shared" si="14"/>
        <v>0</v>
      </c>
      <c r="S31" s="40">
        <f t="shared" si="14"/>
        <v>2592.75</v>
      </c>
      <c r="T31" s="40">
        <f>SUM(O31:S31)</f>
        <v>8166.45</v>
      </c>
      <c r="U31" s="40">
        <f>SUM(U32:U47)</f>
        <v>17921.5</v>
      </c>
      <c r="V31" s="41">
        <f t="shared" si="4"/>
        <v>40488.358</v>
      </c>
      <c r="W31" s="42">
        <f>SUM(W32:W47)</f>
        <v>7650.05</v>
      </c>
      <c r="X31" s="252" t="s">
        <v>48</v>
      </c>
      <c r="Y31" s="253"/>
      <c r="Z31" s="39" t="s">
        <v>48</v>
      </c>
      <c r="AA31" s="39" t="s">
        <v>48</v>
      </c>
      <c r="AB31" s="39" t="s">
        <v>48</v>
      </c>
      <c r="AC31" s="39" t="s">
        <v>48</v>
      </c>
      <c r="AD31" s="39" t="s">
        <v>48</v>
      </c>
      <c r="AE31" s="46"/>
    </row>
    <row r="32" spans="1:31" ht="54" x14ac:dyDescent="0.2">
      <c r="A32" s="311"/>
      <c r="B32" s="2" t="s">
        <v>436</v>
      </c>
      <c r="C32" s="10" t="s">
        <v>437</v>
      </c>
      <c r="D32" s="1" t="s">
        <v>53</v>
      </c>
      <c r="E32" s="1" t="s">
        <v>7</v>
      </c>
      <c r="F32" s="43">
        <f>SUM(87.208+23.77+25.75+28.788+8.5)</f>
        <v>174.01600000000002</v>
      </c>
      <c r="G32" s="1" t="s">
        <v>46</v>
      </c>
      <c r="H32" s="1" t="s">
        <v>47</v>
      </c>
      <c r="I32" s="43">
        <v>0</v>
      </c>
      <c r="J32" s="43">
        <v>0</v>
      </c>
      <c r="K32" s="43">
        <v>0</v>
      </c>
      <c r="L32" s="43">
        <v>0</v>
      </c>
      <c r="M32" s="43">
        <f>57+6+473.62+271.212+40</f>
        <v>847.83199999999999</v>
      </c>
      <c r="N32" s="43">
        <f>SUM(I32:M32)</f>
        <v>847.83199999999999</v>
      </c>
      <c r="O32" s="43">
        <v>0</v>
      </c>
      <c r="P32" s="43">
        <v>0</v>
      </c>
      <c r="Q32" s="43">
        <v>0</v>
      </c>
      <c r="R32" s="43">
        <v>0</v>
      </c>
      <c r="S32" s="43">
        <f>6+50</f>
        <v>56</v>
      </c>
      <c r="T32" s="43">
        <f>SUM(O32:S32)</f>
        <v>56</v>
      </c>
      <c r="U32" s="43">
        <f>6+250</f>
        <v>256</v>
      </c>
      <c r="V32" s="30">
        <f t="shared" si="4"/>
        <v>1159.8319999999999</v>
      </c>
      <c r="W32" s="26" t="s">
        <v>48</v>
      </c>
      <c r="X32" s="295">
        <v>1333.85</v>
      </c>
      <c r="Y32" s="295"/>
      <c r="Z32" s="1" t="s">
        <v>69</v>
      </c>
      <c r="AA32" s="10" t="s">
        <v>438</v>
      </c>
      <c r="AB32" s="10" t="s">
        <v>439</v>
      </c>
      <c r="AC32" s="10" t="s">
        <v>440</v>
      </c>
      <c r="AD32" s="10" t="s">
        <v>124</v>
      </c>
      <c r="AE32" s="47"/>
    </row>
    <row r="33" spans="1:31" ht="27" x14ac:dyDescent="0.2">
      <c r="A33" s="311"/>
      <c r="B33" s="2" t="s">
        <v>441</v>
      </c>
      <c r="C33" s="10" t="s">
        <v>442</v>
      </c>
      <c r="D33" s="1" t="s">
        <v>53</v>
      </c>
      <c r="E33" s="1" t="s">
        <v>7</v>
      </c>
      <c r="F33" s="43">
        <v>280.31004000000001</v>
      </c>
      <c r="G33" s="1" t="s">
        <v>46</v>
      </c>
      <c r="H33" s="1" t="s">
        <v>47</v>
      </c>
      <c r="I33" s="43">
        <v>0</v>
      </c>
      <c r="J33" s="43">
        <v>0</v>
      </c>
      <c r="K33" s="43">
        <v>0</v>
      </c>
      <c r="L33" s="43">
        <v>0</v>
      </c>
      <c r="M33" s="43">
        <v>605</v>
      </c>
      <c r="N33" s="43">
        <f t="shared" ref="N33:N46" si="15">SUM(I33:M33)</f>
        <v>605</v>
      </c>
      <c r="O33" s="43">
        <v>0</v>
      </c>
      <c r="P33" s="43">
        <v>0</v>
      </c>
      <c r="Q33" s="43">
        <v>0</v>
      </c>
      <c r="R33" s="43">
        <v>0</v>
      </c>
      <c r="S33" s="43">
        <v>160</v>
      </c>
      <c r="T33" s="43">
        <f t="shared" ref="T33:T46" si="16">SUM(O33:S33)</f>
        <v>160</v>
      </c>
      <c r="U33" s="43">
        <v>365</v>
      </c>
      <c r="V33" s="30">
        <f t="shared" si="4"/>
        <v>1130</v>
      </c>
      <c r="W33" s="26" t="s">
        <v>48</v>
      </c>
      <c r="X33" s="295">
        <v>1410.31</v>
      </c>
      <c r="Y33" s="295"/>
      <c r="Z33" s="1" t="s">
        <v>69</v>
      </c>
      <c r="AA33" s="10" t="s">
        <v>443</v>
      </c>
      <c r="AB33" s="10" t="s">
        <v>444</v>
      </c>
      <c r="AC33" s="10" t="s">
        <v>440</v>
      </c>
      <c r="AD33" s="10" t="s">
        <v>124</v>
      </c>
      <c r="AE33" s="47"/>
    </row>
    <row r="34" spans="1:31" ht="54" x14ac:dyDescent="0.2">
      <c r="A34" s="311"/>
      <c r="B34" s="2" t="s">
        <v>445</v>
      </c>
      <c r="C34" s="10" t="s">
        <v>13</v>
      </c>
      <c r="D34" s="1" t="s">
        <v>53</v>
      </c>
      <c r="E34" s="1" t="s">
        <v>69</v>
      </c>
      <c r="F34" s="43">
        <v>0</v>
      </c>
      <c r="G34" s="1" t="s">
        <v>446</v>
      </c>
      <c r="H34" s="1" t="s">
        <v>47</v>
      </c>
      <c r="I34" s="43">
        <v>0</v>
      </c>
      <c r="J34" s="43">
        <v>0</v>
      </c>
      <c r="K34" s="43">
        <v>0</v>
      </c>
      <c r="L34" s="43">
        <v>0</v>
      </c>
      <c r="M34" s="43">
        <v>0</v>
      </c>
      <c r="N34" s="43">
        <f t="shared" si="15"/>
        <v>0</v>
      </c>
      <c r="O34" s="43">
        <v>0</v>
      </c>
      <c r="P34" s="43">
        <v>0</v>
      </c>
      <c r="Q34" s="43">
        <v>0</v>
      </c>
      <c r="R34" s="43">
        <v>0</v>
      </c>
      <c r="S34" s="43">
        <v>100</v>
      </c>
      <c r="T34" s="43">
        <f t="shared" si="16"/>
        <v>100</v>
      </c>
      <c r="U34" s="43">
        <v>6000</v>
      </c>
      <c r="V34" s="30">
        <f t="shared" si="4"/>
        <v>6100</v>
      </c>
      <c r="W34" s="26">
        <v>0</v>
      </c>
      <c r="X34" s="295">
        <v>6100000</v>
      </c>
      <c r="Y34" s="295"/>
      <c r="Z34" s="1" t="s">
        <v>7</v>
      </c>
      <c r="AA34" s="10" t="s">
        <v>447</v>
      </c>
      <c r="AB34" s="10" t="s">
        <v>448</v>
      </c>
      <c r="AC34" s="10" t="s">
        <v>440</v>
      </c>
      <c r="AD34" s="10" t="s">
        <v>124</v>
      </c>
      <c r="AE34" s="47"/>
    </row>
    <row r="35" spans="1:31" ht="121.5" x14ac:dyDescent="0.2">
      <c r="A35" s="311"/>
      <c r="B35" s="2" t="s">
        <v>449</v>
      </c>
      <c r="C35" s="10" t="s">
        <v>450</v>
      </c>
      <c r="D35" s="1" t="s">
        <v>53</v>
      </c>
      <c r="E35" s="1" t="s">
        <v>7</v>
      </c>
      <c r="F35" s="43">
        <f>SUM(1221.217)</f>
        <v>1221.2170000000001</v>
      </c>
      <c r="G35" s="1" t="s">
        <v>152</v>
      </c>
      <c r="H35" s="1" t="s">
        <v>47</v>
      </c>
      <c r="I35" s="43">
        <v>0</v>
      </c>
      <c r="J35" s="43">
        <v>0</v>
      </c>
      <c r="K35" s="43">
        <v>914.64</v>
      </c>
      <c r="L35" s="43">
        <v>0</v>
      </c>
      <c r="M35" s="43">
        <v>3879.5659999999998</v>
      </c>
      <c r="N35" s="43">
        <f t="shared" si="15"/>
        <v>4794.2060000000001</v>
      </c>
      <c r="O35" s="43">
        <v>0</v>
      </c>
      <c r="P35" s="43">
        <v>0</v>
      </c>
      <c r="Q35" s="43">
        <v>0</v>
      </c>
      <c r="R35" s="43">
        <v>0</v>
      </c>
      <c r="S35" s="43">
        <v>0</v>
      </c>
      <c r="T35" s="43">
        <f t="shared" si="16"/>
        <v>0</v>
      </c>
      <c r="U35" s="43">
        <v>0</v>
      </c>
      <c r="V35" s="30">
        <v>0</v>
      </c>
      <c r="W35" s="26" t="s">
        <v>48</v>
      </c>
      <c r="X35" s="295">
        <v>6015.4229999999998</v>
      </c>
      <c r="Y35" s="295"/>
      <c r="Z35" s="1" t="s">
        <v>7</v>
      </c>
      <c r="AA35" s="10" t="s">
        <v>451</v>
      </c>
      <c r="AB35" s="10" t="s">
        <v>452</v>
      </c>
      <c r="AC35" s="10" t="s">
        <v>440</v>
      </c>
      <c r="AD35" s="10" t="s">
        <v>129</v>
      </c>
      <c r="AE35" s="47"/>
    </row>
    <row r="36" spans="1:31" ht="81" x14ac:dyDescent="0.2">
      <c r="A36" s="311"/>
      <c r="B36" s="2" t="s">
        <v>453</v>
      </c>
      <c r="C36" s="10" t="s">
        <v>454</v>
      </c>
      <c r="D36" s="1" t="s">
        <v>53</v>
      </c>
      <c r="E36" s="1" t="s">
        <v>7</v>
      </c>
      <c r="F36" s="43" t="s">
        <v>48</v>
      </c>
      <c r="G36" s="1" t="s">
        <v>446</v>
      </c>
      <c r="H36" s="1" t="s">
        <v>47</v>
      </c>
      <c r="I36" s="43">
        <v>0</v>
      </c>
      <c r="J36" s="43">
        <v>0</v>
      </c>
      <c r="K36" s="43">
        <v>0</v>
      </c>
      <c r="L36" s="43">
        <v>0</v>
      </c>
      <c r="M36" s="43">
        <v>90</v>
      </c>
      <c r="N36" s="43">
        <f t="shared" si="15"/>
        <v>90</v>
      </c>
      <c r="O36" s="43">
        <v>0</v>
      </c>
      <c r="P36" s="43">
        <v>0</v>
      </c>
      <c r="Q36" s="43">
        <v>0</v>
      </c>
      <c r="R36" s="43">
        <v>0</v>
      </c>
      <c r="S36" s="43">
        <v>30</v>
      </c>
      <c r="T36" s="43">
        <f t="shared" si="16"/>
        <v>30</v>
      </c>
      <c r="U36" s="43">
        <v>30</v>
      </c>
      <c r="V36" s="30">
        <f t="shared" si="4"/>
        <v>150</v>
      </c>
      <c r="W36" s="26" t="s">
        <v>48</v>
      </c>
      <c r="X36" s="295">
        <v>150</v>
      </c>
      <c r="Y36" s="295"/>
      <c r="Z36" s="1" t="s">
        <v>69</v>
      </c>
      <c r="AA36" s="10" t="s">
        <v>455</v>
      </c>
      <c r="AB36" s="10" t="s">
        <v>456</v>
      </c>
      <c r="AC36" s="10" t="s">
        <v>440</v>
      </c>
      <c r="AD36" s="10" t="s">
        <v>124</v>
      </c>
      <c r="AE36" s="47"/>
    </row>
    <row r="37" spans="1:31" ht="297" x14ac:dyDescent="0.2">
      <c r="A37" s="311"/>
      <c r="B37" s="2" t="s">
        <v>457</v>
      </c>
      <c r="C37" s="10" t="s">
        <v>458</v>
      </c>
      <c r="D37" s="1" t="s">
        <v>53</v>
      </c>
      <c r="E37" s="1" t="s">
        <v>7</v>
      </c>
      <c r="F37" s="43">
        <v>5</v>
      </c>
      <c r="G37" s="1" t="s">
        <v>46</v>
      </c>
      <c r="H37" s="1" t="s">
        <v>47</v>
      </c>
      <c r="I37" s="43">
        <v>0</v>
      </c>
      <c r="J37" s="43">
        <v>0</v>
      </c>
      <c r="K37" s="43">
        <v>0</v>
      </c>
      <c r="L37" s="43">
        <v>0</v>
      </c>
      <c r="M37" s="43">
        <f>50+20+25+30+5+9+37.5</f>
        <v>176.5</v>
      </c>
      <c r="N37" s="43">
        <f t="shared" si="15"/>
        <v>176.5</v>
      </c>
      <c r="O37" s="43">
        <v>0</v>
      </c>
      <c r="P37" s="43">
        <v>0</v>
      </c>
      <c r="Q37" s="43">
        <v>0</v>
      </c>
      <c r="R37" s="43">
        <v>0</v>
      </c>
      <c r="S37" s="43">
        <f>50+20+10+20+2.5+3</f>
        <v>105.5</v>
      </c>
      <c r="T37" s="43">
        <f t="shared" si="16"/>
        <v>105.5</v>
      </c>
      <c r="U37" s="43">
        <f>50+20+10+2.5+30+3+40</f>
        <v>155.5</v>
      </c>
      <c r="V37" s="30">
        <f>N37+T37+U37</f>
        <v>437.5</v>
      </c>
      <c r="W37" s="26" t="s">
        <v>48</v>
      </c>
      <c r="X37" s="295">
        <v>437.505</v>
      </c>
      <c r="Y37" s="295"/>
      <c r="Z37" s="1" t="s">
        <v>69</v>
      </c>
      <c r="AA37" s="10" t="s">
        <v>459</v>
      </c>
      <c r="AB37" s="10" t="s">
        <v>460</v>
      </c>
      <c r="AC37" s="10" t="s">
        <v>440</v>
      </c>
      <c r="AD37" s="10" t="s">
        <v>124</v>
      </c>
      <c r="AE37" s="47"/>
    </row>
    <row r="38" spans="1:31" ht="108" x14ac:dyDescent="0.2">
      <c r="A38" s="311"/>
      <c r="B38" s="2" t="s">
        <v>461</v>
      </c>
      <c r="C38" s="10" t="s">
        <v>462</v>
      </c>
      <c r="D38" s="1" t="s">
        <v>463</v>
      </c>
      <c r="E38" s="1" t="s">
        <v>7</v>
      </c>
      <c r="F38" s="43">
        <v>72582.240000000005</v>
      </c>
      <c r="G38" s="1" t="s">
        <v>46</v>
      </c>
      <c r="H38" s="1" t="s">
        <v>47</v>
      </c>
      <c r="I38" s="43">
        <v>0</v>
      </c>
      <c r="J38" s="43">
        <v>0</v>
      </c>
      <c r="K38" s="43">
        <v>404.85</v>
      </c>
      <c r="L38" s="43">
        <v>0</v>
      </c>
      <c r="M38" s="43">
        <v>174.89</v>
      </c>
      <c r="N38" s="43">
        <f t="shared" si="15"/>
        <v>579.74</v>
      </c>
      <c r="O38" s="43">
        <v>0</v>
      </c>
      <c r="P38" s="43">
        <v>0</v>
      </c>
      <c r="Q38" s="43">
        <v>0</v>
      </c>
      <c r="R38" s="43">
        <v>0</v>
      </c>
      <c r="S38" s="43">
        <v>0</v>
      </c>
      <c r="T38" s="43">
        <f t="shared" si="16"/>
        <v>0</v>
      </c>
      <c r="U38" s="43">
        <v>0</v>
      </c>
      <c r="V38" s="30">
        <f t="shared" si="4"/>
        <v>579.74</v>
      </c>
      <c r="W38" s="26" t="s">
        <v>48</v>
      </c>
      <c r="X38" s="209">
        <v>73162</v>
      </c>
      <c r="Y38" s="210"/>
      <c r="Z38" s="1" t="s">
        <v>7</v>
      </c>
      <c r="AA38" s="10" t="s">
        <v>464</v>
      </c>
      <c r="AB38" s="10" t="s">
        <v>465</v>
      </c>
      <c r="AC38" s="10" t="s">
        <v>140</v>
      </c>
      <c r="AD38" s="10" t="s">
        <v>124</v>
      </c>
      <c r="AE38" s="47"/>
    </row>
    <row r="39" spans="1:31" ht="175.5" x14ac:dyDescent="0.2">
      <c r="A39" s="311"/>
      <c r="B39" s="2" t="s">
        <v>466</v>
      </c>
      <c r="C39" s="10" t="s">
        <v>467</v>
      </c>
      <c r="D39" s="1" t="s">
        <v>463</v>
      </c>
      <c r="E39" s="1" t="s">
        <v>7</v>
      </c>
      <c r="F39" s="43">
        <v>4130</v>
      </c>
      <c r="G39" s="1" t="s">
        <v>152</v>
      </c>
      <c r="H39" s="1" t="s">
        <v>47</v>
      </c>
      <c r="I39" s="43">
        <v>0</v>
      </c>
      <c r="J39" s="43">
        <v>0</v>
      </c>
      <c r="K39" s="43">
        <v>0</v>
      </c>
      <c r="L39" s="43">
        <v>0</v>
      </c>
      <c r="M39" s="43">
        <v>590</v>
      </c>
      <c r="N39" s="43">
        <f t="shared" si="15"/>
        <v>590</v>
      </c>
      <c r="O39" s="43">
        <v>0</v>
      </c>
      <c r="P39" s="43">
        <v>0</v>
      </c>
      <c r="Q39" s="43">
        <v>0</v>
      </c>
      <c r="R39" s="43">
        <v>0</v>
      </c>
      <c r="S39" s="43">
        <v>590</v>
      </c>
      <c r="T39" s="43">
        <f t="shared" si="16"/>
        <v>590</v>
      </c>
      <c r="U39" s="43">
        <v>590</v>
      </c>
      <c r="V39" s="30">
        <f t="shared" si="4"/>
        <v>1770</v>
      </c>
      <c r="W39" s="26" t="s">
        <v>48</v>
      </c>
      <c r="X39" s="295">
        <v>5900</v>
      </c>
      <c r="Y39" s="295"/>
      <c r="Z39" s="1" t="s">
        <v>69</v>
      </c>
      <c r="AA39" s="10" t="s">
        <v>468</v>
      </c>
      <c r="AB39" s="10" t="s">
        <v>48</v>
      </c>
      <c r="AC39" s="10" t="s">
        <v>140</v>
      </c>
      <c r="AD39" s="10" t="s">
        <v>124</v>
      </c>
      <c r="AE39" s="47"/>
    </row>
    <row r="40" spans="1:31" ht="54" x14ac:dyDescent="0.2">
      <c r="A40" s="311"/>
      <c r="B40" s="2" t="s">
        <v>469</v>
      </c>
      <c r="C40" s="10" t="s">
        <v>470</v>
      </c>
      <c r="D40" s="1" t="s">
        <v>463</v>
      </c>
      <c r="E40" s="1" t="s">
        <v>7</v>
      </c>
      <c r="F40" s="43" t="s">
        <v>48</v>
      </c>
      <c r="G40" s="1" t="s">
        <v>152</v>
      </c>
      <c r="H40" s="1" t="s">
        <v>47</v>
      </c>
      <c r="I40" s="43">
        <v>0</v>
      </c>
      <c r="J40" s="43">
        <v>0</v>
      </c>
      <c r="K40" s="43">
        <v>0</v>
      </c>
      <c r="L40" s="43">
        <v>0</v>
      </c>
      <c r="M40" s="43">
        <v>0</v>
      </c>
      <c r="N40" s="43">
        <f t="shared" si="15"/>
        <v>0</v>
      </c>
      <c r="O40" s="43">
        <v>0</v>
      </c>
      <c r="P40" s="43">
        <v>0</v>
      </c>
      <c r="Q40" s="43">
        <v>1912.5</v>
      </c>
      <c r="R40" s="43">
        <v>0</v>
      </c>
      <c r="S40" s="43">
        <v>587.5</v>
      </c>
      <c r="T40" s="43">
        <f t="shared" si="16"/>
        <v>2500</v>
      </c>
      <c r="U40" s="43">
        <v>2500</v>
      </c>
      <c r="V40" s="30">
        <f t="shared" si="4"/>
        <v>5000</v>
      </c>
      <c r="W40" s="26">
        <v>5000</v>
      </c>
      <c r="X40" s="295">
        <v>10000</v>
      </c>
      <c r="Y40" s="295"/>
      <c r="Z40" s="1" t="s">
        <v>7</v>
      </c>
      <c r="AA40" s="10" t="s">
        <v>471</v>
      </c>
      <c r="AB40" s="10" t="s">
        <v>472</v>
      </c>
      <c r="AC40" s="10" t="s">
        <v>140</v>
      </c>
      <c r="AD40" s="10" t="s">
        <v>124</v>
      </c>
      <c r="AE40" s="47"/>
    </row>
    <row r="41" spans="1:31" ht="67.5" x14ac:dyDescent="0.2">
      <c r="A41" s="311"/>
      <c r="B41" s="2" t="s">
        <v>473</v>
      </c>
      <c r="C41" s="10" t="s">
        <v>474</v>
      </c>
      <c r="D41" s="1" t="s">
        <v>156</v>
      </c>
      <c r="E41" s="1" t="s">
        <v>7</v>
      </c>
      <c r="F41" s="43">
        <v>650.20000000000005</v>
      </c>
      <c r="G41" s="1" t="s">
        <v>152</v>
      </c>
      <c r="H41" s="1" t="s">
        <v>47</v>
      </c>
      <c r="I41" s="43">
        <v>0</v>
      </c>
      <c r="J41" s="43">
        <v>0</v>
      </c>
      <c r="K41" s="43">
        <v>1189.43</v>
      </c>
      <c r="L41" s="43">
        <v>0</v>
      </c>
      <c r="M41" s="43">
        <v>327.7</v>
      </c>
      <c r="N41" s="43">
        <f t="shared" si="15"/>
        <v>1517.13</v>
      </c>
      <c r="O41" s="43">
        <v>0</v>
      </c>
      <c r="P41" s="43">
        <v>0</v>
      </c>
      <c r="Q41" s="43">
        <v>0</v>
      </c>
      <c r="R41" s="43">
        <v>0</v>
      </c>
      <c r="S41" s="43">
        <v>0</v>
      </c>
      <c r="T41" s="43">
        <f t="shared" si="16"/>
        <v>0</v>
      </c>
      <c r="U41" s="43">
        <v>0</v>
      </c>
      <c r="V41" s="30">
        <f t="shared" si="4"/>
        <v>1517.13</v>
      </c>
      <c r="W41" s="26" t="s">
        <v>48</v>
      </c>
      <c r="X41" s="295">
        <v>2167</v>
      </c>
      <c r="Y41" s="295"/>
      <c r="Z41" s="1" t="s">
        <v>7</v>
      </c>
      <c r="AA41" s="10" t="s">
        <v>475</v>
      </c>
      <c r="AB41" s="10" t="s">
        <v>476</v>
      </c>
      <c r="AC41" s="10" t="s">
        <v>140</v>
      </c>
      <c r="AD41" s="10" t="s">
        <v>124</v>
      </c>
      <c r="AE41" s="47"/>
    </row>
    <row r="42" spans="1:31" ht="67.5" x14ac:dyDescent="0.2">
      <c r="A42" s="311"/>
      <c r="B42" s="14" t="s">
        <v>477</v>
      </c>
      <c r="C42" s="10" t="s">
        <v>478</v>
      </c>
      <c r="D42" s="1" t="s">
        <v>156</v>
      </c>
      <c r="E42" s="1" t="s">
        <v>69</v>
      </c>
      <c r="F42" s="43" t="s">
        <v>48</v>
      </c>
      <c r="G42" s="1" t="s">
        <v>152</v>
      </c>
      <c r="H42" s="1" t="s">
        <v>47</v>
      </c>
      <c r="I42" s="43">
        <v>0</v>
      </c>
      <c r="J42" s="43">
        <v>0</v>
      </c>
      <c r="K42" s="43">
        <v>1700</v>
      </c>
      <c r="L42" s="43">
        <v>0</v>
      </c>
      <c r="M42" s="43">
        <v>300</v>
      </c>
      <c r="N42" s="43">
        <f t="shared" si="15"/>
        <v>2000</v>
      </c>
      <c r="O42" s="43">
        <v>0</v>
      </c>
      <c r="P42" s="43">
        <v>0</v>
      </c>
      <c r="Q42" s="43">
        <v>0</v>
      </c>
      <c r="R42" s="43">
        <v>0</v>
      </c>
      <c r="S42" s="43">
        <v>0</v>
      </c>
      <c r="T42" s="43">
        <f t="shared" si="16"/>
        <v>0</v>
      </c>
      <c r="U42" s="43">
        <v>0</v>
      </c>
      <c r="V42" s="30">
        <f t="shared" si="4"/>
        <v>2000</v>
      </c>
      <c r="W42" s="26" t="s">
        <v>48</v>
      </c>
      <c r="X42" s="295">
        <v>2000</v>
      </c>
      <c r="Y42" s="295"/>
      <c r="Z42" s="1" t="s">
        <v>7</v>
      </c>
      <c r="AA42" s="10" t="s">
        <v>479</v>
      </c>
      <c r="AB42" s="10" t="s">
        <v>480</v>
      </c>
      <c r="AC42" s="10" t="s">
        <v>140</v>
      </c>
      <c r="AD42" s="10" t="s">
        <v>124</v>
      </c>
      <c r="AE42" s="47"/>
    </row>
    <row r="43" spans="1:31" ht="148.5" x14ac:dyDescent="0.2">
      <c r="A43" s="311"/>
      <c r="B43" s="2" t="s">
        <v>481</v>
      </c>
      <c r="C43" s="10" t="s">
        <v>17</v>
      </c>
      <c r="D43" s="1" t="s">
        <v>156</v>
      </c>
      <c r="E43" s="1" t="s">
        <v>69</v>
      </c>
      <c r="F43" s="43" t="s">
        <v>48</v>
      </c>
      <c r="G43" s="1" t="s">
        <v>152</v>
      </c>
      <c r="H43" s="1" t="s">
        <v>47</v>
      </c>
      <c r="I43" s="43">
        <v>0</v>
      </c>
      <c r="J43" s="43">
        <v>0</v>
      </c>
      <c r="K43" s="43">
        <v>850</v>
      </c>
      <c r="L43" s="43">
        <v>0</v>
      </c>
      <c r="M43" s="43">
        <v>150</v>
      </c>
      <c r="N43" s="43">
        <f t="shared" si="15"/>
        <v>1000</v>
      </c>
      <c r="O43" s="43">
        <v>0</v>
      </c>
      <c r="P43" s="43">
        <v>0</v>
      </c>
      <c r="Q43" s="43">
        <v>850</v>
      </c>
      <c r="R43" s="43">
        <v>0</v>
      </c>
      <c r="S43" s="43">
        <v>150</v>
      </c>
      <c r="T43" s="43">
        <f t="shared" si="16"/>
        <v>1000</v>
      </c>
      <c r="U43" s="43">
        <v>0</v>
      </c>
      <c r="V43" s="30">
        <f t="shared" si="4"/>
        <v>2000</v>
      </c>
      <c r="W43" s="26" t="s">
        <v>48</v>
      </c>
      <c r="X43" s="295">
        <v>2000</v>
      </c>
      <c r="Y43" s="295"/>
      <c r="Z43" s="1" t="s">
        <v>7</v>
      </c>
      <c r="AA43" s="10" t="s">
        <v>482</v>
      </c>
      <c r="AB43" s="10" t="s">
        <v>480</v>
      </c>
      <c r="AC43" s="10" t="s">
        <v>140</v>
      </c>
      <c r="AD43" s="10" t="s">
        <v>124</v>
      </c>
      <c r="AE43" s="47"/>
    </row>
    <row r="44" spans="1:31" ht="67.5" x14ac:dyDescent="0.2">
      <c r="A44" s="311"/>
      <c r="B44" s="2" t="s">
        <v>483</v>
      </c>
      <c r="C44" s="10" t="s">
        <v>484</v>
      </c>
      <c r="D44" s="1" t="s">
        <v>156</v>
      </c>
      <c r="E44" s="1" t="s">
        <v>69</v>
      </c>
      <c r="F44" s="43">
        <v>0</v>
      </c>
      <c r="G44" s="1" t="s">
        <v>152</v>
      </c>
      <c r="H44" s="1" t="s">
        <v>47</v>
      </c>
      <c r="I44" s="43">
        <v>0</v>
      </c>
      <c r="J44" s="43">
        <v>0</v>
      </c>
      <c r="K44" s="43">
        <v>0</v>
      </c>
      <c r="L44" s="43">
        <v>0</v>
      </c>
      <c r="M44" s="43">
        <v>0</v>
      </c>
      <c r="N44" s="43">
        <f t="shared" si="15"/>
        <v>0</v>
      </c>
      <c r="O44" s="43">
        <v>0</v>
      </c>
      <c r="P44" s="43">
        <v>0</v>
      </c>
      <c r="Q44" s="43">
        <v>425</v>
      </c>
      <c r="R44" s="43">
        <v>0</v>
      </c>
      <c r="S44" s="43">
        <v>75</v>
      </c>
      <c r="T44" s="43">
        <f t="shared" si="16"/>
        <v>500</v>
      </c>
      <c r="U44" s="43">
        <v>1500</v>
      </c>
      <c r="V44" s="30">
        <f t="shared" si="4"/>
        <v>2000</v>
      </c>
      <c r="W44" s="26" t="s">
        <v>48</v>
      </c>
      <c r="X44" s="295">
        <v>2000</v>
      </c>
      <c r="Y44" s="295"/>
      <c r="Z44" s="1" t="s">
        <v>7</v>
      </c>
      <c r="AA44" s="10" t="s">
        <v>485</v>
      </c>
      <c r="AB44" s="10" t="s">
        <v>486</v>
      </c>
      <c r="AC44" s="10" t="s">
        <v>140</v>
      </c>
      <c r="AD44" s="10" t="s">
        <v>124</v>
      </c>
      <c r="AE44" s="47"/>
    </row>
    <row r="45" spans="1:31" ht="229.5" x14ac:dyDescent="0.2">
      <c r="A45" s="311"/>
      <c r="B45" s="2" t="s">
        <v>487</v>
      </c>
      <c r="C45" s="10" t="s">
        <v>488</v>
      </c>
      <c r="D45" s="1" t="s">
        <v>156</v>
      </c>
      <c r="E45" s="1" t="s">
        <v>7</v>
      </c>
      <c r="F45" s="43" t="s">
        <v>48</v>
      </c>
      <c r="G45" s="1" t="s">
        <v>152</v>
      </c>
      <c r="H45" s="1" t="s">
        <v>47</v>
      </c>
      <c r="I45" s="43">
        <v>0</v>
      </c>
      <c r="J45" s="43">
        <v>0</v>
      </c>
      <c r="K45" s="43">
        <v>1445</v>
      </c>
      <c r="L45" s="43">
        <v>0</v>
      </c>
      <c r="M45" s="43">
        <v>255</v>
      </c>
      <c r="N45" s="43">
        <f t="shared" si="15"/>
        <v>1700</v>
      </c>
      <c r="O45" s="43">
        <v>0</v>
      </c>
      <c r="P45" s="43">
        <v>0</v>
      </c>
      <c r="Q45" s="43">
        <v>1126.2</v>
      </c>
      <c r="R45" s="43">
        <v>0</v>
      </c>
      <c r="S45" s="43">
        <v>198.75</v>
      </c>
      <c r="T45" s="43">
        <f t="shared" si="16"/>
        <v>1324.95</v>
      </c>
      <c r="U45" s="43">
        <v>1325</v>
      </c>
      <c r="V45" s="30">
        <f t="shared" si="4"/>
        <v>4349.95</v>
      </c>
      <c r="W45" s="26">
        <f>X45-V45</f>
        <v>2650.05</v>
      </c>
      <c r="X45" s="295">
        <v>7000</v>
      </c>
      <c r="Y45" s="295"/>
      <c r="Z45" s="1" t="s">
        <v>7</v>
      </c>
      <c r="AA45" s="10" t="s">
        <v>489</v>
      </c>
      <c r="AB45" s="10" t="s">
        <v>490</v>
      </c>
      <c r="AC45" s="10" t="s">
        <v>140</v>
      </c>
      <c r="AD45" s="10" t="s">
        <v>124</v>
      </c>
      <c r="AE45" s="47"/>
    </row>
    <row r="46" spans="1:31" ht="54" x14ac:dyDescent="0.2">
      <c r="A46" s="311"/>
      <c r="B46" s="2" t="s">
        <v>491</v>
      </c>
      <c r="C46" s="10" t="s">
        <v>492</v>
      </c>
      <c r="D46" s="1" t="s">
        <v>156</v>
      </c>
      <c r="E46" s="1" t="s">
        <v>69</v>
      </c>
      <c r="F46" s="43">
        <v>0</v>
      </c>
      <c r="G46" s="1" t="s">
        <v>152</v>
      </c>
      <c r="H46" s="1" t="s">
        <v>47</v>
      </c>
      <c r="I46" s="43">
        <v>0</v>
      </c>
      <c r="J46" s="43">
        <v>0</v>
      </c>
      <c r="K46" s="43">
        <v>0</v>
      </c>
      <c r="L46" s="43">
        <v>0</v>
      </c>
      <c r="M46" s="43">
        <v>0</v>
      </c>
      <c r="N46" s="43">
        <f t="shared" si="15"/>
        <v>0</v>
      </c>
      <c r="O46" s="43">
        <v>0</v>
      </c>
      <c r="P46" s="43">
        <v>0</v>
      </c>
      <c r="Q46" s="43">
        <v>1260</v>
      </c>
      <c r="R46" s="43">
        <v>0</v>
      </c>
      <c r="S46" s="43">
        <v>540</v>
      </c>
      <c r="T46" s="43">
        <f t="shared" si="16"/>
        <v>1800</v>
      </c>
      <c r="U46" s="43">
        <v>5200</v>
      </c>
      <c r="V46" s="30">
        <f t="shared" si="4"/>
        <v>7000</v>
      </c>
      <c r="W46" s="26" t="s">
        <v>47</v>
      </c>
      <c r="X46" s="295">
        <v>7000</v>
      </c>
      <c r="Y46" s="295"/>
      <c r="Z46" s="1" t="s">
        <v>7</v>
      </c>
      <c r="AA46" s="10" t="s">
        <v>493</v>
      </c>
      <c r="AB46" s="10" t="s">
        <v>494</v>
      </c>
      <c r="AC46" s="10" t="s">
        <v>140</v>
      </c>
      <c r="AD46" s="10" t="s">
        <v>124</v>
      </c>
      <c r="AE46" s="47"/>
    </row>
    <row r="47" spans="1:31" ht="54" x14ac:dyDescent="0.2">
      <c r="A47" s="311"/>
      <c r="B47" s="2" t="s">
        <v>52</v>
      </c>
      <c r="C47" s="10" t="s">
        <v>495</v>
      </c>
      <c r="D47" s="1" t="s">
        <v>53</v>
      </c>
      <c r="E47" s="1" t="s">
        <v>7</v>
      </c>
      <c r="F47" s="43">
        <v>4877.0004100000006</v>
      </c>
      <c r="G47" s="1" t="s">
        <v>46</v>
      </c>
      <c r="H47" s="1" t="s">
        <v>65</v>
      </c>
      <c r="I47" s="43">
        <v>0</v>
      </c>
      <c r="J47" s="43">
        <v>0</v>
      </c>
      <c r="K47" s="43">
        <v>0</v>
      </c>
      <c r="L47" s="43">
        <v>0</v>
      </c>
      <c r="M47" s="43">
        <v>500</v>
      </c>
      <c r="N47" s="43">
        <f t="shared" ref="N47" si="17">SUM(I47:M47)</f>
        <v>500</v>
      </c>
      <c r="O47" s="43">
        <v>0</v>
      </c>
      <c r="P47" s="43">
        <v>0</v>
      </c>
      <c r="Q47" s="43">
        <v>0</v>
      </c>
      <c r="R47" s="43">
        <v>0</v>
      </c>
      <c r="S47" s="43">
        <v>0</v>
      </c>
      <c r="T47" s="43">
        <f t="shared" ref="T47:T48" si="18">SUM(O47:S47)</f>
        <v>0</v>
      </c>
      <c r="U47" s="43">
        <v>0</v>
      </c>
      <c r="V47" s="30">
        <f t="shared" si="4"/>
        <v>500</v>
      </c>
      <c r="W47" s="26" t="s">
        <v>48</v>
      </c>
      <c r="X47" s="295">
        <v>5377</v>
      </c>
      <c r="Y47" s="295"/>
      <c r="Z47" s="1" t="s">
        <v>7</v>
      </c>
      <c r="AA47" s="10" t="s">
        <v>496</v>
      </c>
      <c r="AB47" s="10" t="s">
        <v>497</v>
      </c>
      <c r="AC47" s="10" t="s">
        <v>55</v>
      </c>
      <c r="AD47" s="10" t="s">
        <v>124</v>
      </c>
      <c r="AE47" s="47"/>
    </row>
    <row r="48" spans="1:31" ht="67.5" x14ac:dyDescent="0.2">
      <c r="A48" s="311"/>
      <c r="B48" s="2" t="s">
        <v>122</v>
      </c>
      <c r="C48" s="10" t="s">
        <v>498</v>
      </c>
      <c r="D48" s="1" t="s">
        <v>156</v>
      </c>
      <c r="E48" s="1" t="s">
        <v>69</v>
      </c>
      <c r="F48" s="43">
        <v>0</v>
      </c>
      <c r="G48" s="1" t="s">
        <v>152</v>
      </c>
      <c r="H48" s="1" t="s">
        <v>65</v>
      </c>
      <c r="I48" s="43">
        <v>0</v>
      </c>
      <c r="J48" s="43">
        <v>0</v>
      </c>
      <c r="K48" s="43">
        <v>106.25</v>
      </c>
      <c r="L48" s="43">
        <v>0</v>
      </c>
      <c r="M48" s="43">
        <v>18.75</v>
      </c>
      <c r="N48" s="43">
        <f t="shared" ref="N48" si="19">SUM(I48:M48)</f>
        <v>125</v>
      </c>
      <c r="O48" s="43">
        <v>0</v>
      </c>
      <c r="P48" s="43">
        <v>0</v>
      </c>
      <c r="Q48" s="43">
        <v>0</v>
      </c>
      <c r="R48" s="43">
        <v>0</v>
      </c>
      <c r="S48" s="43">
        <v>0</v>
      </c>
      <c r="T48" s="43">
        <f t="shared" si="18"/>
        <v>0</v>
      </c>
      <c r="U48" s="43">
        <v>0</v>
      </c>
      <c r="V48" s="30">
        <f t="shared" si="4"/>
        <v>125</v>
      </c>
      <c r="W48" s="26" t="s">
        <v>48</v>
      </c>
      <c r="X48" s="295">
        <v>125</v>
      </c>
      <c r="Y48" s="295"/>
      <c r="Z48" s="1" t="s">
        <v>7</v>
      </c>
      <c r="AA48" s="10" t="s">
        <v>499</v>
      </c>
      <c r="AB48" s="10" t="s">
        <v>500</v>
      </c>
      <c r="AC48" s="10" t="s">
        <v>157</v>
      </c>
      <c r="AD48" s="10" t="s">
        <v>124</v>
      </c>
      <c r="AE48" s="47"/>
    </row>
    <row r="49" spans="1:31" x14ac:dyDescent="0.2">
      <c r="A49" s="311"/>
      <c r="B49" s="255" t="s">
        <v>501</v>
      </c>
      <c r="C49" s="256"/>
      <c r="D49" s="38" t="s">
        <v>502</v>
      </c>
      <c r="E49" s="39" t="s">
        <v>48</v>
      </c>
      <c r="F49" s="40">
        <f>SUM(F50:F53)</f>
        <v>0</v>
      </c>
      <c r="G49" s="39" t="s">
        <v>48</v>
      </c>
      <c r="H49" s="38"/>
      <c r="I49" s="40">
        <f>SUM(I50:I53)</f>
        <v>14</v>
      </c>
      <c r="J49" s="40">
        <f t="shared" ref="J49:M49" si="20">SUM(J50:J53)</f>
        <v>0</v>
      </c>
      <c r="K49" s="40">
        <f t="shared" si="20"/>
        <v>0</v>
      </c>
      <c r="L49" s="40">
        <f t="shared" si="20"/>
        <v>0</v>
      </c>
      <c r="M49" s="40">
        <f t="shared" si="20"/>
        <v>0</v>
      </c>
      <c r="N49" s="40">
        <f>SUM(I49:M49)</f>
        <v>14</v>
      </c>
      <c r="O49" s="40">
        <f>SUM(O50:O53)</f>
        <v>21</v>
      </c>
      <c r="P49" s="40">
        <f t="shared" ref="P49:S49" si="21">SUM(P50:P53)</f>
        <v>0</v>
      </c>
      <c r="Q49" s="40">
        <f t="shared" si="21"/>
        <v>0</v>
      </c>
      <c r="R49" s="40">
        <f t="shared" si="21"/>
        <v>0</v>
      </c>
      <c r="S49" s="40">
        <f t="shared" si="21"/>
        <v>0</v>
      </c>
      <c r="T49" s="40">
        <f>SUM(O49:S49)</f>
        <v>21</v>
      </c>
      <c r="U49" s="40">
        <f>SUM(U50:U53)</f>
        <v>89</v>
      </c>
      <c r="V49" s="41">
        <f t="shared" si="4"/>
        <v>124</v>
      </c>
      <c r="W49" s="42">
        <f>SUM(W52:W53)</f>
        <v>1328</v>
      </c>
      <c r="X49" s="252" t="s">
        <v>48</v>
      </c>
      <c r="Y49" s="253"/>
      <c r="Z49" s="39" t="s">
        <v>48</v>
      </c>
      <c r="AA49" s="39" t="s">
        <v>48</v>
      </c>
      <c r="AB49" s="39" t="s">
        <v>48</v>
      </c>
      <c r="AC49" s="39" t="s">
        <v>48</v>
      </c>
      <c r="AD49" s="39" t="s">
        <v>48</v>
      </c>
    </row>
    <row r="50" spans="1:31" ht="54" x14ac:dyDescent="0.2">
      <c r="A50" s="311"/>
      <c r="B50" s="2" t="s">
        <v>503</v>
      </c>
      <c r="C50" s="10" t="s">
        <v>504</v>
      </c>
      <c r="D50" s="1" t="s">
        <v>505</v>
      </c>
      <c r="E50" s="1" t="s">
        <v>69</v>
      </c>
      <c r="F50" s="43">
        <v>0</v>
      </c>
      <c r="G50" s="1" t="s">
        <v>152</v>
      </c>
      <c r="H50" s="1"/>
      <c r="I50" s="43">
        <v>0</v>
      </c>
      <c r="J50" s="43">
        <v>0</v>
      </c>
      <c r="K50" s="43">
        <v>0</v>
      </c>
      <c r="L50" s="43">
        <v>0</v>
      </c>
      <c r="M50" s="43">
        <v>0</v>
      </c>
      <c r="N50" s="43">
        <f>SUM(I50:M50)</f>
        <v>0</v>
      </c>
      <c r="O50" s="43"/>
      <c r="P50" s="43"/>
      <c r="Q50" s="43"/>
      <c r="R50" s="43"/>
      <c r="S50" s="43"/>
      <c r="T50" s="43">
        <f>SUM(O50:S50)</f>
        <v>0</v>
      </c>
      <c r="U50" s="43"/>
      <c r="V50" s="30">
        <f t="shared" si="4"/>
        <v>0</v>
      </c>
      <c r="W50" s="26" t="s">
        <v>47</v>
      </c>
      <c r="X50" s="295">
        <v>1800</v>
      </c>
      <c r="Y50" s="295"/>
      <c r="Z50" s="1" t="s">
        <v>7</v>
      </c>
      <c r="AA50" s="10" t="s">
        <v>506</v>
      </c>
      <c r="AB50" s="10" t="s">
        <v>507</v>
      </c>
      <c r="AC50" s="10" t="s">
        <v>10</v>
      </c>
      <c r="AD50" s="10" t="s">
        <v>158</v>
      </c>
      <c r="AE50" s="47"/>
    </row>
    <row r="51" spans="1:31" ht="67.5" x14ac:dyDescent="0.2">
      <c r="A51" s="311"/>
      <c r="B51" s="2" t="s">
        <v>508</v>
      </c>
      <c r="C51" s="10" t="s">
        <v>291</v>
      </c>
      <c r="D51" s="1" t="s">
        <v>505</v>
      </c>
      <c r="E51" s="1" t="s">
        <v>69</v>
      </c>
      <c r="F51" s="43"/>
      <c r="G51" s="1" t="s">
        <v>152</v>
      </c>
      <c r="H51" s="1"/>
      <c r="I51" s="43"/>
      <c r="J51" s="43"/>
      <c r="K51" s="43"/>
      <c r="L51" s="43"/>
      <c r="M51" s="43"/>
      <c r="N51" s="43">
        <f t="shared" ref="N51:N53" si="22">SUM(I51:M51)</f>
        <v>0</v>
      </c>
      <c r="O51" s="43"/>
      <c r="P51" s="43"/>
      <c r="Q51" s="43"/>
      <c r="R51" s="43"/>
      <c r="S51" s="43"/>
      <c r="T51" s="43">
        <f t="shared" ref="T51:T53" si="23">SUM(O51:S51)</f>
        <v>0</v>
      </c>
      <c r="U51" s="43"/>
      <c r="V51" s="30">
        <f t="shared" si="4"/>
        <v>0</v>
      </c>
      <c r="W51" s="26" t="s">
        <v>47</v>
      </c>
      <c r="X51" s="295">
        <v>2400</v>
      </c>
      <c r="Y51" s="295"/>
      <c r="Z51" s="1" t="s">
        <v>7</v>
      </c>
      <c r="AA51" s="10" t="s">
        <v>506</v>
      </c>
      <c r="AB51" s="10" t="s">
        <v>507</v>
      </c>
      <c r="AC51" s="10" t="s">
        <v>10</v>
      </c>
      <c r="AD51" s="10" t="s">
        <v>158</v>
      </c>
      <c r="AE51" s="47"/>
    </row>
    <row r="52" spans="1:31" ht="40.5" x14ac:dyDescent="0.2">
      <c r="A52" s="311"/>
      <c r="B52" s="2" t="s">
        <v>509</v>
      </c>
      <c r="C52" s="10" t="s">
        <v>510</v>
      </c>
      <c r="D52" s="1" t="s">
        <v>505</v>
      </c>
      <c r="E52" s="1" t="s">
        <v>69</v>
      </c>
      <c r="F52" s="43">
        <v>0</v>
      </c>
      <c r="G52" s="1" t="s">
        <v>152</v>
      </c>
      <c r="H52" s="1" t="s">
        <v>47</v>
      </c>
      <c r="I52" s="43">
        <v>0</v>
      </c>
      <c r="J52" s="43">
        <v>0</v>
      </c>
      <c r="K52" s="43">
        <v>0</v>
      </c>
      <c r="L52" s="43">
        <v>0</v>
      </c>
      <c r="M52" s="43">
        <v>0</v>
      </c>
      <c r="N52" s="43">
        <f t="shared" si="22"/>
        <v>0</v>
      </c>
      <c r="O52" s="43">
        <v>0</v>
      </c>
      <c r="P52" s="43">
        <v>0</v>
      </c>
      <c r="Q52" s="43">
        <v>0</v>
      </c>
      <c r="R52" s="43">
        <v>0</v>
      </c>
      <c r="S52" s="43">
        <v>0</v>
      </c>
      <c r="T52" s="43">
        <f t="shared" si="23"/>
        <v>0</v>
      </c>
      <c r="U52" s="43">
        <v>60</v>
      </c>
      <c r="V52" s="30">
        <f t="shared" si="4"/>
        <v>60</v>
      </c>
      <c r="W52" s="26">
        <v>1140</v>
      </c>
      <c r="X52" s="295">
        <v>1200</v>
      </c>
      <c r="Y52" s="295"/>
      <c r="Z52" s="1" t="s">
        <v>7</v>
      </c>
      <c r="AA52" s="10" t="s">
        <v>506</v>
      </c>
      <c r="AB52" s="10" t="s">
        <v>288</v>
      </c>
      <c r="AC52" s="10" t="s">
        <v>10</v>
      </c>
      <c r="AD52" s="10" t="s">
        <v>158</v>
      </c>
      <c r="AE52" s="47"/>
    </row>
    <row r="53" spans="1:31" ht="135" x14ac:dyDescent="0.2">
      <c r="A53" s="311"/>
      <c r="B53" s="2" t="s">
        <v>511</v>
      </c>
      <c r="C53" s="10" t="s">
        <v>512</v>
      </c>
      <c r="D53" s="1" t="s">
        <v>513</v>
      </c>
      <c r="E53" s="1" t="s">
        <v>7</v>
      </c>
      <c r="F53" s="43">
        <v>0</v>
      </c>
      <c r="G53" s="1" t="s">
        <v>152</v>
      </c>
      <c r="H53" s="1" t="s">
        <v>47</v>
      </c>
      <c r="I53" s="43">
        <v>14</v>
      </c>
      <c r="J53" s="43">
        <v>0</v>
      </c>
      <c r="K53" s="43">
        <v>0</v>
      </c>
      <c r="L53" s="43">
        <v>0</v>
      </c>
      <c r="M53" s="43">
        <v>0</v>
      </c>
      <c r="N53" s="43">
        <f t="shared" si="22"/>
        <v>14</v>
      </c>
      <c r="O53" s="43">
        <v>21</v>
      </c>
      <c r="P53" s="43">
        <v>0</v>
      </c>
      <c r="Q53" s="43">
        <v>0</v>
      </c>
      <c r="R53" s="43">
        <v>0</v>
      </c>
      <c r="S53" s="43">
        <v>0</v>
      </c>
      <c r="T53" s="43">
        <f t="shared" si="23"/>
        <v>21</v>
      </c>
      <c r="U53" s="43">
        <v>29</v>
      </c>
      <c r="V53" s="30">
        <f t="shared" si="4"/>
        <v>64</v>
      </c>
      <c r="W53" s="26">
        <v>188</v>
      </c>
      <c r="X53" s="295">
        <v>252</v>
      </c>
      <c r="Y53" s="295"/>
      <c r="Z53" s="1" t="s">
        <v>81</v>
      </c>
      <c r="AA53" s="10" t="s">
        <v>514</v>
      </c>
      <c r="AB53" s="10" t="s">
        <v>515</v>
      </c>
      <c r="AC53" s="10" t="s">
        <v>158</v>
      </c>
      <c r="AD53" s="10" t="s">
        <v>19</v>
      </c>
      <c r="AE53" s="47"/>
    </row>
    <row r="54" spans="1:31" x14ac:dyDescent="0.2">
      <c r="A54" s="296"/>
      <c r="B54" s="297" t="s">
        <v>516</v>
      </c>
      <c r="C54" s="298"/>
      <c r="D54" s="48" t="s">
        <v>517</v>
      </c>
      <c r="E54" s="49" t="s">
        <v>48</v>
      </c>
      <c r="F54" s="50">
        <f>F55+F76+F78</f>
        <v>17172.108260000001</v>
      </c>
      <c r="G54" s="49" t="s">
        <v>48</v>
      </c>
      <c r="H54" s="48"/>
      <c r="I54" s="50">
        <f>I55+I76+I78</f>
        <v>2204.7239999999997</v>
      </c>
      <c r="J54" s="50">
        <f>J55+J76+J78</f>
        <v>11320.80825</v>
      </c>
      <c r="K54" s="50">
        <f>K55+K76+K78</f>
        <v>179.90799999999999</v>
      </c>
      <c r="L54" s="50">
        <f>L55+L76+L78</f>
        <v>0</v>
      </c>
      <c r="M54" s="50">
        <f>M55+M76+M78</f>
        <v>0</v>
      </c>
      <c r="N54" s="50">
        <f>SUM(I54:M54)</f>
        <v>13705.44025</v>
      </c>
      <c r="O54" s="50">
        <f>O55+O76+O78</f>
        <v>3417.3165100000015</v>
      </c>
      <c r="P54" s="50">
        <f>P55+P76+P78</f>
        <v>2190.0639799999999</v>
      </c>
      <c r="Q54" s="50">
        <f t="shared" ref="Q54:S54" si="24">Q55+Q76+Q78</f>
        <v>0</v>
      </c>
      <c r="R54" s="50">
        <f t="shared" si="24"/>
        <v>0</v>
      </c>
      <c r="S54" s="50">
        <f t="shared" si="24"/>
        <v>0</v>
      </c>
      <c r="T54" s="50">
        <f>SUM(O54:S54)</f>
        <v>5607.3804900000014</v>
      </c>
      <c r="U54" s="50">
        <f>U55+U76+U78</f>
        <v>8083.85</v>
      </c>
      <c r="V54" s="50">
        <f t="shared" si="4"/>
        <v>27396.670740000001</v>
      </c>
      <c r="W54" s="51">
        <f>SUM(W55+W76+W78)</f>
        <v>19607.77</v>
      </c>
      <c r="X54" s="299" t="s">
        <v>48</v>
      </c>
      <c r="Y54" s="300"/>
      <c r="Z54" s="49" t="s">
        <v>48</v>
      </c>
      <c r="AA54" s="49" t="s">
        <v>48</v>
      </c>
      <c r="AB54" s="49" t="s">
        <v>48</v>
      </c>
      <c r="AC54" s="49" t="s">
        <v>48</v>
      </c>
      <c r="AD54" s="49" t="s">
        <v>48</v>
      </c>
      <c r="AE54" s="52"/>
    </row>
    <row r="55" spans="1:31" x14ac:dyDescent="0.2">
      <c r="A55" s="296"/>
      <c r="B55" s="255" t="s">
        <v>518</v>
      </c>
      <c r="C55" s="256"/>
      <c r="D55" s="38" t="s">
        <v>519</v>
      </c>
      <c r="E55" s="39" t="s">
        <v>48</v>
      </c>
      <c r="F55" s="40">
        <f>SUM(F56:F75)</f>
        <v>17172.108260000001</v>
      </c>
      <c r="G55" s="39" t="s">
        <v>48</v>
      </c>
      <c r="H55" s="38"/>
      <c r="I55" s="40">
        <f>SUM(I56:I75)</f>
        <v>2204.7239999999997</v>
      </c>
      <c r="J55" s="40">
        <f>SUM(J56:J75)</f>
        <v>11320.80825</v>
      </c>
      <c r="K55" s="40">
        <f>SUM(K56:K75)</f>
        <v>179.90799999999999</v>
      </c>
      <c r="L55" s="40">
        <f>SUM(L56:L75)</f>
        <v>0</v>
      </c>
      <c r="M55" s="40">
        <f>SUM(M56:M75)</f>
        <v>0</v>
      </c>
      <c r="N55" s="40">
        <f>SUM(I55:M55)</f>
        <v>13705.44025</v>
      </c>
      <c r="O55" s="40">
        <f>SUM(O56:O75)</f>
        <v>3367.3165100000015</v>
      </c>
      <c r="P55" s="40">
        <f t="shared" ref="P55:S55" si="25">SUM(P56:P75)</f>
        <v>2190.0639799999999</v>
      </c>
      <c r="Q55" s="40">
        <f t="shared" si="25"/>
        <v>0</v>
      </c>
      <c r="R55" s="40">
        <f t="shared" si="25"/>
        <v>0</v>
      </c>
      <c r="S55" s="40">
        <f t="shared" si="25"/>
        <v>0</v>
      </c>
      <c r="T55" s="40">
        <f>SUM(O55:S55)</f>
        <v>5557.3804900000014</v>
      </c>
      <c r="U55" s="40">
        <f>SUM(U56:U75)</f>
        <v>8033.85</v>
      </c>
      <c r="V55" s="41">
        <f t="shared" si="4"/>
        <v>27296.670740000001</v>
      </c>
      <c r="W55" s="42">
        <f>SUM(W56:W75)</f>
        <v>19467.77</v>
      </c>
      <c r="X55" s="252" t="s">
        <v>48</v>
      </c>
      <c r="Y55" s="253"/>
      <c r="Z55" s="39" t="s">
        <v>48</v>
      </c>
      <c r="AA55" s="39" t="s">
        <v>48</v>
      </c>
      <c r="AB55" s="39" t="s">
        <v>48</v>
      </c>
      <c r="AC55" s="39" t="s">
        <v>48</v>
      </c>
      <c r="AD55" s="39" t="s">
        <v>48</v>
      </c>
      <c r="AE55" s="52"/>
    </row>
    <row r="56" spans="1:31" ht="67.5" x14ac:dyDescent="0.2">
      <c r="A56" s="296"/>
      <c r="B56" s="3" t="s">
        <v>92</v>
      </c>
      <c r="C56" s="10" t="s">
        <v>520</v>
      </c>
      <c r="D56" s="1" t="s">
        <v>521</v>
      </c>
      <c r="E56" s="1" t="s">
        <v>7</v>
      </c>
      <c r="F56" s="43">
        <v>1478.87</v>
      </c>
      <c r="G56" s="1" t="s">
        <v>46</v>
      </c>
      <c r="H56" s="1" t="s">
        <v>47</v>
      </c>
      <c r="I56" s="43">
        <v>388.33699999999999</v>
      </c>
      <c r="J56" s="43">
        <v>2517.7069999999999</v>
      </c>
      <c r="K56" s="43">
        <v>0</v>
      </c>
      <c r="L56" s="43">
        <v>0</v>
      </c>
      <c r="M56" s="43">
        <v>0</v>
      </c>
      <c r="N56" s="43">
        <f>SUM(I56:M56)</f>
        <v>2906.0439999999999</v>
      </c>
      <c r="O56" s="43">
        <f>X56-F56-N56</f>
        <v>1201.9260000000004</v>
      </c>
      <c r="P56" s="43">
        <v>0</v>
      </c>
      <c r="Q56" s="43">
        <v>0</v>
      </c>
      <c r="R56" s="43">
        <v>0</v>
      </c>
      <c r="S56" s="43">
        <v>0</v>
      </c>
      <c r="T56" s="43">
        <f>SUM(O56:S56)</f>
        <v>1201.9260000000004</v>
      </c>
      <c r="U56" s="43">
        <v>0</v>
      </c>
      <c r="V56" s="30">
        <f t="shared" si="4"/>
        <v>4107.97</v>
      </c>
      <c r="W56" s="26" t="s">
        <v>48</v>
      </c>
      <c r="X56" s="213">
        <v>5586.84</v>
      </c>
      <c r="Y56" s="213"/>
      <c r="Z56" s="1" t="s">
        <v>69</v>
      </c>
      <c r="AA56" s="10" t="s">
        <v>522</v>
      </c>
      <c r="AB56" s="10" t="s">
        <v>523</v>
      </c>
      <c r="AC56" s="10" t="s">
        <v>49</v>
      </c>
      <c r="AD56" s="10" t="s">
        <v>524</v>
      </c>
      <c r="AE56" s="47"/>
    </row>
    <row r="57" spans="1:31" ht="81" x14ac:dyDescent="0.2">
      <c r="A57" s="296"/>
      <c r="B57" s="3" t="s">
        <v>93</v>
      </c>
      <c r="C57" s="10" t="s">
        <v>525</v>
      </c>
      <c r="D57" s="1" t="s">
        <v>521</v>
      </c>
      <c r="E57" s="1" t="s">
        <v>7</v>
      </c>
      <c r="F57" s="43">
        <v>0</v>
      </c>
      <c r="G57" s="1" t="s">
        <v>46</v>
      </c>
      <c r="H57" s="1" t="s">
        <v>47</v>
      </c>
      <c r="I57" s="43">
        <v>0</v>
      </c>
      <c r="J57" s="43">
        <v>0</v>
      </c>
      <c r="K57" s="43">
        <v>0</v>
      </c>
      <c r="L57" s="43">
        <v>0</v>
      </c>
      <c r="M57" s="43">
        <v>0</v>
      </c>
      <c r="N57" s="43">
        <f t="shared" ref="N57:N74" si="26">SUM(I57:M57)</f>
        <v>0</v>
      </c>
      <c r="O57" s="43">
        <v>60</v>
      </c>
      <c r="P57" s="43">
        <v>0</v>
      </c>
      <c r="Q57" s="43">
        <v>0</v>
      </c>
      <c r="R57" s="43">
        <v>0</v>
      </c>
      <c r="S57" s="43">
        <v>0</v>
      </c>
      <c r="T57" s="43">
        <f t="shared" ref="T57:T75" si="27">SUM(O57:S57)</f>
        <v>60</v>
      </c>
      <c r="U57" s="43">
        <v>1040</v>
      </c>
      <c r="V57" s="30">
        <f t="shared" si="4"/>
        <v>1100</v>
      </c>
      <c r="W57" s="26">
        <v>3700</v>
      </c>
      <c r="X57" s="213">
        <v>4800</v>
      </c>
      <c r="Y57" s="213"/>
      <c r="Z57" s="1" t="s">
        <v>81</v>
      </c>
      <c r="AA57" s="10" t="s">
        <v>526</v>
      </c>
      <c r="AB57" s="10" t="s">
        <v>523</v>
      </c>
      <c r="AC57" s="10" t="s">
        <v>49</v>
      </c>
      <c r="AD57" s="10" t="s">
        <v>527</v>
      </c>
      <c r="AE57" s="47"/>
    </row>
    <row r="58" spans="1:31" ht="81" x14ac:dyDescent="0.2">
      <c r="A58" s="296"/>
      <c r="B58" s="3" t="s">
        <v>94</v>
      </c>
      <c r="C58" s="10" t="s">
        <v>528</v>
      </c>
      <c r="D58" s="1" t="s">
        <v>521</v>
      </c>
      <c r="E58" s="1" t="s">
        <v>69</v>
      </c>
      <c r="F58" s="43">
        <v>0</v>
      </c>
      <c r="G58" s="1" t="s">
        <v>46</v>
      </c>
      <c r="H58" s="1" t="s">
        <v>47</v>
      </c>
      <c r="I58" s="43">
        <v>0</v>
      </c>
      <c r="J58" s="43">
        <v>0</v>
      </c>
      <c r="K58" s="43">
        <v>0</v>
      </c>
      <c r="L58" s="43">
        <v>0</v>
      </c>
      <c r="M58" s="43">
        <v>0</v>
      </c>
      <c r="N58" s="43">
        <f t="shared" si="26"/>
        <v>0</v>
      </c>
      <c r="O58" s="43">
        <v>0</v>
      </c>
      <c r="P58" s="43">
        <v>0</v>
      </c>
      <c r="Q58" s="43">
        <v>0</v>
      </c>
      <c r="R58" s="43">
        <v>0</v>
      </c>
      <c r="S58" s="43">
        <v>0</v>
      </c>
      <c r="T58" s="43">
        <f t="shared" si="27"/>
        <v>0</v>
      </c>
      <c r="U58" s="43">
        <v>60</v>
      </c>
      <c r="V58" s="30">
        <f t="shared" si="4"/>
        <v>60</v>
      </c>
      <c r="W58" s="26">
        <v>4740</v>
      </c>
      <c r="X58" s="213">
        <v>4800</v>
      </c>
      <c r="Y58" s="213"/>
      <c r="Z58" s="1" t="s">
        <v>81</v>
      </c>
      <c r="AA58" s="10" t="s">
        <v>529</v>
      </c>
      <c r="AB58" s="10" t="s">
        <v>523</v>
      </c>
      <c r="AC58" s="10" t="s">
        <v>49</v>
      </c>
      <c r="AD58" s="10" t="s">
        <v>530</v>
      </c>
      <c r="AE58" s="47"/>
    </row>
    <row r="59" spans="1:31" ht="54" x14ac:dyDescent="0.2">
      <c r="A59" s="296"/>
      <c r="B59" s="3" t="s">
        <v>95</v>
      </c>
      <c r="C59" s="10" t="s">
        <v>531</v>
      </c>
      <c r="D59" s="1" t="s">
        <v>521</v>
      </c>
      <c r="E59" s="1" t="s">
        <v>69</v>
      </c>
      <c r="F59" s="43"/>
      <c r="G59" s="1" t="s">
        <v>152</v>
      </c>
      <c r="H59" s="1" t="s">
        <v>47</v>
      </c>
      <c r="I59" s="43"/>
      <c r="J59" s="43"/>
      <c r="K59" s="43"/>
      <c r="L59" s="43"/>
      <c r="M59" s="43"/>
      <c r="N59" s="43">
        <f t="shared" si="26"/>
        <v>0</v>
      </c>
      <c r="O59" s="43"/>
      <c r="P59" s="43"/>
      <c r="Q59" s="43"/>
      <c r="R59" s="43"/>
      <c r="S59" s="43"/>
      <c r="T59" s="43">
        <f t="shared" si="27"/>
        <v>0</v>
      </c>
      <c r="U59" s="43"/>
      <c r="V59" s="30">
        <f t="shared" si="4"/>
        <v>0</v>
      </c>
      <c r="W59" s="26" t="s">
        <v>47</v>
      </c>
      <c r="X59" s="213">
        <v>4800</v>
      </c>
      <c r="Y59" s="213"/>
      <c r="Z59" s="1" t="s">
        <v>69</v>
      </c>
      <c r="AA59" s="10" t="s">
        <v>529</v>
      </c>
      <c r="AB59" s="10" t="s">
        <v>523</v>
      </c>
      <c r="AC59" s="10" t="s">
        <v>49</v>
      </c>
      <c r="AD59" s="10" t="s">
        <v>532</v>
      </c>
      <c r="AE59" s="47"/>
    </row>
    <row r="60" spans="1:31" ht="54" x14ac:dyDescent="0.2">
      <c r="A60" s="296"/>
      <c r="B60" s="3" t="s">
        <v>101</v>
      </c>
      <c r="C60" s="10" t="s">
        <v>533</v>
      </c>
      <c r="D60" s="1" t="s">
        <v>521</v>
      </c>
      <c r="E60" s="1" t="s">
        <v>69</v>
      </c>
      <c r="F60" s="43"/>
      <c r="G60" s="1" t="s">
        <v>152</v>
      </c>
      <c r="H60" s="1" t="s">
        <v>47</v>
      </c>
      <c r="I60" s="43"/>
      <c r="J60" s="43"/>
      <c r="K60" s="43"/>
      <c r="L60" s="43"/>
      <c r="M60" s="43"/>
      <c r="N60" s="43">
        <f t="shared" si="26"/>
        <v>0</v>
      </c>
      <c r="O60" s="43"/>
      <c r="P60" s="43"/>
      <c r="Q60" s="43"/>
      <c r="R60" s="43"/>
      <c r="S60" s="43"/>
      <c r="T60" s="43">
        <f t="shared" si="27"/>
        <v>0</v>
      </c>
      <c r="U60" s="43"/>
      <c r="V60" s="30">
        <f t="shared" si="4"/>
        <v>0</v>
      </c>
      <c r="W60" s="26" t="s">
        <v>47</v>
      </c>
      <c r="X60" s="213">
        <v>4800</v>
      </c>
      <c r="Y60" s="213"/>
      <c r="Z60" s="1" t="s">
        <v>69</v>
      </c>
      <c r="AA60" s="10" t="s">
        <v>529</v>
      </c>
      <c r="AB60" s="10" t="s">
        <v>523</v>
      </c>
      <c r="AC60" s="10" t="s">
        <v>49</v>
      </c>
      <c r="AD60" s="10" t="s">
        <v>534</v>
      </c>
      <c r="AE60" s="47"/>
    </row>
    <row r="61" spans="1:31" ht="54" x14ac:dyDescent="0.2">
      <c r="A61" s="296"/>
      <c r="B61" s="3" t="s">
        <v>102</v>
      </c>
      <c r="C61" s="10" t="s">
        <v>535</v>
      </c>
      <c r="D61" s="1" t="s">
        <v>521</v>
      </c>
      <c r="E61" s="1" t="s">
        <v>69</v>
      </c>
      <c r="F61" s="43">
        <v>0</v>
      </c>
      <c r="G61" s="1" t="s">
        <v>46</v>
      </c>
      <c r="H61" s="1" t="s">
        <v>47</v>
      </c>
      <c r="I61" s="43">
        <v>0</v>
      </c>
      <c r="J61" s="43">
        <v>0</v>
      </c>
      <c r="K61" s="43">
        <v>0</v>
      </c>
      <c r="L61" s="43">
        <v>0</v>
      </c>
      <c r="M61" s="43">
        <v>0</v>
      </c>
      <c r="N61" s="43">
        <f t="shared" si="26"/>
        <v>0</v>
      </c>
      <c r="O61" s="43">
        <v>300</v>
      </c>
      <c r="P61" s="43">
        <v>0</v>
      </c>
      <c r="Q61" s="43">
        <v>0</v>
      </c>
      <c r="R61" s="43">
        <v>0</v>
      </c>
      <c r="S61" s="43">
        <v>0</v>
      </c>
      <c r="T61" s="43">
        <f t="shared" si="27"/>
        <v>300</v>
      </c>
      <c r="U61" s="43">
        <v>300</v>
      </c>
      <c r="V61" s="30">
        <f t="shared" si="4"/>
        <v>600</v>
      </c>
      <c r="W61" s="26">
        <v>3000</v>
      </c>
      <c r="X61" s="213">
        <v>3600</v>
      </c>
      <c r="Y61" s="213"/>
      <c r="Z61" s="1" t="s">
        <v>69</v>
      </c>
      <c r="AA61" s="10" t="s">
        <v>536</v>
      </c>
      <c r="AB61" s="10" t="s">
        <v>537</v>
      </c>
      <c r="AC61" s="10" t="s">
        <v>538</v>
      </c>
      <c r="AD61" s="10" t="s">
        <v>539</v>
      </c>
      <c r="AE61" s="47"/>
    </row>
    <row r="62" spans="1:31" ht="54" x14ac:dyDescent="0.2">
      <c r="A62" s="296"/>
      <c r="B62" s="3" t="s">
        <v>103</v>
      </c>
      <c r="C62" s="10" t="s">
        <v>540</v>
      </c>
      <c r="D62" s="1" t="s">
        <v>521</v>
      </c>
      <c r="E62" s="1" t="s">
        <v>69</v>
      </c>
      <c r="F62" s="43"/>
      <c r="G62" s="1" t="s">
        <v>152</v>
      </c>
      <c r="H62" s="1" t="s">
        <v>47</v>
      </c>
      <c r="I62" s="43"/>
      <c r="J62" s="43"/>
      <c r="K62" s="43"/>
      <c r="L62" s="43"/>
      <c r="M62" s="43"/>
      <c r="N62" s="43">
        <f t="shared" si="26"/>
        <v>0</v>
      </c>
      <c r="O62" s="43"/>
      <c r="P62" s="43"/>
      <c r="Q62" s="43"/>
      <c r="R62" s="43"/>
      <c r="S62" s="43"/>
      <c r="T62" s="43">
        <f t="shared" si="27"/>
        <v>0</v>
      </c>
      <c r="U62" s="43"/>
      <c r="V62" s="30">
        <f t="shared" si="4"/>
        <v>0</v>
      </c>
      <c r="W62" s="26" t="s">
        <v>47</v>
      </c>
      <c r="X62" s="213">
        <v>4800</v>
      </c>
      <c r="Y62" s="213"/>
      <c r="Z62" s="1" t="s">
        <v>69</v>
      </c>
      <c r="AA62" s="10" t="s">
        <v>541</v>
      </c>
      <c r="AB62" s="10" t="s">
        <v>542</v>
      </c>
      <c r="AC62" s="10" t="s">
        <v>49</v>
      </c>
      <c r="AD62" s="10" t="s">
        <v>534</v>
      </c>
      <c r="AE62" s="47"/>
    </row>
    <row r="63" spans="1:31" ht="135" x14ac:dyDescent="0.2">
      <c r="A63" s="296"/>
      <c r="B63" s="3" t="s">
        <v>104</v>
      </c>
      <c r="C63" s="10" t="s">
        <v>543</v>
      </c>
      <c r="D63" s="1" t="s">
        <v>51</v>
      </c>
      <c r="E63" s="1" t="s">
        <v>7</v>
      </c>
      <c r="F63" s="43">
        <v>440</v>
      </c>
      <c r="G63" s="1" t="s">
        <v>46</v>
      </c>
      <c r="H63" s="1" t="s">
        <v>47</v>
      </c>
      <c r="I63" s="43">
        <v>9.9649999999999999</v>
      </c>
      <c r="J63" s="43">
        <v>0</v>
      </c>
      <c r="K63" s="43">
        <v>0</v>
      </c>
      <c r="L63" s="43">
        <v>0</v>
      </c>
      <c r="M63" s="47">
        <v>0</v>
      </c>
      <c r="N63" s="43">
        <f t="shared" si="26"/>
        <v>9.9649999999999999</v>
      </c>
      <c r="O63" s="43">
        <v>300</v>
      </c>
      <c r="P63" s="43">
        <v>0</v>
      </c>
      <c r="Q63" s="43">
        <v>0</v>
      </c>
      <c r="R63" s="43">
        <v>0</v>
      </c>
      <c r="S63" s="43">
        <v>0</v>
      </c>
      <c r="T63" s="43">
        <f t="shared" si="27"/>
        <v>300</v>
      </c>
      <c r="U63" s="43">
        <v>2000</v>
      </c>
      <c r="V63" s="30">
        <f t="shared" si="4"/>
        <v>2309.9650000000001</v>
      </c>
      <c r="W63" s="26">
        <v>3947.77</v>
      </c>
      <c r="X63" s="213">
        <f>6256.826</f>
        <v>6256.826</v>
      </c>
      <c r="Y63" s="213"/>
      <c r="Z63" s="1" t="s">
        <v>69</v>
      </c>
      <c r="AA63" s="10" t="s">
        <v>544</v>
      </c>
      <c r="AB63" s="10" t="s">
        <v>545</v>
      </c>
      <c r="AC63" s="10" t="s">
        <v>49</v>
      </c>
      <c r="AD63" s="10" t="s">
        <v>546</v>
      </c>
      <c r="AE63" s="47"/>
    </row>
    <row r="64" spans="1:31" ht="135" x14ac:dyDescent="0.2">
      <c r="A64" s="296"/>
      <c r="B64" s="3" t="s">
        <v>105</v>
      </c>
      <c r="C64" s="10" t="s">
        <v>547</v>
      </c>
      <c r="D64" s="1" t="s">
        <v>51</v>
      </c>
      <c r="E64" s="1" t="s">
        <v>7</v>
      </c>
      <c r="F64" s="43">
        <v>5.7595999999999998</v>
      </c>
      <c r="G64" s="1" t="s">
        <v>46</v>
      </c>
      <c r="H64" s="1" t="s">
        <v>47</v>
      </c>
      <c r="I64" s="43">
        <v>5.76</v>
      </c>
      <c r="J64" s="43">
        <v>0</v>
      </c>
      <c r="K64" s="43">
        <v>0</v>
      </c>
      <c r="L64" s="43">
        <v>0</v>
      </c>
      <c r="M64" s="53">
        <v>0</v>
      </c>
      <c r="N64" s="43">
        <f>SUM(I64:M64)</f>
        <v>5.76</v>
      </c>
      <c r="O64" s="43">
        <v>51.79157</v>
      </c>
      <c r="P64" s="43">
        <v>226.35379</v>
      </c>
      <c r="Q64" s="43">
        <v>0</v>
      </c>
      <c r="R64" s="43">
        <v>0</v>
      </c>
      <c r="S64" s="43">
        <v>0</v>
      </c>
      <c r="T64" s="43">
        <f>SUM(O64:S64)</f>
        <v>278.14535999999998</v>
      </c>
      <c r="U64" s="43">
        <v>153.85</v>
      </c>
      <c r="V64" s="30">
        <f t="shared" si="4"/>
        <v>437.75536</v>
      </c>
      <c r="W64" s="26" t="s">
        <v>48</v>
      </c>
      <c r="X64" s="213">
        <v>432</v>
      </c>
      <c r="Y64" s="213"/>
      <c r="Z64" s="1" t="s">
        <v>7</v>
      </c>
      <c r="AA64" s="10" t="s">
        <v>548</v>
      </c>
      <c r="AB64" s="10" t="s">
        <v>549</v>
      </c>
      <c r="AC64" s="10" t="s">
        <v>49</v>
      </c>
      <c r="AD64" s="10" t="s">
        <v>550</v>
      </c>
      <c r="AE64" s="47"/>
    </row>
    <row r="65" spans="1:31" ht="81" x14ac:dyDescent="0.2">
      <c r="A65" s="296"/>
      <c r="B65" s="3" t="s">
        <v>106</v>
      </c>
      <c r="C65" s="10" t="s">
        <v>551</v>
      </c>
      <c r="D65" s="1" t="s">
        <v>51</v>
      </c>
      <c r="E65" s="1" t="s">
        <v>69</v>
      </c>
      <c r="F65" s="43">
        <v>0</v>
      </c>
      <c r="G65" s="1" t="s">
        <v>152</v>
      </c>
      <c r="H65" s="1" t="s">
        <v>47</v>
      </c>
      <c r="I65" s="43">
        <v>0</v>
      </c>
      <c r="J65" s="43">
        <v>0</v>
      </c>
      <c r="K65" s="43">
        <v>0</v>
      </c>
      <c r="L65" s="43">
        <v>0</v>
      </c>
      <c r="M65" s="43">
        <v>0</v>
      </c>
      <c r="N65" s="43">
        <f t="shared" si="26"/>
        <v>0</v>
      </c>
      <c r="O65" s="43">
        <v>0</v>
      </c>
      <c r="P65" s="43">
        <v>0</v>
      </c>
      <c r="Q65" s="43">
        <v>0</v>
      </c>
      <c r="R65" s="43">
        <v>0</v>
      </c>
      <c r="S65" s="43">
        <v>0</v>
      </c>
      <c r="T65" s="43">
        <f t="shared" si="27"/>
        <v>0</v>
      </c>
      <c r="U65" s="43">
        <v>400</v>
      </c>
      <c r="V65" s="30">
        <f t="shared" si="4"/>
        <v>400</v>
      </c>
      <c r="W65" s="26">
        <v>800</v>
      </c>
      <c r="X65" s="213">
        <v>1200</v>
      </c>
      <c r="Y65" s="213"/>
      <c r="Z65" s="1" t="s">
        <v>69</v>
      </c>
      <c r="AA65" s="10" t="s">
        <v>552</v>
      </c>
      <c r="AB65" s="10" t="s">
        <v>50</v>
      </c>
      <c r="AC65" s="10" t="s">
        <v>538</v>
      </c>
      <c r="AD65" s="10" t="s">
        <v>550</v>
      </c>
      <c r="AE65" s="47"/>
    </row>
    <row r="66" spans="1:31" ht="67.5" x14ac:dyDescent="0.2">
      <c r="A66" s="296"/>
      <c r="B66" s="3" t="s">
        <v>108</v>
      </c>
      <c r="C66" s="10" t="s">
        <v>553</v>
      </c>
      <c r="D66" s="1" t="s">
        <v>51</v>
      </c>
      <c r="E66" s="1" t="s">
        <v>69</v>
      </c>
      <c r="F66" s="43">
        <v>86.614000000000004</v>
      </c>
      <c r="G66" s="1" t="s">
        <v>46</v>
      </c>
      <c r="H66" s="1" t="s">
        <v>47</v>
      </c>
      <c r="I66" s="43">
        <v>0</v>
      </c>
      <c r="J66" s="43">
        <v>0</v>
      </c>
      <c r="K66" s="43">
        <v>0</v>
      </c>
      <c r="L66" s="43">
        <v>0</v>
      </c>
      <c r="M66" s="43">
        <v>0</v>
      </c>
      <c r="N66" s="43">
        <f t="shared" si="26"/>
        <v>0</v>
      </c>
      <c r="O66" s="43">
        <v>250</v>
      </c>
      <c r="P66" s="43">
        <v>0</v>
      </c>
      <c r="Q66" s="43">
        <v>0</v>
      </c>
      <c r="R66" s="43">
        <v>0</v>
      </c>
      <c r="S66" s="43">
        <v>0</v>
      </c>
      <c r="T66" s="43">
        <f t="shared" si="27"/>
        <v>250</v>
      </c>
      <c r="U66" s="43">
        <v>250</v>
      </c>
      <c r="V66" s="30">
        <f t="shared" si="4"/>
        <v>500</v>
      </c>
      <c r="W66" s="26">
        <v>3100</v>
      </c>
      <c r="X66" s="213">
        <v>3600</v>
      </c>
      <c r="Y66" s="213"/>
      <c r="Z66" s="1" t="s">
        <v>69</v>
      </c>
      <c r="AA66" s="10" t="s">
        <v>554</v>
      </c>
      <c r="AB66" s="10" t="s">
        <v>555</v>
      </c>
      <c r="AC66" s="10" t="s">
        <v>78</v>
      </c>
      <c r="AD66" s="10" t="s">
        <v>556</v>
      </c>
      <c r="AE66" s="47"/>
    </row>
    <row r="67" spans="1:31" ht="189" x14ac:dyDescent="0.2">
      <c r="A67" s="296"/>
      <c r="B67" s="3" t="s">
        <v>109</v>
      </c>
      <c r="C67" s="10" t="s">
        <v>557</v>
      </c>
      <c r="D67" s="1" t="s">
        <v>45</v>
      </c>
      <c r="E67" s="1" t="s">
        <v>7</v>
      </c>
      <c r="F67" s="43">
        <v>8.4700000000000006</v>
      </c>
      <c r="G67" s="1" t="s">
        <v>46</v>
      </c>
      <c r="H67" s="1" t="s">
        <v>47</v>
      </c>
      <c r="I67" s="43">
        <v>29.85</v>
      </c>
      <c r="J67" s="43">
        <v>268.65699999999998</v>
      </c>
      <c r="K67" s="43">
        <v>0</v>
      </c>
      <c r="L67" s="43">
        <v>0</v>
      </c>
      <c r="M67" s="43">
        <v>0</v>
      </c>
      <c r="N67" s="43">
        <f t="shared" si="26"/>
        <v>298.50700000000001</v>
      </c>
      <c r="O67" s="43">
        <v>121.81100000000001</v>
      </c>
      <c r="P67" s="43">
        <v>1096.299</v>
      </c>
      <c r="Q67" s="43">
        <v>0</v>
      </c>
      <c r="R67" s="43">
        <v>0</v>
      </c>
      <c r="S67" s="43">
        <v>0</v>
      </c>
      <c r="T67" s="43">
        <f t="shared" si="27"/>
        <v>1218.1099999999999</v>
      </c>
      <c r="U67" s="43">
        <v>0</v>
      </c>
      <c r="V67" s="30">
        <f>F67+N67+T67+U67</f>
        <v>1525.087</v>
      </c>
      <c r="W67" s="26" t="s">
        <v>48</v>
      </c>
      <c r="X67" s="213">
        <f>V67</f>
        <v>1525.087</v>
      </c>
      <c r="Y67" s="213"/>
      <c r="Z67" s="1" t="s">
        <v>69</v>
      </c>
      <c r="AA67" s="10" t="s">
        <v>558</v>
      </c>
      <c r="AB67" s="10" t="s">
        <v>559</v>
      </c>
      <c r="AC67" s="10" t="s">
        <v>49</v>
      </c>
      <c r="AD67" s="10" t="s">
        <v>560</v>
      </c>
      <c r="AE67" s="47"/>
    </row>
    <row r="68" spans="1:31" ht="175.5" x14ac:dyDescent="0.2">
      <c r="A68" s="296"/>
      <c r="B68" s="3" t="s">
        <v>110</v>
      </c>
      <c r="C68" s="10" t="s">
        <v>561</v>
      </c>
      <c r="D68" s="1" t="s">
        <v>45</v>
      </c>
      <c r="E68" s="1" t="s">
        <v>7</v>
      </c>
      <c r="F68" s="43">
        <v>11.4345</v>
      </c>
      <c r="G68" s="1" t="s">
        <v>46</v>
      </c>
      <c r="H68" s="1" t="s">
        <v>47</v>
      </c>
      <c r="I68" s="43">
        <v>23.71</v>
      </c>
      <c r="J68" s="43">
        <v>213.38325</v>
      </c>
      <c r="K68" s="43">
        <v>0</v>
      </c>
      <c r="L68" s="43">
        <v>0</v>
      </c>
      <c r="M68" s="43">
        <v>0</v>
      </c>
      <c r="N68" s="43">
        <f t="shared" si="26"/>
        <v>237.09325000000001</v>
      </c>
      <c r="O68" s="43">
        <v>96.379019999999997</v>
      </c>
      <c r="P68" s="43">
        <v>867.41119000000003</v>
      </c>
      <c r="Q68" s="43">
        <v>0</v>
      </c>
      <c r="R68" s="43">
        <v>0</v>
      </c>
      <c r="S68" s="43">
        <v>0</v>
      </c>
      <c r="T68" s="43">
        <f t="shared" si="27"/>
        <v>963.79021</v>
      </c>
      <c r="U68" s="43">
        <v>0</v>
      </c>
      <c r="V68" s="30">
        <f>N68+T68+U68</f>
        <v>1200.88346</v>
      </c>
      <c r="W68" s="26" t="s">
        <v>48</v>
      </c>
      <c r="X68" s="213">
        <v>1212.92221</v>
      </c>
      <c r="Y68" s="213"/>
      <c r="Z68" s="1" t="s">
        <v>7</v>
      </c>
      <c r="AA68" s="10" t="s">
        <v>562</v>
      </c>
      <c r="AB68" s="10" t="s">
        <v>559</v>
      </c>
      <c r="AC68" s="10" t="s">
        <v>49</v>
      </c>
      <c r="AD68" s="10" t="s">
        <v>563</v>
      </c>
      <c r="AE68" s="47"/>
    </row>
    <row r="69" spans="1:31" ht="54" x14ac:dyDescent="0.2">
      <c r="A69" s="296"/>
      <c r="B69" s="3" t="s">
        <v>111</v>
      </c>
      <c r="C69" s="10" t="s">
        <v>564</v>
      </c>
      <c r="D69" s="1" t="s">
        <v>45</v>
      </c>
      <c r="E69" s="1" t="s">
        <v>7</v>
      </c>
      <c r="F69" s="43">
        <v>0</v>
      </c>
      <c r="G69" s="1" t="s">
        <v>46</v>
      </c>
      <c r="H69" s="1" t="s">
        <v>47</v>
      </c>
      <c r="I69" s="43">
        <v>50.578000000000003</v>
      </c>
      <c r="J69" s="43">
        <v>0</v>
      </c>
      <c r="K69" s="43">
        <v>0</v>
      </c>
      <c r="L69" s="43">
        <v>0</v>
      </c>
      <c r="M69" s="43">
        <v>0</v>
      </c>
      <c r="N69" s="43">
        <f t="shared" si="26"/>
        <v>50.578000000000003</v>
      </c>
      <c r="O69" s="43">
        <v>0</v>
      </c>
      <c r="P69" s="43">
        <v>0</v>
      </c>
      <c r="Q69" s="43">
        <v>0</v>
      </c>
      <c r="R69" s="43">
        <v>0</v>
      </c>
      <c r="S69" s="43">
        <v>0</v>
      </c>
      <c r="T69" s="43">
        <f t="shared" si="27"/>
        <v>0</v>
      </c>
      <c r="U69" s="43">
        <v>1895</v>
      </c>
      <c r="V69" s="30">
        <f t="shared" si="4"/>
        <v>1945.578</v>
      </c>
      <c r="W69" s="26" t="s">
        <v>48</v>
      </c>
      <c r="X69" s="213">
        <f>V69</f>
        <v>1945.578</v>
      </c>
      <c r="Y69" s="213"/>
      <c r="Z69" s="1" t="s">
        <v>69</v>
      </c>
      <c r="AA69" s="10" t="s">
        <v>565</v>
      </c>
      <c r="AB69" s="10" t="s">
        <v>559</v>
      </c>
      <c r="AC69" s="10" t="s">
        <v>566</v>
      </c>
      <c r="AD69" s="10" t="s">
        <v>567</v>
      </c>
      <c r="AE69" s="47"/>
    </row>
    <row r="70" spans="1:31" ht="54" x14ac:dyDescent="0.2">
      <c r="A70" s="296"/>
      <c r="B70" s="3" t="s">
        <v>112</v>
      </c>
      <c r="C70" s="10" t="s">
        <v>568</v>
      </c>
      <c r="D70" s="1" t="s">
        <v>45</v>
      </c>
      <c r="E70" s="1" t="s">
        <v>7</v>
      </c>
      <c r="F70" s="43" t="s">
        <v>48</v>
      </c>
      <c r="G70" s="1" t="s">
        <v>152</v>
      </c>
      <c r="H70" s="1" t="s">
        <v>47</v>
      </c>
      <c r="I70" s="43">
        <v>0</v>
      </c>
      <c r="J70" s="43">
        <v>0</v>
      </c>
      <c r="K70" s="43">
        <v>0</v>
      </c>
      <c r="L70" s="43">
        <v>0</v>
      </c>
      <c r="M70" s="43">
        <v>0</v>
      </c>
      <c r="N70" s="43">
        <f t="shared" si="26"/>
        <v>0</v>
      </c>
      <c r="O70" s="43"/>
      <c r="P70" s="43"/>
      <c r="Q70" s="43"/>
      <c r="R70" s="43"/>
      <c r="S70" s="43"/>
      <c r="T70" s="43">
        <f t="shared" si="27"/>
        <v>0</v>
      </c>
      <c r="U70" s="43"/>
      <c r="V70" s="30">
        <f t="shared" si="4"/>
        <v>0</v>
      </c>
      <c r="W70" s="26" t="s">
        <v>48</v>
      </c>
      <c r="X70" s="213">
        <v>1200</v>
      </c>
      <c r="Y70" s="213"/>
      <c r="Z70" s="1" t="s">
        <v>69</v>
      </c>
      <c r="AA70" s="10" t="s">
        <v>569</v>
      </c>
      <c r="AB70" s="10" t="s">
        <v>559</v>
      </c>
      <c r="AC70" s="10" t="s">
        <v>49</v>
      </c>
      <c r="AD70" s="10" t="s">
        <v>570</v>
      </c>
      <c r="AE70" s="47"/>
    </row>
    <row r="71" spans="1:31" ht="40.5" x14ac:dyDescent="0.2">
      <c r="A71" s="296"/>
      <c r="B71" s="3" t="s">
        <v>113</v>
      </c>
      <c r="C71" s="10" t="s">
        <v>571</v>
      </c>
      <c r="D71" s="1" t="s">
        <v>45</v>
      </c>
      <c r="E71" s="1" t="s">
        <v>69</v>
      </c>
      <c r="F71" s="43"/>
      <c r="G71" s="1" t="s">
        <v>152</v>
      </c>
      <c r="H71" s="1" t="s">
        <v>47</v>
      </c>
      <c r="I71" s="43">
        <v>0</v>
      </c>
      <c r="J71" s="43">
        <v>0</v>
      </c>
      <c r="K71" s="43">
        <v>0</v>
      </c>
      <c r="L71" s="43">
        <v>0</v>
      </c>
      <c r="M71" s="43">
        <v>0</v>
      </c>
      <c r="N71" s="43">
        <f t="shared" si="26"/>
        <v>0</v>
      </c>
      <c r="O71" s="43"/>
      <c r="P71" s="43"/>
      <c r="Q71" s="43"/>
      <c r="R71" s="43"/>
      <c r="S71" s="43"/>
      <c r="T71" s="43">
        <f t="shared" si="27"/>
        <v>0</v>
      </c>
      <c r="U71" s="43"/>
      <c r="V71" s="30">
        <f t="shared" si="4"/>
        <v>0</v>
      </c>
      <c r="W71" s="26" t="s">
        <v>48</v>
      </c>
      <c r="X71" s="213">
        <v>1560</v>
      </c>
      <c r="Y71" s="213"/>
      <c r="Z71" s="1" t="s">
        <v>69</v>
      </c>
      <c r="AA71" s="10" t="s">
        <v>572</v>
      </c>
      <c r="AB71" s="10" t="s">
        <v>559</v>
      </c>
      <c r="AC71" s="10" t="s">
        <v>49</v>
      </c>
      <c r="AD71" s="10" t="s">
        <v>573</v>
      </c>
      <c r="AE71" s="47"/>
    </row>
    <row r="72" spans="1:31" ht="54" x14ac:dyDescent="0.2">
      <c r="A72" s="296"/>
      <c r="B72" s="3" t="s">
        <v>114</v>
      </c>
      <c r="C72" s="10" t="s">
        <v>574</v>
      </c>
      <c r="D72" s="1" t="s">
        <v>45</v>
      </c>
      <c r="E72" s="1" t="s">
        <v>69</v>
      </c>
      <c r="F72" s="43">
        <v>0</v>
      </c>
      <c r="G72" s="1" t="s">
        <v>152</v>
      </c>
      <c r="H72" s="1" t="s">
        <v>47</v>
      </c>
      <c r="I72" s="43">
        <v>25</v>
      </c>
      <c r="J72" s="43">
        <v>0</v>
      </c>
      <c r="K72" s="43">
        <v>0</v>
      </c>
      <c r="L72" s="43">
        <v>0</v>
      </c>
      <c r="M72" s="43">
        <v>0</v>
      </c>
      <c r="N72" s="43">
        <f t="shared" si="26"/>
        <v>25</v>
      </c>
      <c r="O72" s="43">
        <v>0</v>
      </c>
      <c r="P72" s="43">
        <v>0</v>
      </c>
      <c r="Q72" s="43">
        <v>0</v>
      </c>
      <c r="R72" s="43">
        <v>0</v>
      </c>
      <c r="S72" s="43">
        <v>0</v>
      </c>
      <c r="T72" s="43">
        <f t="shared" si="27"/>
        <v>0</v>
      </c>
      <c r="U72" s="43">
        <v>1875</v>
      </c>
      <c r="V72" s="30">
        <f t="shared" si="4"/>
        <v>1900</v>
      </c>
      <c r="W72" s="26" t="s">
        <v>48</v>
      </c>
      <c r="X72" s="213">
        <v>1900</v>
      </c>
      <c r="Y72" s="213"/>
      <c r="Z72" s="1" t="s">
        <v>69</v>
      </c>
      <c r="AA72" s="10" t="s">
        <v>575</v>
      </c>
      <c r="AB72" s="10" t="s">
        <v>559</v>
      </c>
      <c r="AC72" s="10" t="s">
        <v>566</v>
      </c>
      <c r="AD72" s="10" t="s">
        <v>576</v>
      </c>
      <c r="AE72" s="47"/>
    </row>
    <row r="73" spans="1:31" ht="40.5" x14ac:dyDescent="0.2">
      <c r="A73" s="296"/>
      <c r="B73" s="54" t="s">
        <v>115</v>
      </c>
      <c r="C73" s="10" t="s">
        <v>20</v>
      </c>
      <c r="D73" s="1" t="s">
        <v>45</v>
      </c>
      <c r="E73" s="1" t="s">
        <v>69</v>
      </c>
      <c r="F73" s="43" t="s">
        <v>48</v>
      </c>
      <c r="G73" s="1" t="s">
        <v>152</v>
      </c>
      <c r="H73" s="1" t="s">
        <v>47</v>
      </c>
      <c r="I73" s="43">
        <v>0</v>
      </c>
      <c r="J73" s="43">
        <v>0</v>
      </c>
      <c r="K73" s="43">
        <v>0</v>
      </c>
      <c r="L73" s="43">
        <v>0</v>
      </c>
      <c r="M73" s="43">
        <v>0</v>
      </c>
      <c r="N73" s="43">
        <f t="shared" ref="N73" si="28">SUM(I73:M73)</f>
        <v>0</v>
      </c>
      <c r="O73" s="43">
        <v>0</v>
      </c>
      <c r="P73" s="43">
        <v>0</v>
      </c>
      <c r="Q73" s="43">
        <v>0</v>
      </c>
      <c r="R73" s="43">
        <v>0</v>
      </c>
      <c r="S73" s="43">
        <v>0</v>
      </c>
      <c r="T73" s="43">
        <f>SUM(O73:S73)</f>
        <v>0</v>
      </c>
      <c r="U73" s="43">
        <v>60</v>
      </c>
      <c r="V73" s="30">
        <f t="shared" si="4"/>
        <v>60</v>
      </c>
      <c r="W73" s="26">
        <v>180</v>
      </c>
      <c r="X73" s="213">
        <v>240</v>
      </c>
      <c r="Y73" s="213"/>
      <c r="Z73" s="1" t="s">
        <v>69</v>
      </c>
      <c r="AA73" s="10" t="s">
        <v>577</v>
      </c>
      <c r="AB73" s="10" t="s">
        <v>578</v>
      </c>
      <c r="AC73" s="10" t="s">
        <v>538</v>
      </c>
      <c r="AD73" s="10" t="s">
        <v>579</v>
      </c>
      <c r="AE73" s="47"/>
    </row>
    <row r="74" spans="1:31" ht="148.5" x14ac:dyDescent="0.2">
      <c r="A74" s="296"/>
      <c r="B74" s="54" t="s">
        <v>61</v>
      </c>
      <c r="C74" s="10" t="s">
        <v>580</v>
      </c>
      <c r="D74" s="1" t="s">
        <v>51</v>
      </c>
      <c r="E74" s="1" t="s">
        <v>7</v>
      </c>
      <c r="F74" s="43">
        <v>6848.69</v>
      </c>
      <c r="G74" s="1" t="s">
        <v>46</v>
      </c>
      <c r="H74" s="1" t="s">
        <v>47</v>
      </c>
      <c r="I74" s="43">
        <v>0</v>
      </c>
      <c r="J74" s="43">
        <v>1485.19</v>
      </c>
      <c r="K74" s="43">
        <v>179.90799999999999</v>
      </c>
      <c r="L74" s="43">
        <v>0</v>
      </c>
      <c r="M74" s="43">
        <v>0</v>
      </c>
      <c r="N74" s="43">
        <f t="shared" si="26"/>
        <v>1665.098</v>
      </c>
      <c r="O74" s="43">
        <f>X74-N74-F74</f>
        <v>-353.36799999999948</v>
      </c>
      <c r="P74" s="43">
        <v>0</v>
      </c>
      <c r="Q74" s="43">
        <v>0</v>
      </c>
      <c r="R74" s="43">
        <v>0</v>
      </c>
      <c r="S74" s="43">
        <v>0</v>
      </c>
      <c r="T74" s="43">
        <f t="shared" si="27"/>
        <v>-353.36799999999948</v>
      </c>
      <c r="U74" s="43">
        <v>0</v>
      </c>
      <c r="V74" s="30">
        <f t="shared" si="4"/>
        <v>1311.7300000000005</v>
      </c>
      <c r="W74" s="26" t="s">
        <v>48</v>
      </c>
      <c r="X74" s="213">
        <v>8160.42</v>
      </c>
      <c r="Y74" s="213"/>
      <c r="Z74" s="1" t="s">
        <v>7</v>
      </c>
      <c r="AA74" s="10" t="s">
        <v>581</v>
      </c>
      <c r="AB74" s="10" t="s">
        <v>582</v>
      </c>
      <c r="AC74" s="10" t="s">
        <v>49</v>
      </c>
      <c r="AD74" s="10" t="s">
        <v>567</v>
      </c>
      <c r="AE74" s="47"/>
    </row>
    <row r="75" spans="1:31" ht="54" x14ac:dyDescent="0.2">
      <c r="A75" s="296"/>
      <c r="B75" s="54" t="s">
        <v>62</v>
      </c>
      <c r="C75" s="10" t="s">
        <v>583</v>
      </c>
      <c r="D75" s="1" t="s">
        <v>51</v>
      </c>
      <c r="E75" s="1" t="s">
        <v>7</v>
      </c>
      <c r="F75" s="43">
        <v>8292.27016</v>
      </c>
      <c r="G75" s="1" t="s">
        <v>46</v>
      </c>
      <c r="H75" s="1"/>
      <c r="I75" s="43">
        <v>1671.5239999999999</v>
      </c>
      <c r="J75" s="43">
        <v>6835.8710000000001</v>
      </c>
      <c r="K75" s="43">
        <v>0</v>
      </c>
      <c r="L75" s="43">
        <v>0</v>
      </c>
      <c r="M75" s="43">
        <v>0</v>
      </c>
      <c r="N75" s="43">
        <f>SUM(I75:M75)</f>
        <v>8507.3950000000004</v>
      </c>
      <c r="O75" s="43">
        <f>X75-N75-F75</f>
        <v>1338.7769200000002</v>
      </c>
      <c r="P75" s="43">
        <v>0</v>
      </c>
      <c r="Q75" s="43">
        <v>0</v>
      </c>
      <c r="R75" s="43">
        <v>0</v>
      </c>
      <c r="S75" s="43">
        <v>0</v>
      </c>
      <c r="T75" s="43">
        <f t="shared" si="27"/>
        <v>1338.7769200000002</v>
      </c>
      <c r="U75" s="43">
        <v>0</v>
      </c>
      <c r="V75" s="30">
        <f t="shared" si="4"/>
        <v>9846.1719200000007</v>
      </c>
      <c r="W75" s="26" t="s">
        <v>48</v>
      </c>
      <c r="X75" s="209">
        <f>16138.44208+2000</f>
        <v>18138.442080000001</v>
      </c>
      <c r="Y75" s="210"/>
      <c r="Z75" s="1" t="s">
        <v>69</v>
      </c>
      <c r="AA75" s="10" t="s">
        <v>584</v>
      </c>
      <c r="AB75" s="10" t="s">
        <v>50</v>
      </c>
      <c r="AC75" s="10" t="s">
        <v>49</v>
      </c>
      <c r="AD75" s="10" t="s">
        <v>585</v>
      </c>
      <c r="AE75" s="47"/>
    </row>
    <row r="76" spans="1:31" x14ac:dyDescent="0.2">
      <c r="A76" s="296"/>
      <c r="B76" s="255" t="s">
        <v>586</v>
      </c>
      <c r="C76" s="256"/>
      <c r="D76" s="38" t="s">
        <v>587</v>
      </c>
      <c r="E76" s="39" t="s">
        <v>48</v>
      </c>
      <c r="F76" s="40">
        <f>SUM(F77)</f>
        <v>0</v>
      </c>
      <c r="G76" s="39" t="s">
        <v>48</v>
      </c>
      <c r="H76" s="38"/>
      <c r="I76" s="40">
        <f>SUM(I77)</f>
        <v>0</v>
      </c>
      <c r="J76" s="40">
        <f>SUM(J77)</f>
        <v>0</v>
      </c>
      <c r="K76" s="40">
        <f>SUM(K77)</f>
        <v>0</v>
      </c>
      <c r="L76" s="40">
        <f>SUM(L77)</f>
        <v>0</v>
      </c>
      <c r="M76" s="40">
        <f>SUM(M77)</f>
        <v>0</v>
      </c>
      <c r="N76" s="40">
        <f>SUM(I76:M76)</f>
        <v>0</v>
      </c>
      <c r="O76" s="40">
        <f>SUM(O77)</f>
        <v>50</v>
      </c>
      <c r="P76" s="40">
        <f>SUM(P77)</f>
        <v>0</v>
      </c>
      <c r="Q76" s="40">
        <f>SUM(Q77)</f>
        <v>0</v>
      </c>
      <c r="R76" s="40">
        <f>SUM(R77)</f>
        <v>0</v>
      </c>
      <c r="S76" s="40">
        <f>SUM(S77)</f>
        <v>0</v>
      </c>
      <c r="T76" s="40">
        <f>SUM(O76:S76)</f>
        <v>50</v>
      </c>
      <c r="U76" s="40">
        <f>SUM(U77)</f>
        <v>50</v>
      </c>
      <c r="V76" s="41">
        <f>N76+T76+U76</f>
        <v>100</v>
      </c>
      <c r="W76" s="42">
        <f>SUM(W77)</f>
        <v>140</v>
      </c>
      <c r="X76" s="252" t="s">
        <v>48</v>
      </c>
      <c r="Y76" s="253"/>
      <c r="Z76" s="39" t="s">
        <v>48</v>
      </c>
      <c r="AA76" s="39" t="s">
        <v>48</v>
      </c>
      <c r="AB76" s="39" t="s">
        <v>48</v>
      </c>
      <c r="AC76" s="39" t="s">
        <v>48</v>
      </c>
      <c r="AD76" s="39" t="s">
        <v>48</v>
      </c>
      <c r="AE76" s="52"/>
    </row>
    <row r="77" spans="1:31" ht="54" x14ac:dyDescent="0.2">
      <c r="A77" s="296"/>
      <c r="B77" s="3" t="s">
        <v>588</v>
      </c>
      <c r="C77" s="10" t="s">
        <v>21</v>
      </c>
      <c r="D77" s="1" t="s">
        <v>589</v>
      </c>
      <c r="E77" s="1" t="s">
        <v>69</v>
      </c>
      <c r="F77" s="43">
        <v>0</v>
      </c>
      <c r="G77" s="1" t="s">
        <v>152</v>
      </c>
      <c r="H77" s="1" t="s">
        <v>47</v>
      </c>
      <c r="I77" s="43">
        <v>0</v>
      </c>
      <c r="J77" s="43">
        <v>0</v>
      </c>
      <c r="K77" s="43">
        <v>0</v>
      </c>
      <c r="L77" s="43">
        <v>0</v>
      </c>
      <c r="M77" s="43">
        <v>0</v>
      </c>
      <c r="N77" s="43">
        <f t="shared" ref="N77:N92" si="29">SUM(I77:M77)</f>
        <v>0</v>
      </c>
      <c r="O77" s="43">
        <v>50</v>
      </c>
      <c r="P77" s="43">
        <v>0</v>
      </c>
      <c r="Q77" s="43">
        <v>0</v>
      </c>
      <c r="R77" s="43">
        <v>0</v>
      </c>
      <c r="S77" s="43">
        <v>0</v>
      </c>
      <c r="T77" s="43">
        <f t="shared" ref="T77:T98" si="30">SUM(O77:S77)</f>
        <v>50</v>
      </c>
      <c r="U77" s="43">
        <v>50</v>
      </c>
      <c r="V77" s="30">
        <f t="shared" ref="V77:V144" si="31">N77+T77+U77</f>
        <v>100</v>
      </c>
      <c r="W77" s="26">
        <v>140</v>
      </c>
      <c r="X77" s="213">
        <v>240</v>
      </c>
      <c r="Y77" s="213"/>
      <c r="Z77" s="1" t="s">
        <v>69</v>
      </c>
      <c r="AA77" s="10" t="s">
        <v>554</v>
      </c>
      <c r="AB77" s="10" t="s">
        <v>590</v>
      </c>
      <c r="AC77" s="10" t="s">
        <v>538</v>
      </c>
      <c r="AD77" s="10" t="s">
        <v>591</v>
      </c>
      <c r="AE77" s="47"/>
    </row>
    <row r="78" spans="1:31" x14ac:dyDescent="0.2">
      <c r="A78" s="296"/>
      <c r="B78" s="294" t="s">
        <v>592</v>
      </c>
      <c r="C78" s="294"/>
      <c r="D78" s="38" t="s">
        <v>593</v>
      </c>
      <c r="E78" s="39" t="s">
        <v>48</v>
      </c>
      <c r="F78" s="40">
        <f>SUM(F79)</f>
        <v>0</v>
      </c>
      <c r="G78" s="39" t="s">
        <v>48</v>
      </c>
      <c r="H78" s="38"/>
      <c r="I78" s="40">
        <f>SUM(I79)</f>
        <v>0</v>
      </c>
      <c r="J78" s="40">
        <f>SUM(J79)</f>
        <v>0</v>
      </c>
      <c r="K78" s="40">
        <f>SUM(K79)</f>
        <v>0</v>
      </c>
      <c r="L78" s="40">
        <f>SUM(L79)</f>
        <v>0</v>
      </c>
      <c r="M78" s="40">
        <f>SUM(M79)</f>
        <v>0</v>
      </c>
      <c r="N78" s="40">
        <f>SUM(I78:M78)</f>
        <v>0</v>
      </c>
      <c r="O78" s="40">
        <f>SUM(O79)</f>
        <v>0</v>
      </c>
      <c r="P78" s="40">
        <f>SUM(P79)</f>
        <v>0</v>
      </c>
      <c r="Q78" s="40">
        <f>SUM(Q79)</f>
        <v>0</v>
      </c>
      <c r="R78" s="40">
        <f>SUM(R79)</f>
        <v>0</v>
      </c>
      <c r="S78" s="40">
        <f>SUM(S79)</f>
        <v>0</v>
      </c>
      <c r="T78" s="40">
        <f>SUM(O78:S78)</f>
        <v>0</v>
      </c>
      <c r="U78" s="40">
        <f>SUM(U79)</f>
        <v>0</v>
      </c>
      <c r="V78" s="41">
        <f>N78+T78+U78</f>
        <v>0</v>
      </c>
      <c r="W78" s="42">
        <f>SUM(W79)</f>
        <v>0</v>
      </c>
      <c r="X78" s="252" t="s">
        <v>48</v>
      </c>
      <c r="Y78" s="253"/>
      <c r="Z78" s="39" t="s">
        <v>48</v>
      </c>
      <c r="AA78" s="39" t="s">
        <v>48</v>
      </c>
      <c r="AB78" s="39" t="s">
        <v>48</v>
      </c>
      <c r="AC78" s="39" t="s">
        <v>48</v>
      </c>
      <c r="AD78" s="39" t="s">
        <v>48</v>
      </c>
      <c r="AE78" s="52"/>
    </row>
    <row r="79" spans="1:31" ht="40.5" x14ac:dyDescent="0.2">
      <c r="A79" s="296"/>
      <c r="B79" s="3" t="s">
        <v>594</v>
      </c>
      <c r="C79" s="10" t="s">
        <v>595</v>
      </c>
      <c r="D79" s="1" t="s">
        <v>596</v>
      </c>
      <c r="E79" s="1" t="s">
        <v>69</v>
      </c>
      <c r="F79" s="43">
        <v>0</v>
      </c>
      <c r="G79" s="1" t="s">
        <v>152</v>
      </c>
      <c r="H79" s="1" t="s">
        <v>47</v>
      </c>
      <c r="I79" s="43">
        <v>0</v>
      </c>
      <c r="J79" s="43">
        <v>0</v>
      </c>
      <c r="K79" s="43">
        <v>0</v>
      </c>
      <c r="L79" s="43">
        <v>0</v>
      </c>
      <c r="M79" s="43">
        <v>0</v>
      </c>
      <c r="N79" s="43">
        <f t="shared" si="29"/>
        <v>0</v>
      </c>
      <c r="O79" s="43"/>
      <c r="P79" s="43"/>
      <c r="Q79" s="43"/>
      <c r="R79" s="43"/>
      <c r="S79" s="43"/>
      <c r="T79" s="43">
        <f t="shared" si="30"/>
        <v>0</v>
      </c>
      <c r="U79" s="43"/>
      <c r="V79" s="30">
        <f t="shared" si="31"/>
        <v>0</v>
      </c>
      <c r="W79" s="26" t="s">
        <v>48</v>
      </c>
      <c r="X79" s="213">
        <v>240</v>
      </c>
      <c r="Y79" s="213"/>
      <c r="Z79" s="1" t="s">
        <v>69</v>
      </c>
      <c r="AA79" s="10" t="s">
        <v>597</v>
      </c>
      <c r="AB79" s="10" t="s">
        <v>598</v>
      </c>
      <c r="AC79" s="10" t="s">
        <v>538</v>
      </c>
      <c r="AD79" s="10" t="s">
        <v>599</v>
      </c>
      <c r="AE79" s="47"/>
    </row>
    <row r="80" spans="1:31" x14ac:dyDescent="0.2">
      <c r="A80" s="289"/>
      <c r="B80" s="290" t="s">
        <v>600</v>
      </c>
      <c r="C80" s="291"/>
      <c r="D80" s="55" t="s">
        <v>601</v>
      </c>
      <c r="E80" s="55" t="s">
        <v>48</v>
      </c>
      <c r="F80" s="56">
        <f>F81+F84+F87</f>
        <v>279.887</v>
      </c>
      <c r="G80" s="55" t="s">
        <v>48</v>
      </c>
      <c r="H80" s="55"/>
      <c r="I80" s="56">
        <f>I81+I84+I87</f>
        <v>3.0249999999999999</v>
      </c>
      <c r="J80" s="56">
        <f t="shared" ref="J80:M80" si="32">J81+J84+J87</f>
        <v>0</v>
      </c>
      <c r="K80" s="56">
        <f t="shared" si="32"/>
        <v>251.321</v>
      </c>
      <c r="L80" s="56">
        <f t="shared" si="32"/>
        <v>44.350999999999999</v>
      </c>
      <c r="M80" s="56">
        <f t="shared" si="32"/>
        <v>5</v>
      </c>
      <c r="N80" s="56">
        <f t="shared" si="29"/>
        <v>303.697</v>
      </c>
      <c r="O80" s="56">
        <f>O81+O84+O87</f>
        <v>236.23337000000001</v>
      </c>
      <c r="P80" s="56">
        <f t="shared" ref="P80:S80" si="33">P81+P84+P87</f>
        <v>0</v>
      </c>
      <c r="Q80" s="56">
        <f t="shared" si="33"/>
        <v>2485.9895000000001</v>
      </c>
      <c r="R80" s="56">
        <f t="shared" si="33"/>
        <v>0</v>
      </c>
      <c r="S80" s="56">
        <f t="shared" si="33"/>
        <v>5</v>
      </c>
      <c r="T80" s="56">
        <f t="shared" si="30"/>
        <v>2727.2228700000001</v>
      </c>
      <c r="U80" s="56">
        <f>U81+U84+U87</f>
        <v>961680</v>
      </c>
      <c r="V80" s="56">
        <f t="shared" si="31"/>
        <v>964710.91986999998</v>
      </c>
      <c r="W80" s="57">
        <f>SUM(W81+W84+W87)</f>
        <v>3508.9845</v>
      </c>
      <c r="X80" s="292" t="s">
        <v>48</v>
      </c>
      <c r="Y80" s="293"/>
      <c r="Z80" s="58" t="s">
        <v>48</v>
      </c>
      <c r="AA80" s="58" t="s">
        <v>48</v>
      </c>
      <c r="AB80" s="58" t="s">
        <v>48</v>
      </c>
      <c r="AC80" s="58" t="s">
        <v>48</v>
      </c>
      <c r="AD80" s="58" t="s">
        <v>48</v>
      </c>
      <c r="AE80" s="52"/>
    </row>
    <row r="81" spans="1:31" x14ac:dyDescent="0.2">
      <c r="A81" s="289"/>
      <c r="B81" s="255" t="s">
        <v>602</v>
      </c>
      <c r="C81" s="256"/>
      <c r="D81" s="38" t="s">
        <v>603</v>
      </c>
      <c r="E81" s="38" t="s">
        <v>48</v>
      </c>
      <c r="F81" s="40">
        <f>SUM(F82:F83)</f>
        <v>0</v>
      </c>
      <c r="G81" s="38" t="s">
        <v>48</v>
      </c>
      <c r="H81" s="38"/>
      <c r="I81" s="40">
        <f>SUM(I82:I83)</f>
        <v>0</v>
      </c>
      <c r="J81" s="40">
        <f>SUM(J82:J83)</f>
        <v>0</v>
      </c>
      <c r="K81" s="40">
        <f>SUM(K82:K83)</f>
        <v>0</v>
      </c>
      <c r="L81" s="40">
        <f>SUM(L82:L83)</f>
        <v>0</v>
      </c>
      <c r="M81" s="40">
        <f>SUM(M82:M83)</f>
        <v>0</v>
      </c>
      <c r="N81" s="40">
        <f>SUM(I81:M81)</f>
        <v>0</v>
      </c>
      <c r="O81" s="40">
        <f>SUM(O82:O83)</f>
        <v>0</v>
      </c>
      <c r="P81" s="40">
        <f>SUM(P82:P83)</f>
        <v>0</v>
      </c>
      <c r="Q81" s="40">
        <f>SUM(Q82:Q83)</f>
        <v>0</v>
      </c>
      <c r="R81" s="40">
        <f>SUM(R82:R83)</f>
        <v>0</v>
      </c>
      <c r="S81" s="40">
        <f>SUM(S82:S83)</f>
        <v>0</v>
      </c>
      <c r="T81" s="40">
        <f>SUM(O81:S81)</f>
        <v>0</v>
      </c>
      <c r="U81" s="40">
        <f>SUM(U82:U83)</f>
        <v>200</v>
      </c>
      <c r="V81" s="41">
        <f>N81+T81+U81</f>
        <v>200</v>
      </c>
      <c r="W81" s="42">
        <f>SUM(W82:W83)</f>
        <v>280</v>
      </c>
      <c r="X81" s="252" t="s">
        <v>48</v>
      </c>
      <c r="Y81" s="253"/>
      <c r="Z81" s="39" t="s">
        <v>48</v>
      </c>
      <c r="AA81" s="39" t="s">
        <v>48</v>
      </c>
      <c r="AB81" s="39" t="s">
        <v>48</v>
      </c>
      <c r="AC81" s="39" t="s">
        <v>48</v>
      </c>
      <c r="AD81" s="39" t="s">
        <v>48</v>
      </c>
      <c r="AE81" s="52"/>
    </row>
    <row r="82" spans="1:31" ht="40.5" x14ac:dyDescent="0.2">
      <c r="A82" s="289"/>
      <c r="B82" s="4" t="s">
        <v>604</v>
      </c>
      <c r="C82" s="10" t="s">
        <v>22</v>
      </c>
      <c r="D82" s="1" t="s">
        <v>605</v>
      </c>
      <c r="E82" s="1" t="s">
        <v>7</v>
      </c>
      <c r="F82" s="43">
        <v>0</v>
      </c>
      <c r="G82" s="1" t="s">
        <v>46</v>
      </c>
      <c r="H82" s="1" t="s">
        <v>47</v>
      </c>
      <c r="I82" s="43">
        <v>0</v>
      </c>
      <c r="J82" s="43">
        <v>0</v>
      </c>
      <c r="K82" s="43">
        <v>0</v>
      </c>
      <c r="L82" s="43">
        <v>0</v>
      </c>
      <c r="M82" s="43">
        <v>0</v>
      </c>
      <c r="N82" s="43">
        <f>SUM(I82:M82)</f>
        <v>0</v>
      </c>
      <c r="O82" s="43">
        <v>0</v>
      </c>
      <c r="P82" s="43">
        <v>0</v>
      </c>
      <c r="Q82" s="43">
        <v>0</v>
      </c>
      <c r="R82" s="43">
        <v>0</v>
      </c>
      <c r="S82" s="43">
        <v>0</v>
      </c>
      <c r="T82" s="43">
        <f t="shared" si="30"/>
        <v>0</v>
      </c>
      <c r="U82" s="43">
        <v>100</v>
      </c>
      <c r="V82" s="30">
        <f t="shared" si="31"/>
        <v>100</v>
      </c>
      <c r="W82" s="26">
        <v>140</v>
      </c>
      <c r="X82" s="213">
        <v>240</v>
      </c>
      <c r="Y82" s="213"/>
      <c r="Z82" s="1" t="s">
        <v>69</v>
      </c>
      <c r="AA82" s="10" t="s">
        <v>606</v>
      </c>
      <c r="AB82" s="44" t="s">
        <v>48</v>
      </c>
      <c r="AC82" s="10" t="s">
        <v>538</v>
      </c>
      <c r="AD82" s="10" t="s">
        <v>607</v>
      </c>
      <c r="AE82" s="47"/>
    </row>
    <row r="83" spans="1:31" ht="40.5" x14ac:dyDescent="0.2">
      <c r="A83" s="289"/>
      <c r="B83" s="4" t="s">
        <v>608</v>
      </c>
      <c r="C83" s="10" t="s">
        <v>609</v>
      </c>
      <c r="D83" s="1" t="s">
        <v>610</v>
      </c>
      <c r="E83" s="1" t="s">
        <v>7</v>
      </c>
      <c r="F83" s="43">
        <v>0</v>
      </c>
      <c r="G83" s="1" t="s">
        <v>152</v>
      </c>
      <c r="H83" s="1" t="s">
        <v>47</v>
      </c>
      <c r="I83" s="43">
        <v>0</v>
      </c>
      <c r="J83" s="43">
        <v>0</v>
      </c>
      <c r="K83" s="43">
        <v>0</v>
      </c>
      <c r="L83" s="43">
        <v>0</v>
      </c>
      <c r="M83" s="43">
        <v>0</v>
      </c>
      <c r="N83" s="43">
        <f t="shared" si="29"/>
        <v>0</v>
      </c>
      <c r="O83" s="43">
        <v>0</v>
      </c>
      <c r="P83" s="43">
        <v>0</v>
      </c>
      <c r="Q83" s="43">
        <v>0</v>
      </c>
      <c r="R83" s="43">
        <v>0</v>
      </c>
      <c r="S83" s="43">
        <v>0</v>
      </c>
      <c r="T83" s="43">
        <v>0</v>
      </c>
      <c r="U83" s="43">
        <v>100</v>
      </c>
      <c r="V83" s="30">
        <f t="shared" si="31"/>
        <v>100</v>
      </c>
      <c r="W83" s="26">
        <v>140</v>
      </c>
      <c r="X83" s="213">
        <v>240</v>
      </c>
      <c r="Y83" s="213"/>
      <c r="Z83" s="1" t="s">
        <v>69</v>
      </c>
      <c r="AA83" s="10" t="s">
        <v>606</v>
      </c>
      <c r="AB83" s="44" t="s">
        <v>48</v>
      </c>
      <c r="AC83" s="10" t="s">
        <v>538</v>
      </c>
      <c r="AD83" s="10" t="s">
        <v>86</v>
      </c>
      <c r="AE83" s="47"/>
    </row>
    <row r="84" spans="1:31" x14ac:dyDescent="0.2">
      <c r="A84" s="289"/>
      <c r="B84" s="255" t="s">
        <v>611</v>
      </c>
      <c r="C84" s="256"/>
      <c r="D84" s="38" t="s">
        <v>612</v>
      </c>
      <c r="E84" s="38" t="s">
        <v>48</v>
      </c>
      <c r="F84" s="40">
        <f>SUM(F85:F86)</f>
        <v>270.32799999999997</v>
      </c>
      <c r="G84" s="38" t="s">
        <v>48</v>
      </c>
      <c r="H84" s="38"/>
      <c r="I84" s="40">
        <f>SUM(I85:I86)</f>
        <v>0</v>
      </c>
      <c r="J84" s="40">
        <f>SUM(J85:J86)</f>
        <v>0</v>
      </c>
      <c r="K84" s="40">
        <f>SUM(K85:K86)</f>
        <v>251.321</v>
      </c>
      <c r="L84" s="40">
        <f>SUM(L85:L86)</f>
        <v>44.350999999999999</v>
      </c>
      <c r="M84" s="40">
        <f>SUM(M85:M86)</f>
        <v>5</v>
      </c>
      <c r="N84" s="40">
        <f>SUM(I84:M84)</f>
        <v>300.67200000000003</v>
      </c>
      <c r="O84" s="40">
        <f>SUM(O85:O86)</f>
        <v>0</v>
      </c>
      <c r="P84" s="40">
        <f>SUM(P85:P86)</f>
        <v>0</v>
      </c>
      <c r="Q84" s="40">
        <f>SUM(Q85:Q86)</f>
        <v>0</v>
      </c>
      <c r="R84" s="40">
        <f>SUM(R85:R86)</f>
        <v>0</v>
      </c>
      <c r="S84" s="40">
        <f>SUM(S85:S86)</f>
        <v>5</v>
      </c>
      <c r="T84" s="40">
        <f>SUM(O84:S84)</f>
        <v>5</v>
      </c>
      <c r="U84" s="40">
        <f>SUM(U85:U86)</f>
        <v>240</v>
      </c>
      <c r="V84" s="41">
        <f>N84+T84+U84</f>
        <v>545.67200000000003</v>
      </c>
      <c r="W84" s="42">
        <f>SUM(W85:W86)</f>
        <v>0</v>
      </c>
      <c r="X84" s="252" t="s">
        <v>48</v>
      </c>
      <c r="Y84" s="253"/>
      <c r="Z84" s="39" t="s">
        <v>48</v>
      </c>
      <c r="AA84" s="39" t="s">
        <v>48</v>
      </c>
      <c r="AB84" s="39" t="s">
        <v>48</v>
      </c>
      <c r="AC84" s="39" t="s">
        <v>48</v>
      </c>
      <c r="AD84" s="39" t="s">
        <v>48</v>
      </c>
      <c r="AE84" s="52"/>
    </row>
    <row r="85" spans="1:31" ht="108" x14ac:dyDescent="0.2">
      <c r="A85" s="289"/>
      <c r="B85" s="4" t="s">
        <v>613</v>
      </c>
      <c r="C85" s="10" t="s">
        <v>614</v>
      </c>
      <c r="D85" s="1" t="s">
        <v>615</v>
      </c>
      <c r="E85" s="1" t="s">
        <v>7</v>
      </c>
      <c r="F85" s="43">
        <f>16+254.328</f>
        <v>270.32799999999997</v>
      </c>
      <c r="G85" s="1" t="s">
        <v>152</v>
      </c>
      <c r="H85" s="1" t="s">
        <v>47</v>
      </c>
      <c r="I85" s="43">
        <v>0</v>
      </c>
      <c r="J85" s="43">
        <v>0</v>
      </c>
      <c r="K85" s="43">
        <v>251.321</v>
      </c>
      <c r="L85" s="43">
        <v>44.350999999999999</v>
      </c>
      <c r="M85" s="43">
        <v>5</v>
      </c>
      <c r="N85" s="43">
        <f t="shared" si="29"/>
        <v>300.67200000000003</v>
      </c>
      <c r="O85" s="43">
        <v>0</v>
      </c>
      <c r="P85" s="43">
        <v>0</v>
      </c>
      <c r="Q85" s="43">
        <v>0</v>
      </c>
      <c r="R85" s="43">
        <v>0</v>
      </c>
      <c r="S85" s="43">
        <v>5</v>
      </c>
      <c r="T85" s="43">
        <f t="shared" si="30"/>
        <v>5</v>
      </c>
      <c r="U85" s="43">
        <v>0</v>
      </c>
      <c r="V85" s="30">
        <f t="shared" si="31"/>
        <v>305.67200000000003</v>
      </c>
      <c r="W85" s="26" t="s">
        <v>47</v>
      </c>
      <c r="X85" s="213">
        <v>9600</v>
      </c>
      <c r="Y85" s="213"/>
      <c r="Z85" s="1" t="s">
        <v>81</v>
      </c>
      <c r="AA85" s="10" t="s">
        <v>616</v>
      </c>
      <c r="AB85" s="10" t="s">
        <v>617</v>
      </c>
      <c r="AC85" s="10" t="s">
        <v>49</v>
      </c>
      <c r="AD85" s="10" t="s">
        <v>618</v>
      </c>
      <c r="AE85" s="47"/>
    </row>
    <row r="86" spans="1:31" ht="40.5" x14ac:dyDescent="0.2">
      <c r="A86" s="289"/>
      <c r="B86" s="4" t="s">
        <v>619</v>
      </c>
      <c r="C86" s="10" t="s">
        <v>620</v>
      </c>
      <c r="D86" s="1" t="s">
        <v>621</v>
      </c>
      <c r="E86" s="1" t="s">
        <v>69</v>
      </c>
      <c r="F86" s="43">
        <v>0</v>
      </c>
      <c r="G86" s="1" t="s">
        <v>152</v>
      </c>
      <c r="H86" s="1" t="s">
        <v>47</v>
      </c>
      <c r="I86" s="43">
        <v>0</v>
      </c>
      <c r="J86" s="43">
        <v>0</v>
      </c>
      <c r="K86" s="43">
        <v>0</v>
      </c>
      <c r="L86" s="43">
        <v>0</v>
      </c>
      <c r="M86" s="43">
        <v>0</v>
      </c>
      <c r="N86" s="43">
        <f t="shared" si="29"/>
        <v>0</v>
      </c>
      <c r="O86" s="43">
        <v>0</v>
      </c>
      <c r="P86" s="43">
        <v>0</v>
      </c>
      <c r="Q86" s="43">
        <v>0</v>
      </c>
      <c r="R86" s="43">
        <v>0</v>
      </c>
      <c r="S86" s="43">
        <v>0</v>
      </c>
      <c r="T86" s="43">
        <f t="shared" si="30"/>
        <v>0</v>
      </c>
      <c r="U86" s="43">
        <v>240</v>
      </c>
      <c r="V86" s="30">
        <f t="shared" si="31"/>
        <v>240</v>
      </c>
      <c r="W86" s="26" t="s">
        <v>48</v>
      </c>
      <c r="X86" s="213">
        <v>240</v>
      </c>
      <c r="Y86" s="213"/>
      <c r="Z86" s="1" t="s">
        <v>7</v>
      </c>
      <c r="AA86" s="10" t="s">
        <v>622</v>
      </c>
      <c r="AB86" s="10" t="s">
        <v>623</v>
      </c>
      <c r="AC86" s="10" t="s">
        <v>538</v>
      </c>
      <c r="AD86" s="10" t="s">
        <v>624</v>
      </c>
      <c r="AE86" s="47"/>
    </row>
    <row r="87" spans="1:31" x14ac:dyDescent="0.2">
      <c r="A87" s="289"/>
      <c r="B87" s="255" t="s">
        <v>625</v>
      </c>
      <c r="C87" s="256"/>
      <c r="D87" s="38" t="s">
        <v>626</v>
      </c>
      <c r="E87" s="38" t="s">
        <v>48</v>
      </c>
      <c r="F87" s="40">
        <f>SUM(F88)</f>
        <v>9.5589999999999993</v>
      </c>
      <c r="G87" s="38" t="s">
        <v>48</v>
      </c>
      <c r="H87" s="38"/>
      <c r="I87" s="40">
        <f>SUM(I88)</f>
        <v>3.0249999999999999</v>
      </c>
      <c r="J87" s="40">
        <f>SUM(J88)</f>
        <v>0</v>
      </c>
      <c r="K87" s="40">
        <f>SUM(K88:K89)</f>
        <v>0</v>
      </c>
      <c r="L87" s="40">
        <f>SUM(L88)</f>
        <v>0</v>
      </c>
      <c r="M87" s="40">
        <f>SUM(M88)</f>
        <v>0</v>
      </c>
      <c r="N87" s="40">
        <f>SUM(I87:M87)</f>
        <v>3.0249999999999999</v>
      </c>
      <c r="O87" s="40">
        <f>SUM(O88:O89)</f>
        <v>236.23337000000001</v>
      </c>
      <c r="P87" s="40">
        <f>SUM(P88:P89)</f>
        <v>0</v>
      </c>
      <c r="Q87" s="40">
        <f>SUM(Q88:Q89)</f>
        <v>2485.9895000000001</v>
      </c>
      <c r="R87" s="40">
        <f>SUM(R88:R89)</f>
        <v>0</v>
      </c>
      <c r="S87" s="40">
        <f>SUM(S88:S89)</f>
        <v>0</v>
      </c>
      <c r="T87" s="40">
        <f>SUM(O87:S87)</f>
        <v>2722.2228700000001</v>
      </c>
      <c r="U87" s="40">
        <f>SUM(U88+U89)</f>
        <v>961240</v>
      </c>
      <c r="V87" s="41">
        <f>N87+T87+U87</f>
        <v>963965.24786999996</v>
      </c>
      <c r="W87" s="42">
        <f>SUM(W88:W89)</f>
        <v>3228.9845</v>
      </c>
      <c r="X87" s="252" t="s">
        <v>48</v>
      </c>
      <c r="Y87" s="253"/>
      <c r="Z87" s="39" t="s">
        <v>48</v>
      </c>
      <c r="AA87" s="39" t="s">
        <v>48</v>
      </c>
      <c r="AB87" s="39" t="s">
        <v>48</v>
      </c>
      <c r="AC87" s="39" t="s">
        <v>48</v>
      </c>
      <c r="AD87" s="39" t="s">
        <v>48</v>
      </c>
      <c r="AE87" s="52"/>
    </row>
    <row r="88" spans="1:31" ht="94.5" x14ac:dyDescent="0.2">
      <c r="A88" s="289"/>
      <c r="B88" s="4" t="s">
        <v>627</v>
      </c>
      <c r="C88" s="10" t="s">
        <v>628</v>
      </c>
      <c r="D88" s="1" t="s">
        <v>118</v>
      </c>
      <c r="E88" s="1" t="s">
        <v>7</v>
      </c>
      <c r="F88" s="43">
        <v>9.5589999999999993</v>
      </c>
      <c r="G88" s="1" t="s">
        <v>152</v>
      </c>
      <c r="H88" s="1" t="s">
        <v>47</v>
      </c>
      <c r="I88" s="43">
        <v>3.0249999999999999</v>
      </c>
      <c r="J88" s="43">
        <v>0</v>
      </c>
      <c r="K88" s="43">
        <v>0</v>
      </c>
      <c r="L88" s="43">
        <v>0</v>
      </c>
      <c r="M88" s="43">
        <v>0</v>
      </c>
      <c r="N88" s="43">
        <f t="shared" si="29"/>
        <v>3.0249999999999999</v>
      </c>
      <c r="O88" s="43">
        <v>236.23337000000001</v>
      </c>
      <c r="P88" s="43">
        <v>0</v>
      </c>
      <c r="Q88" s="43">
        <v>0</v>
      </c>
      <c r="R88" s="43">
        <v>0</v>
      </c>
      <c r="S88" s="43">
        <v>0</v>
      </c>
      <c r="T88" s="43">
        <f t="shared" si="30"/>
        <v>236.23337000000001</v>
      </c>
      <c r="U88" s="43">
        <v>960740</v>
      </c>
      <c r="V88" s="30">
        <f>SUM(N88+T88+U88)</f>
        <v>960979.25837000005</v>
      </c>
      <c r="W88" s="26" t="s">
        <v>48</v>
      </c>
      <c r="X88" s="213">
        <v>1200</v>
      </c>
      <c r="Y88" s="213"/>
      <c r="Z88" s="1" t="s">
        <v>7</v>
      </c>
      <c r="AA88" s="10" t="s">
        <v>629</v>
      </c>
      <c r="AB88" s="10" t="s">
        <v>48</v>
      </c>
      <c r="AC88" s="10" t="s">
        <v>538</v>
      </c>
      <c r="AD88" s="10" t="s">
        <v>630</v>
      </c>
      <c r="AE88" s="47"/>
    </row>
    <row r="89" spans="1:31" ht="54" x14ac:dyDescent="0.2">
      <c r="A89" s="25"/>
      <c r="B89" s="4" t="s">
        <v>631</v>
      </c>
      <c r="C89" s="10" t="s">
        <v>632</v>
      </c>
      <c r="D89" s="1" t="s">
        <v>633</v>
      </c>
      <c r="E89" s="1" t="s">
        <v>69</v>
      </c>
      <c r="F89" s="43">
        <v>0</v>
      </c>
      <c r="G89" s="1" t="s">
        <v>152</v>
      </c>
      <c r="H89" s="1"/>
      <c r="I89" s="43">
        <v>0</v>
      </c>
      <c r="J89" s="43">
        <v>0</v>
      </c>
      <c r="K89" s="43">
        <v>0</v>
      </c>
      <c r="L89" s="43">
        <v>0</v>
      </c>
      <c r="M89" s="43">
        <v>0</v>
      </c>
      <c r="N89" s="43">
        <v>0</v>
      </c>
      <c r="O89" s="43">
        <v>0</v>
      </c>
      <c r="P89" s="43">
        <v>0</v>
      </c>
      <c r="Q89" s="43">
        <v>2485.9895000000001</v>
      </c>
      <c r="R89" s="43">
        <v>0</v>
      </c>
      <c r="S89" s="43">
        <v>0</v>
      </c>
      <c r="T89" s="43">
        <f t="shared" si="30"/>
        <v>2485.9895000000001</v>
      </c>
      <c r="U89" s="43">
        <v>500</v>
      </c>
      <c r="V89" s="30">
        <f>SUM(U89+T89+N89)</f>
        <v>2985.9895000000001</v>
      </c>
      <c r="W89" s="26">
        <v>3228.9845</v>
      </c>
      <c r="X89" s="209">
        <f>SUM(V89+W89)</f>
        <v>6214.9740000000002</v>
      </c>
      <c r="Y89" s="210"/>
      <c r="Z89" s="1" t="s">
        <v>7</v>
      </c>
      <c r="AA89" s="282" t="s">
        <v>634</v>
      </c>
      <c r="AB89" s="283"/>
      <c r="AC89" s="10" t="s">
        <v>635</v>
      </c>
      <c r="AD89" s="10" t="s">
        <v>636</v>
      </c>
      <c r="AE89" s="47"/>
    </row>
    <row r="90" spans="1:31" x14ac:dyDescent="0.2">
      <c r="A90" s="284"/>
      <c r="B90" s="285" t="s">
        <v>637</v>
      </c>
      <c r="C90" s="286"/>
      <c r="D90" s="59" t="s">
        <v>638</v>
      </c>
      <c r="E90" s="59" t="s">
        <v>48</v>
      </c>
      <c r="F90" s="60">
        <f>F91+F99+F103+F106+F108</f>
        <v>832.62799999999993</v>
      </c>
      <c r="G90" s="59" t="s">
        <v>48</v>
      </c>
      <c r="H90" s="59"/>
      <c r="I90" s="60">
        <f>I91+I99+I103+I106+I108</f>
        <v>414.64800000000002</v>
      </c>
      <c r="J90" s="60">
        <f t="shared" ref="J90:M90" si="34">J91+J99+J103+J106+J108</f>
        <v>1014.403</v>
      </c>
      <c r="K90" s="60">
        <f t="shared" si="34"/>
        <v>1249.6242999999999</v>
      </c>
      <c r="L90" s="60">
        <f t="shared" si="34"/>
        <v>0</v>
      </c>
      <c r="M90" s="60">
        <f t="shared" si="34"/>
        <v>5640.4206999999997</v>
      </c>
      <c r="N90" s="60">
        <f t="shared" si="29"/>
        <v>8319.0959999999995</v>
      </c>
      <c r="O90" s="60">
        <f>O91+O99+O103+O106+O108</f>
        <v>688</v>
      </c>
      <c r="P90" s="60">
        <f t="shared" ref="P90:S90" si="35">P91+P99+P103+P106+P108</f>
        <v>0</v>
      </c>
      <c r="Q90" s="60">
        <f t="shared" si="35"/>
        <v>2308.5100000000002</v>
      </c>
      <c r="R90" s="60">
        <f t="shared" si="35"/>
        <v>0</v>
      </c>
      <c r="S90" s="60">
        <f t="shared" si="35"/>
        <v>3251.31</v>
      </c>
      <c r="T90" s="60">
        <f t="shared" si="30"/>
        <v>6247.82</v>
      </c>
      <c r="U90" s="60">
        <f>U91+U99+U103+U106+U108</f>
        <v>9140.44</v>
      </c>
      <c r="V90" s="60">
        <f t="shared" si="31"/>
        <v>23707.356</v>
      </c>
      <c r="W90" s="61">
        <f>SUM(W91+W99+W106+W108)</f>
        <v>4318.6899999999996</v>
      </c>
      <c r="X90" s="287" t="s">
        <v>48</v>
      </c>
      <c r="Y90" s="288"/>
      <c r="Z90" s="62" t="s">
        <v>48</v>
      </c>
      <c r="AA90" s="62" t="s">
        <v>48</v>
      </c>
      <c r="AB90" s="62" t="s">
        <v>48</v>
      </c>
      <c r="AC90" s="62" t="s">
        <v>48</v>
      </c>
      <c r="AD90" s="62" t="s">
        <v>48</v>
      </c>
      <c r="AE90" s="52"/>
    </row>
    <row r="91" spans="1:31" x14ac:dyDescent="0.2">
      <c r="A91" s="284"/>
      <c r="B91" s="281" t="s">
        <v>639</v>
      </c>
      <c r="C91" s="256"/>
      <c r="D91" s="38" t="s">
        <v>640</v>
      </c>
      <c r="E91" s="38" t="s">
        <v>48</v>
      </c>
      <c r="F91" s="40">
        <f>SUM(F92:F98)</f>
        <v>535.62799999999993</v>
      </c>
      <c r="G91" s="38" t="s">
        <v>48</v>
      </c>
      <c r="H91" s="38"/>
      <c r="I91" s="40">
        <f>SUM(I92:I98)</f>
        <v>181.44499999999999</v>
      </c>
      <c r="J91" s="40">
        <f t="shared" ref="J91:M91" si="36">SUM(J92:J98)</f>
        <v>1014.403</v>
      </c>
      <c r="K91" s="40">
        <f t="shared" si="36"/>
        <v>1207.51</v>
      </c>
      <c r="L91" s="40">
        <f t="shared" si="36"/>
        <v>0</v>
      </c>
      <c r="M91" s="40">
        <f t="shared" si="36"/>
        <v>4844</v>
      </c>
      <c r="N91" s="40">
        <f>SUM(I91:M91)</f>
        <v>7247.3580000000002</v>
      </c>
      <c r="O91" s="40">
        <f>SUM(O92:O98)</f>
        <v>175</v>
      </c>
      <c r="P91" s="40">
        <f t="shared" ref="P91:S91" si="37">SUM(P92:P98)</f>
        <v>0</v>
      </c>
      <c r="Q91" s="40">
        <f t="shared" si="37"/>
        <v>0</v>
      </c>
      <c r="R91" s="40">
        <f t="shared" si="37"/>
        <v>0</v>
      </c>
      <c r="S91" s="40">
        <f t="shared" si="37"/>
        <v>2139.52</v>
      </c>
      <c r="T91" s="40">
        <f>SUM(O91:S91)</f>
        <v>2314.52</v>
      </c>
      <c r="U91" s="40">
        <f>SUM(U92:U98)</f>
        <v>7210</v>
      </c>
      <c r="V91" s="41">
        <f>N91+T91+U91</f>
        <v>16771.878000000001</v>
      </c>
      <c r="W91" s="42">
        <f>SUM(W92:W98)</f>
        <v>442</v>
      </c>
      <c r="X91" s="252" t="s">
        <v>48</v>
      </c>
      <c r="Y91" s="253"/>
      <c r="Z91" s="39" t="s">
        <v>48</v>
      </c>
      <c r="AA91" s="39" t="s">
        <v>48</v>
      </c>
      <c r="AB91" s="39" t="s">
        <v>48</v>
      </c>
      <c r="AC91" s="39" t="s">
        <v>48</v>
      </c>
      <c r="AD91" s="39" t="s">
        <v>48</v>
      </c>
      <c r="AE91" s="52"/>
    </row>
    <row r="92" spans="1:31" ht="148.5" x14ac:dyDescent="0.2">
      <c r="A92" s="284"/>
      <c r="B92" s="63" t="s">
        <v>641</v>
      </c>
      <c r="C92" s="10" t="s">
        <v>642</v>
      </c>
      <c r="D92" s="1" t="s">
        <v>643</v>
      </c>
      <c r="E92" s="1" t="s">
        <v>7</v>
      </c>
      <c r="F92" s="43">
        <v>52.182000000000002</v>
      </c>
      <c r="G92" s="1" t="s">
        <v>46</v>
      </c>
      <c r="H92" s="1" t="s">
        <v>47</v>
      </c>
      <c r="I92" s="43">
        <v>0</v>
      </c>
      <c r="J92" s="43">
        <v>671.82600000000002</v>
      </c>
      <c r="K92" s="43">
        <v>439.09399999999999</v>
      </c>
      <c r="L92" s="43">
        <v>0</v>
      </c>
      <c r="M92" s="43">
        <v>0</v>
      </c>
      <c r="N92" s="43">
        <f t="shared" si="29"/>
        <v>1110.92</v>
      </c>
      <c r="O92" s="43">
        <v>0</v>
      </c>
      <c r="P92" s="43">
        <v>0</v>
      </c>
      <c r="Q92" s="43">
        <v>0</v>
      </c>
      <c r="R92" s="43">
        <v>0</v>
      </c>
      <c r="S92" s="43">
        <v>0</v>
      </c>
      <c r="T92" s="43">
        <f t="shared" si="30"/>
        <v>0</v>
      </c>
      <c r="U92" s="43">
        <v>0</v>
      </c>
      <c r="V92" s="30">
        <f>N92+T92+U92</f>
        <v>1110.92</v>
      </c>
      <c r="W92" s="26" t="s">
        <v>48</v>
      </c>
      <c r="X92" s="209">
        <f>V92</f>
        <v>1110.92</v>
      </c>
      <c r="Y92" s="210"/>
      <c r="Z92" s="1" t="s">
        <v>7</v>
      </c>
      <c r="AA92" s="10" t="s">
        <v>644</v>
      </c>
      <c r="AB92" s="10" t="s">
        <v>645</v>
      </c>
      <c r="AC92" s="10" t="s">
        <v>49</v>
      </c>
      <c r="AD92" s="10" t="s">
        <v>159</v>
      </c>
      <c r="AE92" s="47"/>
    </row>
    <row r="93" spans="1:31" ht="121.5" x14ac:dyDescent="0.2">
      <c r="A93" s="284"/>
      <c r="B93" s="63" t="s">
        <v>646</v>
      </c>
      <c r="C93" s="10" t="s">
        <v>647</v>
      </c>
      <c r="D93" s="1" t="s">
        <v>643</v>
      </c>
      <c r="E93" s="1" t="s">
        <v>7</v>
      </c>
      <c r="F93" s="43">
        <v>22.446000000000002</v>
      </c>
      <c r="G93" s="1" t="s">
        <v>46</v>
      </c>
      <c r="H93" s="1" t="s">
        <v>47</v>
      </c>
      <c r="I93" s="43">
        <v>6.4450000000000003</v>
      </c>
      <c r="J93" s="43">
        <v>342.577</v>
      </c>
      <c r="K93" s="43">
        <v>768.41600000000005</v>
      </c>
      <c r="L93" s="43">
        <v>0</v>
      </c>
      <c r="M93" s="43">
        <v>0</v>
      </c>
      <c r="N93" s="43">
        <f t="shared" ref="N93:N98" si="38">SUM(I93:M93)</f>
        <v>1117.4380000000001</v>
      </c>
      <c r="O93" s="43">
        <v>0</v>
      </c>
      <c r="P93" s="43">
        <v>0</v>
      </c>
      <c r="Q93" s="43">
        <v>0</v>
      </c>
      <c r="R93" s="43">
        <v>0</v>
      </c>
      <c r="S93" s="43">
        <v>0</v>
      </c>
      <c r="T93" s="43">
        <f t="shared" si="30"/>
        <v>0</v>
      </c>
      <c r="U93" s="43">
        <v>0</v>
      </c>
      <c r="V93" s="30">
        <f t="shared" si="31"/>
        <v>1117.4380000000001</v>
      </c>
      <c r="W93" s="26" t="s">
        <v>48</v>
      </c>
      <c r="X93" s="213">
        <f>V93</f>
        <v>1117.4380000000001</v>
      </c>
      <c r="Y93" s="213"/>
      <c r="Z93" s="1" t="s">
        <v>7</v>
      </c>
      <c r="AA93" s="10" t="s">
        <v>648</v>
      </c>
      <c r="AB93" s="10" t="s">
        <v>649</v>
      </c>
      <c r="AC93" s="10" t="s">
        <v>49</v>
      </c>
      <c r="AD93" s="10" t="s">
        <v>159</v>
      </c>
      <c r="AE93" s="47"/>
    </row>
    <row r="94" spans="1:31" ht="54" x14ac:dyDescent="0.2">
      <c r="A94" s="284"/>
      <c r="B94" s="63" t="s">
        <v>650</v>
      </c>
      <c r="C94" s="10" t="s">
        <v>651</v>
      </c>
      <c r="D94" s="1" t="s">
        <v>234</v>
      </c>
      <c r="E94" s="1" t="s">
        <v>7</v>
      </c>
      <c r="F94" s="43">
        <v>89</v>
      </c>
      <c r="G94" s="1" t="s">
        <v>46</v>
      </c>
      <c r="H94" s="1" t="s">
        <v>47</v>
      </c>
      <c r="I94" s="43">
        <v>0</v>
      </c>
      <c r="J94" s="43">
        <v>0</v>
      </c>
      <c r="K94" s="43">
        <v>0</v>
      </c>
      <c r="L94" s="43">
        <v>0</v>
      </c>
      <c r="M94" s="43">
        <v>1742</v>
      </c>
      <c r="N94" s="43">
        <f t="shared" si="38"/>
        <v>1742</v>
      </c>
      <c r="O94" s="43">
        <v>0</v>
      </c>
      <c r="P94" s="43">
        <v>0</v>
      </c>
      <c r="Q94" s="43">
        <v>0</v>
      </c>
      <c r="R94" s="43">
        <v>0</v>
      </c>
      <c r="S94" s="43">
        <v>2139.52</v>
      </c>
      <c r="T94" s="43">
        <f t="shared" si="30"/>
        <v>2139.52</v>
      </c>
      <c r="U94" s="43">
        <v>0</v>
      </c>
      <c r="V94" s="30">
        <f t="shared" si="31"/>
        <v>3881.52</v>
      </c>
      <c r="W94" s="26" t="s">
        <v>48</v>
      </c>
      <c r="X94" s="213">
        <f>V94</f>
        <v>3881.52</v>
      </c>
      <c r="Y94" s="213"/>
      <c r="Z94" s="1" t="s">
        <v>69</v>
      </c>
      <c r="AA94" s="10" t="s">
        <v>652</v>
      </c>
      <c r="AB94" s="10" t="s">
        <v>653</v>
      </c>
      <c r="AC94" s="10" t="s">
        <v>58</v>
      </c>
      <c r="AD94" s="10" t="s">
        <v>124</v>
      </c>
      <c r="AE94" s="47"/>
    </row>
    <row r="95" spans="1:31" ht="67.5" x14ac:dyDescent="0.2">
      <c r="A95" s="284"/>
      <c r="B95" s="63" t="s">
        <v>654</v>
      </c>
      <c r="C95" s="10" t="s">
        <v>655</v>
      </c>
      <c r="D95" s="1" t="s">
        <v>234</v>
      </c>
      <c r="E95" s="1" t="s">
        <v>7</v>
      </c>
      <c r="F95" s="43">
        <v>27</v>
      </c>
      <c r="G95" s="1" t="s">
        <v>152</v>
      </c>
      <c r="H95" s="1" t="s">
        <v>47</v>
      </c>
      <c r="I95" s="43">
        <v>175</v>
      </c>
      <c r="J95" s="43">
        <v>0</v>
      </c>
      <c r="K95" s="43">
        <v>0</v>
      </c>
      <c r="L95" s="43">
        <v>0</v>
      </c>
      <c r="M95" s="43">
        <v>0</v>
      </c>
      <c r="N95" s="43">
        <f t="shared" si="38"/>
        <v>175</v>
      </c>
      <c r="O95" s="43">
        <v>175</v>
      </c>
      <c r="P95" s="43">
        <v>0</v>
      </c>
      <c r="Q95" s="43">
        <v>0</v>
      </c>
      <c r="R95" s="43">
        <v>0</v>
      </c>
      <c r="S95" s="43">
        <v>0</v>
      </c>
      <c r="T95" s="43">
        <f t="shared" si="30"/>
        <v>175</v>
      </c>
      <c r="U95" s="43">
        <v>7070</v>
      </c>
      <c r="V95" s="30">
        <f t="shared" si="31"/>
        <v>7420</v>
      </c>
      <c r="W95" s="26" t="s">
        <v>48</v>
      </c>
      <c r="X95" s="213">
        <f>V95</f>
        <v>7420</v>
      </c>
      <c r="Y95" s="213"/>
      <c r="Z95" s="1" t="s">
        <v>7</v>
      </c>
      <c r="AA95" s="10" t="s">
        <v>656</v>
      </c>
      <c r="AB95" s="10" t="s">
        <v>657</v>
      </c>
      <c r="AC95" s="10" t="s">
        <v>58</v>
      </c>
      <c r="AD95" s="10" t="s">
        <v>124</v>
      </c>
      <c r="AE95" s="47"/>
    </row>
    <row r="96" spans="1:31" ht="121.5" x14ac:dyDescent="0.2">
      <c r="A96" s="284"/>
      <c r="B96" s="63" t="s">
        <v>658</v>
      </c>
      <c r="C96" s="10" t="s">
        <v>659</v>
      </c>
      <c r="D96" s="1" t="s">
        <v>234</v>
      </c>
      <c r="E96" s="1" t="s">
        <v>7</v>
      </c>
      <c r="F96" s="43">
        <v>0</v>
      </c>
      <c r="G96" s="1" t="s">
        <v>46</v>
      </c>
      <c r="H96" s="1" t="s">
        <v>47</v>
      </c>
      <c r="I96" s="43">
        <v>0</v>
      </c>
      <c r="J96" s="43">
        <v>0</v>
      </c>
      <c r="K96" s="43">
        <v>0</v>
      </c>
      <c r="L96" s="43">
        <v>0</v>
      </c>
      <c r="M96" s="43">
        <v>0</v>
      </c>
      <c r="N96" s="43">
        <f t="shared" si="38"/>
        <v>0</v>
      </c>
      <c r="O96" s="43">
        <v>0</v>
      </c>
      <c r="P96" s="43">
        <v>0</v>
      </c>
      <c r="Q96" s="43">
        <v>0</v>
      </c>
      <c r="R96" s="43">
        <v>0</v>
      </c>
      <c r="S96" s="43">
        <v>0</v>
      </c>
      <c r="T96" s="43">
        <f t="shared" si="30"/>
        <v>0</v>
      </c>
      <c r="U96" s="43">
        <f>50+40</f>
        <v>90</v>
      </c>
      <c r="V96" s="30">
        <f t="shared" si="31"/>
        <v>90</v>
      </c>
      <c r="W96" s="26">
        <f>X96-V96</f>
        <v>192</v>
      </c>
      <c r="X96" s="213">
        <v>282</v>
      </c>
      <c r="Y96" s="213"/>
      <c r="Z96" s="1" t="s">
        <v>7</v>
      </c>
      <c r="AA96" s="10" t="s">
        <v>660</v>
      </c>
      <c r="AB96" s="10" t="s">
        <v>48</v>
      </c>
      <c r="AC96" s="10" t="s">
        <v>58</v>
      </c>
      <c r="AD96" s="10" t="s">
        <v>124</v>
      </c>
      <c r="AE96" s="47"/>
    </row>
    <row r="97" spans="1:31" ht="40.5" x14ac:dyDescent="0.2">
      <c r="A97" s="284"/>
      <c r="B97" s="63" t="s">
        <v>661</v>
      </c>
      <c r="C97" s="10" t="s">
        <v>662</v>
      </c>
      <c r="D97" s="1" t="s">
        <v>234</v>
      </c>
      <c r="E97" s="1" t="s">
        <v>7</v>
      </c>
      <c r="F97" s="43">
        <v>0</v>
      </c>
      <c r="G97" s="1" t="s">
        <v>152</v>
      </c>
      <c r="H97" s="1" t="s">
        <v>47</v>
      </c>
      <c r="I97" s="43">
        <v>0</v>
      </c>
      <c r="J97" s="43">
        <v>0</v>
      </c>
      <c r="K97" s="43">
        <v>0</v>
      </c>
      <c r="L97" s="43">
        <v>0</v>
      </c>
      <c r="M97" s="43">
        <v>0</v>
      </c>
      <c r="N97" s="43">
        <f t="shared" si="38"/>
        <v>0</v>
      </c>
      <c r="O97" s="43">
        <v>0</v>
      </c>
      <c r="P97" s="43">
        <v>0</v>
      </c>
      <c r="Q97" s="43">
        <v>0</v>
      </c>
      <c r="R97" s="43">
        <v>0</v>
      </c>
      <c r="S97" s="43">
        <v>0</v>
      </c>
      <c r="T97" s="43">
        <f t="shared" si="30"/>
        <v>0</v>
      </c>
      <c r="U97" s="43">
        <v>50</v>
      </c>
      <c r="V97" s="30">
        <f t="shared" si="31"/>
        <v>50</v>
      </c>
      <c r="W97" s="26">
        <v>250</v>
      </c>
      <c r="X97" s="213">
        <v>300</v>
      </c>
      <c r="Y97" s="213"/>
      <c r="Z97" s="1" t="s">
        <v>69</v>
      </c>
      <c r="AA97" s="10" t="s">
        <v>554</v>
      </c>
      <c r="AB97" s="10" t="s">
        <v>48</v>
      </c>
      <c r="AC97" s="10" t="s">
        <v>538</v>
      </c>
      <c r="AD97" s="10" t="s">
        <v>159</v>
      </c>
      <c r="AE97" s="47"/>
    </row>
    <row r="98" spans="1:31" ht="54" x14ac:dyDescent="0.2">
      <c r="A98" s="284"/>
      <c r="B98" s="63" t="s">
        <v>56</v>
      </c>
      <c r="C98" s="64" t="s">
        <v>663</v>
      </c>
      <c r="D98" s="1" t="s">
        <v>234</v>
      </c>
      <c r="E98" s="1" t="s">
        <v>7</v>
      </c>
      <c r="F98" s="43">
        <v>345</v>
      </c>
      <c r="G98" s="1" t="s">
        <v>46</v>
      </c>
      <c r="H98" s="1" t="s">
        <v>65</v>
      </c>
      <c r="I98" s="43">
        <v>0</v>
      </c>
      <c r="J98" s="43">
        <v>0</v>
      </c>
      <c r="K98" s="43">
        <v>0</v>
      </c>
      <c r="L98" s="43">
        <v>0</v>
      </c>
      <c r="M98" s="43">
        <v>3102</v>
      </c>
      <c r="N98" s="43">
        <f t="shared" si="38"/>
        <v>3102</v>
      </c>
      <c r="O98" s="43">
        <v>0</v>
      </c>
      <c r="P98" s="43">
        <v>0</v>
      </c>
      <c r="Q98" s="43">
        <v>0</v>
      </c>
      <c r="R98" s="43">
        <v>0</v>
      </c>
      <c r="S98" s="43">
        <v>0</v>
      </c>
      <c r="T98" s="43">
        <f t="shared" si="30"/>
        <v>0</v>
      </c>
      <c r="U98" s="43">
        <v>0</v>
      </c>
      <c r="V98" s="30">
        <f t="shared" si="31"/>
        <v>3102</v>
      </c>
      <c r="W98" s="26" t="s">
        <v>48</v>
      </c>
      <c r="X98" s="209">
        <f>V98</f>
        <v>3102</v>
      </c>
      <c r="Y98" s="210"/>
      <c r="Z98" s="1" t="s">
        <v>7</v>
      </c>
      <c r="AA98" s="10" t="s">
        <v>664</v>
      </c>
      <c r="AB98" s="10" t="s">
        <v>57</v>
      </c>
      <c r="AC98" s="10" t="s">
        <v>58</v>
      </c>
      <c r="AD98" s="10" t="s">
        <v>124</v>
      </c>
      <c r="AE98" s="47"/>
    </row>
    <row r="99" spans="1:31" x14ac:dyDescent="0.2">
      <c r="A99" s="284"/>
      <c r="B99" s="281" t="s">
        <v>665</v>
      </c>
      <c r="C99" s="256"/>
      <c r="D99" s="38" t="s">
        <v>666</v>
      </c>
      <c r="E99" s="38" t="s">
        <v>48</v>
      </c>
      <c r="F99" s="40">
        <f>SUM(F100:F102)</f>
        <v>297</v>
      </c>
      <c r="G99" s="38" t="s">
        <v>48</v>
      </c>
      <c r="H99" s="38"/>
      <c r="I99" s="40">
        <f>SUM(I100:I102)</f>
        <v>0</v>
      </c>
      <c r="J99" s="40">
        <f>SUM(J100:J102)</f>
        <v>0</v>
      </c>
      <c r="K99" s="40">
        <f>SUM(K100:K102)</f>
        <v>42.1143</v>
      </c>
      <c r="L99" s="40">
        <f>SUM(L100:L102)</f>
        <v>0</v>
      </c>
      <c r="M99" s="40">
        <f>SUM(M100:M102)</f>
        <v>796.42070000000001</v>
      </c>
      <c r="N99" s="40">
        <f>SUM(I99:M99)</f>
        <v>838.53499999999997</v>
      </c>
      <c r="O99" s="40">
        <f>SUM(O100:O102)</f>
        <v>0</v>
      </c>
      <c r="P99" s="40">
        <f>SUM(P100:P102)</f>
        <v>0</v>
      </c>
      <c r="Q99" s="40">
        <f>SUM(Q100:Q102)</f>
        <v>2008.51</v>
      </c>
      <c r="R99" s="40">
        <f>SUM(R100:R102)</f>
        <v>0</v>
      </c>
      <c r="S99" s="40">
        <f>SUM(S100:S102)</f>
        <v>1111.79</v>
      </c>
      <c r="T99" s="40">
        <f>SUM(O99:S99)</f>
        <v>3120.3</v>
      </c>
      <c r="U99" s="40">
        <f>SUM(U100:U102)</f>
        <v>461</v>
      </c>
      <c r="V99" s="41">
        <f>N99+T99+U99</f>
        <v>4419.835</v>
      </c>
      <c r="W99" s="42">
        <f>SUM(W100:W102)</f>
        <v>0</v>
      </c>
      <c r="X99" s="252" t="s">
        <v>48</v>
      </c>
      <c r="Y99" s="253"/>
      <c r="Z99" s="39" t="s">
        <v>48</v>
      </c>
      <c r="AA99" s="39" t="s">
        <v>48</v>
      </c>
      <c r="AB99" s="39" t="s">
        <v>48</v>
      </c>
      <c r="AC99" s="39" t="s">
        <v>48</v>
      </c>
      <c r="AD99" s="39" t="s">
        <v>48</v>
      </c>
      <c r="AE99" s="52"/>
    </row>
    <row r="100" spans="1:31" ht="243" x14ac:dyDescent="0.2">
      <c r="A100" s="284"/>
      <c r="B100" s="63" t="s">
        <v>667</v>
      </c>
      <c r="C100" s="10" t="s">
        <v>668</v>
      </c>
      <c r="D100" s="1" t="s">
        <v>669</v>
      </c>
      <c r="E100" s="1" t="s">
        <v>7</v>
      </c>
      <c r="F100" s="43">
        <v>297</v>
      </c>
      <c r="G100" s="1" t="s">
        <v>46</v>
      </c>
      <c r="H100" s="1" t="s">
        <v>47</v>
      </c>
      <c r="I100" s="43">
        <v>0</v>
      </c>
      <c r="J100" s="43">
        <v>0</v>
      </c>
      <c r="K100" s="43">
        <v>0</v>
      </c>
      <c r="L100" s="43">
        <v>0</v>
      </c>
      <c r="M100" s="43">
        <v>384</v>
      </c>
      <c r="N100" s="43">
        <f>SUM(I100:M100)</f>
        <v>384</v>
      </c>
      <c r="O100" s="43">
        <v>0</v>
      </c>
      <c r="P100" s="43">
        <v>0</v>
      </c>
      <c r="Q100" s="43">
        <v>0</v>
      </c>
      <c r="R100" s="43">
        <v>0</v>
      </c>
      <c r="S100" s="43">
        <v>71</v>
      </c>
      <c r="T100" s="43">
        <f>SUM(O100:S100)</f>
        <v>71</v>
      </c>
      <c r="U100" s="43">
        <v>27</v>
      </c>
      <c r="V100" s="30">
        <f t="shared" si="31"/>
        <v>482</v>
      </c>
      <c r="W100" s="26" t="s">
        <v>48</v>
      </c>
      <c r="X100" s="213">
        <f>V100</f>
        <v>482</v>
      </c>
      <c r="Y100" s="213"/>
      <c r="Z100" s="1" t="s">
        <v>69</v>
      </c>
      <c r="AA100" s="10" t="s">
        <v>670</v>
      </c>
      <c r="AB100" s="10" t="s">
        <v>671</v>
      </c>
      <c r="AC100" s="10" t="s">
        <v>672</v>
      </c>
      <c r="AD100" s="10" t="s">
        <v>124</v>
      </c>
      <c r="AE100" s="47"/>
    </row>
    <row r="101" spans="1:31" ht="67.5" x14ac:dyDescent="0.2">
      <c r="A101" s="284"/>
      <c r="B101" s="63" t="s">
        <v>673</v>
      </c>
      <c r="C101" s="10" t="s">
        <v>674</v>
      </c>
      <c r="D101" s="1" t="s">
        <v>675</v>
      </c>
      <c r="E101" s="1" t="s">
        <v>7</v>
      </c>
      <c r="F101" s="43">
        <v>0</v>
      </c>
      <c r="G101" s="1" t="s">
        <v>46</v>
      </c>
      <c r="H101" s="1" t="s">
        <v>47</v>
      </c>
      <c r="I101" s="43">
        <v>0</v>
      </c>
      <c r="J101" s="43">
        <v>0</v>
      </c>
      <c r="K101" s="43">
        <v>0</v>
      </c>
      <c r="L101" s="43">
        <v>0</v>
      </c>
      <c r="M101" s="43">
        <v>40</v>
      </c>
      <c r="N101" s="43">
        <f t="shared" ref="N101:N102" si="39">SUM(I101:M101)</f>
        <v>40</v>
      </c>
      <c r="O101" s="43">
        <v>0</v>
      </c>
      <c r="P101" s="43">
        <v>0</v>
      </c>
      <c r="Q101" s="43">
        <v>742</v>
      </c>
      <c r="R101" s="43">
        <v>0</v>
      </c>
      <c r="S101" s="43">
        <v>318</v>
      </c>
      <c r="T101" s="43">
        <f t="shared" ref="T101:T102" si="40">SUM(O101:S101)</f>
        <v>1060</v>
      </c>
      <c r="U101" s="43">
        <v>184</v>
      </c>
      <c r="V101" s="30">
        <f t="shared" si="31"/>
        <v>1284</v>
      </c>
      <c r="W101" s="26" t="s">
        <v>48</v>
      </c>
      <c r="X101" s="213">
        <v>1284</v>
      </c>
      <c r="Y101" s="213"/>
      <c r="Z101" s="1" t="s">
        <v>7</v>
      </c>
      <c r="AA101" s="10" t="s">
        <v>676</v>
      </c>
      <c r="AB101" s="10" t="s">
        <v>227</v>
      </c>
      <c r="AC101" s="10" t="s">
        <v>226</v>
      </c>
      <c r="AD101" s="10" t="s">
        <v>124</v>
      </c>
      <c r="AE101" s="47"/>
    </row>
    <row r="102" spans="1:31" ht="202.5" x14ac:dyDescent="0.2">
      <c r="A102" s="284"/>
      <c r="B102" s="63" t="s">
        <v>677</v>
      </c>
      <c r="C102" s="10" t="s">
        <v>25</v>
      </c>
      <c r="D102" s="1" t="s">
        <v>675</v>
      </c>
      <c r="E102" s="1" t="s">
        <v>7</v>
      </c>
      <c r="F102" s="43"/>
      <c r="G102" s="1" t="s">
        <v>46</v>
      </c>
      <c r="H102" s="1" t="s">
        <v>47</v>
      </c>
      <c r="I102" s="43">
        <v>0</v>
      </c>
      <c r="J102" s="43"/>
      <c r="K102" s="43">
        <v>42.1143</v>
      </c>
      <c r="L102" s="43"/>
      <c r="M102" s="43">
        <f>98.2667+40+234.154</f>
        <v>372.42070000000001</v>
      </c>
      <c r="N102" s="43">
        <f t="shared" si="39"/>
        <v>414.53500000000003</v>
      </c>
      <c r="O102" s="43"/>
      <c r="P102" s="43"/>
      <c r="Q102" s="43">
        <f>1056.51+210</f>
        <v>1266.51</v>
      </c>
      <c r="R102" s="43"/>
      <c r="S102" s="43">
        <f>452.79+90+180</f>
        <v>722.79</v>
      </c>
      <c r="T102" s="43">
        <f t="shared" si="40"/>
        <v>1989.3</v>
      </c>
      <c r="U102" s="65">
        <f>160+90</f>
        <v>250</v>
      </c>
      <c r="V102" s="30">
        <f t="shared" si="31"/>
        <v>2653.835</v>
      </c>
      <c r="W102" s="26" t="s">
        <v>48</v>
      </c>
      <c r="X102" s="213">
        <v>454.8</v>
      </c>
      <c r="Y102" s="213"/>
      <c r="Z102" s="1"/>
      <c r="AA102" s="10" t="s">
        <v>678</v>
      </c>
      <c r="AB102" s="10" t="s">
        <v>679</v>
      </c>
      <c r="AC102" s="10" t="s">
        <v>226</v>
      </c>
      <c r="AD102" s="10" t="s">
        <v>124</v>
      </c>
      <c r="AE102" s="47"/>
    </row>
    <row r="103" spans="1:31" x14ac:dyDescent="0.2">
      <c r="A103" s="284"/>
      <c r="B103" s="281" t="s">
        <v>680</v>
      </c>
      <c r="C103" s="256"/>
      <c r="D103" s="38" t="s">
        <v>681</v>
      </c>
      <c r="E103" s="39" t="s">
        <v>48</v>
      </c>
      <c r="F103" s="40">
        <f>SUM(F104:F105)</f>
        <v>0</v>
      </c>
      <c r="G103" s="39" t="s">
        <v>48</v>
      </c>
      <c r="H103" s="38"/>
      <c r="I103" s="40">
        <f>SUM(I104:I105)</f>
        <v>0</v>
      </c>
      <c r="J103" s="40">
        <f>SUM(J104:J105)</f>
        <v>0</v>
      </c>
      <c r="K103" s="40">
        <f>SUM(K104:K105)</f>
        <v>0</v>
      </c>
      <c r="L103" s="40">
        <f>SUM(L104:L105)</f>
        <v>0</v>
      </c>
      <c r="M103" s="40">
        <f>SUM(M104:M105)</f>
        <v>0</v>
      </c>
      <c r="N103" s="40">
        <f>SUM(I103:M103)</f>
        <v>0</v>
      </c>
      <c r="O103" s="40">
        <f>SUM(O104:O105)</f>
        <v>80</v>
      </c>
      <c r="P103" s="40">
        <f>SUM(P104:P105)</f>
        <v>0</v>
      </c>
      <c r="Q103" s="40">
        <f>SUM(Q104:Q105)</f>
        <v>0</v>
      </c>
      <c r="R103" s="40">
        <f>SUM(R104:R105)</f>
        <v>0</v>
      </c>
      <c r="S103" s="40">
        <f>SUM(S104:S105)</f>
        <v>0</v>
      </c>
      <c r="T103" s="40">
        <f>SUM(O103:S103)</f>
        <v>80</v>
      </c>
      <c r="U103" s="40">
        <f>SUM(U104:U105)</f>
        <v>226.35</v>
      </c>
      <c r="V103" s="41">
        <f>N103+T103+U103</f>
        <v>306.35000000000002</v>
      </c>
      <c r="W103" s="42">
        <f>SUM(W104:W105)</f>
        <v>5213.6499999999996</v>
      </c>
      <c r="X103" s="252" t="s">
        <v>48</v>
      </c>
      <c r="Y103" s="253"/>
      <c r="Z103" s="39" t="s">
        <v>48</v>
      </c>
      <c r="AA103" s="39" t="s">
        <v>48</v>
      </c>
      <c r="AB103" s="39" t="s">
        <v>48</v>
      </c>
      <c r="AC103" s="39" t="s">
        <v>48</v>
      </c>
      <c r="AD103" s="39" t="s">
        <v>48</v>
      </c>
      <c r="AE103" s="52"/>
    </row>
    <row r="104" spans="1:31" ht="40.5" x14ac:dyDescent="0.2">
      <c r="A104" s="284"/>
      <c r="B104" s="63" t="s">
        <v>682</v>
      </c>
      <c r="C104" s="10" t="s">
        <v>683</v>
      </c>
      <c r="D104" s="1" t="s">
        <v>120</v>
      </c>
      <c r="E104" s="1" t="s">
        <v>69</v>
      </c>
      <c r="F104" s="43">
        <v>0</v>
      </c>
      <c r="G104" s="1" t="s">
        <v>152</v>
      </c>
      <c r="H104" s="1" t="s">
        <v>47</v>
      </c>
      <c r="I104" s="43">
        <v>0</v>
      </c>
      <c r="J104" s="43">
        <v>0</v>
      </c>
      <c r="K104" s="43">
        <v>0</v>
      </c>
      <c r="L104" s="43">
        <v>0</v>
      </c>
      <c r="M104" s="43">
        <v>0</v>
      </c>
      <c r="N104" s="43">
        <f t="shared" ref="N104:N113" si="41">SUM(I104:M104)</f>
        <v>0</v>
      </c>
      <c r="O104" s="43">
        <v>0</v>
      </c>
      <c r="P104" s="43">
        <v>0</v>
      </c>
      <c r="Q104" s="43">
        <v>0</v>
      </c>
      <c r="R104" s="43">
        <v>0</v>
      </c>
      <c r="S104" s="43">
        <v>0</v>
      </c>
      <c r="T104" s="43">
        <f t="shared" ref="T104:T113" si="42">SUM(O104:S104)</f>
        <v>0</v>
      </c>
      <c r="U104" s="43">
        <v>140</v>
      </c>
      <c r="V104" s="30">
        <f t="shared" si="31"/>
        <v>140</v>
      </c>
      <c r="W104" s="26">
        <v>4900</v>
      </c>
      <c r="X104" s="213">
        <v>5040</v>
      </c>
      <c r="Y104" s="213"/>
      <c r="Z104" s="1" t="s">
        <v>69</v>
      </c>
      <c r="AA104" s="10" t="s">
        <v>684</v>
      </c>
      <c r="AB104" s="10" t="s">
        <v>26</v>
      </c>
      <c r="AC104" s="10" t="s">
        <v>49</v>
      </c>
      <c r="AD104" s="10" t="s">
        <v>685</v>
      </c>
      <c r="AE104" s="47"/>
    </row>
    <row r="105" spans="1:31" ht="81" x14ac:dyDescent="0.2">
      <c r="A105" s="284"/>
      <c r="B105" s="63" t="s">
        <v>686</v>
      </c>
      <c r="C105" s="10" t="s">
        <v>28</v>
      </c>
      <c r="D105" s="1" t="s">
        <v>687</v>
      </c>
      <c r="E105" s="1" t="s">
        <v>7</v>
      </c>
      <c r="F105" s="43">
        <v>0</v>
      </c>
      <c r="G105" s="1" t="s">
        <v>152</v>
      </c>
      <c r="H105" s="1" t="s">
        <v>47</v>
      </c>
      <c r="I105" s="43">
        <v>0</v>
      </c>
      <c r="J105" s="43">
        <v>0</v>
      </c>
      <c r="K105" s="43">
        <v>0</v>
      </c>
      <c r="L105" s="43">
        <v>0</v>
      </c>
      <c r="M105" s="43">
        <v>0</v>
      </c>
      <c r="N105" s="43">
        <f t="shared" si="41"/>
        <v>0</v>
      </c>
      <c r="O105" s="43">
        <v>80</v>
      </c>
      <c r="P105" s="43">
        <v>0</v>
      </c>
      <c r="Q105" s="43">
        <v>0</v>
      </c>
      <c r="R105" s="43">
        <v>0</v>
      </c>
      <c r="S105" s="43">
        <v>0</v>
      </c>
      <c r="T105" s="43">
        <f t="shared" si="42"/>
        <v>80</v>
      </c>
      <c r="U105" s="43">
        <v>86.35</v>
      </c>
      <c r="V105" s="30">
        <f t="shared" si="31"/>
        <v>166.35</v>
      </c>
      <c r="W105" s="26">
        <f>X105-V105</f>
        <v>313.64999999999998</v>
      </c>
      <c r="X105" s="213">
        <v>480</v>
      </c>
      <c r="Y105" s="213"/>
      <c r="Z105" s="1" t="s">
        <v>69</v>
      </c>
      <c r="AA105" s="10" t="s">
        <v>688</v>
      </c>
      <c r="AB105" s="10" t="s">
        <v>27</v>
      </c>
      <c r="AC105" s="10" t="s">
        <v>338</v>
      </c>
      <c r="AD105" s="10" t="s">
        <v>566</v>
      </c>
      <c r="AE105" s="47"/>
    </row>
    <row r="106" spans="1:31" x14ac:dyDescent="0.2">
      <c r="A106" s="284"/>
      <c r="B106" s="281" t="s">
        <v>689</v>
      </c>
      <c r="C106" s="256"/>
      <c r="D106" s="38" t="s">
        <v>690</v>
      </c>
      <c r="E106" s="39" t="s">
        <v>48</v>
      </c>
      <c r="F106" s="40">
        <f>SUM(F107)</f>
        <v>0</v>
      </c>
      <c r="G106" s="39" t="s">
        <v>48</v>
      </c>
      <c r="H106" s="38"/>
      <c r="I106" s="40">
        <f>SUM(I107)</f>
        <v>133.203</v>
      </c>
      <c r="J106" s="40">
        <f>SUM(J107)</f>
        <v>0</v>
      </c>
      <c r="K106" s="40">
        <f>SUM(K107)</f>
        <v>0</v>
      </c>
      <c r="L106" s="40">
        <f>SUM(L107)</f>
        <v>0</v>
      </c>
      <c r="M106" s="40">
        <f>SUM(M107)</f>
        <v>0</v>
      </c>
      <c r="N106" s="40">
        <f>SUM(I106:M106)</f>
        <v>133.203</v>
      </c>
      <c r="O106" s="40">
        <f>SUM(O107)</f>
        <v>133</v>
      </c>
      <c r="P106" s="40">
        <f>SUM(P107)</f>
        <v>0</v>
      </c>
      <c r="Q106" s="40">
        <f>SUM(Q107)</f>
        <v>0</v>
      </c>
      <c r="R106" s="40">
        <f>SUM(R107)</f>
        <v>0</v>
      </c>
      <c r="S106" s="40">
        <f>SUM(S107)</f>
        <v>0</v>
      </c>
      <c r="T106" s="40">
        <f>SUM(O106:S106)</f>
        <v>133</v>
      </c>
      <c r="U106" s="40">
        <f>SUM(U107)</f>
        <v>93.09</v>
      </c>
      <c r="V106" s="41">
        <f t="shared" si="31"/>
        <v>359.29300000000001</v>
      </c>
      <c r="W106" s="42">
        <f>SUM(W107)</f>
        <v>0</v>
      </c>
      <c r="X106" s="252" t="s">
        <v>48</v>
      </c>
      <c r="Y106" s="253"/>
      <c r="Z106" s="39" t="s">
        <v>48</v>
      </c>
      <c r="AA106" s="39" t="s">
        <v>48</v>
      </c>
      <c r="AB106" s="39" t="s">
        <v>48</v>
      </c>
      <c r="AC106" s="39" t="s">
        <v>48</v>
      </c>
      <c r="AD106" s="39" t="s">
        <v>48</v>
      </c>
      <c r="AE106" s="52"/>
    </row>
    <row r="107" spans="1:31" ht="135" x14ac:dyDescent="0.2">
      <c r="A107" s="284"/>
      <c r="B107" s="63" t="s">
        <v>691</v>
      </c>
      <c r="C107" s="10" t="s">
        <v>692</v>
      </c>
      <c r="D107" s="1" t="s">
        <v>693</v>
      </c>
      <c r="E107" s="1" t="s">
        <v>69</v>
      </c>
      <c r="F107" s="43">
        <v>0</v>
      </c>
      <c r="G107" s="1" t="s">
        <v>46</v>
      </c>
      <c r="H107" s="1" t="s">
        <v>47</v>
      </c>
      <c r="I107" s="43">
        <v>133.203</v>
      </c>
      <c r="J107" s="43">
        <v>0</v>
      </c>
      <c r="K107" s="43">
        <v>0</v>
      </c>
      <c r="L107" s="43">
        <v>0</v>
      </c>
      <c r="M107" s="43">
        <v>0</v>
      </c>
      <c r="N107" s="43">
        <f t="shared" si="41"/>
        <v>133.203</v>
      </c>
      <c r="O107" s="43">
        <v>133</v>
      </c>
      <c r="P107" s="43">
        <v>0</v>
      </c>
      <c r="Q107" s="43">
        <v>0</v>
      </c>
      <c r="R107" s="43">
        <v>0</v>
      </c>
      <c r="S107" s="43">
        <v>0</v>
      </c>
      <c r="T107" s="43">
        <f t="shared" si="42"/>
        <v>133</v>
      </c>
      <c r="U107" s="43">
        <v>93.09</v>
      </c>
      <c r="V107" s="30">
        <f t="shared" si="31"/>
        <v>359.29300000000001</v>
      </c>
      <c r="W107" s="26">
        <v>0</v>
      </c>
      <c r="X107" s="213">
        <v>360</v>
      </c>
      <c r="Y107" s="213"/>
      <c r="Z107" s="1" t="s">
        <v>81</v>
      </c>
      <c r="AA107" s="10" t="s">
        <v>694</v>
      </c>
      <c r="AB107" s="44" t="s">
        <v>48</v>
      </c>
      <c r="AC107" s="10" t="s">
        <v>695</v>
      </c>
      <c r="AD107" s="44" t="s">
        <v>48</v>
      </c>
      <c r="AE107" s="47"/>
    </row>
    <row r="108" spans="1:31" x14ac:dyDescent="0.2">
      <c r="A108" s="284"/>
      <c r="B108" s="281" t="s">
        <v>696</v>
      </c>
      <c r="C108" s="256"/>
      <c r="D108" s="38" t="s">
        <v>697</v>
      </c>
      <c r="E108" s="39" t="s">
        <v>48</v>
      </c>
      <c r="F108" s="40">
        <f>SUM(F109:F110)</f>
        <v>0</v>
      </c>
      <c r="G108" s="39" t="s">
        <v>48</v>
      </c>
      <c r="H108" s="38"/>
      <c r="I108" s="40">
        <f>SUM(I109:I110)</f>
        <v>100</v>
      </c>
      <c r="J108" s="40">
        <f>SUM(J109:J110)</f>
        <v>0</v>
      </c>
      <c r="K108" s="40">
        <f>SUM(K109:K110)</f>
        <v>0</v>
      </c>
      <c r="L108" s="40">
        <f>SUM(L109:L110)</f>
        <v>0</v>
      </c>
      <c r="M108" s="40">
        <f>SUM(M109:M110)</f>
        <v>0</v>
      </c>
      <c r="N108" s="40">
        <f>SUM(I108:M108)</f>
        <v>100</v>
      </c>
      <c r="O108" s="40">
        <f>SUM(O109:O110)</f>
        <v>300</v>
      </c>
      <c r="P108" s="40">
        <f>SUM(P109:P110)</f>
        <v>0</v>
      </c>
      <c r="Q108" s="40">
        <f>SUM(Q109:Q110)</f>
        <v>300</v>
      </c>
      <c r="R108" s="40">
        <f>SUM(R109:R110)</f>
        <v>0</v>
      </c>
      <c r="S108" s="40">
        <f>SUM(S109:S110)</f>
        <v>0</v>
      </c>
      <c r="T108" s="40">
        <f>SUM(O108:S108)</f>
        <v>600</v>
      </c>
      <c r="U108" s="40">
        <f>SUM(U109:U110)</f>
        <v>1150</v>
      </c>
      <c r="V108" s="41">
        <f>N108+T108+U108</f>
        <v>1850</v>
      </c>
      <c r="W108" s="42">
        <f>SUM(W109:W110)</f>
        <v>3876.6899999999996</v>
      </c>
      <c r="X108" s="252" t="s">
        <v>48</v>
      </c>
      <c r="Y108" s="253"/>
      <c r="Z108" s="39" t="s">
        <v>48</v>
      </c>
      <c r="AA108" s="39" t="s">
        <v>48</v>
      </c>
      <c r="AB108" s="39" t="s">
        <v>48</v>
      </c>
      <c r="AC108" s="39" t="s">
        <v>48</v>
      </c>
      <c r="AD108" s="39" t="s">
        <v>48</v>
      </c>
      <c r="AE108" s="52"/>
    </row>
    <row r="109" spans="1:31" ht="27" x14ac:dyDescent="0.2">
      <c r="A109" s="284"/>
      <c r="B109" s="63" t="s">
        <v>698</v>
      </c>
      <c r="C109" s="10" t="s">
        <v>699</v>
      </c>
      <c r="D109" s="1" t="s">
        <v>700</v>
      </c>
      <c r="E109" s="1" t="s">
        <v>7</v>
      </c>
      <c r="F109" s="43">
        <v>0</v>
      </c>
      <c r="G109" s="1" t="s">
        <v>46</v>
      </c>
      <c r="H109" s="1" t="s">
        <v>47</v>
      </c>
      <c r="I109" s="43">
        <v>100</v>
      </c>
      <c r="J109" s="43">
        <v>0</v>
      </c>
      <c r="K109" s="43">
        <v>0</v>
      </c>
      <c r="L109" s="43">
        <v>0</v>
      </c>
      <c r="M109" s="43">
        <v>0</v>
      </c>
      <c r="N109" s="43">
        <f t="shared" si="41"/>
        <v>100</v>
      </c>
      <c r="O109" s="43">
        <v>100</v>
      </c>
      <c r="P109" s="43">
        <v>0</v>
      </c>
      <c r="Q109" s="43">
        <v>0</v>
      </c>
      <c r="R109" s="43">
        <v>0</v>
      </c>
      <c r="S109" s="43">
        <v>0</v>
      </c>
      <c r="T109" s="43">
        <f t="shared" si="42"/>
        <v>100</v>
      </c>
      <c r="U109" s="43">
        <v>150</v>
      </c>
      <c r="V109" s="30">
        <f t="shared" si="31"/>
        <v>350</v>
      </c>
      <c r="W109" s="26">
        <v>250</v>
      </c>
      <c r="X109" s="213">
        <v>600</v>
      </c>
      <c r="Y109" s="213"/>
      <c r="Z109" s="1" t="s">
        <v>69</v>
      </c>
      <c r="AA109" s="10" t="s">
        <v>554</v>
      </c>
      <c r="AB109" s="44" t="s">
        <v>48</v>
      </c>
      <c r="AC109" s="10" t="s">
        <v>123</v>
      </c>
      <c r="AD109" s="10" t="s">
        <v>159</v>
      </c>
      <c r="AE109" s="47"/>
    </row>
    <row r="110" spans="1:31" ht="54" x14ac:dyDescent="0.2">
      <c r="A110" s="284"/>
      <c r="B110" s="63" t="s">
        <v>701</v>
      </c>
      <c r="C110" s="10" t="s">
        <v>30</v>
      </c>
      <c r="D110" s="1" t="s">
        <v>700</v>
      </c>
      <c r="E110" s="1" t="s">
        <v>7</v>
      </c>
      <c r="F110" s="43" t="s">
        <v>48</v>
      </c>
      <c r="G110" s="1" t="s">
        <v>152</v>
      </c>
      <c r="H110" s="1" t="s">
        <v>47</v>
      </c>
      <c r="I110" s="43">
        <v>0</v>
      </c>
      <c r="J110" s="43">
        <v>0</v>
      </c>
      <c r="K110" s="43">
        <v>0</v>
      </c>
      <c r="L110" s="43">
        <v>0</v>
      </c>
      <c r="M110" s="43">
        <v>0</v>
      </c>
      <c r="N110" s="43">
        <f t="shared" si="41"/>
        <v>0</v>
      </c>
      <c r="O110" s="43">
        <v>200</v>
      </c>
      <c r="P110" s="43">
        <v>0</v>
      </c>
      <c r="Q110" s="43">
        <v>300</v>
      </c>
      <c r="R110" s="43">
        <v>0</v>
      </c>
      <c r="S110" s="43">
        <v>0</v>
      </c>
      <c r="T110" s="43">
        <f t="shared" si="42"/>
        <v>500</v>
      </c>
      <c r="U110" s="43">
        <v>1000</v>
      </c>
      <c r="V110" s="30">
        <f t="shared" si="31"/>
        <v>1500</v>
      </c>
      <c r="W110" s="26">
        <f>X110-V110</f>
        <v>3626.6899999999996</v>
      </c>
      <c r="X110" s="213">
        <v>5126.6899999999996</v>
      </c>
      <c r="Y110" s="213"/>
      <c r="Z110" s="1" t="s">
        <v>7</v>
      </c>
      <c r="AA110" s="10" t="s">
        <v>702</v>
      </c>
      <c r="AB110" s="10" t="s">
        <v>703</v>
      </c>
      <c r="AC110" s="10" t="s">
        <v>49</v>
      </c>
      <c r="AD110" s="10" t="s">
        <v>159</v>
      </c>
      <c r="AE110" s="47"/>
    </row>
    <row r="111" spans="1:31" x14ac:dyDescent="0.2">
      <c r="A111" s="274"/>
      <c r="B111" s="277" t="s">
        <v>704</v>
      </c>
      <c r="C111" s="278"/>
      <c r="D111" s="24" t="s">
        <v>705</v>
      </c>
      <c r="E111" s="66" t="s">
        <v>48</v>
      </c>
      <c r="F111" s="67">
        <f>F112</f>
        <v>1495.9059</v>
      </c>
      <c r="G111" s="66" t="s">
        <v>48</v>
      </c>
      <c r="H111" s="68"/>
      <c r="I111" s="67">
        <f>I112</f>
        <v>1528.95289</v>
      </c>
      <c r="J111" s="67">
        <f t="shared" ref="J111:M111" si="43">J112</f>
        <v>2324.5377200000003</v>
      </c>
      <c r="K111" s="67">
        <f t="shared" si="43"/>
        <v>289.88200000000001</v>
      </c>
      <c r="L111" s="67">
        <f t="shared" si="43"/>
        <v>599.69800000000009</v>
      </c>
      <c r="M111" s="67">
        <f t="shared" si="43"/>
        <v>0</v>
      </c>
      <c r="N111" s="67">
        <f t="shared" si="41"/>
        <v>4743.0706100000007</v>
      </c>
      <c r="O111" s="67">
        <f>O112</f>
        <v>4995.2450099999996</v>
      </c>
      <c r="P111" s="67">
        <f t="shared" ref="P111:S111" si="44">P112</f>
        <v>9041.6707500000011</v>
      </c>
      <c r="Q111" s="67">
        <f t="shared" si="44"/>
        <v>249.00299999999999</v>
      </c>
      <c r="R111" s="67">
        <f t="shared" si="44"/>
        <v>1132.3048800000001</v>
      </c>
      <c r="S111" s="67">
        <f t="shared" si="44"/>
        <v>0</v>
      </c>
      <c r="T111" s="67">
        <f>SUM(O111:S111)</f>
        <v>15418.22364</v>
      </c>
      <c r="U111" s="69">
        <f>U112</f>
        <v>16801.346829999999</v>
      </c>
      <c r="V111" s="69">
        <f t="shared" si="31"/>
        <v>36962.641080000001</v>
      </c>
      <c r="W111" s="70">
        <f>SUM(W112)</f>
        <v>64228.966500000002</v>
      </c>
      <c r="X111" s="279" t="s">
        <v>48</v>
      </c>
      <c r="Y111" s="280"/>
      <c r="Z111" s="66" t="s">
        <v>48</v>
      </c>
      <c r="AA111" s="66" t="s">
        <v>48</v>
      </c>
      <c r="AB111" s="66" t="s">
        <v>48</v>
      </c>
      <c r="AC111" s="66" t="s">
        <v>48</v>
      </c>
      <c r="AD111" s="66" t="s">
        <v>48</v>
      </c>
      <c r="AE111" s="52"/>
    </row>
    <row r="112" spans="1:31" x14ac:dyDescent="0.2">
      <c r="A112" s="275"/>
      <c r="B112" s="281" t="s">
        <v>706</v>
      </c>
      <c r="C112" s="256"/>
      <c r="D112" s="22" t="s">
        <v>707</v>
      </c>
      <c r="E112" s="39" t="s">
        <v>48</v>
      </c>
      <c r="F112" s="40">
        <f>SUM(F113:F132)</f>
        <v>1495.9059</v>
      </c>
      <c r="G112" s="39" t="s">
        <v>48</v>
      </c>
      <c r="H112" s="38"/>
      <c r="I112" s="40">
        <f>SUM(I113:I132)</f>
        <v>1528.95289</v>
      </c>
      <c r="J112" s="40">
        <f t="shared" ref="J112:M112" si="45">SUM(J113:J132)</f>
        <v>2324.5377200000003</v>
      </c>
      <c r="K112" s="40">
        <f>SUM(K113:K133)</f>
        <v>289.88200000000001</v>
      </c>
      <c r="L112" s="40">
        <f t="shared" si="45"/>
        <v>599.69800000000009</v>
      </c>
      <c r="M112" s="40">
        <f t="shared" si="45"/>
        <v>0</v>
      </c>
      <c r="N112" s="40">
        <f>SUM(I112:M112)</f>
        <v>4743.0706100000007</v>
      </c>
      <c r="O112" s="40">
        <f>SUM(O113:O132)</f>
        <v>4995.2450099999996</v>
      </c>
      <c r="P112" s="40">
        <f t="shared" ref="P112:S112" si="46">SUM(P113:P132)</f>
        <v>9041.6707500000011</v>
      </c>
      <c r="Q112" s="40">
        <f>SUM(Q113:Q133)</f>
        <v>249.00299999999999</v>
      </c>
      <c r="R112" s="40">
        <f t="shared" si="46"/>
        <v>1132.3048800000001</v>
      </c>
      <c r="S112" s="40">
        <f t="shared" si="46"/>
        <v>0</v>
      </c>
      <c r="T112" s="40">
        <f>SUM(O112:S112)</f>
        <v>15418.22364</v>
      </c>
      <c r="U112" s="40">
        <f>SUM(U113:U132)</f>
        <v>16801.346829999999</v>
      </c>
      <c r="V112" s="41">
        <f t="shared" si="31"/>
        <v>36962.641080000001</v>
      </c>
      <c r="W112" s="42">
        <f>SUM(W113:W133)</f>
        <v>64228.966500000002</v>
      </c>
      <c r="X112" s="252" t="s">
        <v>48</v>
      </c>
      <c r="Y112" s="253"/>
      <c r="Z112" s="39" t="s">
        <v>48</v>
      </c>
      <c r="AA112" s="39" t="s">
        <v>48</v>
      </c>
      <c r="AB112" s="39" t="s">
        <v>48</v>
      </c>
      <c r="AC112" s="39" t="s">
        <v>48</v>
      </c>
      <c r="AD112" s="39" t="s">
        <v>48</v>
      </c>
      <c r="AE112" s="52"/>
    </row>
    <row r="113" spans="1:31" ht="40.5" x14ac:dyDescent="0.2">
      <c r="A113" s="275"/>
      <c r="B113" s="71" t="s">
        <v>708</v>
      </c>
      <c r="C113" s="10" t="s">
        <v>32</v>
      </c>
      <c r="D113" s="1" t="s">
        <v>66</v>
      </c>
      <c r="E113" s="1" t="s">
        <v>7</v>
      </c>
      <c r="F113" s="43">
        <v>0</v>
      </c>
      <c r="G113" s="1" t="s">
        <v>46</v>
      </c>
      <c r="H113" s="1" t="s">
        <v>47</v>
      </c>
      <c r="I113" s="43">
        <v>116.18899999999999</v>
      </c>
      <c r="J113" s="43">
        <v>271.21499999999997</v>
      </c>
      <c r="K113" s="43">
        <v>0</v>
      </c>
      <c r="L113" s="43">
        <v>12</v>
      </c>
      <c r="M113" s="43">
        <v>0</v>
      </c>
      <c r="N113" s="43">
        <f t="shared" si="41"/>
        <v>399.404</v>
      </c>
      <c r="O113" s="43">
        <f>38.934+62.829</f>
        <v>101.76300000000001</v>
      </c>
      <c r="P113" s="43">
        <f>204+356.031</f>
        <v>560.03099999999995</v>
      </c>
      <c r="Q113" s="43">
        <v>0</v>
      </c>
      <c r="R113" s="43">
        <v>25</v>
      </c>
      <c r="S113" s="43">
        <v>0</v>
      </c>
      <c r="T113" s="43">
        <f t="shared" si="42"/>
        <v>686.79399999999998</v>
      </c>
      <c r="U113" s="43">
        <f>320+316.021</f>
        <v>636.02099999999996</v>
      </c>
      <c r="V113" s="30">
        <f t="shared" si="31"/>
        <v>1722.2189999999998</v>
      </c>
      <c r="W113" s="26">
        <f>X113-V113</f>
        <v>4277.7809999999999</v>
      </c>
      <c r="X113" s="213">
        <v>6000</v>
      </c>
      <c r="Y113" s="213"/>
      <c r="Z113" s="1" t="s">
        <v>81</v>
      </c>
      <c r="AA113" s="10" t="s">
        <v>709</v>
      </c>
      <c r="AB113" s="10" t="s">
        <v>33</v>
      </c>
      <c r="AC113" s="10" t="s">
        <v>710</v>
      </c>
      <c r="AD113" s="10" t="s">
        <v>711</v>
      </c>
      <c r="AE113" s="47"/>
    </row>
    <row r="114" spans="1:31" ht="40.5" x14ac:dyDescent="0.2">
      <c r="A114" s="275"/>
      <c r="B114" s="71" t="s">
        <v>712</v>
      </c>
      <c r="C114" s="10" t="s">
        <v>713</v>
      </c>
      <c r="D114" s="1" t="s">
        <v>714</v>
      </c>
      <c r="E114" s="1" t="s">
        <v>7</v>
      </c>
      <c r="F114" s="43">
        <v>0</v>
      </c>
      <c r="G114" s="1" t="s">
        <v>46</v>
      </c>
      <c r="H114" s="1" t="s">
        <v>47</v>
      </c>
      <c r="I114" s="43">
        <v>28.870999999999999</v>
      </c>
      <c r="J114" s="43">
        <v>0</v>
      </c>
      <c r="K114" s="43">
        <v>0</v>
      </c>
      <c r="L114" s="43">
        <v>0</v>
      </c>
      <c r="M114" s="43">
        <v>0</v>
      </c>
      <c r="N114" s="43">
        <f t="shared" ref="N114:N133" si="47">SUM(I114:M114)</f>
        <v>28.870999999999999</v>
      </c>
      <c r="O114" s="43">
        <v>937.69299999999998</v>
      </c>
      <c r="P114" s="43">
        <v>429.88200000000001</v>
      </c>
      <c r="Q114" s="43">
        <v>0</v>
      </c>
      <c r="R114" s="43">
        <v>0</v>
      </c>
      <c r="S114" s="43">
        <v>0</v>
      </c>
      <c r="T114" s="43">
        <f t="shared" ref="T114:T133" si="48">SUM(O114:S114)</f>
        <v>1367.575</v>
      </c>
      <c r="U114" s="43">
        <v>999.7</v>
      </c>
      <c r="V114" s="30">
        <f t="shared" si="31"/>
        <v>2396.1460000000002</v>
      </c>
      <c r="W114" s="26">
        <f>X114-V114</f>
        <v>4803.8539999999994</v>
      </c>
      <c r="X114" s="213">
        <v>7200</v>
      </c>
      <c r="Y114" s="213"/>
      <c r="Z114" s="1" t="s">
        <v>69</v>
      </c>
      <c r="AA114" s="10" t="s">
        <v>715</v>
      </c>
      <c r="AB114" s="44" t="s">
        <v>48</v>
      </c>
      <c r="AC114" s="10" t="s">
        <v>710</v>
      </c>
      <c r="AD114" s="44" t="s">
        <v>48</v>
      </c>
      <c r="AE114" s="47"/>
    </row>
    <row r="115" spans="1:31" ht="27" x14ac:dyDescent="0.2">
      <c r="A115" s="275"/>
      <c r="B115" s="71" t="s">
        <v>716</v>
      </c>
      <c r="C115" s="10" t="s">
        <v>717</v>
      </c>
      <c r="D115" s="1" t="s">
        <v>718</v>
      </c>
      <c r="E115" s="1" t="s">
        <v>7</v>
      </c>
      <c r="F115" s="43">
        <v>0</v>
      </c>
      <c r="G115" s="1" t="s">
        <v>46</v>
      </c>
      <c r="H115" s="1" t="s">
        <v>47</v>
      </c>
      <c r="I115" s="43">
        <v>275.29700000000003</v>
      </c>
      <c r="J115" s="43">
        <v>314.09100000000001</v>
      </c>
      <c r="K115" s="43">
        <v>0</v>
      </c>
      <c r="L115" s="43">
        <v>0</v>
      </c>
      <c r="M115" s="43">
        <v>0</v>
      </c>
      <c r="N115" s="43">
        <f t="shared" si="47"/>
        <v>589.38800000000003</v>
      </c>
      <c r="O115" s="43">
        <v>351.28199999999998</v>
      </c>
      <c r="P115" s="43">
        <v>1443.8119999999999</v>
      </c>
      <c r="Q115" s="43">
        <v>0</v>
      </c>
      <c r="R115" s="43">
        <v>0</v>
      </c>
      <c r="S115" s="43">
        <v>0</v>
      </c>
      <c r="T115" s="43">
        <f t="shared" si="48"/>
        <v>1795.0939999999998</v>
      </c>
      <c r="U115" s="43">
        <v>2589.2869999999998</v>
      </c>
      <c r="V115" s="30">
        <f t="shared" si="31"/>
        <v>4973.7690000000002</v>
      </c>
      <c r="W115" s="26">
        <f>X115-V115</f>
        <v>11826.231</v>
      </c>
      <c r="X115" s="213">
        <v>16800</v>
      </c>
      <c r="Y115" s="213"/>
      <c r="Z115" s="1" t="s">
        <v>69</v>
      </c>
      <c r="AA115" s="10" t="s">
        <v>719</v>
      </c>
      <c r="AB115" s="10" t="s">
        <v>720</v>
      </c>
      <c r="AC115" s="10" t="s">
        <v>710</v>
      </c>
      <c r="AD115" s="44" t="s">
        <v>48</v>
      </c>
      <c r="AE115" s="47"/>
    </row>
    <row r="116" spans="1:31" ht="27" x14ac:dyDescent="0.2">
      <c r="A116" s="275"/>
      <c r="B116" s="71" t="s">
        <v>721</v>
      </c>
      <c r="C116" s="10" t="s">
        <v>722</v>
      </c>
      <c r="D116" s="1" t="s">
        <v>723</v>
      </c>
      <c r="E116" s="1" t="s">
        <v>7</v>
      </c>
      <c r="F116" s="43">
        <v>0</v>
      </c>
      <c r="G116" s="1" t="s">
        <v>46</v>
      </c>
      <c r="H116" s="1" t="s">
        <v>47</v>
      </c>
      <c r="I116" s="43">
        <v>263.786</v>
      </c>
      <c r="J116" s="43">
        <v>281.036</v>
      </c>
      <c r="K116" s="43">
        <v>0</v>
      </c>
      <c r="L116" s="43">
        <v>434.99900000000002</v>
      </c>
      <c r="M116" s="43">
        <v>0</v>
      </c>
      <c r="N116" s="43">
        <f>SUM(I116:M116)</f>
        <v>979.82100000000003</v>
      </c>
      <c r="O116" s="43">
        <v>1782.6369999999999</v>
      </c>
      <c r="P116" s="43">
        <v>1938.056</v>
      </c>
      <c r="Q116" s="43">
        <v>0</v>
      </c>
      <c r="R116" s="43">
        <v>475</v>
      </c>
      <c r="S116" s="43">
        <v>0</v>
      </c>
      <c r="T116" s="43">
        <f t="shared" si="48"/>
        <v>4195.6930000000002</v>
      </c>
      <c r="U116" s="43">
        <v>6502.5259999999998</v>
      </c>
      <c r="V116" s="30">
        <f t="shared" si="31"/>
        <v>11678.04</v>
      </c>
      <c r="W116" s="26">
        <f>X116-V116</f>
        <v>13521.96</v>
      </c>
      <c r="X116" s="213">
        <v>25200</v>
      </c>
      <c r="Y116" s="213"/>
      <c r="Z116" s="1" t="s">
        <v>69</v>
      </c>
      <c r="AA116" s="10" t="s">
        <v>724</v>
      </c>
      <c r="AB116" s="44" t="s">
        <v>48</v>
      </c>
      <c r="AC116" s="10" t="s">
        <v>710</v>
      </c>
      <c r="AD116" s="44" t="s">
        <v>48</v>
      </c>
      <c r="AE116" s="47"/>
    </row>
    <row r="117" spans="1:31" ht="40.5" x14ac:dyDescent="0.2">
      <c r="A117" s="275"/>
      <c r="B117" s="71" t="s">
        <v>725</v>
      </c>
      <c r="C117" s="10" t="s">
        <v>726</v>
      </c>
      <c r="D117" s="1" t="s">
        <v>723</v>
      </c>
      <c r="E117" s="1" t="s">
        <v>7</v>
      </c>
      <c r="F117" s="43">
        <v>0</v>
      </c>
      <c r="G117" s="1" t="s">
        <v>46</v>
      </c>
      <c r="H117" s="1" t="s">
        <v>47</v>
      </c>
      <c r="I117" s="43">
        <v>6.9820000000000002</v>
      </c>
      <c r="J117" s="43">
        <v>0</v>
      </c>
      <c r="K117" s="43">
        <v>0</v>
      </c>
      <c r="L117" s="43">
        <v>0</v>
      </c>
      <c r="M117" s="43">
        <v>0</v>
      </c>
      <c r="N117" s="43">
        <f t="shared" si="47"/>
        <v>6.9820000000000002</v>
      </c>
      <c r="O117" s="43">
        <v>208</v>
      </c>
      <c r="P117" s="43">
        <v>0</v>
      </c>
      <c r="Q117" s="43">
        <v>0</v>
      </c>
      <c r="R117" s="43">
        <v>0</v>
      </c>
      <c r="S117" s="43">
        <v>0</v>
      </c>
      <c r="T117" s="43">
        <f t="shared" si="48"/>
        <v>208</v>
      </c>
      <c r="U117" s="43">
        <v>80</v>
      </c>
      <c r="V117" s="30">
        <f t="shared" si="31"/>
        <v>294.98199999999997</v>
      </c>
      <c r="W117" s="26">
        <f>X117-V117</f>
        <v>2105.018</v>
      </c>
      <c r="X117" s="213">
        <v>2400</v>
      </c>
      <c r="Y117" s="213"/>
      <c r="Z117" s="1" t="s">
        <v>69</v>
      </c>
      <c r="AA117" s="10" t="s">
        <v>727</v>
      </c>
      <c r="AB117" s="44" t="s">
        <v>48</v>
      </c>
      <c r="AC117" s="10" t="s">
        <v>710</v>
      </c>
      <c r="AD117" s="44" t="s">
        <v>48</v>
      </c>
      <c r="AE117" s="47"/>
    </row>
    <row r="118" spans="1:31" ht="40.5" x14ac:dyDescent="0.2">
      <c r="A118" s="275"/>
      <c r="B118" s="71" t="s">
        <v>728</v>
      </c>
      <c r="C118" s="10" t="s">
        <v>729</v>
      </c>
      <c r="D118" s="1" t="s">
        <v>723</v>
      </c>
      <c r="E118" s="1" t="s">
        <v>7</v>
      </c>
      <c r="F118" s="43">
        <v>0</v>
      </c>
      <c r="G118" s="1" t="s">
        <v>46</v>
      </c>
      <c r="H118" s="1" t="s">
        <v>47</v>
      </c>
      <c r="I118" s="43">
        <v>0</v>
      </c>
      <c r="J118" s="43">
        <v>0</v>
      </c>
      <c r="K118" s="43">
        <v>0</v>
      </c>
      <c r="L118" s="43">
        <v>0</v>
      </c>
      <c r="M118" s="43">
        <v>0</v>
      </c>
      <c r="N118" s="43">
        <f t="shared" si="47"/>
        <v>0</v>
      </c>
      <c r="O118" s="43">
        <v>350.03899999999999</v>
      </c>
      <c r="P118" s="43">
        <v>476.33600000000001</v>
      </c>
      <c r="Q118" s="43">
        <v>0</v>
      </c>
      <c r="R118" s="43">
        <v>0</v>
      </c>
      <c r="S118" s="43">
        <v>0</v>
      </c>
      <c r="T118" s="43">
        <f t="shared" si="48"/>
        <v>826.375</v>
      </c>
      <c r="U118" s="43">
        <v>824.42200000000003</v>
      </c>
      <c r="V118" s="30">
        <f t="shared" si="31"/>
        <v>1650.797</v>
      </c>
      <c r="W118" s="26">
        <f t="shared" ref="W118:W123" si="49">X118-V118</f>
        <v>3749.203</v>
      </c>
      <c r="X118" s="213">
        <v>5400</v>
      </c>
      <c r="Y118" s="213"/>
      <c r="Z118" s="1" t="s">
        <v>69</v>
      </c>
      <c r="AA118" s="10" t="s">
        <v>730</v>
      </c>
      <c r="AB118" s="44" t="s">
        <v>48</v>
      </c>
      <c r="AC118" s="10" t="s">
        <v>710</v>
      </c>
      <c r="AD118" s="44" t="s">
        <v>48</v>
      </c>
      <c r="AE118" s="47"/>
    </row>
    <row r="119" spans="1:31" ht="27" x14ac:dyDescent="0.2">
      <c r="A119" s="275"/>
      <c r="B119" s="71" t="s">
        <v>731</v>
      </c>
      <c r="C119" s="10" t="s">
        <v>732</v>
      </c>
      <c r="D119" s="1" t="s">
        <v>723</v>
      </c>
      <c r="E119" s="1" t="s">
        <v>7</v>
      </c>
      <c r="F119" s="43">
        <v>0</v>
      </c>
      <c r="G119" s="1" t="s">
        <v>152</v>
      </c>
      <c r="H119" s="1" t="s">
        <v>47</v>
      </c>
      <c r="I119" s="43">
        <v>10.83</v>
      </c>
      <c r="J119" s="43">
        <v>0</v>
      </c>
      <c r="K119" s="43">
        <v>0</v>
      </c>
      <c r="L119" s="43">
        <v>0</v>
      </c>
      <c r="M119" s="43">
        <v>0</v>
      </c>
      <c r="N119" s="43">
        <f t="shared" si="47"/>
        <v>10.83</v>
      </c>
      <c r="O119" s="43">
        <v>108.96299999999999</v>
      </c>
      <c r="P119" s="43">
        <v>107.456</v>
      </c>
      <c r="Q119" s="43">
        <v>0</v>
      </c>
      <c r="R119" s="43">
        <v>0</v>
      </c>
      <c r="S119" s="43">
        <v>0</v>
      </c>
      <c r="T119" s="43">
        <f t="shared" si="48"/>
        <v>216.41899999999998</v>
      </c>
      <c r="U119" s="43">
        <v>379.09800000000001</v>
      </c>
      <c r="V119" s="30">
        <f t="shared" si="31"/>
        <v>606.34699999999998</v>
      </c>
      <c r="W119" s="26">
        <f t="shared" si="49"/>
        <v>7793.6530000000002</v>
      </c>
      <c r="X119" s="213">
        <v>8400</v>
      </c>
      <c r="Y119" s="213"/>
      <c r="Z119" s="1" t="s">
        <v>69</v>
      </c>
      <c r="AA119" s="10" t="s">
        <v>733</v>
      </c>
      <c r="AB119" s="10" t="s">
        <v>734</v>
      </c>
      <c r="AC119" s="10" t="s">
        <v>710</v>
      </c>
      <c r="AD119" s="44" t="s">
        <v>48</v>
      </c>
      <c r="AE119" s="47"/>
    </row>
    <row r="120" spans="1:31" ht="27" x14ac:dyDescent="0.2">
      <c r="A120" s="275"/>
      <c r="B120" s="71" t="s">
        <v>735</v>
      </c>
      <c r="C120" s="10" t="s">
        <v>736</v>
      </c>
      <c r="D120" s="1" t="s">
        <v>723</v>
      </c>
      <c r="E120" s="1" t="s">
        <v>7</v>
      </c>
      <c r="F120" s="43">
        <v>0</v>
      </c>
      <c r="G120" s="1" t="s">
        <v>46</v>
      </c>
      <c r="H120" s="1" t="s">
        <v>47</v>
      </c>
      <c r="I120" s="43">
        <v>46.283000000000001</v>
      </c>
      <c r="J120" s="43">
        <v>0</v>
      </c>
      <c r="K120" s="43">
        <v>0</v>
      </c>
      <c r="L120" s="43">
        <v>0</v>
      </c>
      <c r="M120" s="43">
        <v>0</v>
      </c>
      <c r="N120" s="43">
        <f t="shared" si="47"/>
        <v>46.283000000000001</v>
      </c>
      <c r="O120" s="43">
        <v>27.187000000000001</v>
      </c>
      <c r="P120" s="43">
        <v>132.11600000000001</v>
      </c>
      <c r="Q120" s="43">
        <v>0</v>
      </c>
      <c r="R120" s="43">
        <v>0</v>
      </c>
      <c r="S120" s="43">
        <v>0</v>
      </c>
      <c r="T120" s="43">
        <f>SUM(O120:S120)</f>
        <v>159.30300000000003</v>
      </c>
      <c r="U120" s="43">
        <v>436.54700000000003</v>
      </c>
      <c r="V120" s="30">
        <f t="shared" si="31"/>
        <v>642.13300000000004</v>
      </c>
      <c r="W120" s="26">
        <f t="shared" si="49"/>
        <v>321.06650000000002</v>
      </c>
      <c r="X120" s="213">
        <f>V120*1.5</f>
        <v>963.19950000000006</v>
      </c>
      <c r="Y120" s="213"/>
      <c r="Z120" s="1" t="s">
        <v>69</v>
      </c>
      <c r="AA120" s="10" t="s">
        <v>737</v>
      </c>
      <c r="AB120" s="44" t="s">
        <v>48</v>
      </c>
      <c r="AC120" s="10" t="s">
        <v>710</v>
      </c>
      <c r="AD120" s="44" t="s">
        <v>48</v>
      </c>
      <c r="AE120" s="47"/>
    </row>
    <row r="121" spans="1:31" ht="81" x14ac:dyDescent="0.2">
      <c r="A121" s="275"/>
      <c r="B121" s="71" t="s">
        <v>738</v>
      </c>
      <c r="C121" s="10" t="s">
        <v>739</v>
      </c>
      <c r="D121" s="1" t="s">
        <v>723</v>
      </c>
      <c r="E121" s="1" t="s">
        <v>7</v>
      </c>
      <c r="F121" s="43">
        <v>165.51589999999999</v>
      </c>
      <c r="G121" s="1" t="s">
        <v>46</v>
      </c>
      <c r="H121" s="1" t="s">
        <v>47</v>
      </c>
      <c r="I121" s="43">
        <v>124.00689</v>
      </c>
      <c r="J121" s="43">
        <v>1458.1957199999999</v>
      </c>
      <c r="K121" s="43">
        <v>0</v>
      </c>
      <c r="L121" s="43">
        <v>152.69900000000001</v>
      </c>
      <c r="M121" s="43">
        <v>0</v>
      </c>
      <c r="N121" s="43">
        <f t="shared" si="47"/>
        <v>1734.9016099999999</v>
      </c>
      <c r="O121" s="43">
        <v>136.78201000000001</v>
      </c>
      <c r="P121" s="43">
        <v>3706.7347500000001</v>
      </c>
      <c r="Q121" s="43">
        <v>0</v>
      </c>
      <c r="R121" s="43">
        <v>632.30488000000003</v>
      </c>
      <c r="S121" s="43">
        <v>0</v>
      </c>
      <c r="T121" s="43">
        <f t="shared" si="48"/>
        <v>4475.8216400000001</v>
      </c>
      <c r="U121" s="43">
        <v>2565.05483</v>
      </c>
      <c r="V121" s="30">
        <f t="shared" si="31"/>
        <v>8775.77808</v>
      </c>
      <c r="W121" s="26">
        <v>0</v>
      </c>
      <c r="X121" s="213">
        <f>SUM(V121+F121)</f>
        <v>8941.2939800000004</v>
      </c>
      <c r="Y121" s="213"/>
      <c r="Z121" s="1" t="s">
        <v>69</v>
      </c>
      <c r="AA121" s="10" t="s">
        <v>740</v>
      </c>
      <c r="AB121" s="10" t="s">
        <v>741</v>
      </c>
      <c r="AC121" s="10" t="s">
        <v>10</v>
      </c>
      <c r="AD121" s="44" t="s">
        <v>48</v>
      </c>
      <c r="AE121" s="47"/>
    </row>
    <row r="122" spans="1:31" ht="40.5" x14ac:dyDescent="0.2">
      <c r="A122" s="275"/>
      <c r="B122" s="71" t="s">
        <v>742</v>
      </c>
      <c r="C122" s="10" t="s">
        <v>743</v>
      </c>
      <c r="D122" s="1" t="s">
        <v>744</v>
      </c>
      <c r="E122" s="1" t="s">
        <v>7</v>
      </c>
      <c r="F122" s="43">
        <v>0</v>
      </c>
      <c r="G122" s="1" t="s">
        <v>152</v>
      </c>
      <c r="H122" s="1" t="s">
        <v>47</v>
      </c>
      <c r="I122" s="43">
        <v>0</v>
      </c>
      <c r="J122" s="43">
        <v>0</v>
      </c>
      <c r="K122" s="43">
        <v>0</v>
      </c>
      <c r="L122" s="43">
        <v>0</v>
      </c>
      <c r="M122" s="43">
        <v>0</v>
      </c>
      <c r="N122" s="43">
        <f t="shared" si="47"/>
        <v>0</v>
      </c>
      <c r="O122" s="43">
        <v>471.45</v>
      </c>
      <c r="P122" s="43">
        <v>107.27</v>
      </c>
      <c r="Q122" s="43">
        <v>0</v>
      </c>
      <c r="R122" s="43">
        <v>0</v>
      </c>
      <c r="S122" s="43">
        <v>0</v>
      </c>
      <c r="T122" s="43">
        <f t="shared" si="48"/>
        <v>578.72</v>
      </c>
      <c r="U122" s="43">
        <v>322.39100000000002</v>
      </c>
      <c r="V122" s="30">
        <f t="shared" si="31"/>
        <v>901.1110000000001</v>
      </c>
      <c r="W122" s="26">
        <f t="shared" si="49"/>
        <v>5098.8890000000001</v>
      </c>
      <c r="X122" s="213">
        <v>6000</v>
      </c>
      <c r="Y122" s="213"/>
      <c r="Z122" s="1" t="s">
        <v>69</v>
      </c>
      <c r="AA122" s="10" t="s">
        <v>745</v>
      </c>
      <c r="AB122" s="10" t="s">
        <v>746</v>
      </c>
      <c r="AC122" s="10" t="s">
        <v>710</v>
      </c>
      <c r="AD122" s="44" t="s">
        <v>48</v>
      </c>
      <c r="AE122" s="47"/>
    </row>
    <row r="123" spans="1:31" ht="54" x14ac:dyDescent="0.2">
      <c r="A123" s="275"/>
      <c r="B123" s="71" t="s">
        <v>747</v>
      </c>
      <c r="C123" s="10" t="s">
        <v>748</v>
      </c>
      <c r="D123" s="1" t="s">
        <v>83</v>
      </c>
      <c r="E123" s="1" t="s">
        <v>7</v>
      </c>
      <c r="F123" s="43">
        <v>0</v>
      </c>
      <c r="G123" s="1" t="s">
        <v>46</v>
      </c>
      <c r="H123" s="1" t="s">
        <v>47</v>
      </c>
      <c r="I123" s="43">
        <v>61.893999999999998</v>
      </c>
      <c r="J123" s="43">
        <v>0</v>
      </c>
      <c r="K123" s="43">
        <v>0</v>
      </c>
      <c r="L123" s="43">
        <v>0</v>
      </c>
      <c r="M123" s="43">
        <v>0</v>
      </c>
      <c r="N123" s="43">
        <f t="shared" si="47"/>
        <v>61.893999999999998</v>
      </c>
      <c r="O123" s="43">
        <v>49.084000000000003</v>
      </c>
      <c r="P123" s="43">
        <v>139.977</v>
      </c>
      <c r="Q123" s="43">
        <v>0</v>
      </c>
      <c r="R123" s="43">
        <v>0</v>
      </c>
      <c r="S123" s="43">
        <v>0</v>
      </c>
      <c r="T123" s="43">
        <f t="shared" si="48"/>
        <v>189.06100000000001</v>
      </c>
      <c r="U123" s="43">
        <v>350</v>
      </c>
      <c r="V123" s="30">
        <f t="shared" si="31"/>
        <v>600.95500000000004</v>
      </c>
      <c r="W123" s="26">
        <f t="shared" si="49"/>
        <v>600.95500000000004</v>
      </c>
      <c r="X123" s="213">
        <f>V123*2</f>
        <v>1201.9100000000001</v>
      </c>
      <c r="Y123" s="213"/>
      <c r="Z123" s="1" t="s">
        <v>69</v>
      </c>
      <c r="AA123" s="10" t="s">
        <v>749</v>
      </c>
      <c r="AB123" s="44" t="s">
        <v>48</v>
      </c>
      <c r="AC123" s="10" t="s">
        <v>750</v>
      </c>
      <c r="AD123" s="10" t="s">
        <v>751</v>
      </c>
      <c r="AE123" s="47"/>
    </row>
    <row r="124" spans="1:31" ht="81" x14ac:dyDescent="0.2">
      <c r="A124" s="275"/>
      <c r="B124" s="71" t="s">
        <v>752</v>
      </c>
      <c r="C124" s="10" t="s">
        <v>753</v>
      </c>
      <c r="D124" s="1" t="s">
        <v>754</v>
      </c>
      <c r="E124" s="1" t="s">
        <v>7</v>
      </c>
      <c r="F124" s="43">
        <v>477</v>
      </c>
      <c r="G124" s="1" t="s">
        <v>46</v>
      </c>
      <c r="H124" s="1" t="s">
        <v>47</v>
      </c>
      <c r="I124" s="43">
        <v>0</v>
      </c>
      <c r="J124" s="43">
        <v>0</v>
      </c>
      <c r="K124" s="43">
        <v>0</v>
      </c>
      <c r="L124" s="43">
        <v>0</v>
      </c>
      <c r="M124" s="43">
        <v>0</v>
      </c>
      <c r="N124" s="43">
        <f t="shared" si="47"/>
        <v>0</v>
      </c>
      <c r="O124" s="43">
        <v>104.7</v>
      </c>
      <c r="P124" s="43">
        <v>0</v>
      </c>
      <c r="Q124" s="43">
        <v>0</v>
      </c>
      <c r="R124" s="43">
        <v>0</v>
      </c>
      <c r="S124" s="43">
        <v>0</v>
      </c>
      <c r="T124" s="43">
        <f t="shared" si="48"/>
        <v>104.7</v>
      </c>
      <c r="U124" s="43">
        <v>316</v>
      </c>
      <c r="V124" s="30">
        <f t="shared" si="31"/>
        <v>420.7</v>
      </c>
      <c r="W124" s="26">
        <f>X124-V124</f>
        <v>3179.3</v>
      </c>
      <c r="X124" s="213">
        <v>3600</v>
      </c>
      <c r="Y124" s="213"/>
      <c r="Z124" s="1" t="s">
        <v>81</v>
      </c>
      <c r="AA124" s="10" t="s">
        <v>755</v>
      </c>
      <c r="AB124" s="44" t="s">
        <v>48</v>
      </c>
      <c r="AC124" s="10" t="s">
        <v>750</v>
      </c>
      <c r="AD124" s="10" t="s">
        <v>124</v>
      </c>
      <c r="AE124" s="47"/>
    </row>
    <row r="125" spans="1:31" ht="108" x14ac:dyDescent="0.2">
      <c r="A125" s="275"/>
      <c r="B125" s="71" t="s">
        <v>756</v>
      </c>
      <c r="C125" s="10" t="s">
        <v>757</v>
      </c>
      <c r="D125" s="1" t="s">
        <v>754</v>
      </c>
      <c r="E125" s="1" t="s">
        <v>7</v>
      </c>
      <c r="F125" s="43">
        <v>16.399999999999999</v>
      </c>
      <c r="G125" s="1" t="s">
        <v>46</v>
      </c>
      <c r="H125" s="1" t="s">
        <v>47</v>
      </c>
      <c r="I125" s="43">
        <v>0</v>
      </c>
      <c r="J125" s="43">
        <v>0</v>
      </c>
      <c r="K125" s="43">
        <v>0</v>
      </c>
      <c r="L125" s="43">
        <v>0</v>
      </c>
      <c r="M125" s="43">
        <v>0</v>
      </c>
      <c r="N125" s="43">
        <f t="shared" si="47"/>
        <v>0</v>
      </c>
      <c r="O125" s="43">
        <v>103</v>
      </c>
      <c r="P125" s="43">
        <v>0</v>
      </c>
      <c r="Q125" s="43">
        <v>0</v>
      </c>
      <c r="R125" s="43">
        <v>0</v>
      </c>
      <c r="S125" s="43">
        <v>0</v>
      </c>
      <c r="T125" s="43">
        <f>SUM(O125:S125)</f>
        <v>103</v>
      </c>
      <c r="U125" s="43">
        <v>50.3</v>
      </c>
      <c r="V125" s="30">
        <f t="shared" si="31"/>
        <v>153.30000000000001</v>
      </c>
      <c r="W125" s="26">
        <f>X125-V125</f>
        <v>386.7</v>
      </c>
      <c r="X125" s="213">
        <v>540</v>
      </c>
      <c r="Y125" s="213"/>
      <c r="Z125" s="1" t="s">
        <v>69</v>
      </c>
      <c r="AA125" s="10" t="s">
        <v>758</v>
      </c>
      <c r="AB125" s="10" t="s">
        <v>48</v>
      </c>
      <c r="AC125" s="10" t="s">
        <v>750</v>
      </c>
      <c r="AD125" s="10" t="s">
        <v>124</v>
      </c>
      <c r="AE125" s="47"/>
    </row>
    <row r="126" spans="1:31" ht="54" x14ac:dyDescent="0.2">
      <c r="A126" s="275"/>
      <c r="B126" s="71" t="s">
        <v>759</v>
      </c>
      <c r="C126" s="10" t="s">
        <v>760</v>
      </c>
      <c r="D126" s="1" t="s">
        <v>761</v>
      </c>
      <c r="E126" s="1" t="s">
        <v>69</v>
      </c>
      <c r="F126" s="43">
        <v>0</v>
      </c>
      <c r="G126" s="1" t="s">
        <v>152</v>
      </c>
      <c r="H126" s="1" t="s">
        <v>47</v>
      </c>
      <c r="I126" s="43">
        <v>0</v>
      </c>
      <c r="J126" s="43">
        <v>0</v>
      </c>
      <c r="K126" s="43">
        <v>0</v>
      </c>
      <c r="L126" s="43">
        <v>0</v>
      </c>
      <c r="M126" s="43">
        <v>0</v>
      </c>
      <c r="N126" s="43">
        <f t="shared" si="47"/>
        <v>0</v>
      </c>
      <c r="O126" s="43">
        <v>100</v>
      </c>
      <c r="P126" s="43">
        <v>0</v>
      </c>
      <c r="Q126" s="43">
        <v>200</v>
      </c>
      <c r="R126" s="43">
        <v>0</v>
      </c>
      <c r="S126" s="43">
        <v>0</v>
      </c>
      <c r="T126" s="43">
        <f t="shared" si="48"/>
        <v>300</v>
      </c>
      <c r="U126" s="43">
        <v>200</v>
      </c>
      <c r="V126" s="30">
        <f t="shared" si="31"/>
        <v>500</v>
      </c>
      <c r="W126" s="26">
        <f t="shared" ref="W126:W130" si="50">X126-V126</f>
        <v>1541</v>
      </c>
      <c r="X126" s="213">
        <v>2041</v>
      </c>
      <c r="Y126" s="213"/>
      <c r="Z126" s="1" t="s">
        <v>81</v>
      </c>
      <c r="AA126" s="10" t="s">
        <v>762</v>
      </c>
      <c r="AB126" s="44" t="s">
        <v>48</v>
      </c>
      <c r="AC126" s="10" t="s">
        <v>750</v>
      </c>
      <c r="AD126" s="10" t="s">
        <v>124</v>
      </c>
      <c r="AE126" s="47"/>
    </row>
    <row r="127" spans="1:31" ht="40.5" x14ac:dyDescent="0.2">
      <c r="A127" s="275"/>
      <c r="B127" s="71" t="s">
        <v>763</v>
      </c>
      <c r="C127" s="10" t="s">
        <v>35</v>
      </c>
      <c r="D127" s="1" t="s">
        <v>764</v>
      </c>
      <c r="E127" s="1" t="s">
        <v>7</v>
      </c>
      <c r="F127" s="43">
        <v>58.9</v>
      </c>
      <c r="G127" s="1" t="s">
        <v>152</v>
      </c>
      <c r="H127" s="1" t="s">
        <v>47</v>
      </c>
      <c r="I127" s="43">
        <v>0</v>
      </c>
      <c r="J127" s="43">
        <v>0</v>
      </c>
      <c r="K127" s="43">
        <v>0</v>
      </c>
      <c r="L127" s="43">
        <v>0</v>
      </c>
      <c r="M127" s="43">
        <v>0</v>
      </c>
      <c r="N127" s="43">
        <f t="shared" si="47"/>
        <v>0</v>
      </c>
      <c r="O127" s="43">
        <v>60</v>
      </c>
      <c r="P127" s="43">
        <v>0</v>
      </c>
      <c r="Q127" s="43">
        <v>0</v>
      </c>
      <c r="R127" s="43">
        <v>0</v>
      </c>
      <c r="S127" s="43">
        <v>0</v>
      </c>
      <c r="T127" s="43">
        <f t="shared" si="48"/>
        <v>60</v>
      </c>
      <c r="U127" s="43">
        <v>100</v>
      </c>
      <c r="V127" s="30">
        <f t="shared" si="31"/>
        <v>160</v>
      </c>
      <c r="W127" s="26">
        <f t="shared" si="50"/>
        <v>680</v>
      </c>
      <c r="X127" s="213">
        <v>840</v>
      </c>
      <c r="Y127" s="213"/>
      <c r="Z127" s="1" t="s">
        <v>69</v>
      </c>
      <c r="AA127" s="10" t="s">
        <v>765</v>
      </c>
      <c r="AB127" s="44" t="s">
        <v>48</v>
      </c>
      <c r="AC127" s="10" t="s">
        <v>750</v>
      </c>
      <c r="AD127" s="10" t="s">
        <v>124</v>
      </c>
      <c r="AE127" s="47"/>
    </row>
    <row r="128" spans="1:31" ht="54" x14ac:dyDescent="0.2">
      <c r="A128" s="275"/>
      <c r="B128" s="71" t="s">
        <v>766</v>
      </c>
      <c r="C128" s="10" t="s">
        <v>767</v>
      </c>
      <c r="D128" s="1" t="s">
        <v>121</v>
      </c>
      <c r="E128" s="1" t="s">
        <v>69</v>
      </c>
      <c r="F128" s="43">
        <v>0</v>
      </c>
      <c r="G128" s="1" t="s">
        <v>152</v>
      </c>
      <c r="H128" s="1" t="s">
        <v>47</v>
      </c>
      <c r="I128" s="43">
        <v>0</v>
      </c>
      <c r="J128" s="43">
        <v>0</v>
      </c>
      <c r="K128" s="43">
        <v>0</v>
      </c>
      <c r="L128" s="43">
        <v>0</v>
      </c>
      <c r="M128" s="43">
        <v>0</v>
      </c>
      <c r="N128" s="43">
        <f t="shared" si="47"/>
        <v>0</v>
      </c>
      <c r="O128" s="43">
        <v>50</v>
      </c>
      <c r="P128" s="43">
        <v>0</v>
      </c>
      <c r="Q128" s="43">
        <v>0</v>
      </c>
      <c r="R128" s="43">
        <v>0</v>
      </c>
      <c r="S128" s="43">
        <v>0</v>
      </c>
      <c r="T128" s="43">
        <f t="shared" si="48"/>
        <v>50</v>
      </c>
      <c r="U128" s="43">
        <v>300</v>
      </c>
      <c r="V128" s="30">
        <f t="shared" si="31"/>
        <v>350</v>
      </c>
      <c r="W128" s="26">
        <f t="shared" si="50"/>
        <v>610</v>
      </c>
      <c r="X128" s="213">
        <v>960</v>
      </c>
      <c r="Y128" s="213"/>
      <c r="Z128" s="1" t="s">
        <v>7</v>
      </c>
      <c r="AA128" s="10" t="s">
        <v>768</v>
      </c>
      <c r="AB128" s="10" t="s">
        <v>36</v>
      </c>
      <c r="AC128" s="10" t="s">
        <v>153</v>
      </c>
      <c r="AD128" s="10" t="s">
        <v>132</v>
      </c>
      <c r="AE128" s="47"/>
    </row>
    <row r="129" spans="1:31" ht="54" x14ac:dyDescent="0.2">
      <c r="A129" s="275"/>
      <c r="B129" s="71" t="s">
        <v>769</v>
      </c>
      <c r="C129" s="10" t="s">
        <v>770</v>
      </c>
      <c r="D129" s="1" t="s">
        <v>771</v>
      </c>
      <c r="E129" s="1" t="s">
        <v>69</v>
      </c>
      <c r="F129" s="43">
        <v>0</v>
      </c>
      <c r="G129" s="1" t="s">
        <v>152</v>
      </c>
      <c r="H129" s="1" t="s">
        <v>47</v>
      </c>
      <c r="I129" s="43">
        <v>0</v>
      </c>
      <c r="J129" s="43">
        <v>0</v>
      </c>
      <c r="K129" s="43">
        <v>0</v>
      </c>
      <c r="L129" s="43">
        <v>0</v>
      </c>
      <c r="M129" s="43">
        <v>0</v>
      </c>
      <c r="N129" s="43">
        <f t="shared" si="47"/>
        <v>0</v>
      </c>
      <c r="O129" s="43">
        <v>0</v>
      </c>
      <c r="P129" s="43">
        <v>0</v>
      </c>
      <c r="Q129" s="43">
        <v>0</v>
      </c>
      <c r="R129" s="43">
        <v>0</v>
      </c>
      <c r="S129" s="43">
        <v>0</v>
      </c>
      <c r="T129" s="43">
        <f t="shared" si="48"/>
        <v>0</v>
      </c>
      <c r="U129" s="43">
        <v>100</v>
      </c>
      <c r="V129" s="30">
        <f t="shared" si="31"/>
        <v>100</v>
      </c>
      <c r="W129" s="26">
        <f t="shared" si="50"/>
        <v>3500</v>
      </c>
      <c r="X129" s="213">
        <v>3600</v>
      </c>
      <c r="Y129" s="213"/>
      <c r="Z129" s="1" t="s">
        <v>69</v>
      </c>
      <c r="AA129" s="10" t="s">
        <v>772</v>
      </c>
      <c r="AB129" s="44" t="s">
        <v>48</v>
      </c>
      <c r="AC129" s="10" t="s">
        <v>153</v>
      </c>
      <c r="AD129" s="10" t="s">
        <v>132</v>
      </c>
      <c r="AE129" s="47"/>
    </row>
    <row r="130" spans="1:31" ht="40.5" x14ac:dyDescent="0.2">
      <c r="A130" s="275"/>
      <c r="B130" s="71" t="s">
        <v>773</v>
      </c>
      <c r="C130" s="10" t="s">
        <v>774</v>
      </c>
      <c r="D130" s="1" t="s">
        <v>775</v>
      </c>
      <c r="E130" s="1" t="s">
        <v>69</v>
      </c>
      <c r="F130" s="43">
        <v>0</v>
      </c>
      <c r="G130" s="1" t="s">
        <v>46</v>
      </c>
      <c r="H130" s="1" t="s">
        <v>47</v>
      </c>
      <c r="I130" s="43">
        <v>0</v>
      </c>
      <c r="J130" s="43">
        <v>0</v>
      </c>
      <c r="K130" s="43">
        <v>0</v>
      </c>
      <c r="L130" s="43">
        <v>0</v>
      </c>
      <c r="M130" s="43">
        <v>0</v>
      </c>
      <c r="N130" s="43">
        <f t="shared" ref="N130:N131" si="51">SUM(I130:M130)</f>
        <v>0</v>
      </c>
      <c r="O130" s="43">
        <v>50</v>
      </c>
      <c r="P130" s="43">
        <v>0</v>
      </c>
      <c r="Q130" s="43">
        <v>0</v>
      </c>
      <c r="R130" s="43">
        <v>0</v>
      </c>
      <c r="S130" s="43">
        <v>0</v>
      </c>
      <c r="T130" s="43">
        <f t="shared" ref="T130" si="52">SUM(O130:S130)</f>
        <v>50</v>
      </c>
      <c r="U130" s="43">
        <v>50</v>
      </c>
      <c r="V130" s="30">
        <f t="shared" si="31"/>
        <v>100</v>
      </c>
      <c r="W130" s="26">
        <f t="shared" si="50"/>
        <v>140</v>
      </c>
      <c r="X130" s="213">
        <v>240</v>
      </c>
      <c r="Y130" s="213"/>
      <c r="Z130" s="1" t="s">
        <v>81</v>
      </c>
      <c r="AA130" s="10" t="s">
        <v>776</v>
      </c>
      <c r="AB130" s="10" t="s">
        <v>37</v>
      </c>
      <c r="AC130" s="10" t="s">
        <v>133</v>
      </c>
      <c r="AD130" s="44" t="s">
        <v>48</v>
      </c>
      <c r="AE130" s="47"/>
    </row>
    <row r="131" spans="1:31" ht="40.5" x14ac:dyDescent="0.2">
      <c r="A131" s="275"/>
      <c r="B131" s="71" t="s">
        <v>64</v>
      </c>
      <c r="C131" s="10" t="s">
        <v>777</v>
      </c>
      <c r="D131" s="1" t="s">
        <v>66</v>
      </c>
      <c r="E131" s="1" t="s">
        <v>7</v>
      </c>
      <c r="F131" s="43">
        <v>778.09</v>
      </c>
      <c r="G131" s="1" t="s">
        <v>46</v>
      </c>
      <c r="H131" s="1" t="s">
        <v>47</v>
      </c>
      <c r="I131" s="43">
        <v>516.60900000000004</v>
      </c>
      <c r="J131" s="43">
        <v>0</v>
      </c>
      <c r="K131" s="43">
        <v>111.73</v>
      </c>
      <c r="L131" s="43">
        <v>0</v>
      </c>
      <c r="M131" s="43">
        <v>0</v>
      </c>
      <c r="N131" s="43">
        <f t="shared" si="51"/>
        <v>628.33900000000006</v>
      </c>
      <c r="O131" s="43">
        <v>0</v>
      </c>
      <c r="P131" s="43">
        <v>0</v>
      </c>
      <c r="Q131" s="43">
        <v>0</v>
      </c>
      <c r="R131" s="43">
        <v>0</v>
      </c>
      <c r="S131" s="43">
        <v>0</v>
      </c>
      <c r="T131" s="43">
        <f>SUM(O131:S131)</f>
        <v>0</v>
      </c>
      <c r="U131" s="43">
        <v>0</v>
      </c>
      <c r="V131" s="30">
        <f t="shared" si="31"/>
        <v>628.33900000000006</v>
      </c>
      <c r="W131" s="26">
        <v>0</v>
      </c>
      <c r="X131" s="213">
        <v>1294.7034699999999</v>
      </c>
      <c r="Y131" s="213"/>
      <c r="Z131" s="1" t="s">
        <v>7</v>
      </c>
      <c r="AA131" s="267" t="s">
        <v>778</v>
      </c>
      <c r="AB131" s="268"/>
      <c r="AC131" s="10" t="s">
        <v>10</v>
      </c>
      <c r="AD131" s="44" t="s">
        <v>48</v>
      </c>
      <c r="AE131" s="47"/>
    </row>
    <row r="132" spans="1:31" ht="270" x14ac:dyDescent="0.2">
      <c r="A132" s="275"/>
      <c r="B132" s="71" t="s">
        <v>67</v>
      </c>
      <c r="C132" s="10" t="s">
        <v>779</v>
      </c>
      <c r="D132" s="72" t="s">
        <v>85</v>
      </c>
      <c r="E132" s="1" t="s">
        <v>69</v>
      </c>
      <c r="F132" s="53">
        <v>0</v>
      </c>
      <c r="G132" s="72" t="s">
        <v>46</v>
      </c>
      <c r="H132" s="1" t="s">
        <v>47</v>
      </c>
      <c r="I132" s="43">
        <v>78.204999999999998</v>
      </c>
      <c r="J132" s="43">
        <v>0</v>
      </c>
      <c r="K132" s="43">
        <v>83.867000000000004</v>
      </c>
      <c r="L132" s="43">
        <v>0</v>
      </c>
      <c r="M132" s="43">
        <v>0</v>
      </c>
      <c r="N132" s="43">
        <f t="shared" si="47"/>
        <v>162.072</v>
      </c>
      <c r="O132" s="43">
        <v>2.665</v>
      </c>
      <c r="P132" s="43">
        <v>0</v>
      </c>
      <c r="Q132" s="43">
        <v>38.200000000000003</v>
      </c>
      <c r="R132" s="43">
        <v>0</v>
      </c>
      <c r="S132" s="43">
        <v>0</v>
      </c>
      <c r="T132" s="43">
        <f t="shared" si="48"/>
        <v>40.865000000000002</v>
      </c>
      <c r="U132" s="43">
        <v>0</v>
      </c>
      <c r="V132" s="30">
        <f t="shared" si="31"/>
        <v>202.93700000000001</v>
      </c>
      <c r="W132" s="26">
        <v>0</v>
      </c>
      <c r="X132" s="269">
        <v>190.72875999999999</v>
      </c>
      <c r="Y132" s="269"/>
      <c r="Z132" s="72" t="s">
        <v>7</v>
      </c>
      <c r="AA132" s="10" t="s">
        <v>780</v>
      </c>
      <c r="AB132" s="73" t="s">
        <v>781</v>
      </c>
      <c r="AC132" s="10" t="s">
        <v>70</v>
      </c>
      <c r="AD132" s="16" t="s">
        <v>134</v>
      </c>
      <c r="AE132" s="47"/>
    </row>
    <row r="133" spans="1:31" ht="67.5" x14ac:dyDescent="0.2">
      <c r="A133" s="276"/>
      <c r="B133" s="6" t="s">
        <v>76</v>
      </c>
      <c r="C133" s="10" t="s">
        <v>82</v>
      </c>
      <c r="D133" s="72" t="s">
        <v>83</v>
      </c>
      <c r="E133" s="1" t="s">
        <v>69</v>
      </c>
      <c r="F133" s="53">
        <v>0</v>
      </c>
      <c r="G133" s="72" t="s">
        <v>46</v>
      </c>
      <c r="H133" s="1"/>
      <c r="I133" s="43">
        <v>0</v>
      </c>
      <c r="J133" s="43">
        <v>0</v>
      </c>
      <c r="K133" s="43">
        <v>94.284999999999997</v>
      </c>
      <c r="L133" s="43">
        <v>0</v>
      </c>
      <c r="M133" s="43">
        <v>0</v>
      </c>
      <c r="N133" s="43">
        <f t="shared" si="47"/>
        <v>94.284999999999997</v>
      </c>
      <c r="O133" s="43">
        <v>0</v>
      </c>
      <c r="P133" s="43">
        <v>0</v>
      </c>
      <c r="Q133" s="43">
        <v>10.803000000000001</v>
      </c>
      <c r="R133" s="47">
        <v>0</v>
      </c>
      <c r="S133" s="43">
        <v>0</v>
      </c>
      <c r="T133" s="43">
        <f t="shared" si="48"/>
        <v>10.803000000000001</v>
      </c>
      <c r="U133" s="43">
        <v>26.744</v>
      </c>
      <c r="V133" s="30">
        <f t="shared" si="31"/>
        <v>131.83199999999999</v>
      </c>
      <c r="W133" s="26">
        <v>93.355999999999995</v>
      </c>
      <c r="X133" s="270">
        <v>225.1875</v>
      </c>
      <c r="Y133" s="271"/>
      <c r="Z133" s="72" t="s">
        <v>7</v>
      </c>
      <c r="AA133" s="272" t="s">
        <v>782</v>
      </c>
      <c r="AB133" s="273"/>
      <c r="AC133" s="10" t="s">
        <v>70</v>
      </c>
      <c r="AD133" s="10" t="s">
        <v>783</v>
      </c>
      <c r="AE133" s="47"/>
    </row>
    <row r="134" spans="1:31" x14ac:dyDescent="0.2">
      <c r="A134" s="262"/>
      <c r="B134" s="263" t="s">
        <v>784</v>
      </c>
      <c r="C134" s="264"/>
      <c r="D134" s="74" t="s">
        <v>785</v>
      </c>
      <c r="E134" s="75" t="s">
        <v>48</v>
      </c>
      <c r="F134" s="76">
        <f>F135+F140</f>
        <v>5104.0709999999999</v>
      </c>
      <c r="G134" s="75" t="s">
        <v>48</v>
      </c>
      <c r="H134" s="74"/>
      <c r="I134" s="76">
        <f>I135+I140</f>
        <v>634.58300000000008</v>
      </c>
      <c r="J134" s="76">
        <f t="shared" ref="J134:M134" si="53">J135+J140</f>
        <v>12336.563999999998</v>
      </c>
      <c r="K134" s="76">
        <f t="shared" si="53"/>
        <v>4419.326</v>
      </c>
      <c r="L134" s="76">
        <f t="shared" si="53"/>
        <v>0</v>
      </c>
      <c r="M134" s="76">
        <f t="shared" si="53"/>
        <v>0</v>
      </c>
      <c r="N134" s="76">
        <f>SUM(I134:M134)</f>
        <v>17390.472999999998</v>
      </c>
      <c r="O134" s="76">
        <f>O135+O140</f>
        <v>1523.5915600000003</v>
      </c>
      <c r="P134" s="76">
        <f t="shared" ref="P134:S134" si="54">P135+P140</f>
        <v>885.62899999999991</v>
      </c>
      <c r="Q134" s="76">
        <f t="shared" si="54"/>
        <v>50</v>
      </c>
      <c r="R134" s="76">
        <f t="shared" si="54"/>
        <v>0</v>
      </c>
      <c r="S134" s="76">
        <f t="shared" si="54"/>
        <v>0</v>
      </c>
      <c r="T134" s="76">
        <f>SUM(O134:S134)</f>
        <v>2459.2205600000002</v>
      </c>
      <c r="U134" s="77">
        <f>U135+U140</f>
        <v>400</v>
      </c>
      <c r="V134" s="77">
        <f t="shared" si="31"/>
        <v>20249.69356</v>
      </c>
      <c r="W134" s="78">
        <f>SUM(W135+W140)</f>
        <v>580</v>
      </c>
      <c r="X134" s="265" t="s">
        <v>48</v>
      </c>
      <c r="Y134" s="266"/>
      <c r="Z134" s="75" t="s">
        <v>48</v>
      </c>
      <c r="AA134" s="75" t="s">
        <v>48</v>
      </c>
      <c r="AB134" s="75" t="s">
        <v>48</v>
      </c>
      <c r="AC134" s="75" t="s">
        <v>48</v>
      </c>
      <c r="AD134" s="75" t="s">
        <v>48</v>
      </c>
      <c r="AE134" s="52"/>
    </row>
    <row r="135" spans="1:31" x14ac:dyDescent="0.2">
      <c r="A135" s="262"/>
      <c r="B135" s="255" t="s">
        <v>786</v>
      </c>
      <c r="C135" s="256"/>
      <c r="D135" s="38" t="s">
        <v>787</v>
      </c>
      <c r="E135" s="39" t="s">
        <v>48</v>
      </c>
      <c r="F135" s="40">
        <f>SUM(F136:F139)</f>
        <v>5104.0709999999999</v>
      </c>
      <c r="G135" s="39" t="s">
        <v>48</v>
      </c>
      <c r="H135" s="38"/>
      <c r="I135" s="40">
        <f>SUM(I136:I139)</f>
        <v>634.58300000000008</v>
      </c>
      <c r="J135" s="40">
        <f t="shared" ref="J135:M135" si="55">SUM(J136:J139)</f>
        <v>12336.563999999998</v>
      </c>
      <c r="K135" s="40">
        <f t="shared" si="55"/>
        <v>3918.0299999999997</v>
      </c>
      <c r="L135" s="40">
        <f t="shared" si="55"/>
        <v>0</v>
      </c>
      <c r="M135" s="40">
        <f t="shared" si="55"/>
        <v>0</v>
      </c>
      <c r="N135" s="40">
        <f>SUM(I135:M135)</f>
        <v>16889.177</v>
      </c>
      <c r="O135" s="40">
        <f>SUM(O136:O139)</f>
        <v>1463.5915600000003</v>
      </c>
      <c r="P135" s="40">
        <f>SUM(P136:P139)</f>
        <v>0</v>
      </c>
      <c r="Q135" s="40">
        <f t="shared" ref="Q135:S135" si="56">SUM(Q136:Q139)</f>
        <v>50</v>
      </c>
      <c r="R135" s="40">
        <f t="shared" si="56"/>
        <v>0</v>
      </c>
      <c r="S135" s="40">
        <f t="shared" si="56"/>
        <v>0</v>
      </c>
      <c r="T135" s="40">
        <f>SUM(O135:S135)</f>
        <v>1513.5915600000003</v>
      </c>
      <c r="U135" s="40">
        <f>SUM(U136:U139)</f>
        <v>100</v>
      </c>
      <c r="V135" s="41">
        <f t="shared" si="31"/>
        <v>18502.76856</v>
      </c>
      <c r="W135" s="42">
        <f>SUM(W136:W139)</f>
        <v>580</v>
      </c>
      <c r="X135" s="252" t="s">
        <v>48</v>
      </c>
      <c r="Y135" s="253"/>
      <c r="Z135" s="39" t="s">
        <v>48</v>
      </c>
      <c r="AA135" s="39" t="s">
        <v>48</v>
      </c>
      <c r="AB135" s="39" t="s">
        <v>48</v>
      </c>
      <c r="AC135" s="39" t="s">
        <v>48</v>
      </c>
      <c r="AD135" s="39" t="s">
        <v>48</v>
      </c>
      <c r="AE135" s="52"/>
    </row>
    <row r="136" spans="1:31" ht="256.5" x14ac:dyDescent="0.2">
      <c r="A136" s="262"/>
      <c r="B136" s="7" t="s">
        <v>788</v>
      </c>
      <c r="C136" s="10" t="s">
        <v>789</v>
      </c>
      <c r="D136" s="1" t="s">
        <v>790</v>
      </c>
      <c r="E136" s="1" t="s">
        <v>7</v>
      </c>
      <c r="F136" s="43">
        <v>3642.587</v>
      </c>
      <c r="G136" s="1" t="s">
        <v>46</v>
      </c>
      <c r="H136" s="1" t="s">
        <v>47</v>
      </c>
      <c r="I136" s="43">
        <v>188.90600000000001</v>
      </c>
      <c r="J136" s="43">
        <v>7535.3689999999997</v>
      </c>
      <c r="K136" s="43">
        <v>3220.0529999999999</v>
      </c>
      <c r="L136" s="43">
        <v>0</v>
      </c>
      <c r="M136" s="43">
        <v>0</v>
      </c>
      <c r="N136" s="43">
        <f>SUM(I136:M136)</f>
        <v>10944.328</v>
      </c>
      <c r="O136" s="43">
        <v>0</v>
      </c>
      <c r="P136" s="43">
        <v>0</v>
      </c>
      <c r="Q136" s="43">
        <v>0</v>
      </c>
      <c r="R136" s="43">
        <v>0</v>
      </c>
      <c r="S136" s="43">
        <v>0</v>
      </c>
      <c r="T136" s="43">
        <f>SUM(O136:S136)</f>
        <v>0</v>
      </c>
      <c r="U136" s="43">
        <v>0</v>
      </c>
      <c r="V136" s="30">
        <f t="shared" si="31"/>
        <v>10944.328</v>
      </c>
      <c r="W136" s="26">
        <v>0</v>
      </c>
      <c r="X136" s="213">
        <v>13786.25411</v>
      </c>
      <c r="Y136" s="213"/>
      <c r="Z136" s="1" t="s">
        <v>7</v>
      </c>
      <c r="AA136" s="10" t="s">
        <v>791</v>
      </c>
      <c r="AB136" s="10" t="s">
        <v>792</v>
      </c>
      <c r="AC136" s="10" t="s">
        <v>10</v>
      </c>
      <c r="AD136" s="10" t="s">
        <v>153</v>
      </c>
      <c r="AE136" s="47"/>
    </row>
    <row r="137" spans="1:31" ht="216" x14ac:dyDescent="0.2">
      <c r="A137" s="262"/>
      <c r="B137" s="7" t="s">
        <v>793</v>
      </c>
      <c r="C137" s="10" t="s">
        <v>794</v>
      </c>
      <c r="D137" s="1" t="s">
        <v>790</v>
      </c>
      <c r="E137" s="1" t="s">
        <v>7</v>
      </c>
      <c r="F137" s="43">
        <v>1461.4839999999999</v>
      </c>
      <c r="G137" s="1" t="s">
        <v>46</v>
      </c>
      <c r="H137" s="1" t="s">
        <v>47</v>
      </c>
      <c r="I137" s="43">
        <v>445.67700000000002</v>
      </c>
      <c r="J137" s="43">
        <v>4801.1949999999997</v>
      </c>
      <c r="K137" s="43">
        <v>697.97699999999998</v>
      </c>
      <c r="L137" s="43">
        <v>0</v>
      </c>
      <c r="M137" s="43">
        <v>0</v>
      </c>
      <c r="N137" s="43">
        <f t="shared" ref="N137:N139" si="57">SUM(I137:M137)</f>
        <v>5944.8489999999993</v>
      </c>
      <c r="O137" s="43">
        <f>X137-N137-F137</f>
        <v>1433.5915600000003</v>
      </c>
      <c r="P137" s="43">
        <v>0</v>
      </c>
      <c r="Q137" s="43">
        <v>0</v>
      </c>
      <c r="R137" s="43">
        <v>0</v>
      </c>
      <c r="S137" s="43">
        <v>0</v>
      </c>
      <c r="T137" s="43">
        <f t="shared" ref="T137:T138" si="58">SUM(O137:S137)</f>
        <v>1433.5915600000003</v>
      </c>
      <c r="U137" s="43">
        <v>0</v>
      </c>
      <c r="V137" s="30">
        <f t="shared" si="31"/>
        <v>7378.4405599999991</v>
      </c>
      <c r="W137" s="26">
        <v>0</v>
      </c>
      <c r="X137" s="213">
        <v>8839.9245599999995</v>
      </c>
      <c r="Y137" s="213"/>
      <c r="Z137" s="1" t="s">
        <v>7</v>
      </c>
      <c r="AA137" s="10" t="s">
        <v>795</v>
      </c>
      <c r="AB137" s="10" t="s">
        <v>796</v>
      </c>
      <c r="AC137" s="10" t="s">
        <v>10</v>
      </c>
      <c r="AD137" s="10" t="s">
        <v>89</v>
      </c>
      <c r="AE137" s="47"/>
    </row>
    <row r="138" spans="1:31" ht="81" x14ac:dyDescent="0.2">
      <c r="A138" s="262"/>
      <c r="B138" s="7" t="s">
        <v>797</v>
      </c>
      <c r="C138" s="10" t="s">
        <v>38</v>
      </c>
      <c r="D138" s="1" t="s">
        <v>798</v>
      </c>
      <c r="E138" s="1" t="s">
        <v>7</v>
      </c>
      <c r="F138" s="43">
        <v>0</v>
      </c>
      <c r="G138" s="1" t="s">
        <v>152</v>
      </c>
      <c r="H138" s="1" t="s">
        <v>47</v>
      </c>
      <c r="I138" s="43">
        <v>0</v>
      </c>
      <c r="J138" s="43">
        <v>0</v>
      </c>
      <c r="K138" s="43">
        <v>0</v>
      </c>
      <c r="L138" s="43">
        <v>0</v>
      </c>
      <c r="M138" s="43">
        <v>0</v>
      </c>
      <c r="N138" s="43">
        <f t="shared" si="57"/>
        <v>0</v>
      </c>
      <c r="O138" s="43">
        <v>30</v>
      </c>
      <c r="P138" s="43">
        <v>0</v>
      </c>
      <c r="Q138" s="43">
        <v>50</v>
      </c>
      <c r="R138" s="43">
        <v>0</v>
      </c>
      <c r="S138" s="43">
        <v>0</v>
      </c>
      <c r="T138" s="43">
        <f t="shared" si="58"/>
        <v>80</v>
      </c>
      <c r="U138" s="43">
        <v>50</v>
      </c>
      <c r="V138" s="30">
        <f t="shared" si="31"/>
        <v>130</v>
      </c>
      <c r="W138" s="26">
        <v>130</v>
      </c>
      <c r="X138" s="213">
        <f>130*2</f>
        <v>260</v>
      </c>
      <c r="Y138" s="213"/>
      <c r="Z138" s="1" t="s">
        <v>7</v>
      </c>
      <c r="AA138" s="10" t="s">
        <v>799</v>
      </c>
      <c r="AB138" s="10" t="s">
        <v>800</v>
      </c>
      <c r="AC138" s="10" t="s">
        <v>153</v>
      </c>
      <c r="AD138" s="16" t="s">
        <v>801</v>
      </c>
      <c r="AE138" s="47"/>
    </row>
    <row r="139" spans="1:31" ht="40.5" x14ac:dyDescent="0.2">
      <c r="A139" s="262"/>
      <c r="B139" s="7" t="s">
        <v>802</v>
      </c>
      <c r="C139" s="10" t="s">
        <v>803</v>
      </c>
      <c r="D139" s="1" t="s">
        <v>804</v>
      </c>
      <c r="E139" s="1" t="s">
        <v>7</v>
      </c>
      <c r="F139" s="43">
        <v>0</v>
      </c>
      <c r="G139" s="1" t="s">
        <v>152</v>
      </c>
      <c r="H139" s="1" t="s">
        <v>47</v>
      </c>
      <c r="I139" s="43">
        <v>0</v>
      </c>
      <c r="J139" s="43">
        <v>0</v>
      </c>
      <c r="K139" s="43">
        <v>0</v>
      </c>
      <c r="L139" s="43">
        <v>0</v>
      </c>
      <c r="M139" s="43">
        <v>0</v>
      </c>
      <c r="N139" s="43">
        <f t="shared" si="57"/>
        <v>0</v>
      </c>
      <c r="O139" s="43">
        <v>0</v>
      </c>
      <c r="P139" s="43">
        <v>0</v>
      </c>
      <c r="Q139" s="43">
        <v>0</v>
      </c>
      <c r="R139" s="43">
        <v>0</v>
      </c>
      <c r="S139" s="43">
        <v>0</v>
      </c>
      <c r="T139" s="43">
        <f>SUM(O139:S139)</f>
        <v>0</v>
      </c>
      <c r="U139" s="43">
        <v>50</v>
      </c>
      <c r="V139" s="30">
        <f t="shared" si="31"/>
        <v>50</v>
      </c>
      <c r="W139" s="26">
        <v>450</v>
      </c>
      <c r="X139" s="213">
        <v>500</v>
      </c>
      <c r="Y139" s="213"/>
      <c r="Z139" s="1" t="s">
        <v>7</v>
      </c>
      <c r="AA139" s="10" t="s">
        <v>805</v>
      </c>
      <c r="AB139" s="10" t="s">
        <v>48</v>
      </c>
      <c r="AC139" s="10" t="s">
        <v>153</v>
      </c>
      <c r="AD139" s="44" t="s">
        <v>48</v>
      </c>
      <c r="AE139" s="47"/>
    </row>
    <row r="140" spans="1:31" x14ac:dyDescent="0.2">
      <c r="A140" s="262"/>
      <c r="B140" s="255" t="s">
        <v>806</v>
      </c>
      <c r="C140" s="256"/>
      <c r="D140" s="38" t="s">
        <v>807</v>
      </c>
      <c r="E140" s="38" t="s">
        <v>48</v>
      </c>
      <c r="F140" s="40">
        <f>SUM(F141:F143)</f>
        <v>0</v>
      </c>
      <c r="G140" s="38" t="s">
        <v>48</v>
      </c>
      <c r="H140" s="38"/>
      <c r="I140" s="40">
        <f>SUM(I141:I143)</f>
        <v>0</v>
      </c>
      <c r="J140" s="40">
        <f>SUM(J141:J143)</f>
        <v>0</v>
      </c>
      <c r="K140" s="40">
        <f>SUM(K141:K143)</f>
        <v>501.29599999999999</v>
      </c>
      <c r="L140" s="40">
        <f>SUM(L141:L143)</f>
        <v>0</v>
      </c>
      <c r="M140" s="40">
        <f>SUM(M141:M143)</f>
        <v>0</v>
      </c>
      <c r="N140" s="40">
        <f>SUM(I140:M140)</f>
        <v>501.29599999999999</v>
      </c>
      <c r="O140" s="40">
        <f>SUM(O141:O143)</f>
        <v>60</v>
      </c>
      <c r="P140" s="40">
        <f>SUM(P141:P143)</f>
        <v>885.62899999999991</v>
      </c>
      <c r="Q140" s="40">
        <f>SUM(Q141:Q143)</f>
        <v>0</v>
      </c>
      <c r="R140" s="40">
        <f>SUM(R141:R143)</f>
        <v>0</v>
      </c>
      <c r="S140" s="40">
        <f>SUM(S141:S143)</f>
        <v>0</v>
      </c>
      <c r="T140" s="40">
        <f>SUM(O140:S140)</f>
        <v>945.62899999999991</v>
      </c>
      <c r="U140" s="40">
        <f>SUM(U141:U143)</f>
        <v>300</v>
      </c>
      <c r="V140" s="41">
        <f>N140+T140+U140</f>
        <v>1746.925</v>
      </c>
      <c r="W140" s="42">
        <f>SUM(W141:W143)</f>
        <v>0</v>
      </c>
      <c r="X140" s="252" t="s">
        <v>48</v>
      </c>
      <c r="Y140" s="253"/>
      <c r="Z140" s="39" t="s">
        <v>48</v>
      </c>
      <c r="AA140" s="39" t="s">
        <v>48</v>
      </c>
      <c r="AB140" s="39" t="s">
        <v>48</v>
      </c>
      <c r="AC140" s="39" t="s">
        <v>48</v>
      </c>
      <c r="AD140" s="39" t="s">
        <v>48</v>
      </c>
      <c r="AE140" s="52"/>
    </row>
    <row r="141" spans="1:31" ht="81" x14ac:dyDescent="0.2">
      <c r="A141" s="262"/>
      <c r="B141" s="7" t="s">
        <v>808</v>
      </c>
      <c r="C141" s="10" t="s">
        <v>809</v>
      </c>
      <c r="D141" s="1" t="s">
        <v>810</v>
      </c>
      <c r="E141" s="1" t="s">
        <v>7</v>
      </c>
      <c r="F141" s="43" t="s">
        <v>48</v>
      </c>
      <c r="G141" s="1" t="s">
        <v>152</v>
      </c>
      <c r="H141" s="1" t="s">
        <v>47</v>
      </c>
      <c r="I141" s="43">
        <v>0</v>
      </c>
      <c r="J141" s="43">
        <v>0</v>
      </c>
      <c r="K141" s="43">
        <v>0</v>
      </c>
      <c r="L141" s="43">
        <v>0</v>
      </c>
      <c r="M141" s="43"/>
      <c r="N141" s="43">
        <f>SUM(I141:M141)</f>
        <v>0</v>
      </c>
      <c r="O141" s="43"/>
      <c r="P141" s="43"/>
      <c r="Q141" s="43"/>
      <c r="R141" s="43"/>
      <c r="S141" s="43"/>
      <c r="T141" s="43">
        <f>SUM(O141:S141)</f>
        <v>0</v>
      </c>
      <c r="U141" s="43"/>
      <c r="V141" s="30">
        <f t="shared" si="31"/>
        <v>0</v>
      </c>
      <c r="W141" s="26">
        <v>0</v>
      </c>
      <c r="X141" s="213">
        <v>1204.8</v>
      </c>
      <c r="Y141" s="213"/>
      <c r="Z141" s="1" t="s">
        <v>7</v>
      </c>
      <c r="AA141" s="10" t="s">
        <v>811</v>
      </c>
      <c r="AB141" s="44" t="s">
        <v>48</v>
      </c>
      <c r="AC141" s="10" t="s">
        <v>226</v>
      </c>
      <c r="AD141" s="10" t="s">
        <v>135</v>
      </c>
      <c r="AE141" s="47"/>
    </row>
    <row r="142" spans="1:31" ht="40.5" x14ac:dyDescent="0.2">
      <c r="A142" s="262"/>
      <c r="B142" s="7" t="s">
        <v>812</v>
      </c>
      <c r="C142" s="10" t="s">
        <v>813</v>
      </c>
      <c r="D142" s="1" t="s">
        <v>814</v>
      </c>
      <c r="E142" s="1" t="s">
        <v>69</v>
      </c>
      <c r="F142" s="43">
        <v>0</v>
      </c>
      <c r="G142" s="1" t="s">
        <v>152</v>
      </c>
      <c r="H142" s="1" t="s">
        <v>47</v>
      </c>
      <c r="I142" s="43">
        <v>0</v>
      </c>
      <c r="J142" s="43">
        <v>0</v>
      </c>
      <c r="K142" s="43">
        <v>0</v>
      </c>
      <c r="L142" s="43">
        <v>0</v>
      </c>
      <c r="M142" s="43">
        <v>0</v>
      </c>
      <c r="N142" s="43">
        <f t="shared" ref="N142:N143" si="59">SUM(I142:M142)</f>
        <v>0</v>
      </c>
      <c r="O142" s="43">
        <v>60</v>
      </c>
      <c r="P142" s="43">
        <v>0</v>
      </c>
      <c r="Q142" s="43">
        <v>0</v>
      </c>
      <c r="R142" s="43">
        <v>0</v>
      </c>
      <c r="S142" s="43">
        <v>0</v>
      </c>
      <c r="T142" s="43">
        <f t="shared" ref="T142:T143" si="60">SUM(O142:S142)</f>
        <v>60</v>
      </c>
      <c r="U142" s="43">
        <v>300</v>
      </c>
      <c r="V142" s="30">
        <f t="shared" si="31"/>
        <v>360</v>
      </c>
      <c r="W142" s="26">
        <v>0</v>
      </c>
      <c r="X142" s="213">
        <v>360</v>
      </c>
      <c r="Y142" s="213"/>
      <c r="Z142" s="1" t="s">
        <v>69</v>
      </c>
      <c r="AA142" s="10" t="s">
        <v>815</v>
      </c>
      <c r="AB142" s="44" t="s">
        <v>48</v>
      </c>
      <c r="AC142" s="10" t="s">
        <v>816</v>
      </c>
      <c r="AD142" s="10" t="s">
        <v>90</v>
      </c>
      <c r="AE142" s="47"/>
    </row>
    <row r="143" spans="1:31" ht="13.5" x14ac:dyDescent="0.2">
      <c r="A143" s="262"/>
      <c r="B143" s="7" t="s">
        <v>817</v>
      </c>
      <c r="C143" s="10" t="s">
        <v>818</v>
      </c>
      <c r="D143" s="1" t="s">
        <v>819</v>
      </c>
      <c r="E143" s="1" t="s">
        <v>7</v>
      </c>
      <c r="F143" s="43">
        <v>0</v>
      </c>
      <c r="G143" s="1" t="s">
        <v>152</v>
      </c>
      <c r="H143" s="1" t="s">
        <v>47</v>
      </c>
      <c r="I143" s="43">
        <v>0</v>
      </c>
      <c r="J143" s="43">
        <v>0</v>
      </c>
      <c r="K143" s="43">
        <v>501.29599999999999</v>
      </c>
      <c r="L143" s="43">
        <v>0</v>
      </c>
      <c r="M143" s="43">
        <v>0</v>
      </c>
      <c r="N143" s="43">
        <f t="shared" si="59"/>
        <v>501.29599999999999</v>
      </c>
      <c r="O143" s="43">
        <v>0</v>
      </c>
      <c r="P143" s="43">
        <f>X143-N143</f>
        <v>885.62899999999991</v>
      </c>
      <c r="Q143" s="43">
        <v>0</v>
      </c>
      <c r="R143" s="43">
        <v>0</v>
      </c>
      <c r="S143" s="43">
        <v>0</v>
      </c>
      <c r="T143" s="43">
        <f t="shared" si="60"/>
        <v>885.62899999999991</v>
      </c>
      <c r="U143" s="43">
        <v>0</v>
      </c>
      <c r="V143" s="30">
        <f t="shared" si="31"/>
        <v>1386.925</v>
      </c>
      <c r="W143" s="26">
        <v>0</v>
      </c>
      <c r="X143" s="213">
        <v>1386.925</v>
      </c>
      <c r="Y143" s="213"/>
      <c r="Z143" s="1" t="s">
        <v>7</v>
      </c>
      <c r="AA143" s="10" t="s">
        <v>820</v>
      </c>
      <c r="AB143" s="10" t="s">
        <v>48</v>
      </c>
      <c r="AC143" s="10" t="s">
        <v>566</v>
      </c>
      <c r="AD143" s="10" t="s">
        <v>821</v>
      </c>
      <c r="AE143" s="47"/>
    </row>
    <row r="144" spans="1:31" x14ac:dyDescent="0.2">
      <c r="A144" s="257"/>
      <c r="B144" s="258" t="s">
        <v>822</v>
      </c>
      <c r="C144" s="259"/>
      <c r="D144" s="79" t="s">
        <v>46</v>
      </c>
      <c r="E144" s="80" t="s">
        <v>48</v>
      </c>
      <c r="F144" s="81">
        <f>F145+F152</f>
        <v>0</v>
      </c>
      <c r="G144" s="80" t="s">
        <v>48</v>
      </c>
      <c r="H144" s="82"/>
      <c r="I144" s="81">
        <f>I145+I152</f>
        <v>183.61</v>
      </c>
      <c r="J144" s="81">
        <f>J145+J152</f>
        <v>0</v>
      </c>
      <c r="K144" s="81">
        <f>K145+K152</f>
        <v>0</v>
      </c>
      <c r="L144" s="81">
        <f>L145+L152</f>
        <v>0</v>
      </c>
      <c r="M144" s="81">
        <f>M145+M152</f>
        <v>0</v>
      </c>
      <c r="N144" s="81">
        <f>SUM(I144:M144)</f>
        <v>183.61</v>
      </c>
      <c r="O144" s="81">
        <f>O145+O152</f>
        <v>570</v>
      </c>
      <c r="P144" s="81">
        <f>P145+P152</f>
        <v>0</v>
      </c>
      <c r="Q144" s="81">
        <f>Q145+Q152</f>
        <v>0</v>
      </c>
      <c r="R144" s="81">
        <f>R145+R152</f>
        <v>0</v>
      </c>
      <c r="S144" s="81">
        <f>S145+S152</f>
        <v>0</v>
      </c>
      <c r="T144" s="81">
        <f>SUM(O144:S144)</f>
        <v>570</v>
      </c>
      <c r="U144" s="81">
        <f>U145+U152</f>
        <v>930</v>
      </c>
      <c r="V144" s="81">
        <f t="shared" si="31"/>
        <v>1683.6100000000001</v>
      </c>
      <c r="W144" s="83">
        <f>SUM(W145+W152)</f>
        <v>5511.3899999999994</v>
      </c>
      <c r="X144" s="260" t="s">
        <v>48</v>
      </c>
      <c r="Y144" s="261"/>
      <c r="Z144" s="80" t="s">
        <v>48</v>
      </c>
      <c r="AA144" s="80" t="s">
        <v>48</v>
      </c>
      <c r="AB144" s="80" t="s">
        <v>48</v>
      </c>
      <c r="AC144" s="80" t="s">
        <v>48</v>
      </c>
      <c r="AD144" s="80" t="s">
        <v>48</v>
      </c>
      <c r="AE144" s="52"/>
    </row>
    <row r="145" spans="1:31" x14ac:dyDescent="0.2">
      <c r="A145" s="257"/>
      <c r="B145" s="255" t="s">
        <v>823</v>
      </c>
      <c r="C145" s="256"/>
      <c r="D145" s="22" t="s">
        <v>824</v>
      </c>
      <c r="E145" s="39" t="s">
        <v>48</v>
      </c>
      <c r="F145" s="40">
        <f>SUM(F146:F151)</f>
        <v>0</v>
      </c>
      <c r="G145" s="39" t="s">
        <v>48</v>
      </c>
      <c r="H145" s="38"/>
      <c r="I145" s="40">
        <f>SUM(I146:I151)</f>
        <v>183.61</v>
      </c>
      <c r="J145" s="40">
        <f>SUM(J146:J151)</f>
        <v>0</v>
      </c>
      <c r="K145" s="40">
        <f>SUM(K146:K151)</f>
        <v>0</v>
      </c>
      <c r="L145" s="40">
        <f>SUM(L146:L151)</f>
        <v>0</v>
      </c>
      <c r="M145" s="40">
        <f>SUM(M146:M151)</f>
        <v>0</v>
      </c>
      <c r="N145" s="40">
        <f>SUM(I145:M145)</f>
        <v>183.61</v>
      </c>
      <c r="O145" s="40">
        <f>SUM(O146:O151)</f>
        <v>570</v>
      </c>
      <c r="P145" s="40">
        <f>SUM(P146:P151)</f>
        <v>0</v>
      </c>
      <c r="Q145" s="40">
        <f>SUM(Q146:Q151)</f>
        <v>0</v>
      </c>
      <c r="R145" s="40">
        <f>SUM(R146:R151)</f>
        <v>0</v>
      </c>
      <c r="S145" s="40">
        <f>SUM(S146:S151)</f>
        <v>0</v>
      </c>
      <c r="T145" s="40">
        <f>SUM(O145:S145)</f>
        <v>570</v>
      </c>
      <c r="U145" s="40">
        <f>SUM(U146:U151)</f>
        <v>860</v>
      </c>
      <c r="V145" s="41">
        <f>N145+T145+U145</f>
        <v>1613.6100000000001</v>
      </c>
      <c r="W145" s="42">
        <f>SUM(W146:W151)</f>
        <v>5126.3899999999994</v>
      </c>
      <c r="X145" s="252" t="s">
        <v>48</v>
      </c>
      <c r="Y145" s="253"/>
      <c r="Z145" s="39" t="s">
        <v>48</v>
      </c>
      <c r="AA145" s="39" t="s">
        <v>48</v>
      </c>
      <c r="AB145" s="39" t="s">
        <v>48</v>
      </c>
      <c r="AC145" s="39" t="s">
        <v>48</v>
      </c>
      <c r="AD145" s="39" t="s">
        <v>48</v>
      </c>
      <c r="AE145" s="52"/>
    </row>
    <row r="146" spans="1:31" ht="67.5" x14ac:dyDescent="0.2">
      <c r="A146" s="257"/>
      <c r="B146" s="84" t="s">
        <v>825</v>
      </c>
      <c r="C146" s="10" t="s">
        <v>826</v>
      </c>
      <c r="D146" s="1" t="s">
        <v>827</v>
      </c>
      <c r="E146" s="1" t="s">
        <v>7</v>
      </c>
      <c r="F146" s="43">
        <v>0</v>
      </c>
      <c r="G146" s="1" t="s">
        <v>152</v>
      </c>
      <c r="H146" s="1" t="s">
        <v>47</v>
      </c>
      <c r="I146" s="43">
        <v>78.61</v>
      </c>
      <c r="J146" s="43">
        <v>0</v>
      </c>
      <c r="K146" s="43">
        <v>0</v>
      </c>
      <c r="L146" s="43">
        <v>0</v>
      </c>
      <c r="M146" s="43">
        <v>0</v>
      </c>
      <c r="N146" s="43">
        <f>SUM(I146:M146)</f>
        <v>78.61</v>
      </c>
      <c r="O146" s="43">
        <v>120</v>
      </c>
      <c r="P146" s="43">
        <v>0</v>
      </c>
      <c r="Q146" s="43">
        <v>0</v>
      </c>
      <c r="R146" s="43">
        <v>0</v>
      </c>
      <c r="S146" s="43">
        <v>0</v>
      </c>
      <c r="T146" s="43">
        <f>SUM(O146:S146)</f>
        <v>120</v>
      </c>
      <c r="U146" s="43">
        <v>120</v>
      </c>
      <c r="V146" s="30">
        <f t="shared" ref="V146:V153" si="61">N146+T146+U146</f>
        <v>318.61</v>
      </c>
      <c r="W146" s="26">
        <f t="shared" ref="W146:W151" si="62">X146-V146</f>
        <v>641.39</v>
      </c>
      <c r="X146" s="213">
        <v>960</v>
      </c>
      <c r="Y146" s="213"/>
      <c r="Z146" s="1" t="s">
        <v>69</v>
      </c>
      <c r="AA146" s="10" t="s">
        <v>828</v>
      </c>
      <c r="AB146" s="44" t="s">
        <v>48</v>
      </c>
      <c r="AC146" s="10" t="s">
        <v>829</v>
      </c>
      <c r="AD146" s="10" t="s">
        <v>830</v>
      </c>
      <c r="AE146" s="47"/>
    </row>
    <row r="147" spans="1:31" ht="40.5" x14ac:dyDescent="0.2">
      <c r="A147" s="257"/>
      <c r="B147" s="8" t="s">
        <v>831</v>
      </c>
      <c r="C147" s="10" t="s">
        <v>832</v>
      </c>
      <c r="D147" s="1" t="s">
        <v>833</v>
      </c>
      <c r="E147" s="1" t="s">
        <v>7</v>
      </c>
      <c r="F147" s="43">
        <v>0</v>
      </c>
      <c r="G147" s="1" t="s">
        <v>152</v>
      </c>
      <c r="H147" s="1" t="s">
        <v>47</v>
      </c>
      <c r="I147" s="43">
        <v>0</v>
      </c>
      <c r="J147" s="43">
        <v>0</v>
      </c>
      <c r="K147" s="43">
        <v>0</v>
      </c>
      <c r="L147" s="43">
        <v>0</v>
      </c>
      <c r="M147" s="43">
        <v>0</v>
      </c>
      <c r="N147" s="43">
        <f t="shared" ref="N147:N151" si="63">SUM(I147:M147)</f>
        <v>0</v>
      </c>
      <c r="O147" s="43">
        <v>0</v>
      </c>
      <c r="P147" s="43">
        <v>0</v>
      </c>
      <c r="Q147" s="43">
        <v>0</v>
      </c>
      <c r="R147" s="43">
        <v>0</v>
      </c>
      <c r="S147" s="43">
        <v>0</v>
      </c>
      <c r="T147" s="43">
        <f t="shared" ref="T147:T151" si="64">SUM(O147:S147)</f>
        <v>0</v>
      </c>
      <c r="U147" s="43">
        <v>100</v>
      </c>
      <c r="V147" s="30">
        <f t="shared" si="61"/>
        <v>100</v>
      </c>
      <c r="W147" s="26">
        <f t="shared" si="62"/>
        <v>500</v>
      </c>
      <c r="X147" s="213">
        <v>600</v>
      </c>
      <c r="Y147" s="213"/>
      <c r="Z147" s="1"/>
      <c r="AA147" s="10" t="s">
        <v>834</v>
      </c>
      <c r="AB147" s="44" t="s">
        <v>48</v>
      </c>
      <c r="AC147" s="10" t="s">
        <v>816</v>
      </c>
      <c r="AD147" s="10" t="s">
        <v>133</v>
      </c>
      <c r="AE147" s="47"/>
    </row>
    <row r="148" spans="1:31" ht="54" x14ac:dyDescent="0.2">
      <c r="A148" s="257"/>
      <c r="B148" s="8" t="s">
        <v>835</v>
      </c>
      <c r="C148" s="10" t="s">
        <v>836</v>
      </c>
      <c r="D148" s="1" t="s">
        <v>833</v>
      </c>
      <c r="E148" s="1" t="s">
        <v>7</v>
      </c>
      <c r="F148" s="43" t="s">
        <v>48</v>
      </c>
      <c r="G148" s="1" t="s">
        <v>152</v>
      </c>
      <c r="H148" s="1" t="s">
        <v>47</v>
      </c>
      <c r="I148" s="43">
        <v>0</v>
      </c>
      <c r="J148" s="43">
        <v>0</v>
      </c>
      <c r="K148" s="43">
        <v>0</v>
      </c>
      <c r="L148" s="43">
        <v>0</v>
      </c>
      <c r="M148" s="43">
        <v>0</v>
      </c>
      <c r="N148" s="43">
        <f t="shared" si="63"/>
        <v>0</v>
      </c>
      <c r="O148" s="43">
        <v>0</v>
      </c>
      <c r="P148" s="43">
        <v>0</v>
      </c>
      <c r="Q148" s="43">
        <v>0</v>
      </c>
      <c r="R148" s="43">
        <v>0</v>
      </c>
      <c r="S148" s="43">
        <v>0</v>
      </c>
      <c r="T148" s="43">
        <f t="shared" si="64"/>
        <v>0</v>
      </c>
      <c r="U148" s="43">
        <v>200</v>
      </c>
      <c r="V148" s="30">
        <f t="shared" si="61"/>
        <v>200</v>
      </c>
      <c r="W148" s="26">
        <f t="shared" si="62"/>
        <v>1800</v>
      </c>
      <c r="X148" s="213">
        <v>2000</v>
      </c>
      <c r="Y148" s="213"/>
      <c r="Z148" s="1" t="s">
        <v>69</v>
      </c>
      <c r="AA148" s="10" t="s">
        <v>837</v>
      </c>
      <c r="AB148" s="10" t="s">
        <v>838</v>
      </c>
      <c r="AC148" s="10" t="s">
        <v>816</v>
      </c>
      <c r="AD148" s="10" t="s">
        <v>839</v>
      </c>
      <c r="AE148" s="47"/>
    </row>
    <row r="149" spans="1:31" ht="40.5" x14ac:dyDescent="0.2">
      <c r="A149" s="257"/>
      <c r="B149" s="8" t="s">
        <v>840</v>
      </c>
      <c r="C149" s="10" t="s">
        <v>841</v>
      </c>
      <c r="D149" s="1" t="s">
        <v>842</v>
      </c>
      <c r="E149" s="1" t="s">
        <v>7</v>
      </c>
      <c r="F149" s="43" t="s">
        <v>48</v>
      </c>
      <c r="G149" s="1" t="s">
        <v>46</v>
      </c>
      <c r="H149" s="1" t="s">
        <v>47</v>
      </c>
      <c r="I149" s="43">
        <v>35</v>
      </c>
      <c r="J149" s="43">
        <v>0</v>
      </c>
      <c r="K149" s="43">
        <v>0</v>
      </c>
      <c r="L149" s="43">
        <v>0</v>
      </c>
      <c r="M149" s="43">
        <v>0</v>
      </c>
      <c r="N149" s="43">
        <f t="shared" si="63"/>
        <v>35</v>
      </c>
      <c r="O149" s="43">
        <v>50</v>
      </c>
      <c r="P149" s="43">
        <v>0</v>
      </c>
      <c r="Q149" s="43">
        <v>0</v>
      </c>
      <c r="R149" s="43">
        <v>0</v>
      </c>
      <c r="S149" s="43">
        <v>0</v>
      </c>
      <c r="T149" s="43">
        <f t="shared" si="64"/>
        <v>50</v>
      </c>
      <c r="U149" s="43">
        <v>50</v>
      </c>
      <c r="V149" s="30">
        <f t="shared" si="61"/>
        <v>135</v>
      </c>
      <c r="W149" s="26">
        <f t="shared" si="62"/>
        <v>285</v>
      </c>
      <c r="X149" s="213">
        <v>420</v>
      </c>
      <c r="Y149" s="213"/>
      <c r="Z149" s="1" t="s">
        <v>7</v>
      </c>
      <c r="AA149" s="10" t="s">
        <v>843</v>
      </c>
      <c r="AB149" s="10" t="s">
        <v>48</v>
      </c>
      <c r="AC149" s="10" t="s">
        <v>153</v>
      </c>
      <c r="AD149" s="10" t="s">
        <v>136</v>
      </c>
      <c r="AE149" s="47"/>
    </row>
    <row r="150" spans="1:31" ht="67.5" x14ac:dyDescent="0.2">
      <c r="A150" s="257"/>
      <c r="B150" s="8" t="s">
        <v>844</v>
      </c>
      <c r="C150" s="10" t="s">
        <v>845</v>
      </c>
      <c r="D150" s="1" t="s">
        <v>846</v>
      </c>
      <c r="E150" s="1" t="s">
        <v>7</v>
      </c>
      <c r="F150" s="43">
        <v>0</v>
      </c>
      <c r="G150" s="1" t="s">
        <v>152</v>
      </c>
      <c r="H150" s="1" t="s">
        <v>47</v>
      </c>
      <c r="I150" s="43">
        <v>70</v>
      </c>
      <c r="J150" s="43">
        <v>0</v>
      </c>
      <c r="K150" s="43">
        <v>0</v>
      </c>
      <c r="L150" s="43">
        <v>0</v>
      </c>
      <c r="M150" s="43">
        <v>0</v>
      </c>
      <c r="N150" s="43">
        <f t="shared" si="63"/>
        <v>70</v>
      </c>
      <c r="O150" s="43">
        <v>200</v>
      </c>
      <c r="P150" s="43">
        <v>0</v>
      </c>
      <c r="Q150" s="43">
        <v>0</v>
      </c>
      <c r="R150" s="43">
        <v>0</v>
      </c>
      <c r="S150" s="43">
        <v>0</v>
      </c>
      <c r="T150" s="43">
        <f t="shared" si="64"/>
        <v>200</v>
      </c>
      <c r="U150" s="43">
        <v>90</v>
      </c>
      <c r="V150" s="30">
        <f t="shared" si="61"/>
        <v>360</v>
      </c>
      <c r="W150" s="26">
        <f t="shared" si="62"/>
        <v>0</v>
      </c>
      <c r="X150" s="213">
        <v>360</v>
      </c>
      <c r="Y150" s="213"/>
      <c r="Z150" s="1" t="s">
        <v>69</v>
      </c>
      <c r="AA150" s="10" t="s">
        <v>847</v>
      </c>
      <c r="AB150" s="10" t="s">
        <v>848</v>
      </c>
      <c r="AC150" s="10" t="s">
        <v>695</v>
      </c>
      <c r="AD150" s="10" t="s">
        <v>849</v>
      </c>
      <c r="AE150" s="47"/>
    </row>
    <row r="151" spans="1:31" ht="40.5" x14ac:dyDescent="0.2">
      <c r="A151" s="257"/>
      <c r="B151" s="8" t="s">
        <v>850</v>
      </c>
      <c r="C151" s="10" t="s">
        <v>851</v>
      </c>
      <c r="D151" s="1" t="s">
        <v>852</v>
      </c>
      <c r="E151" s="1" t="s">
        <v>7</v>
      </c>
      <c r="F151" s="43">
        <v>0</v>
      </c>
      <c r="G151" s="1" t="s">
        <v>46</v>
      </c>
      <c r="H151" s="1" t="s">
        <v>47</v>
      </c>
      <c r="I151" s="43">
        <v>0</v>
      </c>
      <c r="J151" s="43">
        <v>0</v>
      </c>
      <c r="K151" s="43">
        <v>0</v>
      </c>
      <c r="L151" s="43">
        <v>0</v>
      </c>
      <c r="M151" s="43">
        <v>0</v>
      </c>
      <c r="N151" s="43">
        <f t="shared" si="63"/>
        <v>0</v>
      </c>
      <c r="O151" s="43">
        <v>200</v>
      </c>
      <c r="P151" s="43">
        <v>0</v>
      </c>
      <c r="Q151" s="43">
        <v>0</v>
      </c>
      <c r="R151" s="43">
        <v>0</v>
      </c>
      <c r="S151" s="43">
        <v>0</v>
      </c>
      <c r="T151" s="43">
        <f t="shared" si="64"/>
        <v>200</v>
      </c>
      <c r="U151" s="43">
        <v>300</v>
      </c>
      <c r="V151" s="30">
        <f t="shared" si="61"/>
        <v>500</v>
      </c>
      <c r="W151" s="26">
        <f t="shared" si="62"/>
        <v>1900</v>
      </c>
      <c r="X151" s="213">
        <v>2400</v>
      </c>
      <c r="Y151" s="213"/>
      <c r="Z151" s="1" t="s">
        <v>69</v>
      </c>
      <c r="AA151" s="10" t="s">
        <v>853</v>
      </c>
      <c r="AB151" s="44" t="s">
        <v>48</v>
      </c>
      <c r="AC151" s="10" t="s">
        <v>695</v>
      </c>
      <c r="AD151" s="10" t="s">
        <v>160</v>
      </c>
      <c r="AE151" s="47"/>
    </row>
    <row r="152" spans="1:31" x14ac:dyDescent="0.2">
      <c r="A152" s="257"/>
      <c r="B152" s="255" t="s">
        <v>854</v>
      </c>
      <c r="C152" s="256"/>
      <c r="D152" s="38" t="s">
        <v>855</v>
      </c>
      <c r="E152" s="39" t="s">
        <v>48</v>
      </c>
      <c r="F152" s="40">
        <f>SUM(F153)</f>
        <v>0</v>
      </c>
      <c r="G152" s="39" t="s">
        <v>48</v>
      </c>
      <c r="H152" s="38"/>
      <c r="I152" s="40">
        <f>SUM(I153)</f>
        <v>0</v>
      </c>
      <c r="J152" s="40">
        <f>SUM(J153)</f>
        <v>0</v>
      </c>
      <c r="K152" s="40">
        <f>SUM(K153)</f>
        <v>0</v>
      </c>
      <c r="L152" s="40">
        <f>SUM(L153)</f>
        <v>0</v>
      </c>
      <c r="M152" s="40">
        <f>SUM(M153)</f>
        <v>0</v>
      </c>
      <c r="N152" s="40">
        <f>SUM(I152:M152)</f>
        <v>0</v>
      </c>
      <c r="O152" s="40">
        <f>SUM(O153)</f>
        <v>0</v>
      </c>
      <c r="P152" s="40">
        <f>SUM(P153)</f>
        <v>0</v>
      </c>
      <c r="Q152" s="40">
        <f>SUM(Q153)</f>
        <v>0</v>
      </c>
      <c r="R152" s="40">
        <f>SUM(R153)</f>
        <v>0</v>
      </c>
      <c r="S152" s="40">
        <f>SUM(S153)</f>
        <v>0</v>
      </c>
      <c r="T152" s="40">
        <f>SUM(O152:S152)</f>
        <v>0</v>
      </c>
      <c r="U152" s="40">
        <f>SUM(U153)</f>
        <v>70</v>
      </c>
      <c r="V152" s="41">
        <f>N152+T152+U152</f>
        <v>70</v>
      </c>
      <c r="W152" s="42">
        <f>SUM(W153)</f>
        <v>385</v>
      </c>
      <c r="X152" s="252" t="s">
        <v>48</v>
      </c>
      <c r="Y152" s="253"/>
      <c r="Z152" s="252" t="s">
        <v>48</v>
      </c>
      <c r="AA152" s="253"/>
      <c r="AB152" s="252" t="s">
        <v>48</v>
      </c>
      <c r="AC152" s="253"/>
      <c r="AD152" s="86" t="s">
        <v>48</v>
      </c>
      <c r="AE152" s="52"/>
    </row>
    <row r="153" spans="1:31" ht="27" x14ac:dyDescent="0.2">
      <c r="A153" s="257"/>
      <c r="B153" s="8" t="s">
        <v>856</v>
      </c>
      <c r="C153" s="10" t="s">
        <v>857</v>
      </c>
      <c r="D153" s="1" t="s">
        <v>858</v>
      </c>
      <c r="E153" s="1" t="s">
        <v>69</v>
      </c>
      <c r="F153" s="43">
        <v>0</v>
      </c>
      <c r="G153" s="1" t="s">
        <v>46</v>
      </c>
      <c r="H153" s="1" t="s">
        <v>47</v>
      </c>
      <c r="I153" s="43">
        <v>0</v>
      </c>
      <c r="J153" s="43">
        <v>0</v>
      </c>
      <c r="K153" s="43">
        <v>0</v>
      </c>
      <c r="L153" s="43">
        <v>0</v>
      </c>
      <c r="M153" s="43">
        <v>0</v>
      </c>
      <c r="N153" s="43">
        <f>SUM(I153:M153)</f>
        <v>0</v>
      </c>
      <c r="O153" s="43">
        <v>0</v>
      </c>
      <c r="P153" s="43">
        <v>0</v>
      </c>
      <c r="Q153" s="43">
        <v>0</v>
      </c>
      <c r="R153" s="43">
        <v>0</v>
      </c>
      <c r="S153" s="43">
        <v>0</v>
      </c>
      <c r="T153" s="43">
        <f>SUM(O153:S153)</f>
        <v>0</v>
      </c>
      <c r="U153" s="43">
        <v>70</v>
      </c>
      <c r="V153" s="30">
        <f t="shared" si="61"/>
        <v>70</v>
      </c>
      <c r="W153" s="26">
        <f>X153-V153</f>
        <v>385</v>
      </c>
      <c r="X153" s="213">
        <v>455</v>
      </c>
      <c r="Y153" s="213"/>
      <c r="Z153" s="1" t="s">
        <v>69</v>
      </c>
      <c r="AA153" s="10" t="s">
        <v>859</v>
      </c>
      <c r="AB153" s="10" t="s">
        <v>860</v>
      </c>
      <c r="AC153" s="10" t="s">
        <v>158</v>
      </c>
      <c r="AD153" s="44" t="s">
        <v>90</v>
      </c>
      <c r="AE153" s="47"/>
    </row>
    <row r="154" spans="1:31" ht="13.5" x14ac:dyDescent="0.2">
      <c r="A154" s="254" t="s">
        <v>861</v>
      </c>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row>
  </sheetData>
  <mergeCells count="211">
    <mergeCell ref="A1:AD1"/>
    <mergeCell ref="A2:AD2"/>
    <mergeCell ref="A3:A53"/>
    <mergeCell ref="B3:B5"/>
    <mergeCell ref="C3:C5"/>
    <mergeCell ref="D3:D5"/>
    <mergeCell ref="E3:E5"/>
    <mergeCell ref="F3:F5"/>
    <mergeCell ref="G3:G5"/>
    <mergeCell ref="H3:H5"/>
    <mergeCell ref="Z3:Z5"/>
    <mergeCell ref="AA3:AA5"/>
    <mergeCell ref="AB3:AB5"/>
    <mergeCell ref="AC3:AC5"/>
    <mergeCell ref="AD3:AD5"/>
    <mergeCell ref="I4:N4"/>
    <mergeCell ref="O4:T4"/>
    <mergeCell ref="I3:N3"/>
    <mergeCell ref="O3:T3"/>
    <mergeCell ref="U3:U5"/>
    <mergeCell ref="V3:V5"/>
    <mergeCell ref="W3:W5"/>
    <mergeCell ref="X3:Y5"/>
    <mergeCell ref="X9:Y9"/>
    <mergeCell ref="X10:Y10"/>
    <mergeCell ref="X11:Y11"/>
    <mergeCell ref="X12:Y12"/>
    <mergeCell ref="X13:Y13"/>
    <mergeCell ref="X14:Y14"/>
    <mergeCell ref="B6:C6"/>
    <mergeCell ref="X6:Y6"/>
    <mergeCell ref="B7:C7"/>
    <mergeCell ref="X7:Y7"/>
    <mergeCell ref="B8:C8"/>
    <mergeCell ref="X8:Y8"/>
    <mergeCell ref="B31:C31"/>
    <mergeCell ref="X31:Y31"/>
    <mergeCell ref="X21:Y21"/>
    <mergeCell ref="X22:Y22"/>
    <mergeCell ref="X23:Y23"/>
    <mergeCell ref="X24:Y24"/>
    <mergeCell ref="B25:C25"/>
    <mergeCell ref="X25:Y25"/>
    <mergeCell ref="X15:Y15"/>
    <mergeCell ref="X16:Y16"/>
    <mergeCell ref="X17:Y17"/>
    <mergeCell ref="X18:Y18"/>
    <mergeCell ref="X19:Y19"/>
    <mergeCell ref="X20:Y20"/>
    <mergeCell ref="X32:Y32"/>
    <mergeCell ref="X33:Y33"/>
    <mergeCell ref="X34:Y34"/>
    <mergeCell ref="X35:Y35"/>
    <mergeCell ref="X36:Y36"/>
    <mergeCell ref="X37:Y37"/>
    <mergeCell ref="X26:Y26"/>
    <mergeCell ref="X27:Y27"/>
    <mergeCell ref="X28:Y28"/>
    <mergeCell ref="X29:Y29"/>
    <mergeCell ref="X30:Y30"/>
    <mergeCell ref="X44:Y44"/>
    <mergeCell ref="X45:Y45"/>
    <mergeCell ref="X46:Y46"/>
    <mergeCell ref="X47:Y47"/>
    <mergeCell ref="X48:Y48"/>
    <mergeCell ref="B49:C49"/>
    <mergeCell ref="X49:Y49"/>
    <mergeCell ref="X38:Y38"/>
    <mergeCell ref="X39:Y39"/>
    <mergeCell ref="X40:Y40"/>
    <mergeCell ref="X41:Y41"/>
    <mergeCell ref="X42:Y42"/>
    <mergeCell ref="X43:Y43"/>
    <mergeCell ref="X50:Y50"/>
    <mergeCell ref="X51:Y51"/>
    <mergeCell ref="X52:Y52"/>
    <mergeCell ref="X53:Y53"/>
    <mergeCell ref="A54:A79"/>
    <mergeCell ref="B54:C54"/>
    <mergeCell ref="X54:Y54"/>
    <mergeCell ref="B55:C55"/>
    <mergeCell ref="X55:Y55"/>
    <mergeCell ref="X56:Y56"/>
    <mergeCell ref="X63:Y63"/>
    <mergeCell ref="X64:Y64"/>
    <mergeCell ref="X65:Y65"/>
    <mergeCell ref="X66:Y66"/>
    <mergeCell ref="X67:Y67"/>
    <mergeCell ref="X68:Y68"/>
    <mergeCell ref="X57:Y57"/>
    <mergeCell ref="X58:Y58"/>
    <mergeCell ref="X59:Y59"/>
    <mergeCell ref="X60:Y60"/>
    <mergeCell ref="X61:Y61"/>
    <mergeCell ref="X62:Y62"/>
    <mergeCell ref="X75:Y75"/>
    <mergeCell ref="B76:C76"/>
    <mergeCell ref="X76:Y76"/>
    <mergeCell ref="X77:Y77"/>
    <mergeCell ref="B78:C78"/>
    <mergeCell ref="X78:Y78"/>
    <mergeCell ref="X69:Y69"/>
    <mergeCell ref="X70:Y70"/>
    <mergeCell ref="X71:Y71"/>
    <mergeCell ref="X72:Y72"/>
    <mergeCell ref="X73:Y73"/>
    <mergeCell ref="X74:Y74"/>
    <mergeCell ref="X85:Y85"/>
    <mergeCell ref="X86:Y86"/>
    <mergeCell ref="B87:C87"/>
    <mergeCell ref="X87:Y87"/>
    <mergeCell ref="X88:Y88"/>
    <mergeCell ref="X89:Y89"/>
    <mergeCell ref="X79:Y79"/>
    <mergeCell ref="A80:A88"/>
    <mergeCell ref="B80:C80"/>
    <mergeCell ref="X80:Y80"/>
    <mergeCell ref="B81:C81"/>
    <mergeCell ref="X81:Y81"/>
    <mergeCell ref="X82:Y82"/>
    <mergeCell ref="X83:Y83"/>
    <mergeCell ref="B84:C84"/>
    <mergeCell ref="X84:Y84"/>
    <mergeCell ref="X96:Y96"/>
    <mergeCell ref="X97:Y97"/>
    <mergeCell ref="X98:Y98"/>
    <mergeCell ref="B99:C99"/>
    <mergeCell ref="X99:Y99"/>
    <mergeCell ref="X100:Y100"/>
    <mergeCell ref="AA89:AB89"/>
    <mergeCell ref="A90:A110"/>
    <mergeCell ref="B90:C90"/>
    <mergeCell ref="X90:Y90"/>
    <mergeCell ref="B91:C91"/>
    <mergeCell ref="X91:Y91"/>
    <mergeCell ref="X92:Y92"/>
    <mergeCell ref="X93:Y93"/>
    <mergeCell ref="X94:Y94"/>
    <mergeCell ref="X95:Y95"/>
    <mergeCell ref="B106:C106"/>
    <mergeCell ref="X106:Y106"/>
    <mergeCell ref="X107:Y107"/>
    <mergeCell ref="B108:C108"/>
    <mergeCell ref="X108:Y108"/>
    <mergeCell ref="X109:Y109"/>
    <mergeCell ref="X101:Y101"/>
    <mergeCell ref="X102:Y102"/>
    <mergeCell ref="B103:C103"/>
    <mergeCell ref="X103:Y103"/>
    <mergeCell ref="X104:Y104"/>
    <mergeCell ref="X105:Y105"/>
    <mergeCell ref="X117:Y117"/>
    <mergeCell ref="X118:Y118"/>
    <mergeCell ref="X119:Y119"/>
    <mergeCell ref="X120:Y120"/>
    <mergeCell ref="X121:Y121"/>
    <mergeCell ref="X122:Y122"/>
    <mergeCell ref="X110:Y110"/>
    <mergeCell ref="A111:A133"/>
    <mergeCell ref="B111:C111"/>
    <mergeCell ref="X111:Y111"/>
    <mergeCell ref="B112:C112"/>
    <mergeCell ref="X112:Y112"/>
    <mergeCell ref="X113:Y113"/>
    <mergeCell ref="X114:Y114"/>
    <mergeCell ref="X115:Y115"/>
    <mergeCell ref="X116:Y116"/>
    <mergeCell ref="X129:Y129"/>
    <mergeCell ref="X130:Y130"/>
    <mergeCell ref="X131:Y131"/>
    <mergeCell ref="AA131:AB131"/>
    <mergeCell ref="X132:Y132"/>
    <mergeCell ref="X133:Y133"/>
    <mergeCell ref="AA133:AB133"/>
    <mergeCell ref="X123:Y123"/>
    <mergeCell ref="X124:Y124"/>
    <mergeCell ref="X125:Y125"/>
    <mergeCell ref="X126:Y126"/>
    <mergeCell ref="X127:Y127"/>
    <mergeCell ref="X128:Y128"/>
    <mergeCell ref="X140:Y140"/>
    <mergeCell ref="X141:Y141"/>
    <mergeCell ref="X142:Y142"/>
    <mergeCell ref="X143:Y143"/>
    <mergeCell ref="A144:A153"/>
    <mergeCell ref="B144:C144"/>
    <mergeCell ref="X144:Y144"/>
    <mergeCell ref="B145:C145"/>
    <mergeCell ref="X145:Y145"/>
    <mergeCell ref="X146:Y146"/>
    <mergeCell ref="A134:A143"/>
    <mergeCell ref="B134:C134"/>
    <mergeCell ref="X134:Y134"/>
    <mergeCell ref="B135:C135"/>
    <mergeCell ref="X135:Y135"/>
    <mergeCell ref="X136:Y136"/>
    <mergeCell ref="X137:Y137"/>
    <mergeCell ref="X138:Y138"/>
    <mergeCell ref="X139:Y139"/>
    <mergeCell ref="B140:C140"/>
    <mergeCell ref="Z152:AA152"/>
    <mergeCell ref="AB152:AC152"/>
    <mergeCell ref="X153:Y153"/>
    <mergeCell ref="A154:AD154"/>
    <mergeCell ref="X147:Y147"/>
    <mergeCell ref="X148:Y148"/>
    <mergeCell ref="X149:Y149"/>
    <mergeCell ref="X150:Y150"/>
    <mergeCell ref="X151:Y151"/>
    <mergeCell ref="B152:C152"/>
    <mergeCell ref="X152:Y1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82"/>
  <sheetViews>
    <sheetView zoomScale="80" zoomScaleNormal="80" workbookViewId="0">
      <selection activeCell="B3" sqref="B3:B5"/>
    </sheetView>
  </sheetViews>
  <sheetFormatPr defaultRowHeight="12.75" x14ac:dyDescent="0.2"/>
  <cols>
    <col min="1" max="1" width="4.6640625" style="52" customWidth="1"/>
    <col min="2" max="2" width="5.5" style="52" customWidth="1"/>
    <col min="3" max="3" width="31.5" style="126" customWidth="1"/>
    <col min="4" max="4" width="8.83203125" style="52" customWidth="1"/>
    <col min="5" max="5" width="9.33203125" style="52" hidden="1" customWidth="1"/>
    <col min="6" max="6" width="14.5" style="127" customWidth="1"/>
    <col min="7" max="7" width="12.5" style="127" customWidth="1"/>
    <col min="8" max="8" width="9.5" style="52" customWidth="1"/>
    <col min="9" max="9" width="11.5" style="127" customWidth="1"/>
    <col min="10" max="10" width="12.6640625" style="127" customWidth="1"/>
    <col min="11" max="11" width="12.33203125" style="127" customWidth="1"/>
    <col min="12" max="12" width="11.1640625" style="127" customWidth="1"/>
    <col min="13" max="13" width="14" style="127" customWidth="1"/>
    <col min="14" max="14" width="12.6640625" style="127" customWidth="1"/>
    <col min="15" max="15" width="14.5" style="127" customWidth="1"/>
    <col min="16" max="16" width="11.6640625" style="127" customWidth="1"/>
    <col min="17" max="17" width="12.33203125" style="127" customWidth="1"/>
    <col min="18" max="18" width="11.6640625" style="127" customWidth="1"/>
    <col min="19" max="19" width="11" style="127" customWidth="1"/>
    <col min="20" max="20" width="13.1640625" style="127" customWidth="1"/>
    <col min="21" max="21" width="13.83203125" style="127" customWidth="1"/>
    <col min="22" max="22" width="15.6640625" style="127" customWidth="1"/>
    <col min="23" max="23" width="17.1640625" style="127" customWidth="1"/>
    <col min="24" max="24" width="17.33203125" style="127" customWidth="1"/>
    <col min="25" max="25" width="13.1640625" style="52" customWidth="1"/>
    <col min="26" max="26" width="13" style="52" customWidth="1"/>
    <col min="27" max="27" width="48" style="126" customWidth="1"/>
    <col min="28" max="28" width="26.33203125" style="126" customWidth="1"/>
    <col min="29" max="29" width="17" style="126" customWidth="1"/>
    <col min="30" max="30" width="27.5" style="126" customWidth="1"/>
    <col min="31" max="31" width="8.83203125" style="52"/>
  </cols>
  <sheetData>
    <row r="1" spans="1:30" ht="27.6" customHeight="1" x14ac:dyDescent="0.2">
      <c r="A1" s="359" t="s">
        <v>862</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row>
    <row r="2" spans="1:30" ht="18" x14ac:dyDescent="0.2">
      <c r="A2" s="234" t="s">
        <v>863</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row>
    <row r="3" spans="1:30" x14ac:dyDescent="0.2">
      <c r="A3" s="361"/>
      <c r="B3" s="235" t="s">
        <v>864</v>
      </c>
      <c r="C3" s="235" t="s">
        <v>180</v>
      </c>
      <c r="D3" s="364" t="s">
        <v>865</v>
      </c>
      <c r="E3" s="235" t="s">
        <v>303</v>
      </c>
      <c r="F3" s="366" t="s">
        <v>866</v>
      </c>
      <c r="G3" s="366" t="s">
        <v>867</v>
      </c>
      <c r="H3" s="235" t="s">
        <v>868</v>
      </c>
      <c r="I3" s="321" t="s">
        <v>308</v>
      </c>
      <c r="J3" s="321"/>
      <c r="K3" s="321"/>
      <c r="L3" s="321"/>
      <c r="M3" s="321"/>
      <c r="N3" s="321"/>
      <c r="O3" s="368" t="s">
        <v>309</v>
      </c>
      <c r="P3" s="368"/>
      <c r="Q3" s="368"/>
      <c r="R3" s="368"/>
      <c r="S3" s="368"/>
      <c r="T3" s="368"/>
      <c r="U3" s="368" t="s">
        <v>869</v>
      </c>
      <c r="V3" s="370" t="s">
        <v>870</v>
      </c>
      <c r="W3" s="372" t="s">
        <v>871</v>
      </c>
      <c r="X3" s="355" t="s">
        <v>872</v>
      </c>
      <c r="Y3" s="235" t="s">
        <v>312</v>
      </c>
      <c r="Z3" s="235" t="s">
        <v>313</v>
      </c>
      <c r="AA3" s="235" t="s">
        <v>873</v>
      </c>
      <c r="AB3" s="235" t="s">
        <v>874</v>
      </c>
      <c r="AC3" s="235" t="s">
        <v>875</v>
      </c>
      <c r="AD3" s="235" t="s">
        <v>876</v>
      </c>
    </row>
    <row r="4" spans="1:30" x14ac:dyDescent="0.2">
      <c r="A4" s="362"/>
      <c r="B4" s="235"/>
      <c r="C4" s="235"/>
      <c r="D4" s="364"/>
      <c r="E4" s="235"/>
      <c r="F4" s="366"/>
      <c r="G4" s="366"/>
      <c r="H4" s="235"/>
      <c r="I4" s="320" t="s">
        <v>314</v>
      </c>
      <c r="J4" s="320"/>
      <c r="K4" s="320"/>
      <c r="L4" s="320"/>
      <c r="M4" s="320"/>
      <c r="N4" s="320"/>
      <c r="O4" s="358" t="s">
        <v>314</v>
      </c>
      <c r="P4" s="358"/>
      <c r="Q4" s="358"/>
      <c r="R4" s="358"/>
      <c r="S4" s="358"/>
      <c r="T4" s="358"/>
      <c r="U4" s="368"/>
      <c r="V4" s="370"/>
      <c r="W4" s="373"/>
      <c r="X4" s="356"/>
      <c r="Y4" s="235"/>
      <c r="Z4" s="235"/>
      <c r="AA4" s="235"/>
      <c r="AB4" s="235"/>
      <c r="AC4" s="235"/>
      <c r="AD4" s="235"/>
    </row>
    <row r="5" spans="1:30" ht="53.25" thickBot="1" x14ac:dyDescent="0.25">
      <c r="A5" s="362"/>
      <c r="B5" s="351"/>
      <c r="C5" s="351"/>
      <c r="D5" s="365"/>
      <c r="E5" s="351"/>
      <c r="F5" s="367"/>
      <c r="G5" s="367"/>
      <c r="H5" s="351"/>
      <c r="I5" s="87" t="s">
        <v>315</v>
      </c>
      <c r="J5" s="87" t="s">
        <v>316</v>
      </c>
      <c r="K5" s="87"/>
      <c r="L5" s="87" t="s">
        <v>877</v>
      </c>
      <c r="M5" s="87" t="s">
        <v>319</v>
      </c>
      <c r="N5" s="88" t="s">
        <v>320</v>
      </c>
      <c r="O5" s="87" t="s">
        <v>315</v>
      </c>
      <c r="P5" s="87" t="s">
        <v>316</v>
      </c>
      <c r="Q5" s="87" t="s">
        <v>317</v>
      </c>
      <c r="R5" s="87" t="s">
        <v>877</v>
      </c>
      <c r="S5" s="87" t="s">
        <v>319</v>
      </c>
      <c r="T5" s="88" t="s">
        <v>320</v>
      </c>
      <c r="U5" s="369"/>
      <c r="V5" s="371"/>
      <c r="W5" s="374"/>
      <c r="X5" s="357"/>
      <c r="Y5" s="351"/>
      <c r="Z5" s="351"/>
      <c r="AA5" s="351"/>
      <c r="AB5" s="351"/>
      <c r="AC5" s="351"/>
      <c r="AD5" s="351"/>
    </row>
    <row r="6" spans="1:30" x14ac:dyDescent="0.2">
      <c r="A6" s="363"/>
      <c r="B6" s="352" t="s">
        <v>322</v>
      </c>
      <c r="C6" s="352"/>
      <c r="D6" s="89" t="s">
        <v>48</v>
      </c>
      <c r="E6" s="89" t="s">
        <v>48</v>
      </c>
      <c r="F6" s="90">
        <f>F7+F65+F99+F110+F134+F159+F172</f>
        <v>104518.17585</v>
      </c>
      <c r="G6" s="90">
        <f>G7+G65+G99+G110+G134+G159+G172</f>
        <v>25562.897220962062</v>
      </c>
      <c r="H6" s="89" t="s">
        <v>48</v>
      </c>
      <c r="I6" s="90">
        <f>I7+I65+I99+I110+I134+I159+I172</f>
        <v>6568.4459999999999</v>
      </c>
      <c r="J6" s="90">
        <f>J7+J65+J99+J110+J134+J159+J172</f>
        <v>11306.172999999999</v>
      </c>
      <c r="K6" s="90">
        <f>K7+K65+K99+K110+K134+K159+K172</f>
        <v>2098.4129999999996</v>
      </c>
      <c r="L6" s="90">
        <f>L7+L65+L99+L110+L134+L159+L172</f>
        <v>972.94599999999991</v>
      </c>
      <c r="M6" s="90">
        <f>M7+M65+M99+M110+M134+M159+M172</f>
        <v>10491.75236</v>
      </c>
      <c r="N6" s="90">
        <f>SUM(I6:M6)</f>
        <v>31437.730360000001</v>
      </c>
      <c r="O6" s="90">
        <f>O7+O65+O99+O110+O134+O159+O172</f>
        <v>21986.880360000003</v>
      </c>
      <c r="P6" s="90">
        <f>P7+P65+P99+P110+P134+P159+P172</f>
        <v>4776.7259999999997</v>
      </c>
      <c r="Q6" s="90">
        <f>Q7+Q65+Q99+Q110+Q134+Q159+Q172</f>
        <v>1195.0059999999999</v>
      </c>
      <c r="R6" s="90">
        <f>R7+R65+R99+R110+R134+R159+R172</f>
        <v>5964.5810000000001</v>
      </c>
      <c r="S6" s="90">
        <f>S7+S65+S99+S110+S134+S159+S172</f>
        <v>658.16300000000001</v>
      </c>
      <c r="T6" s="90">
        <f>SUM(O6:S6)</f>
        <v>34581.356360000005</v>
      </c>
      <c r="U6" s="90">
        <f>U7+U65+U99+U110+U134+U159+U172</f>
        <v>54815.860190000007</v>
      </c>
      <c r="V6" s="90">
        <f>N6+T6+U6</f>
        <v>120834.94691000001</v>
      </c>
      <c r="W6" s="90">
        <f>W7+W65+W99+W110+W134+W159+W172</f>
        <v>102391.22500000001</v>
      </c>
      <c r="X6" s="90">
        <f>W6+V6+G6+F6</f>
        <v>353307.24498096213</v>
      </c>
      <c r="Y6" s="91" t="s">
        <v>48</v>
      </c>
      <c r="Z6" s="89" t="s">
        <v>48</v>
      </c>
      <c r="AA6" s="89" t="s">
        <v>48</v>
      </c>
      <c r="AB6" s="89" t="s">
        <v>48</v>
      </c>
      <c r="AC6" s="89" t="s">
        <v>48</v>
      </c>
      <c r="AD6" s="89" t="s">
        <v>48</v>
      </c>
    </row>
    <row r="7" spans="1:30" x14ac:dyDescent="0.2">
      <c r="A7" s="353"/>
      <c r="B7" s="354" t="s">
        <v>878</v>
      </c>
      <c r="C7" s="354"/>
      <c r="D7" s="33" t="s">
        <v>324</v>
      </c>
      <c r="E7" s="33" t="s">
        <v>48</v>
      </c>
      <c r="F7" s="35">
        <f>F8+F29+F39+F59</f>
        <v>81940.309450000001</v>
      </c>
      <c r="G7" s="35">
        <f>G8+G29+G39+G59</f>
        <v>11796.178220962063</v>
      </c>
      <c r="H7" s="33" t="s">
        <v>48</v>
      </c>
      <c r="I7" s="35">
        <f>I8+I29+I39+I59</f>
        <v>938.66599999999994</v>
      </c>
      <c r="J7" s="35">
        <f>J8+J29+J39+J59</f>
        <v>1696.8389999999999</v>
      </c>
      <c r="K7" s="35">
        <f>K8+K29+K39+K59</f>
        <v>1338.0079999999998</v>
      </c>
      <c r="L7" s="35">
        <f>L8+L29+L39+L59</f>
        <v>0</v>
      </c>
      <c r="M7" s="35">
        <f>M8+M29+M39+M59</f>
        <v>4940.7003599999998</v>
      </c>
      <c r="N7" s="35">
        <f>SUM(I7:M7)</f>
        <v>8914.2133599999997</v>
      </c>
      <c r="O7" s="35">
        <f>O8+N29+N39+N59</f>
        <v>8768.1483599999992</v>
      </c>
      <c r="P7" s="35">
        <f>P8+O29+O39+O59</f>
        <v>377.5</v>
      </c>
      <c r="Q7" s="35">
        <f>Q8+P29+P39+P59</f>
        <v>557.75</v>
      </c>
      <c r="R7" s="35">
        <f>R8+Q29+Q39+Q59</f>
        <v>4650.5</v>
      </c>
      <c r="S7" s="35">
        <f>S8+R29+R39+R59</f>
        <v>0</v>
      </c>
      <c r="T7" s="35">
        <f>SUM(O7:S7)</f>
        <v>14353.898359999999</v>
      </c>
      <c r="U7" s="35">
        <f>U8+U29+U39+U59</f>
        <v>15295.96819</v>
      </c>
      <c r="V7" s="92">
        <f t="shared" ref="V7:V75" si="0">N7+T7+U7</f>
        <v>38564.07991</v>
      </c>
      <c r="W7" s="35">
        <f>W8+W29+W39+W59</f>
        <v>24026.11</v>
      </c>
      <c r="X7" s="92">
        <f t="shared" ref="X7:X75" si="1">W7+V7+G7+F7</f>
        <v>156326.67758096207</v>
      </c>
      <c r="Y7" s="27" t="s">
        <v>48</v>
      </c>
      <c r="Z7" s="33" t="s">
        <v>48</v>
      </c>
      <c r="AA7" s="33" t="s">
        <v>48</v>
      </c>
      <c r="AB7" s="33" t="s">
        <v>48</v>
      </c>
      <c r="AC7" s="33" t="s">
        <v>48</v>
      </c>
      <c r="AD7" s="33" t="s">
        <v>48</v>
      </c>
    </row>
    <row r="8" spans="1:30" x14ac:dyDescent="0.2">
      <c r="A8" s="353"/>
      <c r="B8" s="294" t="s">
        <v>325</v>
      </c>
      <c r="C8" s="294"/>
      <c r="D8" s="38" t="s">
        <v>326</v>
      </c>
      <c r="E8" s="38" t="s">
        <v>48</v>
      </c>
      <c r="F8" s="40">
        <f>SUM(F9:F27)</f>
        <v>189.196</v>
      </c>
      <c r="G8" s="40">
        <f>SUM(G9:G27)</f>
        <v>142.71099999999998</v>
      </c>
      <c r="H8" s="38" t="s">
        <v>48</v>
      </c>
      <c r="I8" s="40">
        <f>SUM(I9:I28)</f>
        <v>486.65999999999997</v>
      </c>
      <c r="J8" s="40">
        <f>SUM(J9:J28)</f>
        <v>0</v>
      </c>
      <c r="K8" s="40">
        <f>SUM(K9:K28)</f>
        <v>0</v>
      </c>
      <c r="L8" s="40">
        <f>SUM(L9:L28)</f>
        <v>0</v>
      </c>
      <c r="M8" s="40">
        <f>SUM(M9:M28)</f>
        <v>0</v>
      </c>
      <c r="N8" s="40">
        <f>SUM(I8:M8)</f>
        <v>486.65999999999997</v>
      </c>
      <c r="O8" s="40">
        <f>SUM(O9:O27)</f>
        <v>340.59500000000003</v>
      </c>
      <c r="P8" s="40">
        <f t="shared" ref="P8:R8" si="2">SUM(P9:P27)</f>
        <v>0</v>
      </c>
      <c r="Q8" s="40">
        <f t="shared" si="2"/>
        <v>557.75</v>
      </c>
      <c r="R8" s="40">
        <f t="shared" si="2"/>
        <v>0</v>
      </c>
      <c r="S8" s="40">
        <f>SUM(S9:S27)</f>
        <v>0</v>
      </c>
      <c r="T8" s="40">
        <f>SUM(O8:S8)</f>
        <v>898.34500000000003</v>
      </c>
      <c r="U8" s="40">
        <f>SUM(U9:U27)</f>
        <v>1149.06</v>
      </c>
      <c r="V8" s="93">
        <f t="shared" si="0"/>
        <v>2534.0650000000001</v>
      </c>
      <c r="W8" s="40">
        <f>SUM(W9:W27)</f>
        <v>1213.31</v>
      </c>
      <c r="X8" s="93">
        <f t="shared" si="1"/>
        <v>4079.2819999999997</v>
      </c>
      <c r="Y8" s="22" t="s">
        <v>48</v>
      </c>
      <c r="Z8" s="38" t="s">
        <v>48</v>
      </c>
      <c r="AA8" s="38" t="s">
        <v>48</v>
      </c>
      <c r="AB8" s="38" t="s">
        <v>48</v>
      </c>
      <c r="AC8" s="38" t="s">
        <v>48</v>
      </c>
      <c r="AD8" s="38" t="s">
        <v>48</v>
      </c>
    </row>
    <row r="9" spans="1:30" ht="31.5" x14ac:dyDescent="0.2">
      <c r="A9" s="353"/>
      <c r="B9" s="94" t="s">
        <v>327</v>
      </c>
      <c r="C9" s="17" t="s">
        <v>328</v>
      </c>
      <c r="D9" s="19" t="s">
        <v>329</v>
      </c>
      <c r="E9" s="19" t="s">
        <v>7</v>
      </c>
      <c r="F9" s="95">
        <v>9.1959999999999997</v>
      </c>
      <c r="G9" s="95">
        <v>0</v>
      </c>
      <c r="H9" s="19" t="s">
        <v>152</v>
      </c>
      <c r="I9" s="95">
        <v>0</v>
      </c>
      <c r="J9" s="95">
        <v>0</v>
      </c>
      <c r="K9" s="95">
        <v>0</v>
      </c>
      <c r="L9" s="95">
        <v>0</v>
      </c>
      <c r="M9" s="95">
        <v>0</v>
      </c>
      <c r="N9" s="95">
        <f>SUM(I9:M9)</f>
        <v>0</v>
      </c>
      <c r="O9" s="95">
        <v>0</v>
      </c>
      <c r="P9" s="95">
        <v>0</v>
      </c>
      <c r="Q9" s="95">
        <v>0</v>
      </c>
      <c r="R9" s="95">
        <v>0</v>
      </c>
      <c r="S9" s="95">
        <v>0</v>
      </c>
      <c r="T9" s="95">
        <f>SUM(O9:S9)</f>
        <v>0</v>
      </c>
      <c r="U9" s="95">
        <v>195.8</v>
      </c>
      <c r="V9" s="90">
        <f t="shared" si="0"/>
        <v>195.8</v>
      </c>
      <c r="W9" s="95">
        <v>0</v>
      </c>
      <c r="X9" s="90">
        <f t="shared" si="1"/>
        <v>204.99600000000001</v>
      </c>
      <c r="Y9" s="96">
        <v>205</v>
      </c>
      <c r="Z9" s="19" t="s">
        <v>69</v>
      </c>
      <c r="AA9" s="17" t="s">
        <v>91</v>
      </c>
      <c r="AB9" s="17" t="s">
        <v>331</v>
      </c>
      <c r="AC9" s="17" t="s">
        <v>332</v>
      </c>
      <c r="AD9" s="17" t="s">
        <v>48</v>
      </c>
    </row>
    <row r="10" spans="1:30" ht="63" x14ac:dyDescent="0.2">
      <c r="A10" s="353"/>
      <c r="B10" s="94" t="s">
        <v>333</v>
      </c>
      <c r="C10" s="17" t="s">
        <v>334</v>
      </c>
      <c r="D10" s="19" t="s">
        <v>335</v>
      </c>
      <c r="E10" s="19" t="s">
        <v>69</v>
      </c>
      <c r="F10" s="95">
        <v>0</v>
      </c>
      <c r="G10" s="95">
        <v>0</v>
      </c>
      <c r="H10" s="19" t="s">
        <v>152</v>
      </c>
      <c r="I10" s="95">
        <v>0</v>
      </c>
      <c r="J10" s="95">
        <v>0</v>
      </c>
      <c r="K10" s="95">
        <v>0</v>
      </c>
      <c r="L10" s="95">
        <v>0</v>
      </c>
      <c r="M10" s="95">
        <v>0</v>
      </c>
      <c r="N10" s="95">
        <f t="shared" ref="N10:N28" si="3">SUM(I10:M10)</f>
        <v>0</v>
      </c>
      <c r="O10" s="95">
        <v>0</v>
      </c>
      <c r="P10" s="95">
        <v>0</v>
      </c>
      <c r="Q10" s="95">
        <v>0</v>
      </c>
      <c r="R10" s="95">
        <v>0</v>
      </c>
      <c r="S10" s="95">
        <v>0</v>
      </c>
      <c r="T10" s="95">
        <f t="shared" ref="T10:T78" si="4">SUM(O10:S10)</f>
        <v>0</v>
      </c>
      <c r="U10" s="95">
        <v>0</v>
      </c>
      <c r="V10" s="90">
        <f t="shared" si="0"/>
        <v>0</v>
      </c>
      <c r="W10" s="95">
        <v>0</v>
      </c>
      <c r="X10" s="90">
        <f t="shared" si="1"/>
        <v>0</v>
      </c>
      <c r="Y10" s="96">
        <v>120</v>
      </c>
      <c r="Z10" s="19" t="s">
        <v>69</v>
      </c>
      <c r="AA10" s="17" t="s">
        <v>63</v>
      </c>
      <c r="AB10" s="17" t="s">
        <v>297</v>
      </c>
      <c r="AC10" s="17" t="s">
        <v>338</v>
      </c>
      <c r="AD10" s="17" t="s">
        <v>879</v>
      </c>
    </row>
    <row r="11" spans="1:30" ht="210" x14ac:dyDescent="0.2">
      <c r="A11" s="353"/>
      <c r="B11" s="94" t="s">
        <v>340</v>
      </c>
      <c r="C11" s="17" t="s">
        <v>880</v>
      </c>
      <c r="D11" s="19" t="s">
        <v>335</v>
      </c>
      <c r="E11" s="19" t="s">
        <v>7</v>
      </c>
      <c r="F11" s="95">
        <v>0</v>
      </c>
      <c r="G11" s="95">
        <v>0</v>
      </c>
      <c r="H11" s="19" t="s">
        <v>152</v>
      </c>
      <c r="I11" s="95">
        <v>0</v>
      </c>
      <c r="J11" s="95">
        <v>0</v>
      </c>
      <c r="K11" s="95">
        <v>0</v>
      </c>
      <c r="L11" s="95">
        <v>0</v>
      </c>
      <c r="M11" s="95">
        <v>0</v>
      </c>
      <c r="N11" s="95">
        <f t="shared" si="3"/>
        <v>0</v>
      </c>
      <c r="O11" s="95">
        <v>82.25</v>
      </c>
      <c r="P11" s="95">
        <v>0</v>
      </c>
      <c r="Q11" s="95">
        <v>267.75</v>
      </c>
      <c r="R11" s="95">
        <v>0</v>
      </c>
      <c r="S11" s="95">
        <v>0</v>
      </c>
      <c r="T11" s="95">
        <f t="shared" si="4"/>
        <v>350</v>
      </c>
      <c r="U11" s="95">
        <v>0</v>
      </c>
      <c r="V11" s="90">
        <f t="shared" si="0"/>
        <v>350</v>
      </c>
      <c r="W11" s="95">
        <v>0</v>
      </c>
      <c r="X11" s="90">
        <f t="shared" si="1"/>
        <v>350</v>
      </c>
      <c r="Y11" s="96">
        <v>350</v>
      </c>
      <c r="Z11" s="19" t="s">
        <v>7</v>
      </c>
      <c r="AA11" s="17" t="s">
        <v>881</v>
      </c>
      <c r="AB11" s="17" t="s">
        <v>142</v>
      </c>
      <c r="AC11" s="17" t="s">
        <v>158</v>
      </c>
      <c r="AD11" s="17" t="s">
        <v>882</v>
      </c>
    </row>
    <row r="12" spans="1:30" ht="52.5" x14ac:dyDescent="0.2">
      <c r="A12" s="353"/>
      <c r="B12" s="94" t="s">
        <v>346</v>
      </c>
      <c r="C12" s="17" t="s">
        <v>77</v>
      </c>
      <c r="D12" s="19" t="s">
        <v>335</v>
      </c>
      <c r="E12" s="19" t="s">
        <v>69</v>
      </c>
      <c r="F12" s="95">
        <v>0</v>
      </c>
      <c r="G12" s="95">
        <v>0</v>
      </c>
      <c r="H12" s="19" t="s">
        <v>152</v>
      </c>
      <c r="I12" s="95">
        <v>0</v>
      </c>
      <c r="J12" s="95">
        <v>0</v>
      </c>
      <c r="K12" s="95">
        <v>0</v>
      </c>
      <c r="L12" s="95">
        <v>0</v>
      </c>
      <c r="M12" s="95">
        <v>0</v>
      </c>
      <c r="N12" s="95">
        <f t="shared" si="3"/>
        <v>0</v>
      </c>
      <c r="O12" s="95">
        <v>0</v>
      </c>
      <c r="P12" s="95">
        <v>0</v>
      </c>
      <c r="Q12" s="95">
        <v>0</v>
      </c>
      <c r="R12" s="95">
        <v>0</v>
      </c>
      <c r="S12" s="95">
        <v>0</v>
      </c>
      <c r="T12" s="95">
        <f t="shared" si="4"/>
        <v>0</v>
      </c>
      <c r="U12" s="95">
        <v>0</v>
      </c>
      <c r="V12" s="90">
        <f t="shared" si="0"/>
        <v>0</v>
      </c>
      <c r="W12" s="95">
        <v>0</v>
      </c>
      <c r="X12" s="90">
        <f t="shared" si="1"/>
        <v>0</v>
      </c>
      <c r="Y12" s="96">
        <v>600</v>
      </c>
      <c r="Z12" s="19" t="s">
        <v>69</v>
      </c>
      <c r="AA12" s="17" t="s">
        <v>883</v>
      </c>
      <c r="AB12" s="17" t="s">
        <v>298</v>
      </c>
      <c r="AC12" s="17" t="s">
        <v>338</v>
      </c>
      <c r="AD12" s="17" t="s">
        <v>884</v>
      </c>
    </row>
    <row r="13" spans="1:30" ht="94.5" x14ac:dyDescent="0.2">
      <c r="A13" s="353"/>
      <c r="B13" s="94" t="s">
        <v>350</v>
      </c>
      <c r="C13" s="17" t="s">
        <v>351</v>
      </c>
      <c r="D13" s="19" t="s">
        <v>335</v>
      </c>
      <c r="E13" s="19" t="s">
        <v>69</v>
      </c>
      <c r="F13" s="95">
        <v>0</v>
      </c>
      <c r="G13" s="95">
        <v>0</v>
      </c>
      <c r="H13" s="19" t="s">
        <v>152</v>
      </c>
      <c r="I13" s="95">
        <v>0</v>
      </c>
      <c r="J13" s="95">
        <v>0</v>
      </c>
      <c r="K13" s="95">
        <v>0</v>
      </c>
      <c r="L13" s="95">
        <v>0</v>
      </c>
      <c r="M13" s="95">
        <v>0</v>
      </c>
      <c r="N13" s="95">
        <f t="shared" si="3"/>
        <v>0</v>
      </c>
      <c r="O13" s="95">
        <v>0</v>
      </c>
      <c r="P13" s="95">
        <v>0</v>
      </c>
      <c r="Q13" s="95">
        <v>0</v>
      </c>
      <c r="R13" s="95">
        <v>0</v>
      </c>
      <c r="S13" s="95">
        <v>0</v>
      </c>
      <c r="T13" s="95">
        <f t="shared" si="4"/>
        <v>0</v>
      </c>
      <c r="U13" s="95">
        <v>0</v>
      </c>
      <c r="V13" s="90">
        <f t="shared" si="0"/>
        <v>0</v>
      </c>
      <c r="W13" s="95">
        <v>0</v>
      </c>
      <c r="X13" s="90">
        <f t="shared" si="1"/>
        <v>0</v>
      </c>
      <c r="Y13" s="96">
        <v>240</v>
      </c>
      <c r="Z13" s="19" t="s">
        <v>69</v>
      </c>
      <c r="AA13" s="17" t="s">
        <v>71</v>
      </c>
      <c r="AB13" s="17" t="s">
        <v>353</v>
      </c>
      <c r="AC13" s="17" t="s">
        <v>338</v>
      </c>
      <c r="AD13" s="17" t="s">
        <v>186</v>
      </c>
    </row>
    <row r="14" spans="1:30" ht="105" x14ac:dyDescent="0.2">
      <c r="A14" s="353"/>
      <c r="B14" s="94" t="s">
        <v>355</v>
      </c>
      <c r="C14" s="17" t="s">
        <v>356</v>
      </c>
      <c r="D14" s="19" t="s">
        <v>357</v>
      </c>
      <c r="E14" s="19" t="s">
        <v>69</v>
      </c>
      <c r="F14" s="95">
        <v>0</v>
      </c>
      <c r="G14" s="95">
        <v>0</v>
      </c>
      <c r="H14" s="19" t="s">
        <v>152</v>
      </c>
      <c r="I14" s="95">
        <v>0</v>
      </c>
      <c r="J14" s="95">
        <v>0</v>
      </c>
      <c r="K14" s="95">
        <v>0</v>
      </c>
      <c r="L14" s="95">
        <v>0</v>
      </c>
      <c r="M14" s="95">
        <v>0</v>
      </c>
      <c r="N14" s="95">
        <f t="shared" si="3"/>
        <v>0</v>
      </c>
      <c r="O14" s="95">
        <v>40</v>
      </c>
      <c r="P14" s="95">
        <v>0</v>
      </c>
      <c r="Q14" s="95">
        <v>160</v>
      </c>
      <c r="R14" s="95">
        <v>0</v>
      </c>
      <c r="S14" s="95">
        <v>0</v>
      </c>
      <c r="T14" s="95">
        <f t="shared" si="4"/>
        <v>200</v>
      </c>
      <c r="U14" s="95">
        <v>50</v>
      </c>
      <c r="V14" s="90">
        <f t="shared" si="0"/>
        <v>250</v>
      </c>
      <c r="W14" s="95">
        <v>0</v>
      </c>
      <c r="X14" s="90">
        <f t="shared" si="1"/>
        <v>250</v>
      </c>
      <c r="Y14" s="96">
        <v>250</v>
      </c>
      <c r="Z14" s="19" t="s">
        <v>7</v>
      </c>
      <c r="AA14" s="17" t="s">
        <v>885</v>
      </c>
      <c r="AB14" s="17" t="s">
        <v>147</v>
      </c>
      <c r="AC14" s="17" t="s">
        <v>10</v>
      </c>
      <c r="AD14" s="17" t="s">
        <v>886</v>
      </c>
    </row>
    <row r="15" spans="1:30" ht="94.5" x14ac:dyDescent="0.2">
      <c r="A15" s="353"/>
      <c r="B15" s="94" t="s">
        <v>361</v>
      </c>
      <c r="C15" s="17" t="s">
        <v>362</v>
      </c>
      <c r="D15" s="19" t="s">
        <v>357</v>
      </c>
      <c r="E15" s="19" t="s">
        <v>7</v>
      </c>
      <c r="F15" s="95">
        <v>0</v>
      </c>
      <c r="G15" s="95">
        <f>12.772+129.939</f>
        <v>142.71099999999998</v>
      </c>
      <c r="H15" s="19" t="s">
        <v>46</v>
      </c>
      <c r="I15" s="95">
        <v>287.45</v>
      </c>
      <c r="J15" s="95">
        <v>0</v>
      </c>
      <c r="K15" s="95">
        <v>0</v>
      </c>
      <c r="L15" s="95">
        <v>0</v>
      </c>
      <c r="M15" s="95">
        <v>0</v>
      </c>
      <c r="N15" s="95">
        <f t="shared" si="3"/>
        <v>287.45</v>
      </c>
      <c r="O15" s="95">
        <v>120</v>
      </c>
      <c r="P15" s="95">
        <v>0</v>
      </c>
      <c r="Q15" s="95">
        <v>0</v>
      </c>
      <c r="R15" s="95">
        <v>0</v>
      </c>
      <c r="S15" s="95">
        <v>0</v>
      </c>
      <c r="T15" s="95">
        <f t="shared" si="4"/>
        <v>120</v>
      </c>
      <c r="U15" s="95">
        <v>103.26</v>
      </c>
      <c r="V15" s="90">
        <f t="shared" si="0"/>
        <v>510.71</v>
      </c>
      <c r="W15" s="95">
        <v>0</v>
      </c>
      <c r="X15" s="90">
        <f t="shared" si="1"/>
        <v>653.42099999999994</v>
      </c>
      <c r="Y15" s="96">
        <v>600</v>
      </c>
      <c r="Z15" s="19" t="s">
        <v>69</v>
      </c>
      <c r="AA15" s="17" t="s">
        <v>887</v>
      </c>
      <c r="AB15" s="17" t="s">
        <v>888</v>
      </c>
      <c r="AC15" s="17" t="s">
        <v>338</v>
      </c>
      <c r="AD15" s="17" t="s">
        <v>48</v>
      </c>
    </row>
    <row r="16" spans="1:30" ht="52.5" x14ac:dyDescent="0.2">
      <c r="A16" s="353"/>
      <c r="B16" s="94" t="s">
        <v>366</v>
      </c>
      <c r="C16" s="17" t="s">
        <v>367</v>
      </c>
      <c r="D16" s="19" t="s">
        <v>368</v>
      </c>
      <c r="E16" s="19" t="s">
        <v>69</v>
      </c>
      <c r="F16" s="95">
        <v>0</v>
      </c>
      <c r="G16" s="95">
        <v>0</v>
      </c>
      <c r="H16" s="19" t="s">
        <v>152</v>
      </c>
      <c r="I16" s="95">
        <v>0</v>
      </c>
      <c r="J16" s="95">
        <v>0</v>
      </c>
      <c r="K16" s="95">
        <v>0</v>
      </c>
      <c r="L16" s="95">
        <v>0</v>
      </c>
      <c r="M16" s="95">
        <v>0</v>
      </c>
      <c r="N16" s="95">
        <f t="shared" si="3"/>
        <v>0</v>
      </c>
      <c r="O16" s="95">
        <v>0</v>
      </c>
      <c r="P16" s="95">
        <v>0</v>
      </c>
      <c r="Q16" s="95">
        <v>0</v>
      </c>
      <c r="R16" s="95">
        <v>0</v>
      </c>
      <c r="S16" s="95">
        <v>0</v>
      </c>
      <c r="T16" s="95">
        <f t="shared" si="4"/>
        <v>0</v>
      </c>
      <c r="U16" s="95">
        <v>0</v>
      </c>
      <c r="V16" s="90">
        <f t="shared" si="0"/>
        <v>0</v>
      </c>
      <c r="W16" s="95">
        <v>0</v>
      </c>
      <c r="X16" s="90">
        <f t="shared" si="1"/>
        <v>0</v>
      </c>
      <c r="Y16" s="96">
        <v>50</v>
      </c>
      <c r="Z16" s="19" t="s">
        <v>69</v>
      </c>
      <c r="AA16" s="17" t="s">
        <v>889</v>
      </c>
      <c r="AB16" s="17" t="s">
        <v>369</v>
      </c>
      <c r="AC16" s="17" t="s">
        <v>338</v>
      </c>
      <c r="AD16" s="17" t="s">
        <v>48</v>
      </c>
    </row>
    <row r="17" spans="1:30" ht="52.5" x14ac:dyDescent="0.2">
      <c r="A17" s="353"/>
      <c r="B17" s="94" t="s">
        <v>370</v>
      </c>
      <c r="C17" s="17" t="s">
        <v>371</v>
      </c>
      <c r="D17" s="19" t="s">
        <v>372</v>
      </c>
      <c r="E17" s="19" t="s">
        <v>7</v>
      </c>
      <c r="F17" s="95">
        <v>0</v>
      </c>
      <c r="G17" s="95">
        <v>0</v>
      </c>
      <c r="H17" s="19" t="s">
        <v>46</v>
      </c>
      <c r="I17" s="95">
        <v>0</v>
      </c>
      <c r="J17" s="95">
        <v>0</v>
      </c>
      <c r="K17" s="95">
        <v>0</v>
      </c>
      <c r="L17" s="95">
        <v>0</v>
      </c>
      <c r="M17" s="95">
        <v>0</v>
      </c>
      <c r="N17" s="95">
        <f t="shared" si="3"/>
        <v>0</v>
      </c>
      <c r="O17" s="95">
        <v>0</v>
      </c>
      <c r="P17" s="95">
        <v>0</v>
      </c>
      <c r="Q17" s="95">
        <v>0</v>
      </c>
      <c r="R17" s="95">
        <v>0</v>
      </c>
      <c r="S17" s="95">
        <v>0</v>
      </c>
      <c r="T17" s="95">
        <f t="shared" si="4"/>
        <v>0</v>
      </c>
      <c r="U17" s="95">
        <v>0</v>
      </c>
      <c r="V17" s="90">
        <f t="shared" si="0"/>
        <v>0</v>
      </c>
      <c r="W17" s="95">
        <v>0</v>
      </c>
      <c r="X17" s="90">
        <f t="shared" si="1"/>
        <v>0</v>
      </c>
      <c r="Y17" s="96">
        <v>360</v>
      </c>
      <c r="Z17" s="19" t="s">
        <v>69</v>
      </c>
      <c r="AA17" s="17" t="s">
        <v>890</v>
      </c>
      <c r="AB17" s="17" t="s">
        <v>374</v>
      </c>
      <c r="AC17" s="17" t="s">
        <v>338</v>
      </c>
      <c r="AD17" s="17" t="s">
        <v>78</v>
      </c>
    </row>
    <row r="18" spans="1:30" ht="31.5" x14ac:dyDescent="0.2">
      <c r="A18" s="353"/>
      <c r="B18" s="94" t="s">
        <v>891</v>
      </c>
      <c r="C18" s="17" t="s">
        <v>892</v>
      </c>
      <c r="D18" s="19" t="s">
        <v>893</v>
      </c>
      <c r="E18" s="19" t="s">
        <v>69</v>
      </c>
      <c r="F18" s="95">
        <v>0</v>
      </c>
      <c r="G18" s="95">
        <v>0</v>
      </c>
      <c r="H18" s="19" t="s">
        <v>446</v>
      </c>
      <c r="I18" s="95">
        <v>0</v>
      </c>
      <c r="J18" s="95">
        <v>0</v>
      </c>
      <c r="K18" s="95">
        <v>0</v>
      </c>
      <c r="L18" s="95">
        <v>0</v>
      </c>
      <c r="M18" s="95">
        <v>0</v>
      </c>
      <c r="N18" s="95">
        <f t="shared" si="3"/>
        <v>0</v>
      </c>
      <c r="O18" s="95">
        <v>0</v>
      </c>
      <c r="P18" s="95">
        <v>0</v>
      </c>
      <c r="Q18" s="95">
        <v>0</v>
      </c>
      <c r="R18" s="95">
        <v>0</v>
      </c>
      <c r="S18" s="95">
        <v>0</v>
      </c>
      <c r="T18" s="95">
        <f t="shared" si="4"/>
        <v>0</v>
      </c>
      <c r="U18" s="95">
        <v>0</v>
      </c>
      <c r="V18" s="90">
        <f t="shared" si="0"/>
        <v>0</v>
      </c>
      <c r="W18" s="95">
        <v>0</v>
      </c>
      <c r="X18" s="90">
        <f t="shared" si="1"/>
        <v>0</v>
      </c>
      <c r="Y18" s="96">
        <v>1200</v>
      </c>
      <c r="Z18" s="19" t="s">
        <v>7</v>
      </c>
      <c r="AA18" s="17" t="s">
        <v>894</v>
      </c>
      <c r="AB18" s="17" t="s">
        <v>895</v>
      </c>
      <c r="AC18" s="17" t="s">
        <v>332</v>
      </c>
      <c r="AD18" s="17" t="s">
        <v>896</v>
      </c>
    </row>
    <row r="19" spans="1:30" ht="63" x14ac:dyDescent="0.2">
      <c r="A19" s="353"/>
      <c r="B19" s="94" t="s">
        <v>375</v>
      </c>
      <c r="C19" s="17" t="s">
        <v>376</v>
      </c>
      <c r="D19" s="19" t="s">
        <v>377</v>
      </c>
      <c r="E19" s="19" t="s">
        <v>7</v>
      </c>
      <c r="F19" s="95">
        <v>0</v>
      </c>
      <c r="G19" s="95">
        <v>0</v>
      </c>
      <c r="H19" s="19" t="s">
        <v>152</v>
      </c>
      <c r="I19" s="95">
        <v>0</v>
      </c>
      <c r="J19" s="95">
        <v>0</v>
      </c>
      <c r="K19" s="95">
        <v>0</v>
      </c>
      <c r="L19" s="95">
        <v>0</v>
      </c>
      <c r="M19" s="95">
        <v>0</v>
      </c>
      <c r="N19" s="95">
        <f t="shared" si="3"/>
        <v>0</v>
      </c>
      <c r="O19" s="95">
        <v>0</v>
      </c>
      <c r="P19" s="95">
        <v>0</v>
      </c>
      <c r="Q19" s="95">
        <v>0</v>
      </c>
      <c r="R19" s="95">
        <v>0</v>
      </c>
      <c r="S19" s="95">
        <v>0</v>
      </c>
      <c r="T19" s="95">
        <f t="shared" si="4"/>
        <v>0</v>
      </c>
      <c r="U19" s="95">
        <v>0</v>
      </c>
      <c r="V19" s="90">
        <f t="shared" si="0"/>
        <v>0</v>
      </c>
      <c r="W19" s="95">
        <v>0</v>
      </c>
      <c r="X19" s="90">
        <f t="shared" si="1"/>
        <v>0</v>
      </c>
      <c r="Y19" s="96">
        <v>480</v>
      </c>
      <c r="Z19" s="19" t="s">
        <v>69</v>
      </c>
      <c r="AA19" s="17" t="s">
        <v>897</v>
      </c>
      <c r="AB19" s="17" t="s">
        <v>379</v>
      </c>
      <c r="AC19" s="17" t="s">
        <v>19</v>
      </c>
      <c r="AD19" s="17" t="s">
        <v>79</v>
      </c>
    </row>
    <row r="20" spans="1:30" ht="52.5" x14ac:dyDescent="0.2">
      <c r="A20" s="353"/>
      <c r="B20" s="94" t="s">
        <v>380</v>
      </c>
      <c r="C20" s="17" t="s">
        <v>8</v>
      </c>
      <c r="D20" s="19" t="s">
        <v>381</v>
      </c>
      <c r="E20" s="19" t="s">
        <v>7</v>
      </c>
      <c r="F20" s="95">
        <v>0</v>
      </c>
      <c r="G20" s="95">
        <v>0</v>
      </c>
      <c r="H20" s="19" t="s">
        <v>46</v>
      </c>
      <c r="I20" s="95">
        <v>8.2949999999999999</v>
      </c>
      <c r="J20" s="95">
        <v>0</v>
      </c>
      <c r="K20" s="95">
        <v>0</v>
      </c>
      <c r="L20" s="95">
        <v>0</v>
      </c>
      <c r="M20" s="95">
        <v>0</v>
      </c>
      <c r="N20" s="95">
        <f t="shared" si="3"/>
        <v>8.2949999999999999</v>
      </c>
      <c r="O20" s="95">
        <v>8.3000000000000007</v>
      </c>
      <c r="P20" s="95">
        <v>0</v>
      </c>
      <c r="Q20" s="95">
        <v>0</v>
      </c>
      <c r="R20" s="95">
        <v>0</v>
      </c>
      <c r="S20" s="95">
        <v>0</v>
      </c>
      <c r="T20" s="95">
        <f t="shared" si="4"/>
        <v>8.3000000000000007</v>
      </c>
      <c r="U20" s="95">
        <v>50</v>
      </c>
      <c r="V20" s="90">
        <f t="shared" si="0"/>
        <v>66.594999999999999</v>
      </c>
      <c r="W20" s="95">
        <v>233.4</v>
      </c>
      <c r="X20" s="90">
        <f t="shared" si="1"/>
        <v>299.995</v>
      </c>
      <c r="Y20" s="96">
        <v>300</v>
      </c>
      <c r="Z20" s="19" t="s">
        <v>69</v>
      </c>
      <c r="AA20" s="17" t="s">
        <v>898</v>
      </c>
      <c r="AB20" s="17" t="s">
        <v>899</v>
      </c>
      <c r="AC20" s="17" t="s">
        <v>338</v>
      </c>
      <c r="AD20" s="17" t="s">
        <v>48</v>
      </c>
    </row>
    <row r="21" spans="1:30" ht="105" x14ac:dyDescent="0.2">
      <c r="A21" s="353"/>
      <c r="B21" s="94" t="s">
        <v>384</v>
      </c>
      <c r="C21" s="17" t="s">
        <v>9</v>
      </c>
      <c r="D21" s="19" t="s">
        <v>381</v>
      </c>
      <c r="E21" s="19" t="s">
        <v>7</v>
      </c>
      <c r="F21" s="95">
        <v>0</v>
      </c>
      <c r="G21" s="95">
        <v>0</v>
      </c>
      <c r="H21" s="19" t="s">
        <v>46</v>
      </c>
      <c r="I21" s="95">
        <v>30.045000000000002</v>
      </c>
      <c r="J21" s="95">
        <v>0</v>
      </c>
      <c r="K21" s="95">
        <v>0</v>
      </c>
      <c r="L21" s="95">
        <v>0</v>
      </c>
      <c r="M21" s="95">
        <v>0</v>
      </c>
      <c r="N21" s="95">
        <f t="shared" si="3"/>
        <v>30.045000000000002</v>
      </c>
      <c r="O21" s="95">
        <v>40.045000000000002</v>
      </c>
      <c r="P21" s="95">
        <v>0</v>
      </c>
      <c r="Q21" s="95">
        <v>0</v>
      </c>
      <c r="R21" s="95">
        <v>0</v>
      </c>
      <c r="S21" s="95">
        <v>0</v>
      </c>
      <c r="T21" s="95">
        <f t="shared" si="4"/>
        <v>40.045000000000002</v>
      </c>
      <c r="U21" s="95">
        <v>50</v>
      </c>
      <c r="V21" s="90">
        <f t="shared" si="0"/>
        <v>120.09</v>
      </c>
      <c r="W21" s="95">
        <v>109.91</v>
      </c>
      <c r="X21" s="90">
        <f t="shared" si="1"/>
        <v>230</v>
      </c>
      <c r="Y21" s="96">
        <v>240</v>
      </c>
      <c r="Z21" s="19" t="s">
        <v>81</v>
      </c>
      <c r="AA21" s="17" t="s">
        <v>900</v>
      </c>
      <c r="AB21" s="17" t="s">
        <v>386</v>
      </c>
      <c r="AC21" s="17" t="s">
        <v>338</v>
      </c>
      <c r="AD21" s="17" t="s">
        <v>125</v>
      </c>
    </row>
    <row r="22" spans="1:30" ht="63" x14ac:dyDescent="0.2">
      <c r="A22" s="353"/>
      <c r="B22" s="94" t="s">
        <v>901</v>
      </c>
      <c r="C22" s="17" t="s">
        <v>902</v>
      </c>
      <c r="D22" s="19" t="s">
        <v>903</v>
      </c>
      <c r="E22" s="19" t="s">
        <v>69</v>
      </c>
      <c r="F22" s="95">
        <v>0</v>
      </c>
      <c r="G22" s="95">
        <v>0</v>
      </c>
      <c r="H22" s="19" t="s">
        <v>152</v>
      </c>
      <c r="I22" s="95">
        <v>0</v>
      </c>
      <c r="J22" s="95">
        <v>0</v>
      </c>
      <c r="K22" s="95">
        <v>0</v>
      </c>
      <c r="L22" s="95">
        <v>0</v>
      </c>
      <c r="M22" s="95">
        <v>0</v>
      </c>
      <c r="N22" s="95">
        <f t="shared" si="3"/>
        <v>0</v>
      </c>
      <c r="O22" s="95">
        <v>0</v>
      </c>
      <c r="P22" s="95">
        <v>0</v>
      </c>
      <c r="Q22" s="95">
        <v>0</v>
      </c>
      <c r="R22" s="95">
        <v>0</v>
      </c>
      <c r="S22" s="95">
        <v>0</v>
      </c>
      <c r="T22" s="95">
        <f t="shared" si="4"/>
        <v>0</v>
      </c>
      <c r="U22" s="95">
        <v>300</v>
      </c>
      <c r="V22" s="90">
        <f t="shared" si="0"/>
        <v>300</v>
      </c>
      <c r="W22" s="95">
        <v>650</v>
      </c>
      <c r="X22" s="90">
        <f t="shared" si="1"/>
        <v>950</v>
      </c>
      <c r="Y22" s="96">
        <v>1000</v>
      </c>
      <c r="Z22" s="19" t="s">
        <v>81</v>
      </c>
      <c r="AA22" s="17" t="s">
        <v>904</v>
      </c>
      <c r="AB22" s="17" t="s">
        <v>905</v>
      </c>
      <c r="AC22" s="17" t="s">
        <v>10</v>
      </c>
      <c r="AD22" s="17" t="s">
        <v>906</v>
      </c>
    </row>
    <row r="23" spans="1:30" ht="52.5" x14ac:dyDescent="0.2">
      <c r="A23" s="353"/>
      <c r="B23" s="94" t="s">
        <v>907</v>
      </c>
      <c r="C23" s="17" t="s">
        <v>908</v>
      </c>
      <c r="D23" s="19" t="s">
        <v>903</v>
      </c>
      <c r="E23" s="19" t="s">
        <v>69</v>
      </c>
      <c r="F23" s="95">
        <v>0</v>
      </c>
      <c r="G23" s="95">
        <v>0</v>
      </c>
      <c r="H23" s="19" t="s">
        <v>446</v>
      </c>
      <c r="I23" s="95">
        <v>0</v>
      </c>
      <c r="J23" s="95">
        <v>0</v>
      </c>
      <c r="K23" s="95">
        <v>0</v>
      </c>
      <c r="L23" s="95">
        <v>0</v>
      </c>
      <c r="M23" s="95">
        <v>0</v>
      </c>
      <c r="N23" s="95">
        <f t="shared" si="3"/>
        <v>0</v>
      </c>
      <c r="O23" s="95">
        <v>0</v>
      </c>
      <c r="P23" s="95">
        <v>0</v>
      </c>
      <c r="Q23" s="95">
        <v>0</v>
      </c>
      <c r="R23" s="95">
        <v>0</v>
      </c>
      <c r="S23" s="95">
        <v>0</v>
      </c>
      <c r="T23" s="95">
        <f t="shared" si="4"/>
        <v>0</v>
      </c>
      <c r="U23" s="95">
        <v>0</v>
      </c>
      <c r="V23" s="90">
        <f t="shared" si="0"/>
        <v>0</v>
      </c>
      <c r="W23" s="95">
        <v>0</v>
      </c>
      <c r="X23" s="90">
        <f t="shared" si="1"/>
        <v>0</v>
      </c>
      <c r="Y23" s="95" t="s">
        <v>48</v>
      </c>
      <c r="Z23" s="19" t="s">
        <v>7</v>
      </c>
      <c r="AA23" s="17" t="s">
        <v>11</v>
      </c>
      <c r="AB23" s="17" t="s">
        <v>909</v>
      </c>
      <c r="AC23" s="17" t="s">
        <v>144</v>
      </c>
      <c r="AD23" s="17" t="s">
        <v>910</v>
      </c>
    </row>
    <row r="24" spans="1:30" ht="136.5" x14ac:dyDescent="0.2">
      <c r="A24" s="353"/>
      <c r="B24" s="94" t="s">
        <v>387</v>
      </c>
      <c r="C24" s="17" t="s">
        <v>388</v>
      </c>
      <c r="D24" s="19" t="s">
        <v>154</v>
      </c>
      <c r="E24" s="19" t="s">
        <v>7</v>
      </c>
      <c r="F24" s="95">
        <v>0</v>
      </c>
      <c r="G24" s="95">
        <v>0</v>
      </c>
      <c r="H24" s="19" t="s">
        <v>46</v>
      </c>
      <c r="I24" s="95">
        <v>0</v>
      </c>
      <c r="J24" s="95">
        <v>0</v>
      </c>
      <c r="K24" s="95">
        <v>0</v>
      </c>
      <c r="L24" s="95">
        <v>0</v>
      </c>
      <c r="M24" s="95">
        <v>0</v>
      </c>
      <c r="N24" s="95">
        <f t="shared" si="3"/>
        <v>0</v>
      </c>
      <c r="O24" s="95">
        <v>50</v>
      </c>
      <c r="P24" s="95">
        <v>0</v>
      </c>
      <c r="Q24" s="95">
        <v>130</v>
      </c>
      <c r="R24" s="95">
        <v>0</v>
      </c>
      <c r="S24" s="95">
        <v>0</v>
      </c>
      <c r="T24" s="95">
        <f t="shared" si="4"/>
        <v>180</v>
      </c>
      <c r="U24" s="95">
        <v>200</v>
      </c>
      <c r="V24" s="90">
        <f t="shared" si="0"/>
        <v>380</v>
      </c>
      <c r="W24" s="95">
        <v>220</v>
      </c>
      <c r="X24" s="90">
        <f t="shared" si="1"/>
        <v>600</v>
      </c>
      <c r="Y24" s="96">
        <v>600</v>
      </c>
      <c r="Z24" s="19" t="s">
        <v>7</v>
      </c>
      <c r="AA24" s="17" t="s">
        <v>911</v>
      </c>
      <c r="AB24" s="17" t="s">
        <v>912</v>
      </c>
      <c r="AC24" s="17" t="s">
        <v>338</v>
      </c>
      <c r="AD24" s="17" t="s">
        <v>184</v>
      </c>
    </row>
    <row r="25" spans="1:30" ht="42" x14ac:dyDescent="0.2">
      <c r="A25" s="353"/>
      <c r="B25" s="94" t="s">
        <v>392</v>
      </c>
      <c r="C25" s="17" t="s">
        <v>393</v>
      </c>
      <c r="D25" s="19" t="s">
        <v>394</v>
      </c>
      <c r="E25" s="19" t="s">
        <v>69</v>
      </c>
      <c r="F25" s="95">
        <v>0</v>
      </c>
      <c r="G25" s="95">
        <v>0</v>
      </c>
      <c r="H25" s="19" t="s">
        <v>152</v>
      </c>
      <c r="I25" s="95">
        <v>0</v>
      </c>
      <c r="J25" s="95">
        <v>0</v>
      </c>
      <c r="K25" s="95">
        <v>0</v>
      </c>
      <c r="L25" s="95">
        <v>0</v>
      </c>
      <c r="M25" s="95">
        <v>0</v>
      </c>
      <c r="N25" s="95">
        <f t="shared" si="3"/>
        <v>0</v>
      </c>
      <c r="O25" s="95">
        <v>0</v>
      </c>
      <c r="P25" s="95">
        <v>0</v>
      </c>
      <c r="Q25" s="95">
        <v>0</v>
      </c>
      <c r="R25" s="95">
        <v>0</v>
      </c>
      <c r="S25" s="95">
        <v>0</v>
      </c>
      <c r="T25" s="95">
        <f t="shared" si="4"/>
        <v>0</v>
      </c>
      <c r="U25" s="95">
        <v>0</v>
      </c>
      <c r="V25" s="90">
        <f t="shared" si="0"/>
        <v>0</v>
      </c>
      <c r="W25" s="95">
        <v>0</v>
      </c>
      <c r="X25" s="90">
        <f t="shared" si="1"/>
        <v>0</v>
      </c>
      <c r="Y25" s="96">
        <v>480</v>
      </c>
      <c r="Z25" s="19" t="s">
        <v>69</v>
      </c>
      <c r="AA25" s="17" t="s">
        <v>913</v>
      </c>
      <c r="AB25" s="17" t="s">
        <v>396</v>
      </c>
      <c r="AC25" s="17" t="s">
        <v>128</v>
      </c>
      <c r="AD25" s="17" t="s">
        <v>126</v>
      </c>
    </row>
    <row r="26" spans="1:30" ht="21" x14ac:dyDescent="0.2">
      <c r="A26" s="353"/>
      <c r="B26" s="94" t="s">
        <v>397</v>
      </c>
      <c r="C26" s="17" t="s">
        <v>398</v>
      </c>
      <c r="D26" s="19" t="s">
        <v>399</v>
      </c>
      <c r="E26" s="19" t="s">
        <v>69</v>
      </c>
      <c r="F26" s="95">
        <v>0</v>
      </c>
      <c r="G26" s="95">
        <v>0</v>
      </c>
      <c r="H26" s="19" t="s">
        <v>46</v>
      </c>
      <c r="I26" s="95">
        <v>0</v>
      </c>
      <c r="J26" s="95">
        <v>0</v>
      </c>
      <c r="K26" s="95">
        <v>0</v>
      </c>
      <c r="L26" s="95">
        <v>0</v>
      </c>
      <c r="M26" s="95">
        <v>0</v>
      </c>
      <c r="N26" s="95">
        <f t="shared" si="3"/>
        <v>0</v>
      </c>
      <c r="O26" s="95">
        <v>0</v>
      </c>
      <c r="P26" s="95">
        <v>0</v>
      </c>
      <c r="Q26" s="95">
        <v>0</v>
      </c>
      <c r="R26" s="95">
        <v>0</v>
      </c>
      <c r="S26" s="95">
        <v>0</v>
      </c>
      <c r="T26" s="95">
        <f t="shared" si="4"/>
        <v>0</v>
      </c>
      <c r="U26" s="95">
        <v>0</v>
      </c>
      <c r="V26" s="90">
        <f t="shared" si="0"/>
        <v>0</v>
      </c>
      <c r="W26" s="95">
        <v>0</v>
      </c>
      <c r="X26" s="90">
        <f t="shared" si="1"/>
        <v>0</v>
      </c>
      <c r="Y26" s="96">
        <v>120</v>
      </c>
      <c r="Z26" s="19" t="s">
        <v>7</v>
      </c>
      <c r="AA26" s="17" t="s">
        <v>914</v>
      </c>
      <c r="AB26" s="17" t="s">
        <v>48</v>
      </c>
      <c r="AC26" s="17" t="s">
        <v>401</v>
      </c>
      <c r="AD26" s="17" t="s">
        <v>123</v>
      </c>
    </row>
    <row r="27" spans="1:30" ht="126" x14ac:dyDescent="0.2">
      <c r="A27" s="353"/>
      <c r="B27" s="94" t="s">
        <v>402</v>
      </c>
      <c r="C27" s="17" t="s">
        <v>403</v>
      </c>
      <c r="D27" s="19" t="s">
        <v>404</v>
      </c>
      <c r="E27" s="19" t="s">
        <v>7</v>
      </c>
      <c r="F27" s="95">
        <v>180</v>
      </c>
      <c r="G27" s="95">
        <v>0</v>
      </c>
      <c r="H27" s="19" t="s">
        <v>46</v>
      </c>
      <c r="I27" s="95">
        <v>159.72</v>
      </c>
      <c r="J27" s="95">
        <v>0</v>
      </c>
      <c r="K27" s="95">
        <v>0</v>
      </c>
      <c r="L27" s="95">
        <v>0</v>
      </c>
      <c r="M27" s="95">
        <v>0</v>
      </c>
      <c r="N27" s="95">
        <f t="shared" si="3"/>
        <v>159.72</v>
      </c>
      <c r="O27" s="95">
        <v>0</v>
      </c>
      <c r="P27" s="95">
        <v>0</v>
      </c>
      <c r="Q27" s="95">
        <v>0</v>
      </c>
      <c r="R27" s="95">
        <v>0</v>
      </c>
      <c r="S27" s="95">
        <v>0</v>
      </c>
      <c r="T27" s="95">
        <f t="shared" si="4"/>
        <v>0</v>
      </c>
      <c r="U27" s="95">
        <v>200</v>
      </c>
      <c r="V27" s="90">
        <f t="shared" si="0"/>
        <v>359.72</v>
      </c>
      <c r="W27" s="95">
        <v>0</v>
      </c>
      <c r="X27" s="90">
        <f t="shared" si="1"/>
        <v>539.72</v>
      </c>
      <c r="Y27" s="95">
        <v>2265.27</v>
      </c>
      <c r="Z27" s="19" t="s">
        <v>7</v>
      </c>
      <c r="AA27" s="17" t="s">
        <v>915</v>
      </c>
      <c r="AB27" s="17" t="s">
        <v>406</v>
      </c>
      <c r="AC27" s="17" t="s">
        <v>401</v>
      </c>
      <c r="AD27" s="17" t="s">
        <v>185</v>
      </c>
    </row>
    <row r="28" spans="1:30" ht="168" x14ac:dyDescent="0.2">
      <c r="A28" s="353"/>
      <c r="B28" s="94" t="s">
        <v>170</v>
      </c>
      <c r="C28" s="17" t="s">
        <v>171</v>
      </c>
      <c r="D28" s="19" t="s">
        <v>154</v>
      </c>
      <c r="E28" s="19"/>
      <c r="F28" s="95">
        <v>0</v>
      </c>
      <c r="G28" s="95">
        <v>0</v>
      </c>
      <c r="H28" s="19" t="s">
        <v>152</v>
      </c>
      <c r="I28" s="95">
        <v>1.1499999999999999</v>
      </c>
      <c r="J28" s="95">
        <v>0</v>
      </c>
      <c r="K28" s="95">
        <v>0</v>
      </c>
      <c r="L28" s="95">
        <v>0</v>
      </c>
      <c r="M28" s="95">
        <v>0</v>
      </c>
      <c r="N28" s="95">
        <f t="shared" si="3"/>
        <v>1.1499999999999999</v>
      </c>
      <c r="O28" s="95">
        <v>5.0599999999999996</v>
      </c>
      <c r="P28" s="95">
        <v>0</v>
      </c>
      <c r="Q28" s="95">
        <v>1.82</v>
      </c>
      <c r="R28" s="95">
        <v>0</v>
      </c>
      <c r="S28" s="95">
        <v>0</v>
      </c>
      <c r="T28" s="95">
        <f t="shared" si="4"/>
        <v>6.88</v>
      </c>
      <c r="U28" s="95">
        <v>52.24</v>
      </c>
      <c r="V28" s="90">
        <f t="shared" si="0"/>
        <v>60.27</v>
      </c>
      <c r="W28" s="95">
        <v>0</v>
      </c>
      <c r="X28" s="90">
        <f t="shared" si="1"/>
        <v>60.27</v>
      </c>
      <c r="Y28" s="95">
        <v>60.27</v>
      </c>
      <c r="Z28" s="19" t="s">
        <v>7</v>
      </c>
      <c r="AA28" s="17" t="s">
        <v>916</v>
      </c>
      <c r="AB28" s="17" t="s">
        <v>172</v>
      </c>
      <c r="AC28" s="17" t="s">
        <v>158</v>
      </c>
      <c r="AD28" s="17" t="s">
        <v>917</v>
      </c>
    </row>
    <row r="29" spans="1:30" x14ac:dyDescent="0.2">
      <c r="A29" s="353"/>
      <c r="B29" s="294" t="s">
        <v>407</v>
      </c>
      <c r="C29" s="294"/>
      <c r="D29" s="38" t="s">
        <v>408</v>
      </c>
      <c r="E29" s="38" t="s">
        <v>48</v>
      </c>
      <c r="F29" s="40">
        <f>SUM(F30:F37)</f>
        <v>1961.13</v>
      </c>
      <c r="G29" s="97">
        <f>SUM(G30:G37)</f>
        <v>1142.1935000000001</v>
      </c>
      <c r="H29" s="38" t="s">
        <v>48</v>
      </c>
      <c r="I29" s="40">
        <f>SUM(I30:I38)</f>
        <v>452.00599999999997</v>
      </c>
      <c r="J29" s="40">
        <f>SUM(J30:J38)</f>
        <v>1696.8389999999999</v>
      </c>
      <c r="K29" s="40">
        <f>SUM(K30:K38)</f>
        <v>445.81299999999999</v>
      </c>
      <c r="L29" s="40">
        <f>SUM(L30:L38)</f>
        <v>0</v>
      </c>
      <c r="M29" s="40">
        <f>SUM(M30:M38)</f>
        <v>103</v>
      </c>
      <c r="N29" s="40">
        <f>SUM(I29:M29)</f>
        <v>2697.6579999999999</v>
      </c>
      <c r="O29" s="40">
        <f>SUM(O30:O37)</f>
        <v>370.5</v>
      </c>
      <c r="P29" s="40">
        <f>SUM(P30:P37)</f>
        <v>0</v>
      </c>
      <c r="Q29" s="40">
        <f>SUM(Q30:Q37)</f>
        <v>450.5</v>
      </c>
      <c r="R29" s="40">
        <f>SUM(R30:R37)</f>
        <v>0</v>
      </c>
      <c r="S29" s="40">
        <f>SUM(S30:S37)</f>
        <v>88</v>
      </c>
      <c r="T29" s="41">
        <f t="shared" si="4"/>
        <v>909</v>
      </c>
      <c r="U29" s="40">
        <f>SUM(U30:U37)</f>
        <v>1260</v>
      </c>
      <c r="V29" s="93">
        <f t="shared" si="0"/>
        <v>4866.6579999999994</v>
      </c>
      <c r="W29" s="40">
        <f>SUM(W30:W37)</f>
        <v>8047.86</v>
      </c>
      <c r="X29" s="93">
        <f t="shared" si="1"/>
        <v>16017.841499999999</v>
      </c>
      <c r="Y29" s="22" t="s">
        <v>48</v>
      </c>
      <c r="Z29" s="38" t="s">
        <v>48</v>
      </c>
      <c r="AA29" s="38" t="s">
        <v>48</v>
      </c>
      <c r="AB29" s="38" t="s">
        <v>48</v>
      </c>
      <c r="AC29" s="38" t="s">
        <v>48</v>
      </c>
      <c r="AD29" s="38" t="s">
        <v>48</v>
      </c>
    </row>
    <row r="30" spans="1:30" ht="21" x14ac:dyDescent="0.2">
      <c r="A30" s="353"/>
      <c r="B30" s="94" t="s">
        <v>409</v>
      </c>
      <c r="C30" s="17" t="s">
        <v>410</v>
      </c>
      <c r="D30" s="19" t="s">
        <v>411</v>
      </c>
      <c r="E30" s="19" t="s">
        <v>69</v>
      </c>
      <c r="F30" s="95">
        <v>0</v>
      </c>
      <c r="G30" s="95">
        <v>0</v>
      </c>
      <c r="H30" s="19" t="s">
        <v>46</v>
      </c>
      <c r="I30" s="95">
        <v>0</v>
      </c>
      <c r="J30" s="95">
        <v>0</v>
      </c>
      <c r="K30" s="95">
        <v>0</v>
      </c>
      <c r="L30" s="95">
        <v>0</v>
      </c>
      <c r="M30" s="95">
        <v>0</v>
      </c>
      <c r="N30" s="95">
        <f>SUM(I30:M30)</f>
        <v>0</v>
      </c>
      <c r="O30" s="95">
        <v>0</v>
      </c>
      <c r="P30" s="95">
        <v>0</v>
      </c>
      <c r="Q30" s="95">
        <v>0</v>
      </c>
      <c r="R30" s="95">
        <v>0</v>
      </c>
      <c r="S30" s="95">
        <v>0</v>
      </c>
      <c r="T30" s="95">
        <f t="shared" si="4"/>
        <v>0</v>
      </c>
      <c r="U30" s="95">
        <v>0</v>
      </c>
      <c r="V30" s="90">
        <f t="shared" si="0"/>
        <v>0</v>
      </c>
      <c r="W30" s="95">
        <v>0</v>
      </c>
      <c r="X30" s="90">
        <f t="shared" si="1"/>
        <v>0</v>
      </c>
      <c r="Y30" s="96">
        <v>240</v>
      </c>
      <c r="Z30" s="19" t="s">
        <v>7</v>
      </c>
      <c r="AA30" s="17" t="s">
        <v>918</v>
      </c>
      <c r="AB30" s="17" t="s">
        <v>413</v>
      </c>
      <c r="AC30" s="17" t="s">
        <v>401</v>
      </c>
      <c r="AD30" s="17" t="s">
        <v>123</v>
      </c>
    </row>
    <row r="31" spans="1:30" ht="168" x14ac:dyDescent="0.2">
      <c r="A31" s="353"/>
      <c r="B31" s="94" t="s">
        <v>414</v>
      </c>
      <c r="C31" s="17" t="s">
        <v>12</v>
      </c>
      <c r="D31" s="19" t="s">
        <v>411</v>
      </c>
      <c r="E31" s="19" t="s">
        <v>7</v>
      </c>
      <c r="F31" s="95">
        <v>1961.13</v>
      </c>
      <c r="G31" s="95">
        <v>996.2</v>
      </c>
      <c r="H31" s="19" t="s">
        <v>46</v>
      </c>
      <c r="I31" s="95">
        <v>305.16199999999998</v>
      </c>
      <c r="J31" s="95">
        <v>1696.8389999999999</v>
      </c>
      <c r="K31" s="95">
        <v>197.81299999999999</v>
      </c>
      <c r="L31" s="95">
        <v>0</v>
      </c>
      <c r="M31" s="95">
        <v>0</v>
      </c>
      <c r="N31" s="95">
        <f t="shared" ref="N31:N36" si="5">SUM(I31:M31)</f>
        <v>2199.8139999999999</v>
      </c>
      <c r="O31" s="95">
        <v>0</v>
      </c>
      <c r="P31" s="95">
        <v>0</v>
      </c>
      <c r="Q31" s="95">
        <v>0</v>
      </c>
      <c r="R31" s="95">
        <v>0</v>
      </c>
      <c r="S31" s="95">
        <v>0</v>
      </c>
      <c r="T31" s="95">
        <f t="shared" si="4"/>
        <v>0</v>
      </c>
      <c r="U31" s="95">
        <v>0</v>
      </c>
      <c r="V31" s="90">
        <f t="shared" si="0"/>
        <v>2199.8139999999999</v>
      </c>
      <c r="W31" s="95">
        <v>0</v>
      </c>
      <c r="X31" s="90">
        <f>W31+V31+G31+F31</f>
        <v>5157.1440000000002</v>
      </c>
      <c r="Y31" s="96">
        <f>X31</f>
        <v>5157.1440000000002</v>
      </c>
      <c r="Z31" s="19" t="s">
        <v>7</v>
      </c>
      <c r="AA31" s="17" t="s">
        <v>919</v>
      </c>
      <c r="AB31" s="17" t="s">
        <v>416</v>
      </c>
      <c r="AC31" s="17" t="s">
        <v>10</v>
      </c>
      <c r="AD31" s="17" t="s">
        <v>920</v>
      </c>
    </row>
    <row r="32" spans="1:30" ht="210" x14ac:dyDescent="0.2">
      <c r="A32" s="353"/>
      <c r="B32" s="94" t="s">
        <v>921</v>
      </c>
      <c r="C32" s="17" t="s">
        <v>922</v>
      </c>
      <c r="D32" s="19" t="s">
        <v>411</v>
      </c>
      <c r="E32" s="19" t="s">
        <v>69</v>
      </c>
      <c r="F32" s="95">
        <v>0</v>
      </c>
      <c r="G32" s="95">
        <v>0</v>
      </c>
      <c r="H32" s="19" t="s">
        <v>46</v>
      </c>
      <c r="I32" s="95">
        <v>0</v>
      </c>
      <c r="J32" s="95">
        <v>0</v>
      </c>
      <c r="K32" s="95">
        <v>0</v>
      </c>
      <c r="L32" s="95">
        <v>0</v>
      </c>
      <c r="M32" s="95">
        <v>50</v>
      </c>
      <c r="N32" s="95">
        <f t="shared" si="5"/>
        <v>50</v>
      </c>
      <c r="O32" s="95">
        <v>10.5</v>
      </c>
      <c r="P32" s="95">
        <v>0</v>
      </c>
      <c r="Q32" s="95">
        <v>59.5</v>
      </c>
      <c r="R32" s="95">
        <v>0</v>
      </c>
      <c r="S32" s="95">
        <v>0</v>
      </c>
      <c r="T32" s="95">
        <f t="shared" si="4"/>
        <v>70</v>
      </c>
      <c r="U32" s="95">
        <v>200</v>
      </c>
      <c r="V32" s="90">
        <f t="shared" si="0"/>
        <v>320</v>
      </c>
      <c r="W32" s="95">
        <v>4680</v>
      </c>
      <c r="X32" s="90">
        <f t="shared" si="1"/>
        <v>5000</v>
      </c>
      <c r="Y32" s="95">
        <v>5000</v>
      </c>
      <c r="Z32" s="19" t="s">
        <v>7</v>
      </c>
      <c r="AA32" s="17" t="s">
        <v>923</v>
      </c>
      <c r="AB32" s="17" t="s">
        <v>141</v>
      </c>
      <c r="AC32" s="17" t="s">
        <v>144</v>
      </c>
      <c r="AD32" s="17" t="s">
        <v>187</v>
      </c>
    </row>
    <row r="33" spans="1:30" ht="52.5" x14ac:dyDescent="0.2">
      <c r="A33" s="353"/>
      <c r="B33" s="94" t="s">
        <v>924</v>
      </c>
      <c r="C33" s="17" t="s">
        <v>925</v>
      </c>
      <c r="D33" s="19" t="s">
        <v>411</v>
      </c>
      <c r="E33" s="19" t="s">
        <v>69</v>
      </c>
      <c r="F33" s="95">
        <v>0</v>
      </c>
      <c r="G33" s="95">
        <v>0</v>
      </c>
      <c r="H33" s="19" t="s">
        <v>446</v>
      </c>
      <c r="I33" s="95">
        <v>0</v>
      </c>
      <c r="J33" s="95">
        <v>0</v>
      </c>
      <c r="K33" s="95">
        <v>0</v>
      </c>
      <c r="L33" s="95">
        <v>0</v>
      </c>
      <c r="M33" s="95">
        <v>0</v>
      </c>
      <c r="N33" s="95">
        <f t="shared" si="5"/>
        <v>0</v>
      </c>
      <c r="O33" s="95">
        <v>0</v>
      </c>
      <c r="P33" s="95">
        <v>0</v>
      </c>
      <c r="Q33" s="95">
        <v>0</v>
      </c>
      <c r="R33" s="95">
        <v>0</v>
      </c>
      <c r="S33" s="95">
        <v>0</v>
      </c>
      <c r="T33" s="95">
        <f t="shared" si="4"/>
        <v>0</v>
      </c>
      <c r="U33" s="95">
        <v>0</v>
      </c>
      <c r="V33" s="90">
        <f t="shared" si="0"/>
        <v>0</v>
      </c>
      <c r="W33" s="95">
        <v>0</v>
      </c>
      <c r="X33" s="90">
        <f t="shared" si="1"/>
        <v>0</v>
      </c>
      <c r="Y33" s="95" t="s">
        <v>48</v>
      </c>
      <c r="Z33" s="19" t="s">
        <v>69</v>
      </c>
      <c r="AA33" s="17" t="s">
        <v>926</v>
      </c>
      <c r="AB33" s="17" t="s">
        <v>927</v>
      </c>
      <c r="AC33" s="17" t="s">
        <v>10</v>
      </c>
      <c r="AD33" s="17" t="s">
        <v>48</v>
      </c>
    </row>
    <row r="34" spans="1:30" ht="42" x14ac:dyDescent="0.2">
      <c r="A34" s="353"/>
      <c r="B34" s="94" t="s">
        <v>418</v>
      </c>
      <c r="C34" s="17" t="s">
        <v>419</v>
      </c>
      <c r="D34" s="19" t="s">
        <v>420</v>
      </c>
      <c r="E34" s="19" t="s">
        <v>7</v>
      </c>
      <c r="F34" s="95">
        <v>0</v>
      </c>
      <c r="G34" s="95">
        <v>20.993500000000001</v>
      </c>
      <c r="H34" s="19" t="s">
        <v>46</v>
      </c>
      <c r="I34" s="95">
        <v>34.146999999999998</v>
      </c>
      <c r="J34" s="95">
        <v>0</v>
      </c>
      <c r="K34" s="95">
        <v>0</v>
      </c>
      <c r="L34" s="95">
        <v>0</v>
      </c>
      <c r="M34" s="95">
        <v>0</v>
      </c>
      <c r="N34" s="95">
        <f t="shared" si="5"/>
        <v>34.146999999999998</v>
      </c>
      <c r="O34" s="95">
        <v>60</v>
      </c>
      <c r="P34" s="95">
        <v>0</v>
      </c>
      <c r="Q34" s="95">
        <v>0</v>
      </c>
      <c r="R34" s="95">
        <v>0</v>
      </c>
      <c r="S34" s="95">
        <v>0</v>
      </c>
      <c r="T34" s="95">
        <f t="shared" si="4"/>
        <v>60</v>
      </c>
      <c r="U34" s="95">
        <v>60</v>
      </c>
      <c r="V34" s="90">
        <f t="shared" si="0"/>
        <v>154.14699999999999</v>
      </c>
      <c r="W34" s="95">
        <v>544.86</v>
      </c>
      <c r="X34" s="90">
        <f t="shared" si="1"/>
        <v>720.0005000000001</v>
      </c>
      <c r="Y34" s="96">
        <v>720</v>
      </c>
      <c r="Z34" s="19" t="s">
        <v>69</v>
      </c>
      <c r="AA34" s="17" t="s">
        <v>928</v>
      </c>
      <c r="AB34" s="17" t="s">
        <v>48</v>
      </c>
      <c r="AC34" s="17" t="s">
        <v>160</v>
      </c>
      <c r="AD34" s="17" t="s">
        <v>929</v>
      </c>
    </row>
    <row r="35" spans="1:30" ht="136.5" x14ac:dyDescent="0.2">
      <c r="A35" s="353"/>
      <c r="B35" s="94" t="s">
        <v>423</v>
      </c>
      <c r="C35" s="17" t="s">
        <v>424</v>
      </c>
      <c r="D35" s="19" t="s">
        <v>425</v>
      </c>
      <c r="E35" s="19" t="s">
        <v>7</v>
      </c>
      <c r="F35" s="95">
        <v>0</v>
      </c>
      <c r="G35" s="95">
        <v>75</v>
      </c>
      <c r="H35" s="19" t="s">
        <v>46</v>
      </c>
      <c r="I35" s="95">
        <v>0</v>
      </c>
      <c r="J35" s="95">
        <v>0</v>
      </c>
      <c r="K35" s="95">
        <v>138</v>
      </c>
      <c r="L35" s="95">
        <v>0</v>
      </c>
      <c r="M35" s="95">
        <v>25</v>
      </c>
      <c r="N35" s="95">
        <f t="shared" si="5"/>
        <v>163</v>
      </c>
      <c r="O35" s="95">
        <v>0</v>
      </c>
      <c r="P35" s="95">
        <v>0</v>
      </c>
      <c r="Q35" s="95">
        <v>209</v>
      </c>
      <c r="R35" s="95">
        <v>0</v>
      </c>
      <c r="S35" s="95">
        <v>43</v>
      </c>
      <c r="T35" s="95">
        <f t="shared" si="4"/>
        <v>252</v>
      </c>
      <c r="U35" s="95">
        <v>0</v>
      </c>
      <c r="V35" s="90">
        <f t="shared" si="0"/>
        <v>415</v>
      </c>
      <c r="W35" s="95">
        <v>0</v>
      </c>
      <c r="X35" s="90">
        <f t="shared" si="1"/>
        <v>490</v>
      </c>
      <c r="Y35" s="96">
        <v>490</v>
      </c>
      <c r="Z35" s="19" t="s">
        <v>7</v>
      </c>
      <c r="AA35" s="17" t="s">
        <v>930</v>
      </c>
      <c r="AB35" s="17" t="s">
        <v>427</v>
      </c>
      <c r="AC35" s="17" t="s">
        <v>140</v>
      </c>
      <c r="AD35" s="17" t="s">
        <v>127</v>
      </c>
    </row>
    <row r="36" spans="1:30" ht="42" x14ac:dyDescent="0.2">
      <c r="A36" s="353"/>
      <c r="B36" s="98" t="s">
        <v>428</v>
      </c>
      <c r="C36" s="17" t="s">
        <v>429</v>
      </c>
      <c r="D36" s="19" t="s">
        <v>117</v>
      </c>
      <c r="E36" s="19" t="s">
        <v>7</v>
      </c>
      <c r="F36" s="95">
        <v>0</v>
      </c>
      <c r="G36" s="95">
        <v>0</v>
      </c>
      <c r="H36" s="19" t="s">
        <v>46</v>
      </c>
      <c r="I36" s="95">
        <v>112.697</v>
      </c>
      <c r="J36" s="95">
        <v>0</v>
      </c>
      <c r="K36" s="95">
        <v>0</v>
      </c>
      <c r="L36" s="95">
        <v>0</v>
      </c>
      <c r="M36" s="95">
        <v>0</v>
      </c>
      <c r="N36" s="95">
        <f t="shared" si="5"/>
        <v>112.697</v>
      </c>
      <c r="O36" s="95">
        <v>300</v>
      </c>
      <c r="P36" s="95">
        <v>0</v>
      </c>
      <c r="Q36" s="95">
        <v>0</v>
      </c>
      <c r="R36" s="95">
        <v>0</v>
      </c>
      <c r="S36" s="95">
        <v>0</v>
      </c>
      <c r="T36" s="95">
        <f t="shared" si="4"/>
        <v>300</v>
      </c>
      <c r="U36" s="95">
        <v>1000</v>
      </c>
      <c r="V36" s="90">
        <f t="shared" si="0"/>
        <v>1412.6970000000001</v>
      </c>
      <c r="W36" s="95">
        <v>2823</v>
      </c>
      <c r="X36" s="90">
        <f t="shared" si="1"/>
        <v>4235.6970000000001</v>
      </c>
      <c r="Y36" s="95">
        <v>4235.7</v>
      </c>
      <c r="Z36" s="19" t="s">
        <v>7</v>
      </c>
      <c r="AA36" s="17" t="s">
        <v>931</v>
      </c>
      <c r="AB36" s="17" t="s">
        <v>48</v>
      </c>
      <c r="AC36" s="17" t="s">
        <v>128</v>
      </c>
      <c r="AD36" s="17" t="s">
        <v>48</v>
      </c>
    </row>
    <row r="37" spans="1:30" ht="115.5" x14ac:dyDescent="0.2">
      <c r="A37" s="353"/>
      <c r="B37" s="98" t="s">
        <v>137</v>
      </c>
      <c r="C37" s="17" t="s">
        <v>932</v>
      </c>
      <c r="D37" s="19" t="s">
        <v>231</v>
      </c>
      <c r="E37" s="19" t="s">
        <v>7</v>
      </c>
      <c r="F37" s="95">
        <v>0</v>
      </c>
      <c r="G37" s="95">
        <v>50</v>
      </c>
      <c r="H37" s="19" t="s">
        <v>46</v>
      </c>
      <c r="I37" s="95">
        <v>0</v>
      </c>
      <c r="J37" s="95">
        <v>0</v>
      </c>
      <c r="K37" s="95">
        <v>110</v>
      </c>
      <c r="L37" s="95">
        <v>0</v>
      </c>
      <c r="M37" s="95">
        <v>28</v>
      </c>
      <c r="N37" s="95">
        <f t="shared" ref="N37" si="6">SUM(I37:M37)</f>
        <v>138</v>
      </c>
      <c r="O37" s="95">
        <v>0</v>
      </c>
      <c r="P37" s="95">
        <v>0</v>
      </c>
      <c r="Q37" s="95">
        <v>182</v>
      </c>
      <c r="R37" s="95">
        <v>0</v>
      </c>
      <c r="S37" s="95">
        <v>45</v>
      </c>
      <c r="T37" s="95">
        <f t="shared" si="4"/>
        <v>227</v>
      </c>
      <c r="U37" s="95">
        <v>0</v>
      </c>
      <c r="V37" s="90">
        <f t="shared" si="0"/>
        <v>365</v>
      </c>
      <c r="W37" s="95">
        <v>0</v>
      </c>
      <c r="X37" s="90">
        <f t="shared" si="1"/>
        <v>415</v>
      </c>
      <c r="Y37" s="95">
        <f>X37</f>
        <v>415</v>
      </c>
      <c r="Z37" s="19" t="s">
        <v>7</v>
      </c>
      <c r="AA37" s="17" t="s">
        <v>933</v>
      </c>
      <c r="AB37" s="17" t="s">
        <v>934</v>
      </c>
      <c r="AC37" s="17" t="s">
        <v>140</v>
      </c>
      <c r="AD37" s="17" t="s">
        <v>124</v>
      </c>
    </row>
    <row r="38" spans="1:30" ht="199.5" x14ac:dyDescent="0.2">
      <c r="A38" s="353"/>
      <c r="B38" s="98" t="s">
        <v>228</v>
      </c>
      <c r="C38" s="17" t="s">
        <v>232</v>
      </c>
      <c r="D38" s="19" t="s">
        <v>231</v>
      </c>
      <c r="E38" s="19" t="s">
        <v>7</v>
      </c>
      <c r="F38" s="95">
        <v>0</v>
      </c>
      <c r="G38" s="95">
        <v>0</v>
      </c>
      <c r="H38" s="19" t="s">
        <v>46</v>
      </c>
      <c r="I38" s="95">
        <v>0</v>
      </c>
      <c r="J38" s="95">
        <v>0</v>
      </c>
      <c r="K38" s="95">
        <v>0</v>
      </c>
      <c r="L38" s="95">
        <v>0</v>
      </c>
      <c r="M38" s="95">
        <v>0</v>
      </c>
      <c r="N38" s="95">
        <f t="shared" ref="N38" si="7">SUM(I38:M38)</f>
        <v>0</v>
      </c>
      <c r="O38" s="95">
        <v>0</v>
      </c>
      <c r="P38" s="95">
        <v>0</v>
      </c>
      <c r="Q38" s="95">
        <v>0</v>
      </c>
      <c r="R38" s="95">
        <v>0</v>
      </c>
      <c r="S38" s="95">
        <v>0</v>
      </c>
      <c r="T38" s="95">
        <f t="shared" si="4"/>
        <v>0</v>
      </c>
      <c r="U38" s="95">
        <v>0</v>
      </c>
      <c r="V38" s="90">
        <f t="shared" si="0"/>
        <v>0</v>
      </c>
      <c r="W38" s="95">
        <v>0</v>
      </c>
      <c r="X38" s="90">
        <f t="shared" si="1"/>
        <v>0</v>
      </c>
      <c r="Y38" s="95">
        <v>108.63</v>
      </c>
      <c r="Z38" s="19" t="s">
        <v>7</v>
      </c>
      <c r="AA38" s="17" t="s">
        <v>935</v>
      </c>
      <c r="AB38" s="17" t="s">
        <v>229</v>
      </c>
      <c r="AC38" s="17" t="s">
        <v>158</v>
      </c>
      <c r="AD38" s="17" t="s">
        <v>230</v>
      </c>
    </row>
    <row r="39" spans="1:30" x14ac:dyDescent="0.2">
      <c r="A39" s="353"/>
      <c r="B39" s="294" t="s">
        <v>434</v>
      </c>
      <c r="C39" s="294"/>
      <c r="D39" s="38" t="s">
        <v>435</v>
      </c>
      <c r="E39" s="38" t="s">
        <v>48</v>
      </c>
      <c r="F39" s="40">
        <f>SUM(F40:F55)</f>
        <v>79789.98345</v>
      </c>
      <c r="G39" s="40">
        <f>SUM(G40:G55)</f>
        <v>10511.273720962063</v>
      </c>
      <c r="H39" s="38" t="s">
        <v>48</v>
      </c>
      <c r="I39" s="40">
        <f>SUM(I40:I58)</f>
        <v>0</v>
      </c>
      <c r="J39" s="40">
        <f>SUM(J40:J58)</f>
        <v>0</v>
      </c>
      <c r="K39" s="40">
        <f>SUM(K40:K58)</f>
        <v>892.19499999999994</v>
      </c>
      <c r="L39" s="40">
        <f>SUM(L40:L58)</f>
        <v>0</v>
      </c>
      <c r="M39" s="40">
        <f>SUM(M40:M58)</f>
        <v>4830.7003599999998</v>
      </c>
      <c r="N39" s="40">
        <f>SUM(I39:M39)</f>
        <v>5722.8953599999995</v>
      </c>
      <c r="O39" s="40">
        <f>SUM(O40:O55)</f>
        <v>0</v>
      </c>
      <c r="P39" s="40">
        <f>SUM(P40:P55)</f>
        <v>0</v>
      </c>
      <c r="Q39" s="40">
        <f>SUM(Q40:Q55)</f>
        <v>4200</v>
      </c>
      <c r="R39" s="40">
        <f>SUM(R40:R55)</f>
        <v>0</v>
      </c>
      <c r="S39" s="40">
        <f>SUM(S40:S55)</f>
        <v>8167.4578899999997</v>
      </c>
      <c r="T39" s="41">
        <f t="shared" si="4"/>
        <v>12367.45789</v>
      </c>
      <c r="U39" s="40">
        <f>SUM(U40:U55)</f>
        <v>12872.90819</v>
      </c>
      <c r="V39" s="93">
        <f t="shared" si="0"/>
        <v>30963.261440000002</v>
      </c>
      <c r="W39" s="40">
        <f>SUM(W40:W55)</f>
        <v>14540.94</v>
      </c>
      <c r="X39" s="93">
        <f t="shared" si="1"/>
        <v>135805.45861096206</v>
      </c>
      <c r="Y39" s="22" t="s">
        <v>48</v>
      </c>
      <c r="Z39" s="38" t="s">
        <v>48</v>
      </c>
      <c r="AA39" s="38" t="s">
        <v>48</v>
      </c>
      <c r="AB39" s="38" t="s">
        <v>48</v>
      </c>
      <c r="AC39" s="38" t="s">
        <v>48</v>
      </c>
      <c r="AD39" s="38" t="s">
        <v>48</v>
      </c>
    </row>
    <row r="40" spans="1:30" ht="31.5" x14ac:dyDescent="0.2">
      <c r="A40" s="353"/>
      <c r="B40" s="94" t="s">
        <v>436</v>
      </c>
      <c r="C40" s="17" t="s">
        <v>437</v>
      </c>
      <c r="D40" s="19" t="s">
        <v>53</v>
      </c>
      <c r="E40" s="19" t="s">
        <v>7</v>
      </c>
      <c r="F40" s="95">
        <v>174.01600000000002</v>
      </c>
      <c r="G40" s="95">
        <v>219.97049999999999</v>
      </c>
      <c r="H40" s="19" t="s">
        <v>46</v>
      </c>
      <c r="I40" s="95">
        <v>0</v>
      </c>
      <c r="J40" s="95">
        <v>0</v>
      </c>
      <c r="K40" s="95">
        <v>135.19499999999999</v>
      </c>
      <c r="L40" s="95">
        <v>0</v>
      </c>
      <c r="M40" s="95">
        <v>1283.36547</v>
      </c>
      <c r="N40" s="95">
        <f>SUM(I40:M40)</f>
        <v>1418.5604699999999</v>
      </c>
      <c r="O40" s="95">
        <v>0</v>
      </c>
      <c r="P40" s="95">
        <v>0</v>
      </c>
      <c r="Q40" s="95">
        <v>0</v>
      </c>
      <c r="R40" s="95">
        <v>0</v>
      </c>
      <c r="S40" s="95">
        <v>256</v>
      </c>
      <c r="T40" s="95">
        <f t="shared" si="4"/>
        <v>256</v>
      </c>
      <c r="U40" s="95">
        <v>27.908190000000001</v>
      </c>
      <c r="V40" s="90">
        <f t="shared" si="0"/>
        <v>1702.46866</v>
      </c>
      <c r="W40" s="95">
        <v>0</v>
      </c>
      <c r="X40" s="90">
        <f t="shared" si="1"/>
        <v>2096.45516</v>
      </c>
      <c r="Y40" s="96">
        <v>1333.85</v>
      </c>
      <c r="Z40" s="19" t="s">
        <v>69</v>
      </c>
      <c r="AA40" s="17" t="s">
        <v>936</v>
      </c>
      <c r="AB40" s="17" t="s">
        <v>937</v>
      </c>
      <c r="AC40" s="17" t="s">
        <v>440</v>
      </c>
      <c r="AD40" s="17" t="s">
        <v>124</v>
      </c>
    </row>
    <row r="41" spans="1:30" ht="31.5" x14ac:dyDescent="0.2">
      <c r="A41" s="353"/>
      <c r="B41" s="94" t="s">
        <v>441</v>
      </c>
      <c r="C41" s="17" t="s">
        <v>442</v>
      </c>
      <c r="D41" s="19" t="s">
        <v>53</v>
      </c>
      <c r="E41" s="19" t="s">
        <v>7</v>
      </c>
      <c r="F41" s="95">
        <v>280.31004000000001</v>
      </c>
      <c r="G41" s="95">
        <v>274.32299999999998</v>
      </c>
      <c r="H41" s="19" t="s">
        <v>46</v>
      </c>
      <c r="I41" s="95">
        <v>0</v>
      </c>
      <c r="J41" s="95">
        <v>0</v>
      </c>
      <c r="K41" s="95">
        <v>0</v>
      </c>
      <c r="L41" s="95">
        <v>0</v>
      </c>
      <c r="M41" s="95">
        <v>1104.1769999999999</v>
      </c>
      <c r="N41" s="95">
        <f t="shared" ref="N41:N58" si="8">SUM(I41:M41)</f>
        <v>1104.1769999999999</v>
      </c>
      <c r="O41" s="95">
        <v>0</v>
      </c>
      <c r="P41" s="95">
        <v>0</v>
      </c>
      <c r="Q41" s="95">
        <v>0</v>
      </c>
      <c r="R41" s="95">
        <v>0</v>
      </c>
      <c r="S41" s="95">
        <v>834.8</v>
      </c>
      <c r="T41" s="95">
        <f t="shared" si="4"/>
        <v>834.8</v>
      </c>
      <c r="U41" s="95">
        <v>965.5</v>
      </c>
      <c r="V41" s="90">
        <f t="shared" si="0"/>
        <v>2904.4769999999999</v>
      </c>
      <c r="W41" s="95">
        <v>0</v>
      </c>
      <c r="X41" s="90">
        <f t="shared" si="1"/>
        <v>3459.1100399999996</v>
      </c>
      <c r="Y41" s="96">
        <v>1410.31</v>
      </c>
      <c r="Z41" s="19" t="s">
        <v>69</v>
      </c>
      <c r="AA41" s="17" t="s">
        <v>938</v>
      </c>
      <c r="AB41" s="17" t="s">
        <v>444</v>
      </c>
      <c r="AC41" s="17" t="s">
        <v>440</v>
      </c>
      <c r="AD41" s="17" t="s">
        <v>124</v>
      </c>
    </row>
    <row r="42" spans="1:30" ht="43.5" x14ac:dyDescent="0.2">
      <c r="A42" s="353"/>
      <c r="B42" s="94" t="s">
        <v>445</v>
      </c>
      <c r="C42" s="17" t="s">
        <v>13</v>
      </c>
      <c r="D42" s="19" t="s">
        <v>53</v>
      </c>
      <c r="E42" s="19" t="s">
        <v>69</v>
      </c>
      <c r="F42" s="95">
        <v>0</v>
      </c>
      <c r="G42" s="95">
        <v>0</v>
      </c>
      <c r="H42" s="19" t="s">
        <v>446</v>
      </c>
      <c r="I42" s="95">
        <v>0</v>
      </c>
      <c r="J42" s="95">
        <v>0</v>
      </c>
      <c r="K42" s="95">
        <v>0</v>
      </c>
      <c r="L42" s="95">
        <v>0</v>
      </c>
      <c r="M42" s="95">
        <v>100</v>
      </c>
      <c r="N42" s="95">
        <f t="shared" si="8"/>
        <v>100</v>
      </c>
      <c r="O42" s="95">
        <v>0</v>
      </c>
      <c r="P42" s="95">
        <v>0</v>
      </c>
      <c r="Q42" s="95">
        <v>4200</v>
      </c>
      <c r="R42" s="95">
        <v>0</v>
      </c>
      <c r="S42" s="95">
        <v>1800</v>
      </c>
      <c r="T42" s="95">
        <f t="shared" si="4"/>
        <v>6000</v>
      </c>
      <c r="U42" s="95">
        <v>0</v>
      </c>
      <c r="V42" s="90">
        <f t="shared" si="0"/>
        <v>6100</v>
      </c>
      <c r="W42" s="95">
        <v>0</v>
      </c>
      <c r="X42" s="90">
        <f t="shared" si="1"/>
        <v>6100</v>
      </c>
      <c r="Y42" s="96">
        <v>6100000</v>
      </c>
      <c r="Z42" s="19" t="s">
        <v>7</v>
      </c>
      <c r="AA42" s="17" t="s">
        <v>14</v>
      </c>
      <c r="AB42" s="17" t="s">
        <v>939</v>
      </c>
      <c r="AC42" s="17" t="s">
        <v>440</v>
      </c>
      <c r="AD42" s="17" t="s">
        <v>124</v>
      </c>
    </row>
    <row r="43" spans="1:30" ht="54" x14ac:dyDescent="0.2">
      <c r="A43" s="353"/>
      <c r="B43" s="94" t="s">
        <v>449</v>
      </c>
      <c r="C43" s="17" t="s">
        <v>450</v>
      </c>
      <c r="D43" s="19" t="s">
        <v>53</v>
      </c>
      <c r="E43" s="19" t="s">
        <v>7</v>
      </c>
      <c r="F43" s="95">
        <v>1221.2170000000001</v>
      </c>
      <c r="G43" s="95">
        <f>1954.64+3694.60700096207</f>
        <v>5649.2470009620702</v>
      </c>
      <c r="H43" s="19" t="s">
        <v>152</v>
      </c>
      <c r="I43" s="95">
        <v>0</v>
      </c>
      <c r="J43" s="95">
        <v>0</v>
      </c>
      <c r="K43" s="95">
        <v>0</v>
      </c>
      <c r="L43" s="95">
        <v>0</v>
      </c>
      <c r="M43" s="95">
        <v>0</v>
      </c>
      <c r="N43" s="95">
        <f t="shared" si="8"/>
        <v>0</v>
      </c>
      <c r="O43" s="95">
        <v>0</v>
      </c>
      <c r="P43" s="95">
        <v>0</v>
      </c>
      <c r="Q43" s="95">
        <v>0</v>
      </c>
      <c r="R43" s="95">
        <v>0</v>
      </c>
      <c r="S43" s="95">
        <v>0</v>
      </c>
      <c r="T43" s="95">
        <f t="shared" si="4"/>
        <v>0</v>
      </c>
      <c r="U43" s="95">
        <v>0</v>
      </c>
      <c r="V43" s="90">
        <f t="shared" si="0"/>
        <v>0</v>
      </c>
      <c r="W43" s="95">
        <v>0</v>
      </c>
      <c r="X43" s="90">
        <f t="shared" si="1"/>
        <v>6870.4640009620707</v>
      </c>
      <c r="Y43" s="96">
        <v>6015.4229999999998</v>
      </c>
      <c r="Z43" s="19" t="s">
        <v>7</v>
      </c>
      <c r="AA43" s="17" t="s">
        <v>940</v>
      </c>
      <c r="AB43" s="17" t="s">
        <v>941</v>
      </c>
      <c r="AC43" s="17" t="s">
        <v>440</v>
      </c>
      <c r="AD43" s="17" t="s">
        <v>129</v>
      </c>
    </row>
    <row r="44" spans="1:30" ht="52.5" x14ac:dyDescent="0.2">
      <c r="A44" s="353"/>
      <c r="B44" s="94" t="s">
        <v>453</v>
      </c>
      <c r="C44" s="17" t="s">
        <v>454</v>
      </c>
      <c r="D44" s="19" t="s">
        <v>53</v>
      </c>
      <c r="E44" s="19" t="s">
        <v>7</v>
      </c>
      <c r="F44" s="95">
        <v>0</v>
      </c>
      <c r="G44" s="95">
        <v>0</v>
      </c>
      <c r="H44" s="19" t="s">
        <v>446</v>
      </c>
      <c r="I44" s="95">
        <v>0</v>
      </c>
      <c r="J44" s="95">
        <v>0</v>
      </c>
      <c r="K44" s="95">
        <v>0</v>
      </c>
      <c r="L44" s="95">
        <v>0</v>
      </c>
      <c r="M44" s="95">
        <v>0</v>
      </c>
      <c r="N44" s="95">
        <f t="shared" si="8"/>
        <v>0</v>
      </c>
      <c r="O44" s="95">
        <v>0</v>
      </c>
      <c r="P44" s="95">
        <v>0</v>
      </c>
      <c r="Q44" s="95">
        <v>0</v>
      </c>
      <c r="R44" s="95">
        <v>0</v>
      </c>
      <c r="S44" s="95">
        <v>0</v>
      </c>
      <c r="T44" s="95">
        <f t="shared" si="4"/>
        <v>0</v>
      </c>
      <c r="U44" s="95">
        <v>0</v>
      </c>
      <c r="V44" s="90">
        <f t="shared" si="0"/>
        <v>0</v>
      </c>
      <c r="W44" s="95">
        <v>0</v>
      </c>
      <c r="X44" s="90">
        <f t="shared" si="1"/>
        <v>0</v>
      </c>
      <c r="Y44" s="96">
        <v>150</v>
      </c>
      <c r="Z44" s="19" t="s">
        <v>69</v>
      </c>
      <c r="AA44" s="17" t="s">
        <v>15</v>
      </c>
      <c r="AB44" s="17" t="s">
        <v>456</v>
      </c>
      <c r="AC44" s="17" t="s">
        <v>440</v>
      </c>
      <c r="AD44" s="17" t="s">
        <v>124</v>
      </c>
    </row>
    <row r="45" spans="1:30" ht="157.5" x14ac:dyDescent="0.2">
      <c r="A45" s="353"/>
      <c r="B45" s="94" t="s">
        <v>457</v>
      </c>
      <c r="C45" s="17" t="s">
        <v>458</v>
      </c>
      <c r="D45" s="19" t="s">
        <v>53</v>
      </c>
      <c r="E45" s="19" t="s">
        <v>7</v>
      </c>
      <c r="F45" s="95">
        <v>5</v>
      </c>
      <c r="G45" s="95">
        <v>26.68422</v>
      </c>
      <c r="H45" s="19" t="s">
        <v>46</v>
      </c>
      <c r="I45" s="95">
        <v>0</v>
      </c>
      <c r="J45" s="95">
        <v>0</v>
      </c>
      <c r="K45" s="95">
        <v>0</v>
      </c>
      <c r="L45" s="95">
        <v>0</v>
      </c>
      <c r="M45" s="95">
        <v>231.65789000000001</v>
      </c>
      <c r="N45" s="95">
        <f t="shared" si="8"/>
        <v>231.65789000000001</v>
      </c>
      <c r="O45" s="95">
        <v>0</v>
      </c>
      <c r="P45" s="95">
        <v>0</v>
      </c>
      <c r="Q45" s="95">
        <v>0</v>
      </c>
      <c r="R45" s="95">
        <v>0</v>
      </c>
      <c r="S45" s="95">
        <v>181.65789000000001</v>
      </c>
      <c r="T45" s="95">
        <f t="shared" si="4"/>
        <v>181.65789000000001</v>
      </c>
      <c r="U45" s="95">
        <v>77.5</v>
      </c>
      <c r="V45" s="90">
        <f t="shared" si="0"/>
        <v>490.81578000000002</v>
      </c>
      <c r="W45" s="95">
        <v>0</v>
      </c>
      <c r="X45" s="90">
        <f t="shared" si="1"/>
        <v>522.5</v>
      </c>
      <c r="Y45" s="96">
        <v>437.505</v>
      </c>
      <c r="Z45" s="19" t="s">
        <v>69</v>
      </c>
      <c r="AA45" s="17" t="s">
        <v>942</v>
      </c>
      <c r="AB45" s="17" t="s">
        <v>460</v>
      </c>
      <c r="AC45" s="17" t="s">
        <v>440</v>
      </c>
      <c r="AD45" s="17" t="s">
        <v>124</v>
      </c>
    </row>
    <row r="46" spans="1:30" ht="178.5" x14ac:dyDescent="0.2">
      <c r="A46" s="353"/>
      <c r="B46" s="94" t="s">
        <v>461</v>
      </c>
      <c r="C46" s="17" t="s">
        <v>943</v>
      </c>
      <c r="D46" s="19" t="s">
        <v>463</v>
      </c>
      <c r="E46" s="19" t="s">
        <v>7</v>
      </c>
      <c r="F46" s="95">
        <v>72582.240000000005</v>
      </c>
      <c r="G46" s="95">
        <f>73163-F46</f>
        <v>580.75999999999476</v>
      </c>
      <c r="H46" s="19" t="s">
        <v>46</v>
      </c>
      <c r="I46" s="95">
        <v>0</v>
      </c>
      <c r="J46" s="95">
        <v>0</v>
      </c>
      <c r="K46" s="95">
        <v>0</v>
      </c>
      <c r="L46" s="95">
        <v>0</v>
      </c>
      <c r="M46" s="95">
        <v>0</v>
      </c>
      <c r="N46" s="95">
        <f t="shared" si="8"/>
        <v>0</v>
      </c>
      <c r="O46" s="95">
        <v>0</v>
      </c>
      <c r="P46" s="95">
        <v>0</v>
      </c>
      <c r="Q46" s="95">
        <v>0</v>
      </c>
      <c r="R46" s="95">
        <v>0</v>
      </c>
      <c r="S46" s="95">
        <v>0</v>
      </c>
      <c r="T46" s="95">
        <f t="shared" si="4"/>
        <v>0</v>
      </c>
      <c r="U46" s="95">
        <v>0</v>
      </c>
      <c r="V46" s="90">
        <f t="shared" si="0"/>
        <v>0</v>
      </c>
      <c r="W46" s="95">
        <v>0</v>
      </c>
      <c r="X46" s="90">
        <f t="shared" si="1"/>
        <v>73163</v>
      </c>
      <c r="Y46" s="96">
        <v>73162</v>
      </c>
      <c r="Z46" s="19" t="s">
        <v>7</v>
      </c>
      <c r="AA46" s="17" t="s">
        <v>944</v>
      </c>
      <c r="AB46" s="17" t="s">
        <v>945</v>
      </c>
      <c r="AC46" s="17" t="s">
        <v>140</v>
      </c>
      <c r="AD46" s="17" t="s">
        <v>124</v>
      </c>
    </row>
    <row r="47" spans="1:30" ht="73.5" x14ac:dyDescent="0.2">
      <c r="A47" s="353"/>
      <c r="B47" s="94" t="s">
        <v>466</v>
      </c>
      <c r="C47" s="17" t="s">
        <v>467</v>
      </c>
      <c r="D47" s="19" t="s">
        <v>463</v>
      </c>
      <c r="E47" s="19" t="s">
        <v>7</v>
      </c>
      <c r="F47" s="95">
        <v>0</v>
      </c>
      <c r="G47" s="95">
        <v>2041</v>
      </c>
      <c r="H47" s="19" t="s">
        <v>152</v>
      </c>
      <c r="I47" s="95">
        <v>0</v>
      </c>
      <c r="J47" s="95">
        <v>0</v>
      </c>
      <c r="K47" s="95">
        <v>0</v>
      </c>
      <c r="L47" s="95">
        <v>0</v>
      </c>
      <c r="M47" s="95">
        <v>1320</v>
      </c>
      <c r="N47" s="95">
        <f>SUM(I47:M47)</f>
        <v>1320</v>
      </c>
      <c r="O47" s="95">
        <v>0</v>
      </c>
      <c r="P47" s="95">
        <v>0</v>
      </c>
      <c r="Q47" s="95">
        <v>0</v>
      </c>
      <c r="R47" s="95">
        <v>0</v>
      </c>
      <c r="S47" s="95">
        <v>1320</v>
      </c>
      <c r="T47" s="95">
        <f t="shared" si="4"/>
        <v>1320</v>
      </c>
      <c r="U47" s="95">
        <v>1320</v>
      </c>
      <c r="V47" s="90">
        <f t="shared" si="0"/>
        <v>3960</v>
      </c>
      <c r="W47" s="95">
        <v>0</v>
      </c>
      <c r="X47" s="90">
        <f t="shared" si="1"/>
        <v>6001</v>
      </c>
      <c r="Y47" s="96">
        <f>X47</f>
        <v>6001</v>
      </c>
      <c r="Z47" s="19" t="s">
        <v>69</v>
      </c>
      <c r="AA47" s="17" t="s">
        <v>946</v>
      </c>
      <c r="AB47" s="17" t="s">
        <v>48</v>
      </c>
      <c r="AC47" s="17" t="s">
        <v>140</v>
      </c>
      <c r="AD47" s="17" t="s">
        <v>124</v>
      </c>
    </row>
    <row r="48" spans="1:30" ht="52.5" x14ac:dyDescent="0.2">
      <c r="A48" s="353"/>
      <c r="B48" s="94" t="s">
        <v>469</v>
      </c>
      <c r="C48" s="17" t="s">
        <v>470</v>
      </c>
      <c r="D48" s="19" t="s">
        <v>463</v>
      </c>
      <c r="E48" s="19" t="s">
        <v>7</v>
      </c>
      <c r="F48" s="95">
        <v>0</v>
      </c>
      <c r="G48" s="95">
        <v>0</v>
      </c>
      <c r="H48" s="19" t="s">
        <v>152</v>
      </c>
      <c r="I48" s="95">
        <v>0</v>
      </c>
      <c r="J48" s="95">
        <v>0</v>
      </c>
      <c r="K48" s="95">
        <v>0</v>
      </c>
      <c r="L48" s="95">
        <v>0</v>
      </c>
      <c r="M48" s="95">
        <v>0</v>
      </c>
      <c r="N48" s="95">
        <f t="shared" si="8"/>
        <v>0</v>
      </c>
      <c r="O48" s="95">
        <v>0</v>
      </c>
      <c r="P48" s="95">
        <v>0</v>
      </c>
      <c r="Q48" s="95">
        <v>0</v>
      </c>
      <c r="R48" s="95">
        <v>0</v>
      </c>
      <c r="S48" s="95">
        <v>0</v>
      </c>
      <c r="T48" s="95">
        <f t="shared" si="4"/>
        <v>0</v>
      </c>
      <c r="U48" s="95">
        <v>3000</v>
      </c>
      <c r="V48" s="90">
        <f t="shared" si="0"/>
        <v>3000</v>
      </c>
      <c r="W48" s="95">
        <v>7000</v>
      </c>
      <c r="X48" s="90">
        <f t="shared" si="1"/>
        <v>10000</v>
      </c>
      <c r="Y48" s="96">
        <v>10000</v>
      </c>
      <c r="Z48" s="19" t="s">
        <v>7</v>
      </c>
      <c r="AA48" s="17" t="s">
        <v>16</v>
      </c>
      <c r="AB48" s="17" t="s">
        <v>472</v>
      </c>
      <c r="AC48" s="17" t="s">
        <v>140</v>
      </c>
      <c r="AD48" s="17" t="s">
        <v>124</v>
      </c>
    </row>
    <row r="49" spans="1:30" ht="42" x14ac:dyDescent="0.2">
      <c r="A49" s="353"/>
      <c r="B49" s="94" t="s">
        <v>473</v>
      </c>
      <c r="C49" s="17" t="s">
        <v>474</v>
      </c>
      <c r="D49" s="19" t="s">
        <v>156</v>
      </c>
      <c r="E49" s="19" t="s">
        <v>7</v>
      </c>
      <c r="F49" s="95">
        <v>650.20000000000005</v>
      </c>
      <c r="G49" s="95">
        <f>2167-F49</f>
        <v>1516.8</v>
      </c>
      <c r="H49" s="19" t="s">
        <v>46</v>
      </c>
      <c r="I49" s="95">
        <v>0</v>
      </c>
      <c r="J49" s="95">
        <v>0</v>
      </c>
      <c r="K49" s="95">
        <v>0</v>
      </c>
      <c r="L49" s="95">
        <v>0</v>
      </c>
      <c r="M49" s="95">
        <v>0</v>
      </c>
      <c r="N49" s="95">
        <f t="shared" si="8"/>
        <v>0</v>
      </c>
      <c r="O49" s="95">
        <v>0</v>
      </c>
      <c r="P49" s="95">
        <v>0</v>
      </c>
      <c r="Q49" s="95">
        <v>0</v>
      </c>
      <c r="R49" s="95">
        <v>0</v>
      </c>
      <c r="S49" s="95">
        <v>0</v>
      </c>
      <c r="T49" s="95">
        <f t="shared" si="4"/>
        <v>0</v>
      </c>
      <c r="U49" s="95">
        <v>0</v>
      </c>
      <c r="V49" s="90">
        <f t="shared" si="0"/>
        <v>0</v>
      </c>
      <c r="W49" s="95">
        <v>0</v>
      </c>
      <c r="X49" s="90">
        <f t="shared" si="1"/>
        <v>2167</v>
      </c>
      <c r="Y49" s="96">
        <v>2167</v>
      </c>
      <c r="Z49" s="19" t="s">
        <v>7</v>
      </c>
      <c r="AA49" s="17" t="s">
        <v>947</v>
      </c>
      <c r="AB49" s="17" t="s">
        <v>476</v>
      </c>
      <c r="AC49" s="17" t="s">
        <v>140</v>
      </c>
      <c r="AD49" s="17" t="s">
        <v>124</v>
      </c>
    </row>
    <row r="50" spans="1:30" ht="84" x14ac:dyDescent="0.2">
      <c r="A50" s="353"/>
      <c r="B50" s="94" t="s">
        <v>477</v>
      </c>
      <c r="C50" s="17" t="s">
        <v>478</v>
      </c>
      <c r="D50" s="19" t="s">
        <v>156</v>
      </c>
      <c r="E50" s="19"/>
      <c r="F50" s="95">
        <v>0</v>
      </c>
      <c r="G50" s="95">
        <v>0</v>
      </c>
      <c r="H50" s="19" t="s">
        <v>152</v>
      </c>
      <c r="I50" s="95">
        <v>0</v>
      </c>
      <c r="J50" s="95">
        <v>0</v>
      </c>
      <c r="K50" s="95">
        <v>0</v>
      </c>
      <c r="L50" s="95">
        <v>0</v>
      </c>
      <c r="M50" s="95">
        <v>0</v>
      </c>
      <c r="N50" s="95">
        <f t="shared" ref="N50" si="9">SUM(I50:M50)</f>
        <v>0</v>
      </c>
      <c r="O50" s="95">
        <v>0</v>
      </c>
      <c r="P50" s="95">
        <v>0</v>
      </c>
      <c r="Q50" s="95">
        <v>0</v>
      </c>
      <c r="R50" s="95">
        <v>0</v>
      </c>
      <c r="S50" s="95">
        <v>0</v>
      </c>
      <c r="T50" s="95">
        <f t="shared" ref="T50" si="10">SUM(O50:S50)</f>
        <v>0</v>
      </c>
      <c r="U50" s="95">
        <v>450</v>
      </c>
      <c r="V50" s="90">
        <f t="shared" si="0"/>
        <v>450</v>
      </c>
      <c r="W50" s="95">
        <v>622.94000000000005</v>
      </c>
      <c r="X50" s="90">
        <f t="shared" si="1"/>
        <v>1072.94</v>
      </c>
      <c r="Y50" s="96">
        <f>1072.94+125</f>
        <v>1197.94</v>
      </c>
      <c r="Z50" s="19" t="s">
        <v>7</v>
      </c>
      <c r="AA50" s="17" t="s">
        <v>948</v>
      </c>
      <c r="AB50" s="17" t="s">
        <v>949</v>
      </c>
      <c r="AC50" s="17" t="s">
        <v>140</v>
      </c>
      <c r="AD50" s="17" t="s">
        <v>124</v>
      </c>
    </row>
    <row r="51" spans="1:30" ht="52.5" x14ac:dyDescent="0.2">
      <c r="A51" s="353"/>
      <c r="B51" s="94" t="s">
        <v>481</v>
      </c>
      <c r="C51" s="17" t="s">
        <v>17</v>
      </c>
      <c r="D51" s="19" t="s">
        <v>156</v>
      </c>
      <c r="E51" s="19" t="s">
        <v>69</v>
      </c>
      <c r="F51" s="95">
        <v>0</v>
      </c>
      <c r="G51" s="95">
        <v>0</v>
      </c>
      <c r="H51" s="19" t="s">
        <v>152</v>
      </c>
      <c r="I51" s="95">
        <v>0</v>
      </c>
      <c r="J51" s="95">
        <v>0</v>
      </c>
      <c r="K51" s="95">
        <v>0</v>
      </c>
      <c r="L51" s="95">
        <v>0</v>
      </c>
      <c r="M51" s="95">
        <v>0</v>
      </c>
      <c r="N51" s="95">
        <f t="shared" si="8"/>
        <v>0</v>
      </c>
      <c r="O51" s="95">
        <v>0</v>
      </c>
      <c r="P51" s="95">
        <v>0</v>
      </c>
      <c r="Q51" s="95">
        <v>0</v>
      </c>
      <c r="R51" s="95">
        <v>0</v>
      </c>
      <c r="S51" s="95">
        <v>0</v>
      </c>
      <c r="T51" s="95">
        <f t="shared" si="4"/>
        <v>0</v>
      </c>
      <c r="U51" s="95">
        <v>257</v>
      </c>
      <c r="V51" s="90">
        <f t="shared" si="0"/>
        <v>257</v>
      </c>
      <c r="W51" s="95">
        <v>1743</v>
      </c>
      <c r="X51" s="90">
        <f t="shared" si="1"/>
        <v>2000</v>
      </c>
      <c r="Y51" s="96">
        <v>2000</v>
      </c>
      <c r="Z51" s="19" t="s">
        <v>7</v>
      </c>
      <c r="AA51" s="17" t="s">
        <v>950</v>
      </c>
      <c r="AB51" s="17" t="s">
        <v>951</v>
      </c>
      <c r="AC51" s="17" t="s">
        <v>140</v>
      </c>
      <c r="AD51" s="17" t="s">
        <v>124</v>
      </c>
    </row>
    <row r="52" spans="1:30" ht="42" x14ac:dyDescent="0.2">
      <c r="A52" s="353"/>
      <c r="B52" s="94" t="s">
        <v>483</v>
      </c>
      <c r="C52" s="17" t="s">
        <v>484</v>
      </c>
      <c r="D52" s="19" t="s">
        <v>156</v>
      </c>
      <c r="E52" s="19" t="s">
        <v>69</v>
      </c>
      <c r="F52" s="95">
        <v>0</v>
      </c>
      <c r="G52" s="95">
        <v>0</v>
      </c>
      <c r="H52" s="19" t="s">
        <v>152</v>
      </c>
      <c r="I52" s="95">
        <v>0</v>
      </c>
      <c r="J52" s="95">
        <v>0</v>
      </c>
      <c r="K52" s="95">
        <v>0</v>
      </c>
      <c r="L52" s="95">
        <v>0</v>
      </c>
      <c r="M52" s="95">
        <v>0</v>
      </c>
      <c r="N52" s="95">
        <f t="shared" si="8"/>
        <v>0</v>
      </c>
      <c r="O52" s="95">
        <v>0</v>
      </c>
      <c r="P52" s="95">
        <v>0</v>
      </c>
      <c r="Q52" s="95">
        <v>0</v>
      </c>
      <c r="R52" s="95">
        <v>0</v>
      </c>
      <c r="S52" s="95">
        <v>0</v>
      </c>
      <c r="T52" s="95">
        <f t="shared" si="4"/>
        <v>0</v>
      </c>
      <c r="U52" s="95">
        <v>1000</v>
      </c>
      <c r="V52" s="90">
        <f t="shared" si="0"/>
        <v>1000</v>
      </c>
      <c r="W52" s="95">
        <v>1000</v>
      </c>
      <c r="X52" s="90">
        <f t="shared" si="1"/>
        <v>2000</v>
      </c>
      <c r="Y52" s="96">
        <v>2000</v>
      </c>
      <c r="Z52" s="19" t="s">
        <v>7</v>
      </c>
      <c r="AA52" s="17" t="s">
        <v>952</v>
      </c>
      <c r="AB52" s="17" t="s">
        <v>486</v>
      </c>
      <c r="AC52" s="17" t="s">
        <v>140</v>
      </c>
      <c r="AD52" s="17" t="s">
        <v>124</v>
      </c>
    </row>
    <row r="53" spans="1:30" ht="94.5" x14ac:dyDescent="0.2">
      <c r="A53" s="353"/>
      <c r="B53" s="94" t="s">
        <v>487</v>
      </c>
      <c r="C53" s="17" t="s">
        <v>488</v>
      </c>
      <c r="D53" s="19" t="s">
        <v>156</v>
      </c>
      <c r="E53" s="19" t="s">
        <v>7</v>
      </c>
      <c r="F53" s="95">
        <v>0</v>
      </c>
      <c r="G53" s="95">
        <v>0</v>
      </c>
      <c r="H53" s="19" t="s">
        <v>152</v>
      </c>
      <c r="I53" s="95">
        <v>0</v>
      </c>
      <c r="J53" s="95">
        <v>0</v>
      </c>
      <c r="K53" s="95">
        <v>0</v>
      </c>
      <c r="L53" s="95">
        <v>0</v>
      </c>
      <c r="M53" s="95">
        <v>275</v>
      </c>
      <c r="N53" s="95">
        <f>SUM(I53:M53)</f>
        <v>275</v>
      </c>
      <c r="O53" s="95">
        <v>0</v>
      </c>
      <c r="P53" s="95">
        <v>0</v>
      </c>
      <c r="Q53" s="95">
        <v>0</v>
      </c>
      <c r="R53" s="95">
        <v>0</v>
      </c>
      <c r="S53" s="95">
        <v>1275</v>
      </c>
      <c r="T53" s="95">
        <f t="shared" si="4"/>
        <v>1275</v>
      </c>
      <c r="U53" s="95">
        <v>1275</v>
      </c>
      <c r="V53" s="90">
        <f t="shared" si="0"/>
        <v>2825</v>
      </c>
      <c r="W53" s="95">
        <v>4175</v>
      </c>
      <c r="X53" s="90">
        <f t="shared" si="1"/>
        <v>7000</v>
      </c>
      <c r="Y53" s="96">
        <v>7000</v>
      </c>
      <c r="Z53" s="19" t="s">
        <v>7</v>
      </c>
      <c r="AA53" s="17" t="s">
        <v>953</v>
      </c>
      <c r="AB53" s="17" t="s">
        <v>954</v>
      </c>
      <c r="AC53" s="17" t="s">
        <v>140</v>
      </c>
      <c r="AD53" s="17" t="s">
        <v>124</v>
      </c>
    </row>
    <row r="54" spans="1:30" ht="94.5" x14ac:dyDescent="0.2">
      <c r="A54" s="353"/>
      <c r="B54" s="94" t="s">
        <v>491</v>
      </c>
      <c r="C54" s="17" t="s">
        <v>492</v>
      </c>
      <c r="D54" s="19" t="s">
        <v>156</v>
      </c>
      <c r="E54" s="19" t="s">
        <v>69</v>
      </c>
      <c r="F54" s="95">
        <v>0</v>
      </c>
      <c r="G54" s="95">
        <v>0</v>
      </c>
      <c r="H54" s="19" t="s">
        <v>152</v>
      </c>
      <c r="I54" s="95">
        <v>0</v>
      </c>
      <c r="J54" s="95">
        <v>0</v>
      </c>
      <c r="K54" s="95">
        <v>0</v>
      </c>
      <c r="L54" s="95">
        <v>0</v>
      </c>
      <c r="M54" s="95">
        <v>500</v>
      </c>
      <c r="N54" s="95">
        <f t="shared" si="8"/>
        <v>500</v>
      </c>
      <c r="O54" s="95">
        <v>0</v>
      </c>
      <c r="P54" s="95">
        <v>0</v>
      </c>
      <c r="Q54" s="95">
        <v>0</v>
      </c>
      <c r="R54" s="95">
        <v>0</v>
      </c>
      <c r="S54" s="95">
        <v>2500</v>
      </c>
      <c r="T54" s="95">
        <f t="shared" si="4"/>
        <v>2500</v>
      </c>
      <c r="U54" s="95">
        <v>4500</v>
      </c>
      <c r="V54" s="90">
        <f t="shared" si="0"/>
        <v>7500</v>
      </c>
      <c r="W54" s="95">
        <v>0</v>
      </c>
      <c r="X54" s="90">
        <f t="shared" si="1"/>
        <v>7500</v>
      </c>
      <c r="Y54" s="99">
        <f>X54</f>
        <v>7500</v>
      </c>
      <c r="Z54" s="19" t="s">
        <v>7</v>
      </c>
      <c r="AA54" s="17" t="s">
        <v>955</v>
      </c>
      <c r="AB54" s="17" t="s">
        <v>956</v>
      </c>
      <c r="AC54" s="17" t="s">
        <v>140</v>
      </c>
      <c r="AD54" s="17" t="s">
        <v>124</v>
      </c>
    </row>
    <row r="55" spans="1:30" ht="31.5" x14ac:dyDescent="0.2">
      <c r="A55" s="353"/>
      <c r="B55" s="98" t="s">
        <v>52</v>
      </c>
      <c r="C55" s="17" t="s">
        <v>495</v>
      </c>
      <c r="D55" s="19" t="s">
        <v>53</v>
      </c>
      <c r="E55" s="19" t="s">
        <v>7</v>
      </c>
      <c r="F55" s="95">
        <v>4877.0004099999996</v>
      </c>
      <c r="G55" s="95">
        <v>202.489</v>
      </c>
      <c r="H55" s="19" t="s">
        <v>46</v>
      </c>
      <c r="I55" s="95">
        <v>0</v>
      </c>
      <c r="J55" s="95">
        <v>0</v>
      </c>
      <c r="K55" s="95">
        <v>0</v>
      </c>
      <c r="L55" s="95">
        <v>0</v>
      </c>
      <c r="M55" s="95">
        <v>0</v>
      </c>
      <c r="N55" s="95">
        <f t="shared" si="8"/>
        <v>0</v>
      </c>
      <c r="O55" s="95">
        <v>0</v>
      </c>
      <c r="P55" s="95">
        <v>0</v>
      </c>
      <c r="Q55" s="95">
        <v>0</v>
      </c>
      <c r="R55" s="95">
        <v>0</v>
      </c>
      <c r="S55" s="95">
        <v>0</v>
      </c>
      <c r="T55" s="95">
        <f t="shared" si="4"/>
        <v>0</v>
      </c>
      <c r="U55" s="95">
        <v>0</v>
      </c>
      <c r="V55" s="90">
        <f t="shared" si="0"/>
        <v>0</v>
      </c>
      <c r="W55" s="95">
        <v>0</v>
      </c>
      <c r="X55" s="90">
        <f t="shared" si="1"/>
        <v>5079.4894099999992</v>
      </c>
      <c r="Y55" s="96">
        <v>5377</v>
      </c>
      <c r="Z55" s="19" t="s">
        <v>7</v>
      </c>
      <c r="AA55" s="17" t="s">
        <v>957</v>
      </c>
      <c r="AB55" s="17" t="s">
        <v>54</v>
      </c>
      <c r="AC55" s="17" t="s">
        <v>55</v>
      </c>
      <c r="AD55" s="17" t="s">
        <v>124</v>
      </c>
    </row>
    <row r="56" spans="1:30" ht="42" x14ac:dyDescent="0.2">
      <c r="A56" s="353"/>
      <c r="B56" s="98" t="s">
        <v>122</v>
      </c>
      <c r="C56" s="17" t="s">
        <v>958</v>
      </c>
      <c r="D56" s="19" t="s">
        <v>156</v>
      </c>
      <c r="E56" s="19"/>
      <c r="F56" s="95">
        <v>0</v>
      </c>
      <c r="G56" s="95">
        <v>123.06</v>
      </c>
      <c r="H56" s="19" t="s">
        <v>152</v>
      </c>
      <c r="I56" s="95">
        <v>0</v>
      </c>
      <c r="J56" s="95">
        <v>0</v>
      </c>
      <c r="K56" s="95">
        <v>0</v>
      </c>
      <c r="L56" s="95">
        <v>0</v>
      </c>
      <c r="M56" s="95">
        <v>0</v>
      </c>
      <c r="N56" s="95">
        <f>SUM(I56:M56)</f>
        <v>0</v>
      </c>
      <c r="O56" s="95">
        <v>0</v>
      </c>
      <c r="P56" s="95">
        <v>0</v>
      </c>
      <c r="Q56" s="95">
        <v>0</v>
      </c>
      <c r="R56" s="95">
        <v>0</v>
      </c>
      <c r="S56" s="95">
        <v>0</v>
      </c>
      <c r="T56" s="95">
        <f>SUM(O56:S56)</f>
        <v>0</v>
      </c>
      <c r="U56" s="95">
        <v>0</v>
      </c>
      <c r="V56" s="90">
        <f>N56+T56+U56</f>
        <v>0</v>
      </c>
      <c r="W56" s="95">
        <v>0</v>
      </c>
      <c r="X56" s="90">
        <f>W56+V56+G56+F56</f>
        <v>123.06</v>
      </c>
      <c r="Y56" s="96">
        <v>123.06</v>
      </c>
      <c r="Z56" s="19" t="s">
        <v>7</v>
      </c>
      <c r="AA56" s="17" t="s">
        <v>959</v>
      </c>
      <c r="AB56" s="17" t="s">
        <v>960</v>
      </c>
      <c r="AC56" s="17" t="s">
        <v>140</v>
      </c>
      <c r="AD56" s="17" t="s">
        <v>124</v>
      </c>
    </row>
    <row r="57" spans="1:30" ht="210" x14ac:dyDescent="0.2">
      <c r="A57" s="353"/>
      <c r="B57" s="98" t="s">
        <v>173</v>
      </c>
      <c r="C57" s="17" t="s">
        <v>175</v>
      </c>
      <c r="D57" s="19" t="s">
        <v>156</v>
      </c>
      <c r="E57" s="19"/>
      <c r="F57" s="95">
        <v>0</v>
      </c>
      <c r="G57" s="95">
        <v>0</v>
      </c>
      <c r="H57" s="19" t="s">
        <v>152</v>
      </c>
      <c r="I57" s="95">
        <v>0</v>
      </c>
      <c r="J57" s="95">
        <v>0</v>
      </c>
      <c r="K57" s="95">
        <v>537</v>
      </c>
      <c r="L57" s="95">
        <v>0</v>
      </c>
      <c r="M57" s="95">
        <v>12</v>
      </c>
      <c r="N57" s="95">
        <f t="shared" si="8"/>
        <v>549</v>
      </c>
      <c r="O57" s="95">
        <v>0</v>
      </c>
      <c r="P57" s="95">
        <v>0</v>
      </c>
      <c r="Q57" s="95">
        <v>537</v>
      </c>
      <c r="R57" s="95">
        <v>0</v>
      </c>
      <c r="S57" s="95">
        <v>12</v>
      </c>
      <c r="T57" s="95">
        <f t="shared" si="4"/>
        <v>549</v>
      </c>
      <c r="U57" s="95">
        <v>0</v>
      </c>
      <c r="V57" s="90">
        <f t="shared" si="0"/>
        <v>1098</v>
      </c>
      <c r="W57" s="95">
        <v>0</v>
      </c>
      <c r="X57" s="90">
        <f t="shared" si="1"/>
        <v>1098</v>
      </c>
      <c r="Y57" s="96">
        <v>1098</v>
      </c>
      <c r="Z57" s="19" t="s">
        <v>7</v>
      </c>
      <c r="AA57" s="17" t="s">
        <v>961</v>
      </c>
      <c r="AB57" s="17" t="s">
        <v>177</v>
      </c>
      <c r="AC57" s="17" t="s">
        <v>140</v>
      </c>
      <c r="AD57" s="17" t="s">
        <v>124</v>
      </c>
    </row>
    <row r="58" spans="1:30" ht="157.5" x14ac:dyDescent="0.2">
      <c r="A58" s="353"/>
      <c r="B58" s="98" t="s">
        <v>174</v>
      </c>
      <c r="C58" s="17" t="s">
        <v>176</v>
      </c>
      <c r="D58" s="19" t="s">
        <v>156</v>
      </c>
      <c r="E58" s="19"/>
      <c r="F58" s="95">
        <v>0</v>
      </c>
      <c r="G58" s="95">
        <v>0</v>
      </c>
      <c r="H58" s="19" t="s">
        <v>152</v>
      </c>
      <c r="I58" s="95">
        <v>0</v>
      </c>
      <c r="J58" s="95">
        <v>0</v>
      </c>
      <c r="K58" s="95">
        <v>220</v>
      </c>
      <c r="L58" s="95">
        <v>0</v>
      </c>
      <c r="M58" s="95">
        <v>4.5</v>
      </c>
      <c r="N58" s="95">
        <f t="shared" si="8"/>
        <v>224.5</v>
      </c>
      <c r="O58" s="95">
        <v>0</v>
      </c>
      <c r="P58" s="95">
        <v>0</v>
      </c>
      <c r="Q58" s="95">
        <v>220</v>
      </c>
      <c r="R58" s="95">
        <v>0</v>
      </c>
      <c r="S58" s="95">
        <v>4.5</v>
      </c>
      <c r="T58" s="95">
        <f t="shared" si="4"/>
        <v>224.5</v>
      </c>
      <c r="U58" s="95">
        <v>0</v>
      </c>
      <c r="V58" s="90">
        <f t="shared" si="0"/>
        <v>449</v>
      </c>
      <c r="W58" s="95">
        <v>0</v>
      </c>
      <c r="X58" s="90">
        <f t="shared" si="1"/>
        <v>449</v>
      </c>
      <c r="Y58" s="96">
        <v>449</v>
      </c>
      <c r="Z58" s="19" t="s">
        <v>7</v>
      </c>
      <c r="AA58" s="17" t="s">
        <v>962</v>
      </c>
      <c r="AB58" s="17" t="s">
        <v>178</v>
      </c>
      <c r="AC58" s="17" t="s">
        <v>140</v>
      </c>
      <c r="AD58" s="17" t="s">
        <v>124</v>
      </c>
    </row>
    <row r="59" spans="1:30" x14ac:dyDescent="0.2">
      <c r="A59" s="353"/>
      <c r="B59" s="294" t="s">
        <v>501</v>
      </c>
      <c r="C59" s="294"/>
      <c r="D59" s="38" t="s">
        <v>502</v>
      </c>
      <c r="E59" s="38" t="s">
        <v>48</v>
      </c>
      <c r="F59" s="40">
        <f>SUM(F60:F64)</f>
        <v>0</v>
      </c>
      <c r="G59" s="40">
        <f>SUM(G60:G64)</f>
        <v>0</v>
      </c>
      <c r="H59" s="38" t="s">
        <v>48</v>
      </c>
      <c r="I59" s="40">
        <f>SUM(I60:I64)</f>
        <v>0</v>
      </c>
      <c r="J59" s="40">
        <f>SUM(J60:J64)</f>
        <v>0</v>
      </c>
      <c r="K59" s="40">
        <f>SUM(K60:K64)</f>
        <v>0</v>
      </c>
      <c r="L59" s="40">
        <f t="shared" ref="L59" si="11">SUM(L60:L64)</f>
        <v>0</v>
      </c>
      <c r="M59" s="40">
        <f>SUM(M60:M64)</f>
        <v>7</v>
      </c>
      <c r="N59" s="40">
        <f>SUM(I59:M59)</f>
        <v>7</v>
      </c>
      <c r="O59" s="40">
        <f>SUM(O60:O64)</f>
        <v>7</v>
      </c>
      <c r="P59" s="40">
        <f t="shared" ref="P59:R59" si="12">SUM(P60:P64)</f>
        <v>0</v>
      </c>
      <c r="Q59" s="40">
        <f t="shared" si="12"/>
        <v>0</v>
      </c>
      <c r="R59" s="40">
        <f t="shared" si="12"/>
        <v>0</v>
      </c>
      <c r="S59" s="40">
        <f>SUM(S60:S64)</f>
        <v>0</v>
      </c>
      <c r="T59" s="41">
        <f t="shared" si="4"/>
        <v>7</v>
      </c>
      <c r="U59" s="40">
        <f>SUM(U60:U64)</f>
        <v>14</v>
      </c>
      <c r="V59" s="93">
        <f t="shared" si="0"/>
        <v>28</v>
      </c>
      <c r="W59" s="40">
        <f>SUM(W60:W64)</f>
        <v>224</v>
      </c>
      <c r="X59" s="93">
        <f t="shared" si="1"/>
        <v>252</v>
      </c>
      <c r="Y59" s="22" t="s">
        <v>48</v>
      </c>
      <c r="Z59" s="38" t="s">
        <v>48</v>
      </c>
      <c r="AA59" s="38" t="s">
        <v>48</v>
      </c>
      <c r="AB59" s="38" t="s">
        <v>48</v>
      </c>
      <c r="AC59" s="38" t="s">
        <v>48</v>
      </c>
      <c r="AD59" s="38" t="s">
        <v>48</v>
      </c>
    </row>
    <row r="60" spans="1:30" ht="52.5" x14ac:dyDescent="0.2">
      <c r="A60" s="353"/>
      <c r="B60" s="94" t="s">
        <v>503</v>
      </c>
      <c r="C60" s="17" t="s">
        <v>504</v>
      </c>
      <c r="D60" s="19" t="s">
        <v>505</v>
      </c>
      <c r="E60" s="19" t="s">
        <v>69</v>
      </c>
      <c r="F60" s="95">
        <v>0</v>
      </c>
      <c r="G60" s="95">
        <v>0</v>
      </c>
      <c r="H60" s="19" t="s">
        <v>152</v>
      </c>
      <c r="I60" s="95">
        <v>0</v>
      </c>
      <c r="J60" s="95">
        <v>0</v>
      </c>
      <c r="K60" s="95">
        <v>0</v>
      </c>
      <c r="L60" s="95">
        <v>0</v>
      </c>
      <c r="M60" s="95">
        <v>0</v>
      </c>
      <c r="N60" s="95">
        <f>SUM(I60:M60)</f>
        <v>0</v>
      </c>
      <c r="O60" s="95">
        <v>0</v>
      </c>
      <c r="P60" s="95">
        <v>0</v>
      </c>
      <c r="Q60" s="95">
        <v>0</v>
      </c>
      <c r="R60" s="95">
        <v>0</v>
      </c>
      <c r="S60" s="95">
        <v>0</v>
      </c>
      <c r="T60" s="95">
        <f t="shared" si="4"/>
        <v>0</v>
      </c>
      <c r="U60" s="95">
        <v>0</v>
      </c>
      <c r="V60" s="90">
        <f t="shared" si="0"/>
        <v>0</v>
      </c>
      <c r="W60" s="95">
        <v>0</v>
      </c>
      <c r="X60" s="90">
        <f t="shared" si="1"/>
        <v>0</v>
      </c>
      <c r="Y60" s="96">
        <v>1800</v>
      </c>
      <c r="Z60" s="19" t="s">
        <v>7</v>
      </c>
      <c r="AA60" s="17" t="s">
        <v>18</v>
      </c>
      <c r="AB60" s="17" t="s">
        <v>507</v>
      </c>
      <c r="AC60" s="17" t="s">
        <v>10</v>
      </c>
      <c r="AD60" s="17" t="s">
        <v>158</v>
      </c>
    </row>
    <row r="61" spans="1:30" ht="52.5" x14ac:dyDescent="0.2">
      <c r="A61" s="353"/>
      <c r="B61" s="94" t="s">
        <v>508</v>
      </c>
      <c r="C61" s="17" t="s">
        <v>291</v>
      </c>
      <c r="D61" s="19" t="s">
        <v>505</v>
      </c>
      <c r="E61" s="19" t="s">
        <v>69</v>
      </c>
      <c r="F61" s="95">
        <v>0</v>
      </c>
      <c r="G61" s="95">
        <v>0</v>
      </c>
      <c r="H61" s="19" t="s">
        <v>152</v>
      </c>
      <c r="I61" s="95">
        <v>0</v>
      </c>
      <c r="J61" s="95">
        <v>0</v>
      </c>
      <c r="K61" s="95">
        <v>0</v>
      </c>
      <c r="L61" s="95">
        <v>0</v>
      </c>
      <c r="M61" s="95">
        <v>0</v>
      </c>
      <c r="N61" s="95">
        <f t="shared" ref="N61:N64" si="13">SUM(I61:M61)</f>
        <v>0</v>
      </c>
      <c r="O61" s="95">
        <v>0</v>
      </c>
      <c r="P61" s="95">
        <v>0</v>
      </c>
      <c r="Q61" s="95">
        <v>0</v>
      </c>
      <c r="R61" s="95">
        <v>0</v>
      </c>
      <c r="S61" s="95">
        <v>0</v>
      </c>
      <c r="T61" s="95">
        <f t="shared" si="4"/>
        <v>0</v>
      </c>
      <c r="U61" s="95">
        <v>0</v>
      </c>
      <c r="V61" s="90">
        <f t="shared" si="0"/>
        <v>0</v>
      </c>
      <c r="W61" s="95">
        <v>0</v>
      </c>
      <c r="X61" s="90">
        <f t="shared" si="1"/>
        <v>0</v>
      </c>
      <c r="Y61" s="96">
        <v>2400</v>
      </c>
      <c r="Z61" s="19" t="s">
        <v>7</v>
      </c>
      <c r="AA61" s="17" t="s">
        <v>18</v>
      </c>
      <c r="AB61" s="17" t="s">
        <v>507</v>
      </c>
      <c r="AC61" s="17" t="s">
        <v>10</v>
      </c>
      <c r="AD61" s="17" t="s">
        <v>158</v>
      </c>
    </row>
    <row r="62" spans="1:30" ht="52.5" x14ac:dyDescent="0.2">
      <c r="A62" s="353"/>
      <c r="B62" s="94" t="s">
        <v>963</v>
      </c>
      <c r="C62" s="17" t="s">
        <v>289</v>
      </c>
      <c r="D62" s="19" t="s">
        <v>505</v>
      </c>
      <c r="E62" s="19" t="s">
        <v>69</v>
      </c>
      <c r="F62" s="95">
        <v>0</v>
      </c>
      <c r="G62" s="95">
        <v>0</v>
      </c>
      <c r="H62" s="19" t="s">
        <v>446</v>
      </c>
      <c r="I62" s="95">
        <v>0</v>
      </c>
      <c r="J62" s="95">
        <v>0</v>
      </c>
      <c r="K62" s="95">
        <v>0</v>
      </c>
      <c r="L62" s="95">
        <v>0</v>
      </c>
      <c r="M62" s="95">
        <v>0</v>
      </c>
      <c r="N62" s="95">
        <f t="shared" si="13"/>
        <v>0</v>
      </c>
      <c r="O62" s="95">
        <v>0</v>
      </c>
      <c r="P62" s="95">
        <v>0</v>
      </c>
      <c r="Q62" s="95">
        <v>0</v>
      </c>
      <c r="R62" s="95">
        <v>0</v>
      </c>
      <c r="S62" s="95">
        <v>0</v>
      </c>
      <c r="T62" s="95">
        <f t="shared" si="4"/>
        <v>0</v>
      </c>
      <c r="U62" s="95">
        <v>0</v>
      </c>
      <c r="V62" s="90">
        <f t="shared" si="0"/>
        <v>0</v>
      </c>
      <c r="W62" s="95">
        <v>0</v>
      </c>
      <c r="X62" s="90">
        <f t="shared" si="1"/>
        <v>0</v>
      </c>
      <c r="Y62" s="96">
        <v>1207.2</v>
      </c>
      <c r="Z62" s="19" t="s">
        <v>7</v>
      </c>
      <c r="AA62" s="17" t="s">
        <v>18</v>
      </c>
      <c r="AB62" s="17" t="s">
        <v>507</v>
      </c>
      <c r="AC62" s="17" t="s">
        <v>10</v>
      </c>
      <c r="AD62" s="17" t="s">
        <v>158</v>
      </c>
    </row>
    <row r="63" spans="1:30" ht="52.5" x14ac:dyDescent="0.2">
      <c r="A63" s="353"/>
      <c r="B63" s="94" t="s">
        <v>509</v>
      </c>
      <c r="C63" s="17" t="s">
        <v>290</v>
      </c>
      <c r="D63" s="19" t="s">
        <v>964</v>
      </c>
      <c r="E63" s="19" t="s">
        <v>69</v>
      </c>
      <c r="F63" s="95">
        <v>0</v>
      </c>
      <c r="G63" s="95">
        <v>0</v>
      </c>
      <c r="H63" s="19" t="s">
        <v>152</v>
      </c>
      <c r="I63" s="95">
        <v>0</v>
      </c>
      <c r="J63" s="95">
        <v>0</v>
      </c>
      <c r="K63" s="95">
        <v>0</v>
      </c>
      <c r="L63" s="95">
        <v>0</v>
      </c>
      <c r="M63" s="95">
        <v>0</v>
      </c>
      <c r="N63" s="95">
        <f t="shared" si="13"/>
        <v>0</v>
      </c>
      <c r="O63" s="95">
        <v>0</v>
      </c>
      <c r="P63" s="95">
        <v>0</v>
      </c>
      <c r="Q63" s="95">
        <v>0</v>
      </c>
      <c r="R63" s="95">
        <v>0</v>
      </c>
      <c r="S63" s="95">
        <v>0</v>
      </c>
      <c r="T63" s="95">
        <f t="shared" si="4"/>
        <v>0</v>
      </c>
      <c r="U63" s="95">
        <v>0</v>
      </c>
      <c r="V63" s="90">
        <f t="shared" si="0"/>
        <v>0</v>
      </c>
      <c r="W63" s="95">
        <v>0</v>
      </c>
      <c r="X63" s="90">
        <f t="shared" si="1"/>
        <v>0</v>
      </c>
      <c r="Y63" s="96">
        <v>1200</v>
      </c>
      <c r="Z63" s="19" t="s">
        <v>7</v>
      </c>
      <c r="AA63" s="17" t="s">
        <v>18</v>
      </c>
      <c r="AB63" s="17" t="s">
        <v>288</v>
      </c>
      <c r="AC63" s="17" t="s">
        <v>10</v>
      </c>
      <c r="AD63" s="17" t="s">
        <v>158</v>
      </c>
    </row>
    <row r="64" spans="1:30" ht="136.5" x14ac:dyDescent="0.2">
      <c r="A64" s="353"/>
      <c r="B64" s="94" t="s">
        <v>511</v>
      </c>
      <c r="C64" s="17" t="s">
        <v>512</v>
      </c>
      <c r="D64" s="19" t="s">
        <v>513</v>
      </c>
      <c r="E64" s="19" t="s">
        <v>7</v>
      </c>
      <c r="F64" s="95">
        <v>0</v>
      </c>
      <c r="G64" s="95">
        <v>0</v>
      </c>
      <c r="H64" s="19" t="s">
        <v>152</v>
      </c>
      <c r="I64" s="95">
        <v>0</v>
      </c>
      <c r="J64" s="95">
        <v>0</v>
      </c>
      <c r="K64" s="95">
        <v>0</v>
      </c>
      <c r="L64" s="95">
        <v>0</v>
      </c>
      <c r="M64" s="95">
        <v>7</v>
      </c>
      <c r="N64" s="95">
        <f t="shared" si="13"/>
        <v>7</v>
      </c>
      <c r="O64" s="95">
        <v>7</v>
      </c>
      <c r="P64" s="95">
        <v>0</v>
      </c>
      <c r="Q64" s="95">
        <v>0</v>
      </c>
      <c r="R64" s="95">
        <v>0</v>
      </c>
      <c r="S64" s="95">
        <v>0</v>
      </c>
      <c r="T64" s="95">
        <f t="shared" si="4"/>
        <v>7</v>
      </c>
      <c r="U64" s="95">
        <v>14</v>
      </c>
      <c r="V64" s="90">
        <f t="shared" si="0"/>
        <v>28</v>
      </c>
      <c r="W64" s="95">
        <v>224</v>
      </c>
      <c r="X64" s="90">
        <f t="shared" si="1"/>
        <v>252</v>
      </c>
      <c r="Y64" s="96">
        <v>252</v>
      </c>
      <c r="Z64" s="19" t="s">
        <v>81</v>
      </c>
      <c r="AA64" s="17" t="s">
        <v>965</v>
      </c>
      <c r="AB64" s="17" t="s">
        <v>515</v>
      </c>
      <c r="AC64" s="17" t="s">
        <v>158</v>
      </c>
      <c r="AD64" s="17" t="s">
        <v>19</v>
      </c>
    </row>
    <row r="65" spans="1:30" x14ac:dyDescent="0.2">
      <c r="A65" s="347"/>
      <c r="B65" s="348" t="s">
        <v>966</v>
      </c>
      <c r="C65" s="348"/>
      <c r="D65" s="48" t="s">
        <v>517</v>
      </c>
      <c r="E65" s="48" t="s">
        <v>48</v>
      </c>
      <c r="F65" s="50">
        <f>F66+F95+F97</f>
        <v>15315.568500000001</v>
      </c>
      <c r="G65" s="50">
        <f>G66+G95+G97</f>
        <v>7650.1329999999998</v>
      </c>
      <c r="H65" s="48" t="s">
        <v>48</v>
      </c>
      <c r="I65" s="50">
        <f>I66+I95+I97</f>
        <v>2709.6019999999999</v>
      </c>
      <c r="J65" s="50">
        <f t="shared" ref="J65:M65" si="14">J66+J95+J97</f>
        <v>4266.3440000000001</v>
      </c>
      <c r="K65" s="50">
        <f t="shared" si="14"/>
        <v>0</v>
      </c>
      <c r="L65" s="50">
        <f t="shared" si="14"/>
        <v>0</v>
      </c>
      <c r="M65" s="50">
        <f t="shared" si="14"/>
        <v>2000</v>
      </c>
      <c r="N65" s="50">
        <f>SUM(I65:M65)</f>
        <v>8975.9459999999999</v>
      </c>
      <c r="O65" s="50">
        <f>O66+O95+O97</f>
        <v>4975.54</v>
      </c>
      <c r="P65" s="50">
        <f t="shared" ref="P65:S65" si="15">P66+P95+P97</f>
        <v>592.4</v>
      </c>
      <c r="Q65" s="50">
        <f t="shared" si="15"/>
        <v>0</v>
      </c>
      <c r="R65" s="50">
        <f t="shared" si="15"/>
        <v>0</v>
      </c>
      <c r="S65" s="50">
        <f t="shared" si="15"/>
        <v>0</v>
      </c>
      <c r="T65" s="50">
        <f t="shared" si="4"/>
        <v>5567.94</v>
      </c>
      <c r="U65" s="50">
        <f>U66+U95+U97</f>
        <v>6625.26</v>
      </c>
      <c r="V65" s="100">
        <f t="shared" si="0"/>
        <v>21169.146000000001</v>
      </c>
      <c r="W65" s="50">
        <f>W66+W95+W97</f>
        <v>23434.28</v>
      </c>
      <c r="X65" s="100">
        <f t="shared" si="1"/>
        <v>67569.127500000002</v>
      </c>
      <c r="Y65" s="101" t="s">
        <v>48</v>
      </c>
      <c r="Z65" s="48" t="s">
        <v>48</v>
      </c>
      <c r="AA65" s="48" t="s">
        <v>48</v>
      </c>
      <c r="AB65" s="48" t="s">
        <v>48</v>
      </c>
      <c r="AC65" s="48" t="s">
        <v>48</v>
      </c>
      <c r="AD65" s="48" t="s">
        <v>48</v>
      </c>
    </row>
    <row r="66" spans="1:30" x14ac:dyDescent="0.2">
      <c r="A66" s="347"/>
      <c r="B66" s="294" t="s">
        <v>967</v>
      </c>
      <c r="C66" s="294"/>
      <c r="D66" s="38" t="s">
        <v>519</v>
      </c>
      <c r="E66" s="38" t="s">
        <v>48</v>
      </c>
      <c r="F66" s="40">
        <f>SUM(F67:F92)</f>
        <v>15315.568500000001</v>
      </c>
      <c r="G66" s="40">
        <f>SUM(G67:G92)</f>
        <v>7650.1329999999998</v>
      </c>
      <c r="H66" s="38" t="s">
        <v>48</v>
      </c>
      <c r="I66" s="40">
        <f>SUM(I67:I94)</f>
        <v>2685.402</v>
      </c>
      <c r="J66" s="40">
        <f>SUM(J67:J94)</f>
        <v>4266.3440000000001</v>
      </c>
      <c r="K66" s="40">
        <f>SUM(K67:K94)</f>
        <v>0</v>
      </c>
      <c r="L66" s="40">
        <f>SUM(L67:L94)</f>
        <v>0</v>
      </c>
      <c r="M66" s="40">
        <f>SUM(M67:M94)</f>
        <v>2000</v>
      </c>
      <c r="N66" s="40">
        <f>SUM(I66:M66)</f>
        <v>8951.7459999999992</v>
      </c>
      <c r="O66" s="40">
        <f>SUM(O67:O92)</f>
        <v>4975.54</v>
      </c>
      <c r="P66" s="40">
        <f t="shared" ref="P66:R66" si="16">SUM(P67:P92)</f>
        <v>592.4</v>
      </c>
      <c r="Q66" s="40">
        <f t="shared" si="16"/>
        <v>0</v>
      </c>
      <c r="R66" s="40">
        <f t="shared" si="16"/>
        <v>0</v>
      </c>
      <c r="S66" s="40">
        <f>SUM(S67:S92)</f>
        <v>0</v>
      </c>
      <c r="T66" s="41">
        <f t="shared" si="4"/>
        <v>5567.94</v>
      </c>
      <c r="U66" s="40">
        <f>SUM(U67:U92)</f>
        <v>6565.26</v>
      </c>
      <c r="V66" s="93">
        <f t="shared" si="0"/>
        <v>21084.945999999996</v>
      </c>
      <c r="W66" s="40">
        <f>SUM(W67:W92)</f>
        <v>23279.119999999999</v>
      </c>
      <c r="X66" s="93">
        <f t="shared" si="1"/>
        <v>67329.767499999987</v>
      </c>
      <c r="Y66" s="22" t="s">
        <v>48</v>
      </c>
      <c r="Z66" s="38" t="s">
        <v>48</v>
      </c>
      <c r="AA66" s="38" t="s">
        <v>48</v>
      </c>
      <c r="AB66" s="38" t="s">
        <v>48</v>
      </c>
      <c r="AC66" s="38" t="s">
        <v>48</v>
      </c>
      <c r="AD66" s="38" t="s">
        <v>48</v>
      </c>
    </row>
    <row r="67" spans="1:30" ht="63" x14ac:dyDescent="0.2">
      <c r="A67" s="347"/>
      <c r="B67" s="102" t="s">
        <v>92</v>
      </c>
      <c r="C67" s="17" t="s">
        <v>520</v>
      </c>
      <c r="D67" s="19" t="s">
        <v>521</v>
      </c>
      <c r="E67" s="19" t="s">
        <v>7</v>
      </c>
      <c r="F67" s="95">
        <v>1483.51</v>
      </c>
      <c r="G67" s="95">
        <v>391.2</v>
      </c>
      <c r="H67" s="19" t="s">
        <v>46</v>
      </c>
      <c r="I67" s="95">
        <v>536.18200000000002</v>
      </c>
      <c r="J67" s="95">
        <v>0</v>
      </c>
      <c r="K67" s="95">
        <v>0</v>
      </c>
      <c r="L67" s="95">
        <v>0</v>
      </c>
      <c r="M67" s="95">
        <v>0</v>
      </c>
      <c r="N67" s="95">
        <f>SUM(I67:M67)</f>
        <v>536.18200000000002</v>
      </c>
      <c r="O67" s="95">
        <v>4101.0200000000004</v>
      </c>
      <c r="P67" s="95">
        <v>0</v>
      </c>
      <c r="Q67" s="95">
        <v>0</v>
      </c>
      <c r="R67" s="95">
        <v>0</v>
      </c>
      <c r="S67" s="95">
        <v>0</v>
      </c>
      <c r="T67" s="95">
        <f t="shared" si="4"/>
        <v>4101.0200000000004</v>
      </c>
      <c r="U67" s="95">
        <v>0</v>
      </c>
      <c r="V67" s="90">
        <f t="shared" si="0"/>
        <v>4637.2020000000002</v>
      </c>
      <c r="W67" s="95">
        <v>0</v>
      </c>
      <c r="X67" s="90">
        <f t="shared" si="1"/>
        <v>6511.9120000000003</v>
      </c>
      <c r="Y67" s="96">
        <v>6912.58</v>
      </c>
      <c r="Z67" s="19" t="s">
        <v>69</v>
      </c>
      <c r="AA67" s="17" t="s">
        <v>968</v>
      </c>
      <c r="AB67" s="17" t="s">
        <v>523</v>
      </c>
      <c r="AC67" s="17" t="s">
        <v>49</v>
      </c>
      <c r="AD67" s="17" t="s">
        <v>969</v>
      </c>
    </row>
    <row r="68" spans="1:30" ht="63" x14ac:dyDescent="0.2">
      <c r="A68" s="347"/>
      <c r="B68" s="102" t="s">
        <v>93</v>
      </c>
      <c r="C68" s="17" t="s">
        <v>525</v>
      </c>
      <c r="D68" s="19" t="s">
        <v>521</v>
      </c>
      <c r="E68" s="19" t="s">
        <v>7</v>
      </c>
      <c r="F68" s="95">
        <v>0</v>
      </c>
      <c r="G68" s="95">
        <v>0</v>
      </c>
      <c r="H68" s="19" t="s">
        <v>46</v>
      </c>
      <c r="I68" s="95">
        <v>0</v>
      </c>
      <c r="J68" s="95">
        <v>0</v>
      </c>
      <c r="K68" s="95">
        <v>0</v>
      </c>
      <c r="L68" s="95">
        <v>0</v>
      </c>
      <c r="M68" s="95">
        <v>0</v>
      </c>
      <c r="N68" s="95">
        <f t="shared" ref="N68:N92" si="17">SUM(I68:M68)</f>
        <v>0</v>
      </c>
      <c r="O68" s="95">
        <v>50</v>
      </c>
      <c r="P68" s="95">
        <v>0</v>
      </c>
      <c r="Q68" s="95">
        <v>0</v>
      </c>
      <c r="R68" s="95">
        <v>0</v>
      </c>
      <c r="S68" s="95">
        <v>0</v>
      </c>
      <c r="T68" s="95">
        <f t="shared" si="4"/>
        <v>50</v>
      </c>
      <c r="U68" s="95">
        <v>250</v>
      </c>
      <c r="V68" s="90">
        <f t="shared" si="0"/>
        <v>300</v>
      </c>
      <c r="W68" s="95">
        <v>4500</v>
      </c>
      <c r="X68" s="90">
        <f t="shared" si="1"/>
        <v>4800</v>
      </c>
      <c r="Y68" s="96">
        <v>4800</v>
      </c>
      <c r="Z68" s="19" t="s">
        <v>81</v>
      </c>
      <c r="AA68" s="17" t="s">
        <v>970</v>
      </c>
      <c r="AB68" s="17" t="s">
        <v>523</v>
      </c>
      <c r="AC68" s="17" t="s">
        <v>49</v>
      </c>
      <c r="AD68" s="17" t="s">
        <v>189</v>
      </c>
    </row>
    <row r="69" spans="1:30" ht="63" x14ac:dyDescent="0.2">
      <c r="A69" s="347"/>
      <c r="B69" s="102" t="s">
        <v>94</v>
      </c>
      <c r="C69" s="17" t="s">
        <v>528</v>
      </c>
      <c r="D69" s="19" t="s">
        <v>521</v>
      </c>
      <c r="E69" s="19" t="s">
        <v>69</v>
      </c>
      <c r="F69" s="95">
        <v>0</v>
      </c>
      <c r="G69" s="95">
        <v>0</v>
      </c>
      <c r="H69" s="19" t="s">
        <v>46</v>
      </c>
      <c r="I69" s="95">
        <v>0</v>
      </c>
      <c r="J69" s="95">
        <v>0</v>
      </c>
      <c r="K69" s="95">
        <v>0</v>
      </c>
      <c r="L69" s="95">
        <v>0</v>
      </c>
      <c r="M69" s="95">
        <v>0</v>
      </c>
      <c r="N69" s="95">
        <f t="shared" si="17"/>
        <v>0</v>
      </c>
      <c r="O69" s="95">
        <v>0</v>
      </c>
      <c r="P69" s="95">
        <v>0</v>
      </c>
      <c r="Q69" s="95">
        <v>0</v>
      </c>
      <c r="R69" s="95">
        <v>0</v>
      </c>
      <c r="S69" s="95">
        <v>0</v>
      </c>
      <c r="T69" s="95">
        <f t="shared" si="4"/>
        <v>0</v>
      </c>
      <c r="U69" s="95">
        <v>50</v>
      </c>
      <c r="V69" s="90">
        <f t="shared" si="0"/>
        <v>50</v>
      </c>
      <c r="W69" s="95">
        <v>4750</v>
      </c>
      <c r="X69" s="90">
        <f t="shared" si="1"/>
        <v>4800</v>
      </c>
      <c r="Y69" s="96">
        <v>4800</v>
      </c>
      <c r="Z69" s="19" t="s">
        <v>69</v>
      </c>
      <c r="AA69" s="17" t="s">
        <v>971</v>
      </c>
      <c r="AB69" s="17" t="s">
        <v>523</v>
      </c>
      <c r="AC69" s="17" t="s">
        <v>49</v>
      </c>
      <c r="AD69" s="17" t="s">
        <v>972</v>
      </c>
    </row>
    <row r="70" spans="1:30" ht="63" x14ac:dyDescent="0.2">
      <c r="A70" s="347"/>
      <c r="B70" s="102" t="s">
        <v>95</v>
      </c>
      <c r="C70" s="17" t="s">
        <v>531</v>
      </c>
      <c r="D70" s="19" t="s">
        <v>521</v>
      </c>
      <c r="E70" s="19" t="s">
        <v>69</v>
      </c>
      <c r="F70" s="95">
        <v>0</v>
      </c>
      <c r="G70" s="95">
        <v>0</v>
      </c>
      <c r="H70" s="19" t="s">
        <v>46</v>
      </c>
      <c r="I70" s="95">
        <v>0</v>
      </c>
      <c r="J70" s="95">
        <v>0</v>
      </c>
      <c r="K70" s="95">
        <v>0</v>
      </c>
      <c r="L70" s="95">
        <v>0</v>
      </c>
      <c r="M70" s="95">
        <v>0</v>
      </c>
      <c r="N70" s="95">
        <f t="shared" si="17"/>
        <v>0</v>
      </c>
      <c r="O70" s="95">
        <v>50</v>
      </c>
      <c r="P70" s="95">
        <v>0</v>
      </c>
      <c r="Q70" s="95">
        <v>0</v>
      </c>
      <c r="R70" s="95">
        <v>0</v>
      </c>
      <c r="S70" s="95">
        <v>0</v>
      </c>
      <c r="T70" s="95">
        <f t="shared" si="4"/>
        <v>50</v>
      </c>
      <c r="U70" s="95">
        <v>500</v>
      </c>
      <c r="V70" s="90">
        <f t="shared" si="0"/>
        <v>550</v>
      </c>
      <c r="W70" s="95">
        <v>4250</v>
      </c>
      <c r="X70" s="90">
        <f t="shared" si="1"/>
        <v>4800</v>
      </c>
      <c r="Y70" s="96">
        <v>4800</v>
      </c>
      <c r="Z70" s="19" t="s">
        <v>69</v>
      </c>
      <c r="AA70" s="17" t="s">
        <v>971</v>
      </c>
      <c r="AB70" s="17" t="s">
        <v>523</v>
      </c>
      <c r="AC70" s="17" t="s">
        <v>49</v>
      </c>
      <c r="AD70" s="17" t="s">
        <v>973</v>
      </c>
    </row>
    <row r="71" spans="1:30" ht="63" x14ac:dyDescent="0.2">
      <c r="A71" s="347"/>
      <c r="B71" s="102" t="s">
        <v>96</v>
      </c>
      <c r="C71" s="17" t="s">
        <v>974</v>
      </c>
      <c r="D71" s="19" t="s">
        <v>521</v>
      </c>
      <c r="E71" s="19" t="s">
        <v>69</v>
      </c>
      <c r="F71" s="95">
        <v>0</v>
      </c>
      <c r="G71" s="95">
        <v>0</v>
      </c>
      <c r="H71" s="19" t="s">
        <v>446</v>
      </c>
      <c r="I71" s="95">
        <v>0</v>
      </c>
      <c r="J71" s="95">
        <v>0</v>
      </c>
      <c r="K71" s="95">
        <v>0</v>
      </c>
      <c r="L71" s="95">
        <v>0</v>
      </c>
      <c r="M71" s="95">
        <v>0</v>
      </c>
      <c r="N71" s="95">
        <f t="shared" si="17"/>
        <v>0</v>
      </c>
      <c r="O71" s="95">
        <v>0</v>
      </c>
      <c r="P71" s="95">
        <v>0</v>
      </c>
      <c r="Q71" s="95">
        <v>0</v>
      </c>
      <c r="R71" s="95">
        <v>0</v>
      </c>
      <c r="S71" s="95">
        <v>0</v>
      </c>
      <c r="T71" s="95">
        <f t="shared" si="4"/>
        <v>0</v>
      </c>
      <c r="U71" s="95">
        <v>0</v>
      </c>
      <c r="V71" s="90">
        <f t="shared" si="0"/>
        <v>0</v>
      </c>
      <c r="W71" s="95">
        <v>0</v>
      </c>
      <c r="X71" s="90">
        <f t="shared" si="1"/>
        <v>0</v>
      </c>
      <c r="Y71" s="96">
        <v>4800</v>
      </c>
      <c r="Z71" s="19" t="s">
        <v>69</v>
      </c>
      <c r="AA71" s="17" t="s">
        <v>971</v>
      </c>
      <c r="AB71" s="17" t="s">
        <v>523</v>
      </c>
      <c r="AC71" s="17" t="s">
        <v>49</v>
      </c>
      <c r="AD71" s="17" t="s">
        <v>192</v>
      </c>
    </row>
    <row r="72" spans="1:30" ht="63" x14ac:dyDescent="0.2">
      <c r="A72" s="347"/>
      <c r="B72" s="102" t="s">
        <v>97</v>
      </c>
      <c r="C72" s="17" t="s">
        <v>975</v>
      </c>
      <c r="D72" s="19" t="s">
        <v>521</v>
      </c>
      <c r="E72" s="19" t="s">
        <v>69</v>
      </c>
      <c r="F72" s="95">
        <v>0</v>
      </c>
      <c r="G72" s="95">
        <v>0</v>
      </c>
      <c r="H72" s="19" t="s">
        <v>446</v>
      </c>
      <c r="I72" s="95">
        <v>0</v>
      </c>
      <c r="J72" s="95">
        <v>0</v>
      </c>
      <c r="K72" s="95">
        <v>0</v>
      </c>
      <c r="L72" s="95">
        <v>0</v>
      </c>
      <c r="M72" s="95">
        <v>0</v>
      </c>
      <c r="N72" s="95">
        <f t="shared" si="17"/>
        <v>0</v>
      </c>
      <c r="O72" s="95">
        <v>0</v>
      </c>
      <c r="P72" s="95">
        <v>0</v>
      </c>
      <c r="Q72" s="95">
        <v>0</v>
      </c>
      <c r="R72" s="95">
        <v>0</v>
      </c>
      <c r="S72" s="95">
        <v>0</v>
      </c>
      <c r="T72" s="95">
        <f t="shared" si="4"/>
        <v>0</v>
      </c>
      <c r="U72" s="95">
        <v>0</v>
      </c>
      <c r="V72" s="90">
        <f t="shared" si="0"/>
        <v>0</v>
      </c>
      <c r="W72" s="95">
        <v>0</v>
      </c>
      <c r="X72" s="90">
        <f t="shared" si="1"/>
        <v>0</v>
      </c>
      <c r="Y72" s="96">
        <v>4800</v>
      </c>
      <c r="Z72" s="19" t="s">
        <v>69</v>
      </c>
      <c r="AA72" s="17" t="s">
        <v>971</v>
      </c>
      <c r="AB72" s="17" t="s">
        <v>523</v>
      </c>
      <c r="AC72" s="17" t="s">
        <v>49</v>
      </c>
      <c r="AD72" s="17" t="s">
        <v>193</v>
      </c>
    </row>
    <row r="73" spans="1:30" ht="63" x14ac:dyDescent="0.2">
      <c r="A73" s="347"/>
      <c r="B73" s="102" t="s">
        <v>98</v>
      </c>
      <c r="C73" s="17" t="s">
        <v>976</v>
      </c>
      <c r="D73" s="19" t="s">
        <v>521</v>
      </c>
      <c r="E73" s="19" t="s">
        <v>69</v>
      </c>
      <c r="F73" s="95">
        <v>0</v>
      </c>
      <c r="G73" s="95">
        <v>0</v>
      </c>
      <c r="H73" s="19" t="s">
        <v>446</v>
      </c>
      <c r="I73" s="95">
        <v>0</v>
      </c>
      <c r="J73" s="95">
        <v>0</v>
      </c>
      <c r="K73" s="95">
        <v>0</v>
      </c>
      <c r="L73" s="95">
        <v>0</v>
      </c>
      <c r="M73" s="95">
        <v>0</v>
      </c>
      <c r="N73" s="95">
        <f t="shared" si="17"/>
        <v>0</v>
      </c>
      <c r="O73" s="95">
        <v>0</v>
      </c>
      <c r="P73" s="95">
        <v>0</v>
      </c>
      <c r="Q73" s="95">
        <v>0</v>
      </c>
      <c r="R73" s="95">
        <v>0</v>
      </c>
      <c r="S73" s="95">
        <v>0</v>
      </c>
      <c r="T73" s="95">
        <f t="shared" si="4"/>
        <v>0</v>
      </c>
      <c r="U73" s="95">
        <v>0</v>
      </c>
      <c r="V73" s="90">
        <f t="shared" si="0"/>
        <v>0</v>
      </c>
      <c r="W73" s="95">
        <v>0</v>
      </c>
      <c r="X73" s="90">
        <f t="shared" si="1"/>
        <v>0</v>
      </c>
      <c r="Y73" s="96">
        <v>4800</v>
      </c>
      <c r="Z73" s="19" t="s">
        <v>69</v>
      </c>
      <c r="AA73" s="17" t="s">
        <v>971</v>
      </c>
      <c r="AB73" s="17" t="s">
        <v>523</v>
      </c>
      <c r="AC73" s="17" t="s">
        <v>49</v>
      </c>
      <c r="AD73" s="17" t="s">
        <v>194</v>
      </c>
    </row>
    <row r="74" spans="1:30" ht="63" x14ac:dyDescent="0.2">
      <c r="A74" s="347"/>
      <c r="B74" s="102" t="s">
        <v>99</v>
      </c>
      <c r="C74" s="17" t="s">
        <v>977</v>
      </c>
      <c r="D74" s="19" t="s">
        <v>521</v>
      </c>
      <c r="E74" s="19" t="s">
        <v>69</v>
      </c>
      <c r="F74" s="95">
        <v>0</v>
      </c>
      <c r="G74" s="95">
        <v>0</v>
      </c>
      <c r="H74" s="19" t="s">
        <v>446</v>
      </c>
      <c r="I74" s="95">
        <v>0</v>
      </c>
      <c r="J74" s="95">
        <v>0</v>
      </c>
      <c r="K74" s="95">
        <v>0</v>
      </c>
      <c r="L74" s="95">
        <v>0</v>
      </c>
      <c r="M74" s="95">
        <v>0</v>
      </c>
      <c r="N74" s="95">
        <f t="shared" si="17"/>
        <v>0</v>
      </c>
      <c r="O74" s="95">
        <v>0</v>
      </c>
      <c r="P74" s="95">
        <v>0</v>
      </c>
      <c r="Q74" s="95">
        <v>0</v>
      </c>
      <c r="R74" s="95">
        <v>0</v>
      </c>
      <c r="S74" s="95">
        <v>0</v>
      </c>
      <c r="T74" s="95">
        <f t="shared" si="4"/>
        <v>0</v>
      </c>
      <c r="U74" s="95">
        <v>0</v>
      </c>
      <c r="V74" s="90">
        <f t="shared" si="0"/>
        <v>0</v>
      </c>
      <c r="W74" s="95">
        <v>0</v>
      </c>
      <c r="X74" s="90">
        <f t="shared" si="1"/>
        <v>0</v>
      </c>
      <c r="Y74" s="96">
        <v>2400</v>
      </c>
      <c r="Z74" s="19" t="s">
        <v>69</v>
      </c>
      <c r="AA74" s="17" t="s">
        <v>971</v>
      </c>
      <c r="AB74" s="17" t="s">
        <v>523</v>
      </c>
      <c r="AC74" s="17" t="s">
        <v>49</v>
      </c>
      <c r="AD74" s="17" t="s">
        <v>195</v>
      </c>
    </row>
    <row r="75" spans="1:30" ht="63" x14ac:dyDescent="0.2">
      <c r="A75" s="347"/>
      <c r="B75" s="102" t="s">
        <v>100</v>
      </c>
      <c r="C75" s="17" t="s">
        <v>978</v>
      </c>
      <c r="D75" s="19" t="s">
        <v>521</v>
      </c>
      <c r="E75" s="19" t="s">
        <v>69</v>
      </c>
      <c r="F75" s="95">
        <v>0</v>
      </c>
      <c r="G75" s="95">
        <v>0</v>
      </c>
      <c r="H75" s="19" t="s">
        <v>446</v>
      </c>
      <c r="I75" s="95">
        <v>0</v>
      </c>
      <c r="J75" s="95">
        <v>0</v>
      </c>
      <c r="K75" s="95">
        <v>0</v>
      </c>
      <c r="L75" s="95">
        <v>0</v>
      </c>
      <c r="M75" s="95">
        <v>0</v>
      </c>
      <c r="N75" s="95">
        <f>SUM(I75:M75)</f>
        <v>0</v>
      </c>
      <c r="O75" s="95">
        <v>0</v>
      </c>
      <c r="P75" s="95">
        <v>0</v>
      </c>
      <c r="Q75" s="95">
        <v>0</v>
      </c>
      <c r="R75" s="95">
        <v>0</v>
      </c>
      <c r="S75" s="95">
        <v>0</v>
      </c>
      <c r="T75" s="95">
        <f t="shared" si="4"/>
        <v>0</v>
      </c>
      <c r="U75" s="95">
        <v>0</v>
      </c>
      <c r="V75" s="90">
        <f t="shared" si="0"/>
        <v>0</v>
      </c>
      <c r="W75" s="95">
        <v>0</v>
      </c>
      <c r="X75" s="90">
        <f t="shared" si="1"/>
        <v>0</v>
      </c>
      <c r="Y75" s="96">
        <v>4800</v>
      </c>
      <c r="Z75" s="19" t="s">
        <v>69</v>
      </c>
      <c r="AA75" s="17" t="s">
        <v>971</v>
      </c>
      <c r="AB75" s="17" t="s">
        <v>523</v>
      </c>
      <c r="AC75" s="17" t="s">
        <v>49</v>
      </c>
      <c r="AD75" s="17" t="s">
        <v>196</v>
      </c>
    </row>
    <row r="76" spans="1:30" ht="52.5" x14ac:dyDescent="0.2">
      <c r="A76" s="347"/>
      <c r="B76" s="102" t="s">
        <v>101</v>
      </c>
      <c r="C76" s="17" t="s">
        <v>979</v>
      </c>
      <c r="D76" s="19" t="s">
        <v>521</v>
      </c>
      <c r="E76" s="19" t="s">
        <v>69</v>
      </c>
      <c r="F76" s="95">
        <v>0</v>
      </c>
      <c r="G76" s="95">
        <v>0</v>
      </c>
      <c r="H76" s="19" t="s">
        <v>152</v>
      </c>
      <c r="I76" s="95">
        <v>0</v>
      </c>
      <c r="J76" s="95">
        <v>0</v>
      </c>
      <c r="K76" s="95">
        <v>0</v>
      </c>
      <c r="L76" s="95">
        <v>0</v>
      </c>
      <c r="M76" s="95">
        <v>0</v>
      </c>
      <c r="N76" s="95">
        <f t="shared" si="17"/>
        <v>0</v>
      </c>
      <c r="O76" s="95">
        <v>0</v>
      </c>
      <c r="P76" s="95">
        <v>0</v>
      </c>
      <c r="Q76" s="95">
        <v>0</v>
      </c>
      <c r="R76" s="95">
        <v>0</v>
      </c>
      <c r="S76" s="95">
        <v>0</v>
      </c>
      <c r="T76" s="95">
        <f t="shared" si="4"/>
        <v>0</v>
      </c>
      <c r="U76" s="95">
        <v>0</v>
      </c>
      <c r="V76" s="90">
        <f t="shared" ref="V76:V142" si="18">N76+T76+U76</f>
        <v>0</v>
      </c>
      <c r="W76" s="95">
        <v>0</v>
      </c>
      <c r="X76" s="90">
        <f t="shared" ref="X76:X142" si="19">W76+V76+G76+F76</f>
        <v>0</v>
      </c>
      <c r="Y76" s="96">
        <v>4800</v>
      </c>
      <c r="Z76" s="19" t="s">
        <v>69</v>
      </c>
      <c r="AA76" s="17" t="s">
        <v>971</v>
      </c>
      <c r="AB76" s="17" t="s">
        <v>523</v>
      </c>
      <c r="AC76" s="17" t="s">
        <v>49</v>
      </c>
      <c r="AD76" s="17" t="s">
        <v>197</v>
      </c>
    </row>
    <row r="77" spans="1:30" ht="63" x14ac:dyDescent="0.2">
      <c r="A77" s="347"/>
      <c r="B77" s="102" t="s">
        <v>102</v>
      </c>
      <c r="C77" s="17" t="s">
        <v>535</v>
      </c>
      <c r="D77" s="19" t="s">
        <v>521</v>
      </c>
      <c r="E77" s="19" t="s">
        <v>69</v>
      </c>
      <c r="F77" s="95">
        <v>0</v>
      </c>
      <c r="G77" s="95">
        <v>0</v>
      </c>
      <c r="H77" s="19" t="s">
        <v>46</v>
      </c>
      <c r="I77" s="95">
        <v>225.88900000000001</v>
      </c>
      <c r="J77" s="95">
        <v>0</v>
      </c>
      <c r="K77" s="95">
        <v>0</v>
      </c>
      <c r="L77" s="95">
        <v>0</v>
      </c>
      <c r="M77" s="95">
        <v>0</v>
      </c>
      <c r="N77" s="95">
        <f t="shared" si="17"/>
        <v>225.88900000000001</v>
      </c>
      <c r="O77" s="95">
        <v>200</v>
      </c>
      <c r="P77" s="95">
        <v>0</v>
      </c>
      <c r="Q77" s="95">
        <v>0</v>
      </c>
      <c r="R77" s="95">
        <v>0</v>
      </c>
      <c r="S77" s="95">
        <v>0</v>
      </c>
      <c r="T77" s="95">
        <f t="shared" si="4"/>
        <v>200</v>
      </c>
      <c r="U77" s="95">
        <v>600</v>
      </c>
      <c r="V77" s="90">
        <f t="shared" si="18"/>
        <v>1025.8890000000001</v>
      </c>
      <c r="W77" s="95">
        <v>2663.28</v>
      </c>
      <c r="X77" s="90">
        <f t="shared" si="19"/>
        <v>3689.1690000000003</v>
      </c>
      <c r="Y77" s="96">
        <v>3600</v>
      </c>
      <c r="Z77" s="19" t="s">
        <v>69</v>
      </c>
      <c r="AA77" s="17" t="s">
        <v>980</v>
      </c>
      <c r="AB77" s="17" t="s">
        <v>537</v>
      </c>
      <c r="AC77" s="17" t="s">
        <v>538</v>
      </c>
      <c r="AD77" s="17" t="s">
        <v>981</v>
      </c>
    </row>
    <row r="78" spans="1:30" ht="52.5" x14ac:dyDescent="0.2">
      <c r="A78" s="347"/>
      <c r="B78" s="102" t="s">
        <v>103</v>
      </c>
      <c r="C78" s="17" t="s">
        <v>540</v>
      </c>
      <c r="D78" s="19" t="s">
        <v>521</v>
      </c>
      <c r="E78" s="19" t="s">
        <v>69</v>
      </c>
      <c r="F78" s="95">
        <v>0</v>
      </c>
      <c r="G78" s="95">
        <v>0</v>
      </c>
      <c r="H78" s="19" t="s">
        <v>152</v>
      </c>
      <c r="I78" s="95">
        <v>0</v>
      </c>
      <c r="J78" s="95">
        <v>0</v>
      </c>
      <c r="K78" s="95">
        <v>0</v>
      </c>
      <c r="L78" s="95">
        <v>0</v>
      </c>
      <c r="M78" s="95">
        <v>0</v>
      </c>
      <c r="N78" s="95">
        <f t="shared" si="17"/>
        <v>0</v>
      </c>
      <c r="O78" s="95">
        <v>0</v>
      </c>
      <c r="P78" s="95">
        <v>0</v>
      </c>
      <c r="Q78" s="95">
        <v>0</v>
      </c>
      <c r="R78" s="95">
        <v>0</v>
      </c>
      <c r="S78" s="95">
        <v>0</v>
      </c>
      <c r="T78" s="95">
        <f t="shared" si="4"/>
        <v>0</v>
      </c>
      <c r="U78" s="95">
        <v>0</v>
      </c>
      <c r="V78" s="90">
        <f t="shared" si="18"/>
        <v>0</v>
      </c>
      <c r="W78" s="95">
        <v>0</v>
      </c>
      <c r="X78" s="90">
        <f t="shared" si="19"/>
        <v>0</v>
      </c>
      <c r="Y78" s="96">
        <v>4800</v>
      </c>
      <c r="Z78" s="19" t="s">
        <v>69</v>
      </c>
      <c r="AA78" s="17" t="s">
        <v>982</v>
      </c>
      <c r="AB78" s="17" t="s">
        <v>542</v>
      </c>
      <c r="AC78" s="17" t="s">
        <v>49</v>
      </c>
      <c r="AD78" s="17" t="s">
        <v>197</v>
      </c>
    </row>
    <row r="79" spans="1:30" ht="168" x14ac:dyDescent="0.2">
      <c r="A79" s="347"/>
      <c r="B79" s="102" t="s">
        <v>104</v>
      </c>
      <c r="C79" s="17" t="s">
        <v>983</v>
      </c>
      <c r="D79" s="19" t="s">
        <v>51</v>
      </c>
      <c r="E79" s="19" t="s">
        <v>7</v>
      </c>
      <c r="F79" s="95">
        <v>440</v>
      </c>
      <c r="G79" s="95">
        <f>9.963</f>
        <v>9.9629999999999992</v>
      </c>
      <c r="H79" s="19" t="s">
        <v>46</v>
      </c>
      <c r="I79" s="95">
        <v>114.684</v>
      </c>
      <c r="J79" s="95">
        <v>0</v>
      </c>
      <c r="K79" s="95">
        <v>0</v>
      </c>
      <c r="L79" s="95">
        <v>0</v>
      </c>
      <c r="M79" s="95">
        <v>0</v>
      </c>
      <c r="N79" s="95">
        <f t="shared" si="17"/>
        <v>114.684</v>
      </c>
      <c r="O79" s="95">
        <v>172.03</v>
      </c>
      <c r="P79" s="95">
        <v>0</v>
      </c>
      <c r="Q79" s="95">
        <v>0</v>
      </c>
      <c r="R79" s="95">
        <v>0</v>
      </c>
      <c r="S79" s="95">
        <v>0</v>
      </c>
      <c r="T79" s="95">
        <f t="shared" ref="T79:T80" si="20">SUM(O79:S79)</f>
        <v>172.03</v>
      </c>
      <c r="U79" s="95">
        <v>1202</v>
      </c>
      <c r="V79" s="90">
        <f t="shared" si="18"/>
        <v>1488.7139999999999</v>
      </c>
      <c r="W79" s="95">
        <v>4806.0600000000004</v>
      </c>
      <c r="X79" s="90">
        <f t="shared" si="19"/>
        <v>6744.7370000000001</v>
      </c>
      <c r="Y79" s="96">
        <f>X79</f>
        <v>6744.7370000000001</v>
      </c>
      <c r="Z79" s="19" t="s">
        <v>69</v>
      </c>
      <c r="AA79" s="17" t="s">
        <v>984</v>
      </c>
      <c r="AB79" s="17" t="s">
        <v>545</v>
      </c>
      <c r="AC79" s="17" t="s">
        <v>49</v>
      </c>
      <c r="AD79" s="17" t="s">
        <v>985</v>
      </c>
    </row>
    <row r="80" spans="1:30" ht="147" x14ac:dyDescent="0.2">
      <c r="A80" s="347"/>
      <c r="B80" s="102" t="s">
        <v>105</v>
      </c>
      <c r="C80" s="17" t="s">
        <v>547</v>
      </c>
      <c r="D80" s="19" t="s">
        <v>51</v>
      </c>
      <c r="E80" s="19" t="s">
        <v>7</v>
      </c>
      <c r="F80" s="95">
        <f>9.63</f>
        <v>9.6300000000000008</v>
      </c>
      <c r="G80" s="95">
        <v>5.76</v>
      </c>
      <c r="H80" s="19" t="s">
        <v>46</v>
      </c>
      <c r="I80" s="95">
        <v>21.5</v>
      </c>
      <c r="J80" s="95">
        <v>193.44</v>
      </c>
      <c r="K80" s="95">
        <v>0</v>
      </c>
      <c r="L80" s="95">
        <v>0</v>
      </c>
      <c r="M80" s="95">
        <v>0</v>
      </c>
      <c r="N80" s="95">
        <f t="shared" si="17"/>
        <v>214.94</v>
      </c>
      <c r="O80" s="95">
        <v>32.49</v>
      </c>
      <c r="P80" s="95">
        <v>292.39999999999998</v>
      </c>
      <c r="Q80" s="95">
        <v>0</v>
      </c>
      <c r="R80" s="95">
        <v>0</v>
      </c>
      <c r="S80" s="95">
        <v>0</v>
      </c>
      <c r="T80" s="95">
        <f t="shared" si="20"/>
        <v>324.89</v>
      </c>
      <c r="U80" s="95">
        <v>0</v>
      </c>
      <c r="V80" s="90">
        <f>N80+T80+U80</f>
        <v>539.82999999999993</v>
      </c>
      <c r="W80" s="95">
        <v>0</v>
      </c>
      <c r="X80" s="90">
        <f>W80+V80+G80+F80</f>
        <v>555.21999999999991</v>
      </c>
      <c r="Y80" s="96">
        <f>X80</f>
        <v>555.21999999999991</v>
      </c>
      <c r="Z80" s="19" t="s">
        <v>7</v>
      </c>
      <c r="AA80" s="17" t="s">
        <v>986</v>
      </c>
      <c r="AB80" s="17" t="s">
        <v>549</v>
      </c>
      <c r="AC80" s="17" t="s">
        <v>49</v>
      </c>
      <c r="AD80" s="17" t="s">
        <v>987</v>
      </c>
    </row>
    <row r="81" spans="1:30" ht="63" x14ac:dyDescent="0.2">
      <c r="A81" s="347"/>
      <c r="B81" s="102" t="s">
        <v>106</v>
      </c>
      <c r="C81" s="17" t="s">
        <v>551</v>
      </c>
      <c r="D81" s="19" t="s">
        <v>51</v>
      </c>
      <c r="E81" s="19" t="s">
        <v>69</v>
      </c>
      <c r="F81" s="95">
        <v>0</v>
      </c>
      <c r="G81" s="95">
        <v>0</v>
      </c>
      <c r="H81" s="19" t="s">
        <v>152</v>
      </c>
      <c r="I81" s="95">
        <v>0</v>
      </c>
      <c r="J81" s="95">
        <v>0</v>
      </c>
      <c r="K81" s="95">
        <v>0</v>
      </c>
      <c r="L81" s="95">
        <v>0</v>
      </c>
      <c r="M81" s="95">
        <v>0</v>
      </c>
      <c r="N81" s="95">
        <f t="shared" si="17"/>
        <v>0</v>
      </c>
      <c r="O81" s="95">
        <v>0</v>
      </c>
      <c r="P81" s="95">
        <v>0</v>
      </c>
      <c r="Q81" s="95">
        <v>0</v>
      </c>
      <c r="R81" s="95">
        <v>0</v>
      </c>
      <c r="S81" s="95">
        <v>0</v>
      </c>
      <c r="T81" s="95">
        <f t="shared" ref="T81:T145" si="21">SUM(O81:S81)</f>
        <v>0</v>
      </c>
      <c r="U81" s="95">
        <v>0</v>
      </c>
      <c r="V81" s="90">
        <f t="shared" si="18"/>
        <v>0</v>
      </c>
      <c r="W81" s="95">
        <v>0</v>
      </c>
      <c r="X81" s="90">
        <f t="shared" si="19"/>
        <v>0</v>
      </c>
      <c r="Y81" s="96">
        <v>1200</v>
      </c>
      <c r="Z81" s="19" t="s">
        <v>69</v>
      </c>
      <c r="AA81" s="17" t="s">
        <v>988</v>
      </c>
      <c r="AB81" s="17" t="s">
        <v>50</v>
      </c>
      <c r="AC81" s="17" t="s">
        <v>538</v>
      </c>
      <c r="AD81" s="17" t="s">
        <v>989</v>
      </c>
    </row>
    <row r="82" spans="1:30" ht="63" x14ac:dyDescent="0.2">
      <c r="A82" s="347"/>
      <c r="B82" s="102" t="s">
        <v>107</v>
      </c>
      <c r="C82" s="17" t="s">
        <v>990</v>
      </c>
      <c r="D82" s="19" t="s">
        <v>51</v>
      </c>
      <c r="E82" s="19" t="s">
        <v>69</v>
      </c>
      <c r="F82" s="95">
        <v>0</v>
      </c>
      <c r="G82" s="95">
        <v>0</v>
      </c>
      <c r="H82" s="19" t="s">
        <v>152</v>
      </c>
      <c r="I82" s="95">
        <v>0</v>
      </c>
      <c r="J82" s="95">
        <v>0</v>
      </c>
      <c r="K82" s="95">
        <v>0</v>
      </c>
      <c r="L82" s="95">
        <v>0</v>
      </c>
      <c r="M82" s="95">
        <v>0</v>
      </c>
      <c r="N82" s="95">
        <f>SUM(I82:M82)</f>
        <v>0</v>
      </c>
      <c r="O82" s="95">
        <v>0</v>
      </c>
      <c r="P82" s="95">
        <v>0</v>
      </c>
      <c r="Q82" s="95">
        <v>0</v>
      </c>
      <c r="R82" s="95">
        <v>0</v>
      </c>
      <c r="S82" s="95">
        <v>0</v>
      </c>
      <c r="T82" s="95">
        <f t="shared" si="21"/>
        <v>0</v>
      </c>
      <c r="U82" s="95">
        <v>0</v>
      </c>
      <c r="V82" s="90">
        <f t="shared" si="18"/>
        <v>0</v>
      </c>
      <c r="W82" s="95">
        <v>0</v>
      </c>
      <c r="X82" s="90">
        <f t="shared" si="19"/>
        <v>0</v>
      </c>
      <c r="Y82" s="96">
        <v>6000</v>
      </c>
      <c r="Z82" s="19" t="s">
        <v>69</v>
      </c>
      <c r="AA82" s="17" t="s">
        <v>991</v>
      </c>
      <c r="AB82" s="17" t="s">
        <v>992</v>
      </c>
      <c r="AC82" s="17" t="s">
        <v>49</v>
      </c>
      <c r="AD82" s="17" t="s">
        <v>993</v>
      </c>
    </row>
    <row r="83" spans="1:30" ht="63" x14ac:dyDescent="0.2">
      <c r="A83" s="347"/>
      <c r="B83" s="102" t="s">
        <v>108</v>
      </c>
      <c r="C83" s="17" t="s">
        <v>553</v>
      </c>
      <c r="D83" s="19" t="s">
        <v>51</v>
      </c>
      <c r="E83" s="19" t="s">
        <v>69</v>
      </c>
      <c r="F83" s="95">
        <v>86.614000000000004</v>
      </c>
      <c r="G83" s="95">
        <v>0</v>
      </c>
      <c r="H83" s="19" t="s">
        <v>46</v>
      </c>
      <c r="I83" s="95">
        <v>328.26900000000001</v>
      </c>
      <c r="J83" s="95">
        <v>0</v>
      </c>
      <c r="K83" s="95">
        <v>0</v>
      </c>
      <c r="L83" s="95">
        <v>0</v>
      </c>
      <c r="M83" s="95">
        <v>0</v>
      </c>
      <c r="N83" s="95">
        <f t="shared" si="17"/>
        <v>328.26900000000001</v>
      </c>
      <c r="O83" s="95">
        <v>200</v>
      </c>
      <c r="P83" s="95">
        <v>0</v>
      </c>
      <c r="Q83" s="95">
        <v>0</v>
      </c>
      <c r="R83" s="95">
        <v>0</v>
      </c>
      <c r="S83" s="95">
        <v>0</v>
      </c>
      <c r="T83" s="95">
        <f t="shared" si="21"/>
        <v>200</v>
      </c>
      <c r="U83" s="95">
        <v>700</v>
      </c>
      <c r="V83" s="90">
        <f t="shared" si="18"/>
        <v>1228.269</v>
      </c>
      <c r="W83" s="95">
        <v>2309.7800000000002</v>
      </c>
      <c r="X83" s="90">
        <f t="shared" si="19"/>
        <v>3624.663</v>
      </c>
      <c r="Y83" s="96">
        <v>3600</v>
      </c>
      <c r="Z83" s="19" t="s">
        <v>69</v>
      </c>
      <c r="AA83" s="17" t="s">
        <v>994</v>
      </c>
      <c r="AB83" s="17" t="s">
        <v>555</v>
      </c>
      <c r="AC83" s="17" t="s">
        <v>538</v>
      </c>
      <c r="AD83" s="17" t="s">
        <v>995</v>
      </c>
    </row>
    <row r="84" spans="1:30" ht="126" x14ac:dyDescent="0.2">
      <c r="A84" s="347"/>
      <c r="B84" s="102" t="s">
        <v>109</v>
      </c>
      <c r="C84" s="17" t="s">
        <v>557</v>
      </c>
      <c r="D84" s="19" t="s">
        <v>45</v>
      </c>
      <c r="E84" s="19" t="s">
        <v>7</v>
      </c>
      <c r="F84" s="95">
        <v>8.4700000000000006</v>
      </c>
      <c r="G84" s="95">
        <v>299</v>
      </c>
      <c r="H84" s="19" t="s">
        <v>46</v>
      </c>
      <c r="I84" s="95">
        <v>123.929</v>
      </c>
      <c r="J84" s="95">
        <v>1293.0260000000001</v>
      </c>
      <c r="K84" s="95">
        <v>0</v>
      </c>
      <c r="L84" s="95">
        <v>0</v>
      </c>
      <c r="M84" s="95">
        <v>0</v>
      </c>
      <c r="N84" s="95">
        <f t="shared" si="17"/>
        <v>1416.9550000000002</v>
      </c>
      <c r="O84" s="95">
        <v>0</v>
      </c>
      <c r="P84" s="95">
        <v>0</v>
      </c>
      <c r="Q84" s="95">
        <v>0</v>
      </c>
      <c r="R84" s="95">
        <v>0</v>
      </c>
      <c r="S84" s="95">
        <v>0</v>
      </c>
      <c r="T84" s="95">
        <f t="shared" si="21"/>
        <v>0</v>
      </c>
      <c r="U84" s="95">
        <v>0</v>
      </c>
      <c r="V84" s="90">
        <f t="shared" si="18"/>
        <v>1416.9550000000002</v>
      </c>
      <c r="W84" s="95">
        <v>0</v>
      </c>
      <c r="X84" s="90">
        <f t="shared" si="19"/>
        <v>1724.4250000000002</v>
      </c>
      <c r="Y84" s="96">
        <v>1527.47</v>
      </c>
      <c r="Z84" s="19" t="s">
        <v>69</v>
      </c>
      <c r="AA84" s="17" t="s">
        <v>996</v>
      </c>
      <c r="AB84" s="17" t="s">
        <v>559</v>
      </c>
      <c r="AC84" s="17" t="s">
        <v>49</v>
      </c>
      <c r="AD84" s="17" t="s">
        <v>997</v>
      </c>
    </row>
    <row r="85" spans="1:30" ht="168" x14ac:dyDescent="0.2">
      <c r="A85" s="347"/>
      <c r="B85" s="102" t="s">
        <v>110</v>
      </c>
      <c r="C85" s="17" t="s">
        <v>561</v>
      </c>
      <c r="D85" s="19" t="s">
        <v>45</v>
      </c>
      <c r="E85" s="19" t="s">
        <v>7</v>
      </c>
      <c r="F85" s="95">
        <v>11.4345</v>
      </c>
      <c r="G85" s="95">
        <v>239.92</v>
      </c>
      <c r="H85" s="19" t="s">
        <v>46</v>
      </c>
      <c r="I85" s="95">
        <v>96.38</v>
      </c>
      <c r="J85" s="95">
        <v>867.46299999999997</v>
      </c>
      <c r="K85" s="95">
        <v>0</v>
      </c>
      <c r="L85" s="95">
        <v>0</v>
      </c>
      <c r="M85" s="95">
        <v>0</v>
      </c>
      <c r="N85" s="95">
        <f t="shared" si="17"/>
        <v>963.84299999999996</v>
      </c>
      <c r="O85" s="95">
        <v>0</v>
      </c>
      <c r="P85" s="95">
        <v>0</v>
      </c>
      <c r="Q85" s="95">
        <v>0</v>
      </c>
      <c r="R85" s="95">
        <v>0</v>
      </c>
      <c r="S85" s="95">
        <v>0</v>
      </c>
      <c r="T85" s="95">
        <f t="shared" si="21"/>
        <v>0</v>
      </c>
      <c r="U85" s="95">
        <v>0</v>
      </c>
      <c r="V85" s="90">
        <f t="shared" si="18"/>
        <v>963.84299999999996</v>
      </c>
      <c r="W85" s="95">
        <v>0</v>
      </c>
      <c r="X85" s="90">
        <f>W85+V85+G85+F85</f>
        <v>1215.1975</v>
      </c>
      <c r="Y85" s="96">
        <f>X85</f>
        <v>1215.1975</v>
      </c>
      <c r="Z85" s="19" t="s">
        <v>69</v>
      </c>
      <c r="AA85" s="17" t="s">
        <v>998</v>
      </c>
      <c r="AB85" s="17" t="s">
        <v>559</v>
      </c>
      <c r="AC85" s="17" t="s">
        <v>49</v>
      </c>
      <c r="AD85" s="17" t="s">
        <v>203</v>
      </c>
    </row>
    <row r="86" spans="1:30" ht="52.5" x14ac:dyDescent="0.2">
      <c r="A86" s="347"/>
      <c r="B86" s="102" t="s">
        <v>111</v>
      </c>
      <c r="C86" s="17" t="s">
        <v>564</v>
      </c>
      <c r="D86" s="19" t="s">
        <v>45</v>
      </c>
      <c r="E86" s="19" t="s">
        <v>7</v>
      </c>
      <c r="F86" s="95">
        <v>0</v>
      </c>
      <c r="G86" s="95">
        <v>0</v>
      </c>
      <c r="H86" s="19" t="s">
        <v>46</v>
      </c>
      <c r="I86" s="95">
        <v>74.173000000000002</v>
      </c>
      <c r="J86" s="95">
        <v>0</v>
      </c>
      <c r="K86" s="95">
        <v>0</v>
      </c>
      <c r="L86" s="95">
        <v>0</v>
      </c>
      <c r="M86" s="95">
        <v>0</v>
      </c>
      <c r="N86" s="95">
        <f t="shared" si="17"/>
        <v>74.173000000000002</v>
      </c>
      <c r="O86" s="95">
        <v>100</v>
      </c>
      <c r="P86" s="95">
        <v>300</v>
      </c>
      <c r="Q86" s="95">
        <v>0</v>
      </c>
      <c r="R86" s="95">
        <v>0</v>
      </c>
      <c r="S86" s="95">
        <v>0</v>
      </c>
      <c r="T86" s="95">
        <f t="shared" si="21"/>
        <v>400</v>
      </c>
      <c r="U86" s="95">
        <v>1445.83</v>
      </c>
      <c r="V86" s="90">
        <f t="shared" si="18"/>
        <v>1920.0029999999999</v>
      </c>
      <c r="W86" s="95">
        <v>0</v>
      </c>
      <c r="X86" s="90">
        <f t="shared" si="19"/>
        <v>1920.0029999999999</v>
      </c>
      <c r="Y86" s="96">
        <v>1920</v>
      </c>
      <c r="Z86" s="19" t="s">
        <v>69</v>
      </c>
      <c r="AA86" s="17" t="s">
        <v>999</v>
      </c>
      <c r="AB86" s="17" t="s">
        <v>559</v>
      </c>
      <c r="AC86" s="17" t="s">
        <v>206</v>
      </c>
      <c r="AD86" s="17" t="s">
        <v>204</v>
      </c>
    </row>
    <row r="87" spans="1:30" ht="52.5" x14ac:dyDescent="0.2">
      <c r="A87" s="347"/>
      <c r="B87" s="102" t="s">
        <v>112</v>
      </c>
      <c r="C87" s="17" t="s">
        <v>568</v>
      </c>
      <c r="D87" s="19" t="s">
        <v>45</v>
      </c>
      <c r="E87" s="19" t="s">
        <v>7</v>
      </c>
      <c r="F87" s="95">
        <v>0</v>
      </c>
      <c r="G87" s="95">
        <v>0</v>
      </c>
      <c r="H87" s="19" t="s">
        <v>152</v>
      </c>
      <c r="I87" s="95">
        <v>0</v>
      </c>
      <c r="J87" s="95">
        <v>0</v>
      </c>
      <c r="K87" s="95">
        <v>0</v>
      </c>
      <c r="L87" s="95">
        <v>0</v>
      </c>
      <c r="M87" s="95">
        <v>0</v>
      </c>
      <c r="N87" s="95">
        <f t="shared" si="17"/>
        <v>0</v>
      </c>
      <c r="O87" s="95">
        <v>0</v>
      </c>
      <c r="P87" s="95">
        <v>0</v>
      </c>
      <c r="Q87" s="95">
        <v>0</v>
      </c>
      <c r="R87" s="95">
        <v>0</v>
      </c>
      <c r="S87" s="95">
        <v>0</v>
      </c>
      <c r="T87" s="95">
        <f t="shared" si="21"/>
        <v>0</v>
      </c>
      <c r="U87" s="95">
        <v>0</v>
      </c>
      <c r="V87" s="90">
        <f t="shared" si="18"/>
        <v>0</v>
      </c>
      <c r="W87" s="95">
        <v>0</v>
      </c>
      <c r="X87" s="90">
        <f t="shared" si="19"/>
        <v>0</v>
      </c>
      <c r="Y87" s="96">
        <v>1200</v>
      </c>
      <c r="Z87" s="19" t="s">
        <v>69</v>
      </c>
      <c r="AA87" s="17" t="s">
        <v>1000</v>
      </c>
      <c r="AB87" s="17" t="s">
        <v>559</v>
      </c>
      <c r="AC87" s="17" t="s">
        <v>206</v>
      </c>
      <c r="AD87" s="17" t="s">
        <v>204</v>
      </c>
    </row>
    <row r="88" spans="1:30" ht="52.5" x14ac:dyDescent="0.2">
      <c r="A88" s="347"/>
      <c r="B88" s="102" t="s">
        <v>113</v>
      </c>
      <c r="C88" s="17" t="s">
        <v>571</v>
      </c>
      <c r="D88" s="19" t="s">
        <v>45</v>
      </c>
      <c r="E88" s="19" t="s">
        <v>69</v>
      </c>
      <c r="F88" s="95">
        <v>0</v>
      </c>
      <c r="G88" s="95">
        <v>0</v>
      </c>
      <c r="H88" s="19" t="s">
        <v>152</v>
      </c>
      <c r="I88" s="95">
        <v>0</v>
      </c>
      <c r="J88" s="95">
        <v>0</v>
      </c>
      <c r="K88" s="95">
        <v>0</v>
      </c>
      <c r="L88" s="95">
        <v>0</v>
      </c>
      <c r="M88" s="95">
        <v>0</v>
      </c>
      <c r="N88" s="95">
        <f t="shared" si="17"/>
        <v>0</v>
      </c>
      <c r="O88" s="95">
        <v>0</v>
      </c>
      <c r="P88" s="95">
        <v>0</v>
      </c>
      <c r="Q88" s="95">
        <v>0</v>
      </c>
      <c r="R88" s="95">
        <v>0</v>
      </c>
      <c r="S88" s="95">
        <v>0</v>
      </c>
      <c r="T88" s="95">
        <f t="shared" si="21"/>
        <v>0</v>
      </c>
      <c r="U88" s="95">
        <v>0</v>
      </c>
      <c r="V88" s="90">
        <f t="shared" si="18"/>
        <v>0</v>
      </c>
      <c r="W88" s="95">
        <v>0</v>
      </c>
      <c r="X88" s="90">
        <f t="shared" si="19"/>
        <v>0</v>
      </c>
      <c r="Y88" s="96">
        <v>1560</v>
      </c>
      <c r="Z88" s="19" t="s">
        <v>69</v>
      </c>
      <c r="AA88" s="17" t="s">
        <v>1001</v>
      </c>
      <c r="AB88" s="17" t="s">
        <v>559</v>
      </c>
      <c r="AC88" s="17" t="s">
        <v>206</v>
      </c>
      <c r="AD88" s="17" t="s">
        <v>204</v>
      </c>
    </row>
    <row r="89" spans="1:30" ht="52.5" x14ac:dyDescent="0.2">
      <c r="A89" s="347"/>
      <c r="B89" s="102" t="s">
        <v>114</v>
      </c>
      <c r="C89" s="17" t="s">
        <v>574</v>
      </c>
      <c r="D89" s="19" t="s">
        <v>45</v>
      </c>
      <c r="E89" s="19" t="s">
        <v>69</v>
      </c>
      <c r="F89" s="95">
        <v>0</v>
      </c>
      <c r="G89" s="95">
        <v>9.68</v>
      </c>
      <c r="H89" s="19" t="s">
        <v>152</v>
      </c>
      <c r="I89" s="95">
        <v>0</v>
      </c>
      <c r="J89" s="95">
        <v>0</v>
      </c>
      <c r="K89" s="95">
        <v>0</v>
      </c>
      <c r="L89" s="95">
        <v>0</v>
      </c>
      <c r="M89" s="95">
        <v>0</v>
      </c>
      <c r="N89" s="95">
        <f>SUM(I89:M89)</f>
        <v>0</v>
      </c>
      <c r="O89" s="95">
        <v>70</v>
      </c>
      <c r="P89" s="95">
        <v>0</v>
      </c>
      <c r="Q89" s="95">
        <v>0</v>
      </c>
      <c r="R89" s="95">
        <v>0</v>
      </c>
      <c r="S89" s="95">
        <v>0</v>
      </c>
      <c r="T89" s="95">
        <f t="shared" si="21"/>
        <v>70</v>
      </c>
      <c r="U89" s="95">
        <v>1817.43</v>
      </c>
      <c r="V89" s="90">
        <f t="shared" si="18"/>
        <v>1887.43</v>
      </c>
      <c r="W89" s="95">
        <v>0</v>
      </c>
      <c r="X89" s="90">
        <f t="shared" si="19"/>
        <v>1897.1100000000001</v>
      </c>
      <c r="Y89" s="96">
        <v>1900</v>
      </c>
      <c r="Z89" s="19" t="s">
        <v>69</v>
      </c>
      <c r="AA89" s="17" t="s">
        <v>1002</v>
      </c>
      <c r="AB89" s="17" t="s">
        <v>559</v>
      </c>
      <c r="AC89" s="17" t="s">
        <v>206</v>
      </c>
      <c r="AD89" s="17" t="s">
        <v>208</v>
      </c>
    </row>
    <row r="90" spans="1:30" ht="63" x14ac:dyDescent="0.2">
      <c r="A90" s="347"/>
      <c r="B90" s="102" t="s">
        <v>115</v>
      </c>
      <c r="C90" s="17" t="s">
        <v>20</v>
      </c>
      <c r="D90" s="19" t="s">
        <v>45</v>
      </c>
      <c r="E90" s="19" t="s">
        <v>69</v>
      </c>
      <c r="F90" s="95">
        <v>0</v>
      </c>
      <c r="G90" s="95">
        <v>0</v>
      </c>
      <c r="H90" s="19" t="s">
        <v>152</v>
      </c>
      <c r="I90" s="95">
        <v>0</v>
      </c>
      <c r="J90" s="95">
        <v>0</v>
      </c>
      <c r="K90" s="95">
        <v>0</v>
      </c>
      <c r="L90" s="95">
        <v>0</v>
      </c>
      <c r="M90" s="95">
        <v>0</v>
      </c>
      <c r="N90" s="95">
        <f t="shared" si="17"/>
        <v>0</v>
      </c>
      <c r="O90" s="95">
        <v>0</v>
      </c>
      <c r="P90" s="95">
        <v>0</v>
      </c>
      <c r="Q90" s="95">
        <v>0</v>
      </c>
      <c r="R90" s="95">
        <v>0</v>
      </c>
      <c r="S90" s="95">
        <v>0</v>
      </c>
      <c r="T90" s="95">
        <f t="shared" si="21"/>
        <v>0</v>
      </c>
      <c r="U90" s="95">
        <v>0</v>
      </c>
      <c r="V90" s="90">
        <f t="shared" si="18"/>
        <v>0</v>
      </c>
      <c r="W90" s="95">
        <v>0</v>
      </c>
      <c r="X90" s="90">
        <f t="shared" si="19"/>
        <v>0</v>
      </c>
      <c r="Y90" s="96">
        <v>240</v>
      </c>
      <c r="Z90" s="19" t="s">
        <v>69</v>
      </c>
      <c r="AA90" s="17" t="s">
        <v>1003</v>
      </c>
      <c r="AB90" s="17" t="s">
        <v>578</v>
      </c>
      <c r="AC90" s="17" t="s">
        <v>538</v>
      </c>
      <c r="AD90" s="17" t="s">
        <v>209</v>
      </c>
    </row>
    <row r="91" spans="1:30" ht="52.5" x14ac:dyDescent="0.2">
      <c r="A91" s="347"/>
      <c r="B91" s="103" t="s">
        <v>61</v>
      </c>
      <c r="C91" s="17" t="s">
        <v>580</v>
      </c>
      <c r="D91" s="19" t="s">
        <v>51</v>
      </c>
      <c r="E91" s="19" t="s">
        <v>7</v>
      </c>
      <c r="F91" s="95">
        <v>5387.89</v>
      </c>
      <c r="G91" s="95">
        <v>952</v>
      </c>
      <c r="H91" s="19" t="s">
        <v>46</v>
      </c>
      <c r="I91" s="95">
        <v>0</v>
      </c>
      <c r="J91" s="95">
        <v>0</v>
      </c>
      <c r="K91" s="95">
        <v>0</v>
      </c>
      <c r="L91" s="95">
        <v>0</v>
      </c>
      <c r="M91" s="95">
        <v>0</v>
      </c>
      <c r="N91" s="95">
        <f t="shared" si="17"/>
        <v>0</v>
      </c>
      <c r="O91" s="95">
        <v>0</v>
      </c>
      <c r="P91" s="95">
        <v>0</v>
      </c>
      <c r="Q91" s="95">
        <v>0</v>
      </c>
      <c r="R91" s="95">
        <v>0</v>
      </c>
      <c r="S91" s="95">
        <v>0</v>
      </c>
      <c r="T91" s="95">
        <f t="shared" si="21"/>
        <v>0</v>
      </c>
      <c r="U91" s="95">
        <v>0</v>
      </c>
      <c r="V91" s="90">
        <f t="shared" si="18"/>
        <v>0</v>
      </c>
      <c r="W91" s="95">
        <v>0</v>
      </c>
      <c r="X91" s="90">
        <f t="shared" si="19"/>
        <v>6339.89</v>
      </c>
      <c r="Y91" s="96">
        <f>X91</f>
        <v>6339.89</v>
      </c>
      <c r="Z91" s="19" t="s">
        <v>7</v>
      </c>
      <c r="AA91" s="17" t="s">
        <v>1004</v>
      </c>
      <c r="AB91" s="17" t="s">
        <v>1005</v>
      </c>
      <c r="AC91" s="17" t="s">
        <v>49</v>
      </c>
      <c r="AD91" s="17" t="s">
        <v>204</v>
      </c>
    </row>
    <row r="92" spans="1:30" ht="115.5" x14ac:dyDescent="0.2">
      <c r="A92" s="347"/>
      <c r="B92" s="103" t="s">
        <v>62</v>
      </c>
      <c r="C92" s="17" t="s">
        <v>583</v>
      </c>
      <c r="D92" s="19" t="s">
        <v>51</v>
      </c>
      <c r="E92" s="19" t="s">
        <v>7</v>
      </c>
      <c r="F92" s="95">
        <v>7888.02</v>
      </c>
      <c r="G92" s="95">
        <v>5742.61</v>
      </c>
      <c r="H92" s="19" t="s">
        <v>46</v>
      </c>
      <c r="I92" s="95">
        <v>1164.396</v>
      </c>
      <c r="J92" s="95">
        <v>1912.415</v>
      </c>
      <c r="K92" s="95">
        <v>0</v>
      </c>
      <c r="L92" s="95">
        <v>0</v>
      </c>
      <c r="M92" s="95">
        <v>2000</v>
      </c>
      <c r="N92" s="95">
        <f t="shared" si="17"/>
        <v>5076.8109999999997</v>
      </c>
      <c r="O92" s="95">
        <v>0</v>
      </c>
      <c r="P92" s="95">
        <v>0</v>
      </c>
      <c r="Q92" s="95">
        <v>0</v>
      </c>
      <c r="R92" s="95">
        <v>0</v>
      </c>
      <c r="S92" s="95">
        <v>0</v>
      </c>
      <c r="T92" s="95">
        <f t="shared" si="21"/>
        <v>0</v>
      </c>
      <c r="U92" s="95">
        <v>0</v>
      </c>
      <c r="V92" s="90">
        <f t="shared" si="18"/>
        <v>5076.8109999999997</v>
      </c>
      <c r="W92" s="95">
        <v>0</v>
      </c>
      <c r="X92" s="90">
        <f t="shared" si="19"/>
        <v>18707.440999999999</v>
      </c>
      <c r="Y92" s="96">
        <f>16600.42+2000</f>
        <v>18600.419999999998</v>
      </c>
      <c r="Z92" s="19" t="s">
        <v>69</v>
      </c>
      <c r="AA92" s="17" t="s">
        <v>1006</v>
      </c>
      <c r="AB92" s="17" t="s">
        <v>1005</v>
      </c>
      <c r="AC92" s="17" t="s">
        <v>49</v>
      </c>
      <c r="AD92" s="17" t="s">
        <v>210</v>
      </c>
    </row>
    <row r="93" spans="1:30" ht="252" x14ac:dyDescent="0.2">
      <c r="A93" s="347"/>
      <c r="B93" s="103" t="s">
        <v>163</v>
      </c>
      <c r="C93" s="17" t="s">
        <v>1007</v>
      </c>
      <c r="D93" s="19" t="s">
        <v>164</v>
      </c>
      <c r="E93" s="104" t="s">
        <v>7</v>
      </c>
      <c r="F93" s="95">
        <v>0</v>
      </c>
      <c r="G93" s="95">
        <v>0</v>
      </c>
      <c r="H93" s="19" t="s">
        <v>46</v>
      </c>
      <c r="I93" s="95">
        <v>0</v>
      </c>
      <c r="J93" s="95">
        <v>0</v>
      </c>
      <c r="K93" s="95">
        <v>0</v>
      </c>
      <c r="L93" s="95">
        <v>0</v>
      </c>
      <c r="M93" s="95">
        <v>0</v>
      </c>
      <c r="N93" s="95">
        <f>SUM(I93:M93)</f>
        <v>0</v>
      </c>
      <c r="O93" s="95">
        <v>0</v>
      </c>
      <c r="P93" s="95">
        <v>0</v>
      </c>
      <c r="Q93" s="95">
        <v>0</v>
      </c>
      <c r="R93" s="95">
        <v>0</v>
      </c>
      <c r="S93" s="95">
        <v>0</v>
      </c>
      <c r="T93" s="95">
        <f t="shared" ref="T93:T94" si="22">SUM(O93:S93)</f>
        <v>0</v>
      </c>
      <c r="U93" s="95">
        <v>0</v>
      </c>
      <c r="V93" s="90">
        <f t="shared" si="18"/>
        <v>0</v>
      </c>
      <c r="W93" s="95">
        <v>0</v>
      </c>
      <c r="X93" s="90">
        <f t="shared" si="19"/>
        <v>0</v>
      </c>
      <c r="Y93" s="90">
        <f>X93</f>
        <v>0</v>
      </c>
      <c r="Z93" s="19" t="s">
        <v>7</v>
      </c>
      <c r="AA93" s="17" t="s">
        <v>1008</v>
      </c>
      <c r="AB93" s="17" t="s">
        <v>1009</v>
      </c>
      <c r="AC93" s="17" t="s">
        <v>169</v>
      </c>
      <c r="AD93" s="17" t="s">
        <v>211</v>
      </c>
    </row>
    <row r="94" spans="1:30" ht="52.5" x14ac:dyDescent="0.2">
      <c r="A94" s="347"/>
      <c r="B94" s="103" t="s">
        <v>166</v>
      </c>
      <c r="C94" s="17" t="s">
        <v>1010</v>
      </c>
      <c r="D94" s="19" t="s">
        <v>51</v>
      </c>
      <c r="E94" s="19"/>
      <c r="F94" s="95">
        <v>0</v>
      </c>
      <c r="G94" s="95">
        <v>0</v>
      </c>
      <c r="H94" s="19" t="s">
        <v>152</v>
      </c>
      <c r="I94" s="95">
        <v>0</v>
      </c>
      <c r="J94" s="95">
        <v>0</v>
      </c>
      <c r="K94" s="95">
        <v>0</v>
      </c>
      <c r="L94" s="95">
        <v>0</v>
      </c>
      <c r="M94" s="95">
        <v>0</v>
      </c>
      <c r="N94" s="95">
        <f t="shared" ref="N94" si="23">SUM(I94:M94)</f>
        <v>0</v>
      </c>
      <c r="O94" s="95">
        <v>0</v>
      </c>
      <c r="P94" s="95">
        <v>0</v>
      </c>
      <c r="Q94" s="95">
        <v>0</v>
      </c>
      <c r="R94" s="95">
        <v>0</v>
      </c>
      <c r="S94" s="95">
        <v>0</v>
      </c>
      <c r="T94" s="95">
        <f t="shared" si="22"/>
        <v>0</v>
      </c>
      <c r="U94" s="95">
        <v>0</v>
      </c>
      <c r="V94" s="90">
        <f t="shared" si="18"/>
        <v>0</v>
      </c>
      <c r="W94" s="95">
        <v>0</v>
      </c>
      <c r="X94" s="90">
        <f t="shared" si="19"/>
        <v>0</v>
      </c>
      <c r="Y94" s="96">
        <v>700</v>
      </c>
      <c r="Z94" s="19" t="s">
        <v>7</v>
      </c>
      <c r="AA94" s="17" t="s">
        <v>1011</v>
      </c>
      <c r="AB94" s="17" t="s">
        <v>167</v>
      </c>
      <c r="AC94" s="10" t="s">
        <v>169</v>
      </c>
      <c r="AD94" s="10" t="s">
        <v>144</v>
      </c>
    </row>
    <row r="95" spans="1:30" x14ac:dyDescent="0.2">
      <c r="A95" s="347"/>
      <c r="B95" s="294" t="s">
        <v>1012</v>
      </c>
      <c r="C95" s="294"/>
      <c r="D95" s="38" t="s">
        <v>587</v>
      </c>
      <c r="E95" s="38" t="s">
        <v>48</v>
      </c>
      <c r="F95" s="40">
        <f>SUM(F96)</f>
        <v>0</v>
      </c>
      <c r="G95" s="40">
        <f>SUM(G96)</f>
        <v>0</v>
      </c>
      <c r="H95" s="38" t="s">
        <v>48</v>
      </c>
      <c r="I95" s="40">
        <f>SUM(I96)</f>
        <v>0</v>
      </c>
      <c r="J95" s="40">
        <f t="shared" ref="J95:M95" si="24">SUM(J96)</f>
        <v>0</v>
      </c>
      <c r="K95" s="40">
        <f t="shared" si="24"/>
        <v>0</v>
      </c>
      <c r="L95" s="40">
        <f t="shared" si="24"/>
        <v>0</v>
      </c>
      <c r="M95" s="40">
        <f t="shared" si="24"/>
        <v>0</v>
      </c>
      <c r="N95" s="40">
        <f>SUM(I95:M95)</f>
        <v>0</v>
      </c>
      <c r="O95" s="40">
        <f>SUM(O96)</f>
        <v>0</v>
      </c>
      <c r="P95" s="40">
        <f t="shared" ref="P95:S95" si="25">SUM(P96)</f>
        <v>0</v>
      </c>
      <c r="Q95" s="40">
        <f t="shared" si="25"/>
        <v>0</v>
      </c>
      <c r="R95" s="40">
        <f t="shared" si="25"/>
        <v>0</v>
      </c>
      <c r="S95" s="40">
        <f t="shared" si="25"/>
        <v>0</v>
      </c>
      <c r="T95" s="41">
        <f t="shared" si="21"/>
        <v>0</v>
      </c>
      <c r="U95" s="40">
        <f>SUM(U96)</f>
        <v>0</v>
      </c>
      <c r="V95" s="93">
        <f t="shared" si="18"/>
        <v>0</v>
      </c>
      <c r="W95" s="40">
        <f>SUM(W96)</f>
        <v>0</v>
      </c>
      <c r="X95" s="93">
        <f t="shared" si="19"/>
        <v>0</v>
      </c>
      <c r="Y95" s="22" t="s">
        <v>48</v>
      </c>
      <c r="Z95" s="38" t="s">
        <v>48</v>
      </c>
      <c r="AA95" s="38" t="s">
        <v>48</v>
      </c>
      <c r="AB95" s="38" t="s">
        <v>48</v>
      </c>
      <c r="AC95" s="38" t="s">
        <v>48</v>
      </c>
      <c r="AD95" s="38" t="s">
        <v>48</v>
      </c>
    </row>
    <row r="96" spans="1:30" ht="63" x14ac:dyDescent="0.2">
      <c r="A96" s="347"/>
      <c r="B96" s="102" t="s">
        <v>588</v>
      </c>
      <c r="C96" s="17" t="s">
        <v>21</v>
      </c>
      <c r="D96" s="19" t="s">
        <v>589</v>
      </c>
      <c r="E96" s="19" t="s">
        <v>69</v>
      </c>
      <c r="F96" s="95">
        <v>0</v>
      </c>
      <c r="G96" s="95">
        <v>0</v>
      </c>
      <c r="H96" s="19" t="s">
        <v>152</v>
      </c>
      <c r="I96" s="95">
        <v>0</v>
      </c>
      <c r="J96" s="95">
        <v>0</v>
      </c>
      <c r="K96" s="95">
        <v>0</v>
      </c>
      <c r="L96" s="95">
        <v>0</v>
      </c>
      <c r="M96" s="95">
        <v>0</v>
      </c>
      <c r="N96" s="95">
        <f>SUM(I96:M96)</f>
        <v>0</v>
      </c>
      <c r="O96" s="95">
        <v>0</v>
      </c>
      <c r="P96" s="95">
        <v>0</v>
      </c>
      <c r="Q96" s="95">
        <v>0</v>
      </c>
      <c r="R96" s="95">
        <v>0</v>
      </c>
      <c r="S96" s="95">
        <v>0</v>
      </c>
      <c r="T96" s="95">
        <f t="shared" si="21"/>
        <v>0</v>
      </c>
      <c r="U96" s="95">
        <v>0</v>
      </c>
      <c r="V96" s="90">
        <f t="shared" si="18"/>
        <v>0</v>
      </c>
      <c r="W96" s="95">
        <v>0</v>
      </c>
      <c r="X96" s="90">
        <f t="shared" si="19"/>
        <v>0</v>
      </c>
      <c r="Y96" s="96">
        <v>240</v>
      </c>
      <c r="Z96" s="19" t="s">
        <v>69</v>
      </c>
      <c r="AA96" s="17" t="s">
        <v>1013</v>
      </c>
      <c r="AB96" s="17" t="s">
        <v>590</v>
      </c>
      <c r="AC96" s="17" t="s">
        <v>538</v>
      </c>
      <c r="AD96" s="17" t="s">
        <v>212</v>
      </c>
    </row>
    <row r="97" spans="1:30" x14ac:dyDescent="0.2">
      <c r="A97" s="347"/>
      <c r="B97" s="294" t="s">
        <v>592</v>
      </c>
      <c r="C97" s="294"/>
      <c r="D97" s="38" t="s">
        <v>593</v>
      </c>
      <c r="E97" s="38" t="s">
        <v>48</v>
      </c>
      <c r="F97" s="40">
        <f>SUM(F98)</f>
        <v>0</v>
      </c>
      <c r="G97" s="40">
        <f>SUM(G98)</f>
        <v>0</v>
      </c>
      <c r="H97" s="38" t="s">
        <v>48</v>
      </c>
      <c r="I97" s="40">
        <f>SUM(I98)</f>
        <v>24.2</v>
      </c>
      <c r="J97" s="40">
        <f t="shared" ref="J97:M97" si="26">SUM(J98)</f>
        <v>0</v>
      </c>
      <c r="K97" s="40">
        <f>SUM(K98)</f>
        <v>0</v>
      </c>
      <c r="L97" s="40">
        <f t="shared" si="26"/>
        <v>0</v>
      </c>
      <c r="M97" s="40">
        <f t="shared" si="26"/>
        <v>0</v>
      </c>
      <c r="N97" s="40">
        <f>SUM(I97:M97)</f>
        <v>24.2</v>
      </c>
      <c r="O97" s="40">
        <f>SUM(O98)</f>
        <v>0</v>
      </c>
      <c r="P97" s="40">
        <f t="shared" ref="P97:R97" si="27">SUM(P98)</f>
        <v>0</v>
      </c>
      <c r="Q97" s="40">
        <f t="shared" si="27"/>
        <v>0</v>
      </c>
      <c r="R97" s="40">
        <f t="shared" si="27"/>
        <v>0</v>
      </c>
      <c r="S97" s="40">
        <f>SUM(S98)</f>
        <v>0</v>
      </c>
      <c r="T97" s="41">
        <f t="shared" si="21"/>
        <v>0</v>
      </c>
      <c r="U97" s="40">
        <f>SUM(U98)</f>
        <v>60</v>
      </c>
      <c r="V97" s="93">
        <f t="shared" si="18"/>
        <v>84.2</v>
      </c>
      <c r="W97" s="40">
        <f>SUM(W98)</f>
        <v>155.16</v>
      </c>
      <c r="X97" s="93">
        <f t="shared" si="19"/>
        <v>239.36</v>
      </c>
      <c r="Y97" s="22" t="s">
        <v>48</v>
      </c>
      <c r="Z97" s="38" t="s">
        <v>48</v>
      </c>
      <c r="AA97" s="38" t="s">
        <v>48</v>
      </c>
      <c r="AB97" s="38" t="s">
        <v>48</v>
      </c>
      <c r="AC97" s="38" t="s">
        <v>48</v>
      </c>
      <c r="AD97" s="38" t="s">
        <v>48</v>
      </c>
    </row>
    <row r="98" spans="1:30" ht="63" x14ac:dyDescent="0.2">
      <c r="A98" s="347"/>
      <c r="B98" s="102" t="s">
        <v>594</v>
      </c>
      <c r="C98" s="17" t="s">
        <v>595</v>
      </c>
      <c r="D98" s="19" t="s">
        <v>596</v>
      </c>
      <c r="E98" s="19" t="s">
        <v>69</v>
      </c>
      <c r="F98" s="95">
        <v>0</v>
      </c>
      <c r="G98" s="95">
        <v>0</v>
      </c>
      <c r="H98" s="19" t="s">
        <v>152</v>
      </c>
      <c r="I98" s="95">
        <v>24.2</v>
      </c>
      <c r="J98" s="95">
        <v>0</v>
      </c>
      <c r="K98" s="95">
        <v>0</v>
      </c>
      <c r="L98" s="95">
        <v>0</v>
      </c>
      <c r="M98" s="95">
        <v>0</v>
      </c>
      <c r="N98" s="95">
        <f>SUM(I98:M98)</f>
        <v>24.2</v>
      </c>
      <c r="O98" s="95">
        <v>0</v>
      </c>
      <c r="P98" s="95">
        <v>0</v>
      </c>
      <c r="Q98" s="95">
        <v>0</v>
      </c>
      <c r="R98" s="95">
        <v>0</v>
      </c>
      <c r="S98" s="95">
        <v>0</v>
      </c>
      <c r="T98" s="95">
        <f t="shared" si="21"/>
        <v>0</v>
      </c>
      <c r="U98" s="95">
        <v>60</v>
      </c>
      <c r="V98" s="90">
        <f t="shared" si="18"/>
        <v>84.2</v>
      </c>
      <c r="W98" s="95">
        <v>155.16</v>
      </c>
      <c r="X98" s="90">
        <f t="shared" si="19"/>
        <v>239.36</v>
      </c>
      <c r="Y98" s="96">
        <v>240</v>
      </c>
      <c r="Z98" s="19" t="s">
        <v>69</v>
      </c>
      <c r="AA98" s="17" t="s">
        <v>1014</v>
      </c>
      <c r="AB98" s="17" t="s">
        <v>598</v>
      </c>
      <c r="AC98" s="17" t="s">
        <v>538</v>
      </c>
      <c r="AD98" s="17" t="s">
        <v>130</v>
      </c>
    </row>
    <row r="99" spans="1:30" x14ac:dyDescent="0.2">
      <c r="A99" s="349"/>
      <c r="B99" s="350" t="s">
        <v>1015</v>
      </c>
      <c r="C99" s="350"/>
      <c r="D99" s="55" t="s">
        <v>601</v>
      </c>
      <c r="E99" s="55" t="s">
        <v>48</v>
      </c>
      <c r="F99" s="56">
        <f>F100+F104+F107</f>
        <v>279.887</v>
      </c>
      <c r="G99" s="56">
        <f>G100+G104+G107</f>
        <v>37</v>
      </c>
      <c r="H99" s="55" t="s">
        <v>48</v>
      </c>
      <c r="I99" s="56">
        <f>I100+I104+I107</f>
        <v>3.0249999999999999</v>
      </c>
      <c r="J99" s="56">
        <f t="shared" ref="J99:M99" si="28">J100+J104+J107</f>
        <v>0</v>
      </c>
      <c r="K99" s="56">
        <f t="shared" si="28"/>
        <v>0</v>
      </c>
      <c r="L99" s="56">
        <f t="shared" si="28"/>
        <v>0</v>
      </c>
      <c r="M99" s="56">
        <f t="shared" si="28"/>
        <v>0</v>
      </c>
      <c r="N99" s="56">
        <f>SUM(I100:M100)</f>
        <v>0</v>
      </c>
      <c r="O99" s="56">
        <f>O100+O104+O107</f>
        <v>22</v>
      </c>
      <c r="P99" s="56">
        <f t="shared" ref="P99:S99" si="29">P100+P104+P107</f>
        <v>0</v>
      </c>
      <c r="Q99" s="56">
        <f t="shared" si="29"/>
        <v>0</v>
      </c>
      <c r="R99" s="56">
        <f t="shared" si="29"/>
        <v>0</v>
      </c>
      <c r="S99" s="56">
        <f t="shared" si="29"/>
        <v>25</v>
      </c>
      <c r="T99" s="56">
        <f t="shared" si="21"/>
        <v>47</v>
      </c>
      <c r="U99" s="56">
        <f>U100+U104+U107</f>
        <v>23</v>
      </c>
      <c r="V99" s="105">
        <f t="shared" si="18"/>
        <v>70</v>
      </c>
      <c r="W99" s="56">
        <f>W100+W104+W107</f>
        <v>90</v>
      </c>
      <c r="X99" s="105">
        <f t="shared" si="19"/>
        <v>476.887</v>
      </c>
      <c r="Y99" s="21" t="s">
        <v>48</v>
      </c>
      <c r="Z99" s="55" t="s">
        <v>48</v>
      </c>
      <c r="AA99" s="55" t="s">
        <v>48</v>
      </c>
      <c r="AB99" s="55" t="s">
        <v>48</v>
      </c>
      <c r="AC99" s="55" t="s">
        <v>48</v>
      </c>
      <c r="AD99" s="55" t="s">
        <v>48</v>
      </c>
    </row>
    <row r="100" spans="1:30" x14ac:dyDescent="0.2">
      <c r="A100" s="349"/>
      <c r="B100" s="294" t="s">
        <v>1016</v>
      </c>
      <c r="C100" s="294"/>
      <c r="D100" s="38" t="s">
        <v>603</v>
      </c>
      <c r="E100" s="38" t="s">
        <v>48</v>
      </c>
      <c r="F100" s="40">
        <f>SUM(F101:F103)</f>
        <v>0</v>
      </c>
      <c r="G100" s="40">
        <f>SUM(G101:G103)</f>
        <v>0</v>
      </c>
      <c r="H100" s="38" t="s">
        <v>48</v>
      </c>
      <c r="I100" s="40">
        <f>SUM(I101:I103)</f>
        <v>0</v>
      </c>
      <c r="J100" s="40">
        <f t="shared" ref="J100:L100" si="30">SUM(J101:J103)</f>
        <v>0</v>
      </c>
      <c r="K100" s="40">
        <f t="shared" si="30"/>
        <v>0</v>
      </c>
      <c r="L100" s="40">
        <f t="shared" si="30"/>
        <v>0</v>
      </c>
      <c r="M100" s="40">
        <f>SUM(M101:M103)</f>
        <v>0</v>
      </c>
      <c r="N100" s="40">
        <f>SUM(I100:M100)</f>
        <v>0</v>
      </c>
      <c r="O100" s="40">
        <f>SUM(O101:O103)</f>
        <v>0</v>
      </c>
      <c r="P100" s="40">
        <f t="shared" ref="P100:S100" si="31">SUM(P101:P103)</f>
        <v>0</v>
      </c>
      <c r="Q100" s="40">
        <f t="shared" si="31"/>
        <v>0</v>
      </c>
      <c r="R100" s="40">
        <f t="shared" si="31"/>
        <v>0</v>
      </c>
      <c r="S100" s="40">
        <f t="shared" si="31"/>
        <v>0</v>
      </c>
      <c r="T100" s="41">
        <f t="shared" si="21"/>
        <v>0</v>
      </c>
      <c r="U100" s="40">
        <f>SUM(U101:U103)</f>
        <v>0</v>
      </c>
      <c r="V100" s="93">
        <f t="shared" si="18"/>
        <v>0</v>
      </c>
      <c r="W100" s="40">
        <f>SUM(W101:W103)</f>
        <v>0</v>
      </c>
      <c r="X100" s="93">
        <f t="shared" si="19"/>
        <v>0</v>
      </c>
      <c r="Y100" s="22" t="s">
        <v>48</v>
      </c>
      <c r="Z100" s="38" t="s">
        <v>48</v>
      </c>
      <c r="AA100" s="38" t="s">
        <v>48</v>
      </c>
      <c r="AB100" s="38" t="s">
        <v>48</v>
      </c>
      <c r="AC100" s="38" t="s">
        <v>48</v>
      </c>
      <c r="AD100" s="38" t="s">
        <v>48</v>
      </c>
    </row>
    <row r="101" spans="1:30" ht="63" x14ac:dyDescent="0.2">
      <c r="A101" s="349"/>
      <c r="B101" s="106" t="s">
        <v>604</v>
      </c>
      <c r="C101" s="17" t="s">
        <v>22</v>
      </c>
      <c r="D101" s="19" t="s">
        <v>165</v>
      </c>
      <c r="E101" s="19" t="s">
        <v>7</v>
      </c>
      <c r="F101" s="95">
        <v>0</v>
      </c>
      <c r="G101" s="95">
        <v>0</v>
      </c>
      <c r="H101" s="19" t="s">
        <v>46</v>
      </c>
      <c r="I101" s="95">
        <v>0</v>
      </c>
      <c r="J101" s="95">
        <v>0</v>
      </c>
      <c r="K101" s="95">
        <v>0</v>
      </c>
      <c r="L101" s="95">
        <v>0</v>
      </c>
      <c r="M101" s="95">
        <v>0</v>
      </c>
      <c r="N101" s="95">
        <f>SUM(I101:M101)</f>
        <v>0</v>
      </c>
      <c r="O101" s="95">
        <v>0</v>
      </c>
      <c r="P101" s="95">
        <v>0</v>
      </c>
      <c r="Q101" s="95">
        <v>0</v>
      </c>
      <c r="R101" s="95">
        <v>0</v>
      </c>
      <c r="S101" s="95">
        <v>0</v>
      </c>
      <c r="T101" s="95">
        <f t="shared" si="21"/>
        <v>0</v>
      </c>
      <c r="U101" s="95">
        <v>0</v>
      </c>
      <c r="V101" s="90">
        <f t="shared" si="18"/>
        <v>0</v>
      </c>
      <c r="W101" s="95">
        <v>0</v>
      </c>
      <c r="X101" s="90">
        <f t="shared" si="19"/>
        <v>0</v>
      </c>
      <c r="Y101" s="96">
        <v>240</v>
      </c>
      <c r="Z101" s="19" t="s">
        <v>69</v>
      </c>
      <c r="AA101" s="17" t="s">
        <v>1017</v>
      </c>
      <c r="AB101" s="17" t="s">
        <v>48</v>
      </c>
      <c r="AC101" s="17" t="s">
        <v>538</v>
      </c>
      <c r="AD101" s="17" t="s">
        <v>1018</v>
      </c>
    </row>
    <row r="102" spans="1:30" ht="63" x14ac:dyDescent="0.2">
      <c r="A102" s="349"/>
      <c r="B102" s="106" t="s">
        <v>608</v>
      </c>
      <c r="C102" s="17" t="s">
        <v>609</v>
      </c>
      <c r="D102" s="19" t="s">
        <v>610</v>
      </c>
      <c r="E102" s="19" t="s">
        <v>7</v>
      </c>
      <c r="F102" s="95">
        <v>0</v>
      </c>
      <c r="G102" s="95">
        <v>0</v>
      </c>
      <c r="H102" s="19" t="s">
        <v>152</v>
      </c>
      <c r="I102" s="95">
        <v>0</v>
      </c>
      <c r="J102" s="95">
        <v>0</v>
      </c>
      <c r="K102" s="95">
        <v>0</v>
      </c>
      <c r="L102" s="95">
        <v>0</v>
      </c>
      <c r="M102" s="95">
        <v>0</v>
      </c>
      <c r="N102" s="95">
        <f t="shared" ref="N102:N112" si="32">SUM(I102:M102)</f>
        <v>0</v>
      </c>
      <c r="O102" s="95">
        <v>0</v>
      </c>
      <c r="P102" s="95">
        <v>0</v>
      </c>
      <c r="Q102" s="95">
        <v>0</v>
      </c>
      <c r="R102" s="95">
        <v>0</v>
      </c>
      <c r="S102" s="95">
        <v>0</v>
      </c>
      <c r="T102" s="95">
        <f t="shared" si="21"/>
        <v>0</v>
      </c>
      <c r="U102" s="95">
        <v>0</v>
      </c>
      <c r="V102" s="90">
        <f t="shared" si="18"/>
        <v>0</v>
      </c>
      <c r="W102" s="95">
        <v>0</v>
      </c>
      <c r="X102" s="90">
        <f t="shared" si="19"/>
        <v>0</v>
      </c>
      <c r="Y102" s="96">
        <v>240</v>
      </c>
      <c r="Z102" s="19" t="s">
        <v>69</v>
      </c>
      <c r="AA102" s="17" t="s">
        <v>1017</v>
      </c>
      <c r="AB102" s="17" t="s">
        <v>48</v>
      </c>
      <c r="AC102" s="17" t="s">
        <v>538</v>
      </c>
      <c r="AD102" s="17" t="s">
        <v>86</v>
      </c>
    </row>
    <row r="103" spans="1:30" ht="52.5" x14ac:dyDescent="0.2">
      <c r="A103" s="349"/>
      <c r="B103" s="106" t="s">
        <v>1019</v>
      </c>
      <c r="C103" s="17" t="s">
        <v>1020</v>
      </c>
      <c r="D103" s="19" t="s">
        <v>1021</v>
      </c>
      <c r="E103" s="19" t="s">
        <v>7</v>
      </c>
      <c r="F103" s="95">
        <v>0</v>
      </c>
      <c r="G103" s="95">
        <v>0</v>
      </c>
      <c r="H103" s="19" t="s">
        <v>152</v>
      </c>
      <c r="I103" s="95">
        <v>0</v>
      </c>
      <c r="J103" s="95">
        <v>0</v>
      </c>
      <c r="K103" s="95">
        <v>0</v>
      </c>
      <c r="L103" s="95">
        <v>0</v>
      </c>
      <c r="M103" s="95">
        <v>0</v>
      </c>
      <c r="N103" s="95">
        <f t="shared" si="32"/>
        <v>0</v>
      </c>
      <c r="O103" s="95">
        <v>0</v>
      </c>
      <c r="P103" s="95">
        <v>0</v>
      </c>
      <c r="Q103" s="95">
        <v>0</v>
      </c>
      <c r="R103" s="95">
        <v>0</v>
      </c>
      <c r="S103" s="95">
        <v>0</v>
      </c>
      <c r="T103" s="95">
        <f t="shared" si="21"/>
        <v>0</v>
      </c>
      <c r="U103" s="95">
        <v>0</v>
      </c>
      <c r="V103" s="90">
        <f t="shared" si="18"/>
        <v>0</v>
      </c>
      <c r="W103" s="95">
        <v>0</v>
      </c>
      <c r="X103" s="90">
        <f t="shared" si="19"/>
        <v>0</v>
      </c>
      <c r="Y103" s="96">
        <v>2400</v>
      </c>
      <c r="Z103" s="19" t="s">
        <v>7</v>
      </c>
      <c r="AA103" s="17" t="s">
        <v>1022</v>
      </c>
      <c r="AB103" s="17" t="s">
        <v>1023</v>
      </c>
      <c r="AC103" s="17" t="s">
        <v>49</v>
      </c>
      <c r="AD103" s="17" t="s">
        <v>87</v>
      </c>
    </row>
    <row r="104" spans="1:30" x14ac:dyDescent="0.2">
      <c r="A104" s="349"/>
      <c r="B104" s="294" t="s">
        <v>1024</v>
      </c>
      <c r="C104" s="294"/>
      <c r="D104" s="38" t="s">
        <v>612</v>
      </c>
      <c r="E104" s="38" t="s">
        <v>48</v>
      </c>
      <c r="F104" s="40">
        <f>SUM(F105:F106)</f>
        <v>270.32799999999997</v>
      </c>
      <c r="G104" s="40">
        <f>SUM(G105:G106)</f>
        <v>37</v>
      </c>
      <c r="H104" s="38" t="s">
        <v>48</v>
      </c>
      <c r="I104" s="40">
        <f>SUM(I105:I106)</f>
        <v>0</v>
      </c>
      <c r="J104" s="40">
        <f t="shared" ref="J104:L104" si="33">SUM(J105:J106)</f>
        <v>0</v>
      </c>
      <c r="K104" s="40">
        <f>SUM(K105:K106)</f>
        <v>0</v>
      </c>
      <c r="L104" s="40">
        <f t="shared" si="33"/>
        <v>0</v>
      </c>
      <c r="M104" s="40">
        <f>SUM(M105:M106)</f>
        <v>0</v>
      </c>
      <c r="N104" s="40">
        <f t="shared" si="32"/>
        <v>0</v>
      </c>
      <c r="O104" s="40">
        <f>SUM(O105:O106)</f>
        <v>22</v>
      </c>
      <c r="P104" s="40">
        <f t="shared" ref="P104:R104" si="34">SUM(P105:P106)</f>
        <v>0</v>
      </c>
      <c r="Q104" s="40">
        <f t="shared" si="34"/>
        <v>0</v>
      </c>
      <c r="R104" s="40">
        <f t="shared" si="34"/>
        <v>0</v>
      </c>
      <c r="S104" s="40">
        <f>SUM(S105:S106)</f>
        <v>25</v>
      </c>
      <c r="T104" s="41">
        <f t="shared" si="21"/>
        <v>47</v>
      </c>
      <c r="U104" s="40">
        <f>SUM(U105:U106)</f>
        <v>23</v>
      </c>
      <c r="V104" s="93">
        <f t="shared" si="18"/>
        <v>70</v>
      </c>
      <c r="W104" s="40">
        <f>SUM(W105:W106)</f>
        <v>90</v>
      </c>
      <c r="X104" s="93">
        <f t="shared" si="19"/>
        <v>467.32799999999997</v>
      </c>
      <c r="Y104" s="22" t="s">
        <v>48</v>
      </c>
      <c r="Z104" s="38" t="s">
        <v>48</v>
      </c>
      <c r="AA104" s="38" t="s">
        <v>48</v>
      </c>
      <c r="AB104" s="38" t="s">
        <v>48</v>
      </c>
      <c r="AC104" s="38" t="s">
        <v>48</v>
      </c>
      <c r="AD104" s="38" t="s">
        <v>48</v>
      </c>
    </row>
    <row r="105" spans="1:30" ht="94.5" x14ac:dyDescent="0.2">
      <c r="A105" s="349"/>
      <c r="B105" s="106" t="s">
        <v>613</v>
      </c>
      <c r="C105" s="17" t="s">
        <v>614</v>
      </c>
      <c r="D105" s="19" t="s">
        <v>615</v>
      </c>
      <c r="E105" s="19" t="s">
        <v>7</v>
      </c>
      <c r="F105" s="95">
        <v>270.32799999999997</v>
      </c>
      <c r="G105" s="95">
        <f>6+26+5</f>
        <v>37</v>
      </c>
      <c r="H105" s="19" t="s">
        <v>152</v>
      </c>
      <c r="I105" s="95">
        <v>0</v>
      </c>
      <c r="J105" s="95">
        <v>0</v>
      </c>
      <c r="K105" s="95">
        <v>0</v>
      </c>
      <c r="L105" s="95">
        <v>0</v>
      </c>
      <c r="M105" s="95">
        <v>0</v>
      </c>
      <c r="N105" s="95">
        <f t="shared" si="32"/>
        <v>0</v>
      </c>
      <c r="O105" s="95">
        <v>22</v>
      </c>
      <c r="P105" s="95">
        <v>0</v>
      </c>
      <c r="Q105" s="95">
        <v>0</v>
      </c>
      <c r="R105" s="95">
        <v>0</v>
      </c>
      <c r="S105" s="95">
        <v>25</v>
      </c>
      <c r="T105" s="95">
        <f t="shared" si="21"/>
        <v>47</v>
      </c>
      <c r="U105" s="95">
        <f>5+18</f>
        <v>23</v>
      </c>
      <c r="V105" s="90">
        <f t="shared" si="18"/>
        <v>70</v>
      </c>
      <c r="W105" s="95">
        <f>30+60</f>
        <v>90</v>
      </c>
      <c r="X105" s="90">
        <f t="shared" si="19"/>
        <v>467.32799999999997</v>
      </c>
      <c r="Y105" s="96">
        <v>9600</v>
      </c>
      <c r="Z105" s="19" t="s">
        <v>81</v>
      </c>
      <c r="AA105" s="17" t="s">
        <v>1025</v>
      </c>
      <c r="AB105" s="17" t="s">
        <v>1026</v>
      </c>
      <c r="AC105" s="17" t="s">
        <v>49</v>
      </c>
      <c r="AD105" s="17" t="s">
        <v>1027</v>
      </c>
    </row>
    <row r="106" spans="1:30" ht="63" x14ac:dyDescent="0.2">
      <c r="A106" s="349"/>
      <c r="B106" s="106" t="s">
        <v>619</v>
      </c>
      <c r="C106" s="17" t="s">
        <v>620</v>
      </c>
      <c r="D106" s="19" t="s">
        <v>621</v>
      </c>
      <c r="E106" s="19" t="s">
        <v>69</v>
      </c>
      <c r="F106" s="95">
        <v>0</v>
      </c>
      <c r="G106" s="95">
        <v>0</v>
      </c>
      <c r="H106" s="19" t="s">
        <v>152</v>
      </c>
      <c r="I106" s="95">
        <v>0</v>
      </c>
      <c r="J106" s="95">
        <v>0</v>
      </c>
      <c r="K106" s="95">
        <v>0</v>
      </c>
      <c r="L106" s="95">
        <v>0</v>
      </c>
      <c r="M106" s="95">
        <v>0</v>
      </c>
      <c r="N106" s="95">
        <f t="shared" si="32"/>
        <v>0</v>
      </c>
      <c r="O106" s="95">
        <v>0</v>
      </c>
      <c r="P106" s="95">
        <v>0</v>
      </c>
      <c r="Q106" s="95">
        <v>0</v>
      </c>
      <c r="R106" s="95">
        <v>0</v>
      </c>
      <c r="S106" s="95">
        <v>0</v>
      </c>
      <c r="T106" s="95">
        <f t="shared" si="21"/>
        <v>0</v>
      </c>
      <c r="U106" s="95">
        <v>0</v>
      </c>
      <c r="V106" s="90">
        <f t="shared" si="18"/>
        <v>0</v>
      </c>
      <c r="W106" s="95">
        <v>0</v>
      </c>
      <c r="X106" s="90">
        <f t="shared" si="19"/>
        <v>0</v>
      </c>
      <c r="Y106" s="96">
        <v>240</v>
      </c>
      <c r="Z106" s="19" t="s">
        <v>7</v>
      </c>
      <c r="AA106" s="17" t="s">
        <v>1028</v>
      </c>
      <c r="AB106" s="17" t="s">
        <v>623</v>
      </c>
      <c r="AC106" s="17" t="s">
        <v>538</v>
      </c>
      <c r="AD106" s="17" t="s">
        <v>624</v>
      </c>
    </row>
    <row r="107" spans="1:30" x14ac:dyDescent="0.2">
      <c r="A107" s="349"/>
      <c r="B107" s="294" t="s">
        <v>1029</v>
      </c>
      <c r="C107" s="294"/>
      <c r="D107" s="38" t="s">
        <v>626</v>
      </c>
      <c r="E107" s="38" t="s">
        <v>48</v>
      </c>
      <c r="F107" s="40">
        <f>SUM(F108:F109)</f>
        <v>9.5589999999999993</v>
      </c>
      <c r="G107" s="40">
        <f>SUM(G108:G109)</f>
        <v>0</v>
      </c>
      <c r="H107" s="38" t="s">
        <v>48</v>
      </c>
      <c r="I107" s="40">
        <f>SUM(I108:I109)</f>
        <v>3.0249999999999999</v>
      </c>
      <c r="J107" s="40">
        <f t="shared" ref="J107:L107" si="35">SUM(J108:J109)</f>
        <v>0</v>
      </c>
      <c r="K107" s="40">
        <f>SUM(K108:K109)</f>
        <v>0</v>
      </c>
      <c r="L107" s="40">
        <f t="shared" si="35"/>
        <v>0</v>
      </c>
      <c r="M107" s="40">
        <f>SUM(M108:M109)</f>
        <v>0</v>
      </c>
      <c r="N107" s="40">
        <f t="shared" si="32"/>
        <v>3.0249999999999999</v>
      </c>
      <c r="O107" s="40">
        <f>SUM(O108:O109)</f>
        <v>0</v>
      </c>
      <c r="P107" s="40">
        <f t="shared" ref="P107:R107" si="36">SUM(P108:P109)</f>
        <v>0</v>
      </c>
      <c r="Q107" s="40">
        <f t="shared" si="36"/>
        <v>0</v>
      </c>
      <c r="R107" s="40">
        <f t="shared" si="36"/>
        <v>0</v>
      </c>
      <c r="S107" s="40">
        <f>SUM(S108:S109)</f>
        <v>0</v>
      </c>
      <c r="T107" s="41">
        <f t="shared" si="21"/>
        <v>0</v>
      </c>
      <c r="U107" s="40">
        <f>SUM(U108:U109)</f>
        <v>0</v>
      </c>
      <c r="V107" s="93">
        <f t="shared" si="18"/>
        <v>3.0249999999999999</v>
      </c>
      <c r="W107" s="40">
        <f>SUM(W108:W109)</f>
        <v>0</v>
      </c>
      <c r="X107" s="93">
        <f t="shared" si="19"/>
        <v>12.584</v>
      </c>
      <c r="Y107" s="22" t="s">
        <v>48</v>
      </c>
      <c r="Z107" s="38" t="s">
        <v>48</v>
      </c>
      <c r="AA107" s="38" t="s">
        <v>48</v>
      </c>
      <c r="AB107" s="38" t="s">
        <v>48</v>
      </c>
      <c r="AC107" s="38" t="s">
        <v>48</v>
      </c>
      <c r="AD107" s="38" t="s">
        <v>48</v>
      </c>
    </row>
    <row r="108" spans="1:30" ht="63" x14ac:dyDescent="0.2">
      <c r="A108" s="349"/>
      <c r="B108" s="106" t="s">
        <v>627</v>
      </c>
      <c r="C108" s="17" t="s">
        <v>75</v>
      </c>
      <c r="D108" s="19" t="s">
        <v>118</v>
      </c>
      <c r="E108" s="19" t="s">
        <v>7</v>
      </c>
      <c r="F108" s="95">
        <v>9.5589999999999993</v>
      </c>
      <c r="G108" s="95">
        <v>0</v>
      </c>
      <c r="H108" s="19" t="s">
        <v>152</v>
      </c>
      <c r="I108" s="95">
        <v>3.0249999999999999</v>
      </c>
      <c r="J108" s="95">
        <v>0</v>
      </c>
      <c r="K108" s="95">
        <v>0</v>
      </c>
      <c r="L108" s="95">
        <v>0</v>
      </c>
      <c r="M108" s="95">
        <v>0</v>
      </c>
      <c r="N108" s="95">
        <f t="shared" si="32"/>
        <v>3.0249999999999999</v>
      </c>
      <c r="O108" s="95">
        <v>0</v>
      </c>
      <c r="P108" s="95">
        <v>0</v>
      </c>
      <c r="Q108" s="95">
        <v>0</v>
      </c>
      <c r="R108" s="95">
        <v>0</v>
      </c>
      <c r="S108" s="95">
        <v>0</v>
      </c>
      <c r="T108" s="95">
        <f t="shared" si="21"/>
        <v>0</v>
      </c>
      <c r="U108" s="95">
        <v>0</v>
      </c>
      <c r="V108" s="90">
        <f t="shared" si="18"/>
        <v>3.0249999999999999</v>
      </c>
      <c r="W108" s="95">
        <v>0</v>
      </c>
      <c r="X108" s="90">
        <f t="shared" si="19"/>
        <v>12.584</v>
      </c>
      <c r="Y108" s="96">
        <v>1200</v>
      </c>
      <c r="Z108" s="19" t="s">
        <v>7</v>
      </c>
      <c r="AA108" s="17" t="s">
        <v>1030</v>
      </c>
      <c r="AB108" s="17" t="s">
        <v>48</v>
      </c>
      <c r="AC108" s="17" t="s">
        <v>538</v>
      </c>
      <c r="AD108" s="17" t="s">
        <v>630</v>
      </c>
    </row>
    <row r="109" spans="1:30" ht="31.5" x14ac:dyDescent="0.2">
      <c r="A109" s="349"/>
      <c r="B109" s="106" t="s">
        <v>1031</v>
      </c>
      <c r="C109" s="17" t="s">
        <v>1032</v>
      </c>
      <c r="D109" s="19" t="s">
        <v>1033</v>
      </c>
      <c r="E109" s="19" t="s">
        <v>69</v>
      </c>
      <c r="F109" s="95">
        <v>0</v>
      </c>
      <c r="G109" s="95">
        <v>0</v>
      </c>
      <c r="H109" s="19" t="s">
        <v>446</v>
      </c>
      <c r="I109" s="95">
        <v>0</v>
      </c>
      <c r="J109" s="95">
        <v>0</v>
      </c>
      <c r="K109" s="95">
        <v>0</v>
      </c>
      <c r="L109" s="95">
        <v>0</v>
      </c>
      <c r="M109" s="95">
        <v>0</v>
      </c>
      <c r="N109" s="95">
        <f t="shared" si="32"/>
        <v>0</v>
      </c>
      <c r="O109" s="95">
        <v>0</v>
      </c>
      <c r="P109" s="95">
        <v>0</v>
      </c>
      <c r="Q109" s="95">
        <v>0</v>
      </c>
      <c r="R109" s="95">
        <v>0</v>
      </c>
      <c r="S109" s="95">
        <v>0</v>
      </c>
      <c r="T109" s="95">
        <f t="shared" si="21"/>
        <v>0</v>
      </c>
      <c r="U109" s="95">
        <v>0</v>
      </c>
      <c r="V109" s="90">
        <f t="shared" si="18"/>
        <v>0</v>
      </c>
      <c r="W109" s="95">
        <v>0</v>
      </c>
      <c r="X109" s="90">
        <f t="shared" si="19"/>
        <v>0</v>
      </c>
      <c r="Y109" s="95" t="s">
        <v>48</v>
      </c>
      <c r="Z109" s="19" t="s">
        <v>48</v>
      </c>
      <c r="AA109" s="17" t="s">
        <v>1034</v>
      </c>
      <c r="AB109" s="17" t="s">
        <v>1035</v>
      </c>
      <c r="AC109" s="17" t="s">
        <v>332</v>
      </c>
      <c r="AD109" s="17" t="s">
        <v>87</v>
      </c>
    </row>
    <row r="110" spans="1:30" x14ac:dyDescent="0.2">
      <c r="A110" s="345"/>
      <c r="B110" s="346" t="s">
        <v>1036</v>
      </c>
      <c r="C110" s="346"/>
      <c r="D110" s="107" t="s">
        <v>638</v>
      </c>
      <c r="E110" s="107" t="s">
        <v>48</v>
      </c>
      <c r="F110" s="108">
        <f>F111+F119+F124+F127+F129</f>
        <v>1000.285</v>
      </c>
      <c r="G110" s="108">
        <f>G111+G119+G124+G127+G129</f>
        <v>2114.348</v>
      </c>
      <c r="H110" s="107" t="s">
        <v>48</v>
      </c>
      <c r="I110" s="108">
        <f>I111+I119+I124+I127+I129</f>
        <v>544.12099999999998</v>
      </c>
      <c r="J110" s="108">
        <f t="shared" ref="J110:M110" si="37">J111+J119+J124+J127+J129</f>
        <v>213.55699999999999</v>
      </c>
      <c r="K110" s="108">
        <f t="shared" si="37"/>
        <v>195.22899999999998</v>
      </c>
      <c r="L110" s="108">
        <f t="shared" si="37"/>
        <v>0</v>
      </c>
      <c r="M110" s="108">
        <f t="shared" si="37"/>
        <v>3533.0520000000001</v>
      </c>
      <c r="N110" s="108">
        <f t="shared" si="32"/>
        <v>4485.9589999999998</v>
      </c>
      <c r="O110" s="108">
        <f>O111+O119+O124+O127+O129</f>
        <v>304</v>
      </c>
      <c r="P110" s="108">
        <f t="shared" ref="P110:S110" si="38">P111+P119+P124+P127+P129</f>
        <v>0</v>
      </c>
      <c r="Q110" s="108">
        <f t="shared" si="38"/>
        <v>437.25599999999997</v>
      </c>
      <c r="R110" s="108">
        <f t="shared" si="38"/>
        <v>0</v>
      </c>
      <c r="S110" s="108">
        <f t="shared" si="38"/>
        <v>314.16300000000001</v>
      </c>
      <c r="T110" s="56">
        <f t="shared" si="21"/>
        <v>1055.4189999999999</v>
      </c>
      <c r="U110" s="108">
        <f>U111+U119+U124+U127+U129</f>
        <v>11446.364</v>
      </c>
      <c r="V110" s="105">
        <f t="shared" si="18"/>
        <v>16987.741999999998</v>
      </c>
      <c r="W110" s="108">
        <f>W111+W119+W124+W127+W129</f>
        <v>1949.43</v>
      </c>
      <c r="X110" s="105">
        <f t="shared" si="19"/>
        <v>22051.804999999997</v>
      </c>
      <c r="Y110" s="109" t="s">
        <v>48</v>
      </c>
      <c r="Z110" s="107" t="s">
        <v>48</v>
      </c>
      <c r="AA110" s="107" t="s">
        <v>48</v>
      </c>
      <c r="AB110" s="107" t="s">
        <v>48</v>
      </c>
      <c r="AC110" s="107" t="s">
        <v>48</v>
      </c>
      <c r="AD110" s="107" t="s">
        <v>48</v>
      </c>
    </row>
    <row r="111" spans="1:30" x14ac:dyDescent="0.2">
      <c r="A111" s="345"/>
      <c r="B111" s="294" t="s">
        <v>1037</v>
      </c>
      <c r="C111" s="294"/>
      <c r="D111" s="38" t="s">
        <v>640</v>
      </c>
      <c r="E111" s="38" t="s">
        <v>48</v>
      </c>
      <c r="F111" s="40">
        <f>SUM(F112:F118)</f>
        <v>535.63</v>
      </c>
      <c r="G111" s="40">
        <f>SUM(G112:G118)</f>
        <v>2008.75</v>
      </c>
      <c r="H111" s="38" t="s">
        <v>48</v>
      </c>
      <c r="I111" s="40">
        <f>SUM(I112:I118)</f>
        <v>309.565</v>
      </c>
      <c r="J111" s="40">
        <f t="shared" ref="J111:L111" si="39">SUM(J112:J118)</f>
        <v>213.55699999999999</v>
      </c>
      <c r="K111" s="40">
        <f>SUM(K112:K118)</f>
        <v>43.156999999999996</v>
      </c>
      <c r="L111" s="40">
        <f t="shared" si="39"/>
        <v>0</v>
      </c>
      <c r="M111" s="40">
        <f>SUM(M112:M118)</f>
        <v>3146</v>
      </c>
      <c r="N111" s="40">
        <f t="shared" si="32"/>
        <v>3712.279</v>
      </c>
      <c r="O111" s="40">
        <f>SUM(O112:O118)</f>
        <v>154</v>
      </c>
      <c r="P111" s="40">
        <f t="shared" ref="P111:R111" si="40">SUM(P112:P118)</f>
        <v>0</v>
      </c>
      <c r="Q111" s="40">
        <f t="shared" si="40"/>
        <v>0</v>
      </c>
      <c r="R111" s="40">
        <f t="shared" si="40"/>
        <v>0</v>
      </c>
      <c r="S111" s="40">
        <f>SUM(S112:S118)</f>
        <v>0</v>
      </c>
      <c r="T111" s="41">
        <f t="shared" si="21"/>
        <v>154</v>
      </c>
      <c r="U111" s="40">
        <f>SUM(U112:U118)</f>
        <v>7060</v>
      </c>
      <c r="V111" s="93">
        <f t="shared" si="18"/>
        <v>10926.279</v>
      </c>
      <c r="W111" s="40">
        <f>SUM(W112:W118)</f>
        <v>0</v>
      </c>
      <c r="X111" s="93">
        <f t="shared" si="19"/>
        <v>13470.659</v>
      </c>
      <c r="Y111" s="22" t="s">
        <v>48</v>
      </c>
      <c r="Z111" s="38" t="s">
        <v>48</v>
      </c>
      <c r="AA111" s="38" t="s">
        <v>48</v>
      </c>
      <c r="AB111" s="38" t="s">
        <v>48</v>
      </c>
      <c r="AC111" s="38" t="s">
        <v>48</v>
      </c>
      <c r="AD111" s="38" t="s">
        <v>48</v>
      </c>
    </row>
    <row r="112" spans="1:30" ht="73.5" x14ac:dyDescent="0.2">
      <c r="A112" s="345"/>
      <c r="B112" s="110" t="s">
        <v>641</v>
      </c>
      <c r="C112" s="17" t="s">
        <v>642</v>
      </c>
      <c r="D112" s="19" t="s">
        <v>643</v>
      </c>
      <c r="E112" s="19" t="s">
        <v>7</v>
      </c>
      <c r="F112" s="95">
        <v>52.18</v>
      </c>
      <c r="G112" s="95">
        <f>1108.1-254.4</f>
        <v>853.69999999999993</v>
      </c>
      <c r="H112" s="19" t="s">
        <v>46</v>
      </c>
      <c r="I112" s="95">
        <v>43.78</v>
      </c>
      <c r="J112" s="95">
        <f>288.337-74.78</f>
        <v>213.55699999999999</v>
      </c>
      <c r="K112" s="95">
        <v>43.156999999999996</v>
      </c>
      <c r="L112" s="95">
        <v>0</v>
      </c>
      <c r="M112" s="95">
        <v>0</v>
      </c>
      <c r="N112" s="95">
        <f t="shared" si="32"/>
        <v>300.49399999999997</v>
      </c>
      <c r="O112" s="95">
        <v>0</v>
      </c>
      <c r="P112" s="95">
        <v>0</v>
      </c>
      <c r="Q112" s="95">
        <v>0</v>
      </c>
      <c r="R112" s="95">
        <v>0</v>
      </c>
      <c r="S112" s="95">
        <v>0</v>
      </c>
      <c r="T112" s="95">
        <f t="shared" si="21"/>
        <v>0</v>
      </c>
      <c r="U112" s="95">
        <v>0</v>
      </c>
      <c r="V112" s="90">
        <f t="shared" si="18"/>
        <v>300.49399999999997</v>
      </c>
      <c r="W112" s="95">
        <v>0</v>
      </c>
      <c r="X112" s="90">
        <f>W112+V112+G112+F112</f>
        <v>1206.374</v>
      </c>
      <c r="Y112" s="96">
        <f>X112</f>
        <v>1206.374</v>
      </c>
      <c r="Z112" s="19" t="s">
        <v>7</v>
      </c>
      <c r="AA112" s="17" t="s">
        <v>1038</v>
      </c>
      <c r="AB112" s="17" t="s">
        <v>645</v>
      </c>
      <c r="AC112" s="17" t="s">
        <v>49</v>
      </c>
      <c r="AD112" s="17" t="s">
        <v>159</v>
      </c>
    </row>
    <row r="113" spans="1:30" ht="52.5" x14ac:dyDescent="0.2">
      <c r="A113" s="345"/>
      <c r="B113" s="110" t="s">
        <v>646</v>
      </c>
      <c r="C113" s="17" t="s">
        <v>647</v>
      </c>
      <c r="D113" s="19" t="s">
        <v>643</v>
      </c>
      <c r="E113" s="19" t="s">
        <v>7</v>
      </c>
      <c r="F113" s="95">
        <v>22.45</v>
      </c>
      <c r="G113" s="95">
        <f>1130.23-42.18</f>
        <v>1088.05</v>
      </c>
      <c r="H113" s="19" t="s">
        <v>46</v>
      </c>
      <c r="I113" s="95">
        <v>50.784999999999997</v>
      </c>
      <c r="J113" s="95">
        <v>0</v>
      </c>
      <c r="K113" s="95">
        <v>0</v>
      </c>
      <c r="L113" s="95">
        <v>0</v>
      </c>
      <c r="M113" s="95">
        <v>0</v>
      </c>
      <c r="N113" s="95">
        <f t="shared" ref="N113:N118" si="41">SUM(I113:M113)</f>
        <v>50.784999999999997</v>
      </c>
      <c r="O113" s="95">
        <v>0</v>
      </c>
      <c r="P113" s="95">
        <v>0</v>
      </c>
      <c r="Q113" s="95">
        <v>0</v>
      </c>
      <c r="R113" s="95">
        <v>0</v>
      </c>
      <c r="S113" s="95">
        <v>0</v>
      </c>
      <c r="T113" s="95">
        <f t="shared" si="21"/>
        <v>0</v>
      </c>
      <c r="U113" s="95">
        <v>0</v>
      </c>
      <c r="V113" s="90">
        <f t="shared" si="18"/>
        <v>50.784999999999997</v>
      </c>
      <c r="W113" s="95">
        <v>0</v>
      </c>
      <c r="X113" s="90">
        <f t="shared" si="19"/>
        <v>1161.2850000000001</v>
      </c>
      <c r="Y113" s="96">
        <f>X113</f>
        <v>1161.2850000000001</v>
      </c>
      <c r="Z113" s="19" t="s">
        <v>7</v>
      </c>
      <c r="AA113" s="17" t="s">
        <v>1039</v>
      </c>
      <c r="AB113" s="17" t="s">
        <v>649</v>
      </c>
      <c r="AC113" s="17" t="s">
        <v>49</v>
      </c>
      <c r="AD113" s="17" t="s">
        <v>159</v>
      </c>
    </row>
    <row r="114" spans="1:30" ht="73.5" x14ac:dyDescent="0.2">
      <c r="A114" s="345"/>
      <c r="B114" s="110" t="s">
        <v>650</v>
      </c>
      <c r="C114" s="17" t="s">
        <v>651</v>
      </c>
      <c r="D114" s="19" t="s">
        <v>1040</v>
      </c>
      <c r="E114" s="19" t="s">
        <v>7</v>
      </c>
      <c r="F114" s="95">
        <v>89</v>
      </c>
      <c r="G114" s="95">
        <v>67</v>
      </c>
      <c r="H114" s="19" t="s">
        <v>46</v>
      </c>
      <c r="I114" s="95">
        <v>22</v>
      </c>
      <c r="J114" s="95">
        <v>0</v>
      </c>
      <c r="K114" s="95">
        <v>0</v>
      </c>
      <c r="L114" s="95">
        <v>0</v>
      </c>
      <c r="M114" s="95">
        <f>2748+344+19</f>
        <v>3111</v>
      </c>
      <c r="N114" s="95">
        <f t="shared" si="41"/>
        <v>3133</v>
      </c>
      <c r="O114" s="95">
        <v>0</v>
      </c>
      <c r="P114" s="95">
        <v>0</v>
      </c>
      <c r="Q114" s="95">
        <v>0</v>
      </c>
      <c r="R114" s="95">
        <v>0</v>
      </c>
      <c r="S114" s="95">
        <v>0</v>
      </c>
      <c r="T114" s="95">
        <f t="shared" si="21"/>
        <v>0</v>
      </c>
      <c r="U114" s="95">
        <v>0</v>
      </c>
      <c r="V114" s="90">
        <f t="shared" si="18"/>
        <v>3133</v>
      </c>
      <c r="W114" s="95">
        <v>0</v>
      </c>
      <c r="X114" s="90">
        <f t="shared" si="19"/>
        <v>3289</v>
      </c>
      <c r="Y114" s="96">
        <f>X114</f>
        <v>3289</v>
      </c>
      <c r="Z114" s="19" t="s">
        <v>69</v>
      </c>
      <c r="AA114" s="17" t="s">
        <v>1041</v>
      </c>
      <c r="AB114" s="17" t="s">
        <v>653</v>
      </c>
      <c r="AC114" s="17" t="s">
        <v>58</v>
      </c>
      <c r="AD114" s="17" t="s">
        <v>124</v>
      </c>
    </row>
    <row r="115" spans="1:30" ht="53.25" x14ac:dyDescent="0.2">
      <c r="A115" s="345"/>
      <c r="B115" s="110" t="s">
        <v>654</v>
      </c>
      <c r="C115" s="17" t="s">
        <v>655</v>
      </c>
      <c r="D115" s="19" t="s">
        <v>1040</v>
      </c>
      <c r="E115" s="19" t="s">
        <v>7</v>
      </c>
      <c r="F115" s="95">
        <v>27</v>
      </c>
      <c r="G115" s="95">
        <v>0</v>
      </c>
      <c r="H115" s="19" t="s">
        <v>152</v>
      </c>
      <c r="I115" s="95">
        <v>153</v>
      </c>
      <c r="J115" s="95">
        <v>0</v>
      </c>
      <c r="K115" s="95">
        <v>0</v>
      </c>
      <c r="L115" s="95">
        <v>0</v>
      </c>
      <c r="M115" s="95">
        <v>0</v>
      </c>
      <c r="N115" s="95">
        <f t="shared" si="41"/>
        <v>153</v>
      </c>
      <c r="O115" s="95">
        <v>154</v>
      </c>
      <c r="P115" s="95">
        <v>0</v>
      </c>
      <c r="Q115" s="95">
        <v>0</v>
      </c>
      <c r="R115" s="95">
        <v>0</v>
      </c>
      <c r="S115" s="95">
        <v>0</v>
      </c>
      <c r="T115" s="95">
        <f t="shared" si="21"/>
        <v>154</v>
      </c>
      <c r="U115" s="95">
        <v>7060</v>
      </c>
      <c r="V115" s="90">
        <f t="shared" si="18"/>
        <v>7367</v>
      </c>
      <c r="W115" s="95">
        <v>0</v>
      </c>
      <c r="X115" s="90">
        <f t="shared" si="19"/>
        <v>7394</v>
      </c>
      <c r="Y115" s="96">
        <v>7420</v>
      </c>
      <c r="Z115" s="19" t="s">
        <v>7</v>
      </c>
      <c r="AA115" s="17" t="s">
        <v>1042</v>
      </c>
      <c r="AB115" s="17" t="s">
        <v>657</v>
      </c>
      <c r="AC115" s="17" t="s">
        <v>58</v>
      </c>
      <c r="AD115" s="17" t="s">
        <v>124</v>
      </c>
    </row>
    <row r="116" spans="1:30" ht="84" x14ac:dyDescent="0.2">
      <c r="A116" s="345"/>
      <c r="B116" s="110" t="s">
        <v>658</v>
      </c>
      <c r="C116" s="17" t="s">
        <v>659</v>
      </c>
      <c r="D116" s="19" t="s">
        <v>1040</v>
      </c>
      <c r="E116" s="19" t="s">
        <v>7</v>
      </c>
      <c r="F116" s="95">
        <v>0</v>
      </c>
      <c r="G116" s="95">
        <v>0</v>
      </c>
      <c r="H116" s="19" t="s">
        <v>46</v>
      </c>
      <c r="I116" s="95">
        <v>40</v>
      </c>
      <c r="J116" s="95">
        <v>0</v>
      </c>
      <c r="K116" s="95">
        <v>0</v>
      </c>
      <c r="L116" s="95">
        <v>0</v>
      </c>
      <c r="M116" s="95">
        <v>35</v>
      </c>
      <c r="N116" s="95">
        <f t="shared" si="41"/>
        <v>75</v>
      </c>
      <c r="O116" s="95">
        <v>0</v>
      </c>
      <c r="P116" s="95">
        <v>0</v>
      </c>
      <c r="Q116" s="95">
        <v>0</v>
      </c>
      <c r="R116" s="95">
        <v>0</v>
      </c>
      <c r="S116" s="95">
        <v>0</v>
      </c>
      <c r="T116" s="95">
        <f t="shared" si="21"/>
        <v>0</v>
      </c>
      <c r="U116" s="95">
        <v>0</v>
      </c>
      <c r="V116" s="90">
        <f t="shared" si="18"/>
        <v>75</v>
      </c>
      <c r="W116" s="95">
        <v>0</v>
      </c>
      <c r="X116" s="90">
        <f t="shared" si="19"/>
        <v>75</v>
      </c>
      <c r="Y116" s="96">
        <v>282</v>
      </c>
      <c r="Z116" s="19" t="s">
        <v>7</v>
      </c>
      <c r="AA116" s="17" t="s">
        <v>1043</v>
      </c>
      <c r="AB116" s="17" t="s">
        <v>48</v>
      </c>
      <c r="AC116" s="17" t="s">
        <v>58</v>
      </c>
      <c r="AD116" s="17" t="s">
        <v>124</v>
      </c>
    </row>
    <row r="117" spans="1:30" ht="63" x14ac:dyDescent="0.2">
      <c r="A117" s="345"/>
      <c r="B117" s="110" t="s">
        <v>661</v>
      </c>
      <c r="C117" s="17" t="s">
        <v>662</v>
      </c>
      <c r="D117" s="19" t="s">
        <v>1040</v>
      </c>
      <c r="E117" s="19" t="s">
        <v>7</v>
      </c>
      <c r="F117" s="95">
        <v>0</v>
      </c>
      <c r="G117" s="95">
        <v>0</v>
      </c>
      <c r="H117" s="19" t="s">
        <v>152</v>
      </c>
      <c r="I117" s="95">
        <v>0</v>
      </c>
      <c r="J117" s="95">
        <v>0</v>
      </c>
      <c r="K117" s="95">
        <v>0</v>
      </c>
      <c r="L117" s="95">
        <v>0</v>
      </c>
      <c r="M117" s="95">
        <v>0</v>
      </c>
      <c r="N117" s="95">
        <f t="shared" si="41"/>
        <v>0</v>
      </c>
      <c r="O117" s="95">
        <v>0</v>
      </c>
      <c r="P117" s="95">
        <v>0</v>
      </c>
      <c r="Q117" s="95">
        <v>0</v>
      </c>
      <c r="R117" s="95">
        <v>0</v>
      </c>
      <c r="S117" s="95">
        <v>0</v>
      </c>
      <c r="T117" s="95">
        <f t="shared" si="21"/>
        <v>0</v>
      </c>
      <c r="U117" s="95">
        <v>0</v>
      </c>
      <c r="V117" s="90">
        <f t="shared" si="18"/>
        <v>0</v>
      </c>
      <c r="W117" s="95">
        <v>0</v>
      </c>
      <c r="X117" s="90">
        <f t="shared" si="19"/>
        <v>0</v>
      </c>
      <c r="Y117" s="96">
        <v>300</v>
      </c>
      <c r="Z117" s="19" t="s">
        <v>69</v>
      </c>
      <c r="AA117" s="17" t="s">
        <v>1013</v>
      </c>
      <c r="AB117" s="17"/>
      <c r="AC117" s="17" t="s">
        <v>538</v>
      </c>
      <c r="AD117" s="17" t="s">
        <v>159</v>
      </c>
    </row>
    <row r="118" spans="1:30" ht="42" x14ac:dyDescent="0.2">
      <c r="A118" s="345"/>
      <c r="B118" s="111" t="s">
        <v>56</v>
      </c>
      <c r="C118" s="17" t="s">
        <v>663</v>
      </c>
      <c r="D118" s="19" t="s">
        <v>1040</v>
      </c>
      <c r="E118" s="19" t="s">
        <v>7</v>
      </c>
      <c r="F118" s="95">
        <v>345</v>
      </c>
      <c r="G118" s="95">
        <v>0</v>
      </c>
      <c r="H118" s="19" t="s">
        <v>46</v>
      </c>
      <c r="I118" s="95">
        <v>0</v>
      </c>
      <c r="J118" s="95">
        <v>0</v>
      </c>
      <c r="K118" s="95">
        <v>0</v>
      </c>
      <c r="L118" s="95">
        <v>0</v>
      </c>
      <c r="M118" s="95">
        <v>0</v>
      </c>
      <c r="N118" s="95">
        <f t="shared" si="41"/>
        <v>0</v>
      </c>
      <c r="O118" s="95">
        <v>0</v>
      </c>
      <c r="P118" s="95">
        <v>0</v>
      </c>
      <c r="Q118" s="95">
        <v>0</v>
      </c>
      <c r="R118" s="95">
        <v>0</v>
      </c>
      <c r="S118" s="95">
        <v>0</v>
      </c>
      <c r="T118" s="95">
        <f t="shared" si="21"/>
        <v>0</v>
      </c>
      <c r="U118" s="95">
        <v>0</v>
      </c>
      <c r="V118" s="90">
        <f t="shared" si="18"/>
        <v>0</v>
      </c>
      <c r="W118" s="95">
        <v>0</v>
      </c>
      <c r="X118" s="90">
        <f t="shared" si="19"/>
        <v>345</v>
      </c>
      <c r="Y118" s="96">
        <v>3102</v>
      </c>
      <c r="Z118" s="19" t="s">
        <v>7</v>
      </c>
      <c r="AA118" s="17" t="s">
        <v>1044</v>
      </c>
      <c r="AB118" s="17" t="s">
        <v>57</v>
      </c>
      <c r="AC118" s="17" t="s">
        <v>58</v>
      </c>
      <c r="AD118" s="17" t="s">
        <v>124</v>
      </c>
    </row>
    <row r="119" spans="1:30" x14ac:dyDescent="0.2">
      <c r="A119" s="345"/>
      <c r="B119" s="294" t="s">
        <v>1045</v>
      </c>
      <c r="C119" s="294"/>
      <c r="D119" s="38" t="s">
        <v>666</v>
      </c>
      <c r="E119" s="38" t="s">
        <v>48</v>
      </c>
      <c r="F119" s="40">
        <f>SUM(F120:F123)</f>
        <v>464.65499999999997</v>
      </c>
      <c r="G119" s="40">
        <f>SUM(G120:G123)</f>
        <v>0</v>
      </c>
      <c r="H119" s="38" t="s">
        <v>48</v>
      </c>
      <c r="I119" s="40">
        <f>SUM(I120:I122)</f>
        <v>0</v>
      </c>
      <c r="J119" s="40">
        <f t="shared" ref="J119:L119" si="42">SUM(J120:J122)</f>
        <v>0</v>
      </c>
      <c r="K119" s="40">
        <f>SUM(K120:K122)</f>
        <v>152.072</v>
      </c>
      <c r="L119" s="40">
        <f t="shared" si="42"/>
        <v>0</v>
      </c>
      <c r="M119" s="40">
        <f>SUM(M120:M123)</f>
        <v>387.05200000000002</v>
      </c>
      <c r="N119" s="40">
        <f>SUM(I119:M119)</f>
        <v>539.12400000000002</v>
      </c>
      <c r="O119" s="40">
        <f>SUM(O120:O122)</f>
        <v>0</v>
      </c>
      <c r="P119" s="40">
        <f t="shared" ref="P119:R119" si="43">SUM(P120:P122)</f>
        <v>0</v>
      </c>
      <c r="Q119" s="40">
        <f t="shared" si="43"/>
        <v>437.25599999999997</v>
      </c>
      <c r="R119" s="40">
        <f t="shared" si="43"/>
        <v>0</v>
      </c>
      <c r="S119" s="40">
        <f>SUM(S120:S123)</f>
        <v>314.16300000000001</v>
      </c>
      <c r="T119" s="41">
        <f t="shared" si="21"/>
        <v>751.41899999999998</v>
      </c>
      <c r="U119" s="40">
        <f>SUM(U120:U123)</f>
        <v>4219.5439999999999</v>
      </c>
      <c r="V119" s="93">
        <f t="shared" si="18"/>
        <v>5510.0869999999995</v>
      </c>
      <c r="W119" s="40">
        <f>SUM(W120:W123)</f>
        <v>1660</v>
      </c>
      <c r="X119" s="93">
        <f t="shared" si="19"/>
        <v>7634.7419999999993</v>
      </c>
      <c r="Y119" s="22" t="s">
        <v>48</v>
      </c>
      <c r="Z119" s="38" t="s">
        <v>48</v>
      </c>
      <c r="AA119" s="38" t="s">
        <v>48</v>
      </c>
      <c r="AB119" s="38" t="s">
        <v>48</v>
      </c>
      <c r="AC119" s="38" t="s">
        <v>48</v>
      </c>
      <c r="AD119" s="38" t="s">
        <v>48</v>
      </c>
    </row>
    <row r="120" spans="1:30" ht="157.5" x14ac:dyDescent="0.2">
      <c r="A120" s="345"/>
      <c r="B120" s="110" t="s">
        <v>667</v>
      </c>
      <c r="C120" s="17" t="s">
        <v>1046</v>
      </c>
      <c r="D120" s="19" t="s">
        <v>669</v>
      </c>
      <c r="E120" s="19" t="s">
        <v>7</v>
      </c>
      <c r="F120" s="95">
        <v>297</v>
      </c>
      <c r="G120" s="95">
        <v>0</v>
      </c>
      <c r="H120" s="19" t="s">
        <v>46</v>
      </c>
      <c r="I120" s="95">
        <v>0</v>
      </c>
      <c r="J120" s="95">
        <v>0</v>
      </c>
      <c r="K120" s="95">
        <v>0</v>
      </c>
      <c r="L120" s="95">
        <v>0</v>
      </c>
      <c r="M120" s="95">
        <v>86</v>
      </c>
      <c r="N120" s="95">
        <f>SUM(I120:M120)</f>
        <v>86</v>
      </c>
      <c r="O120" s="95">
        <v>0</v>
      </c>
      <c r="P120" s="95">
        <v>0</v>
      </c>
      <c r="Q120" s="95">
        <v>0</v>
      </c>
      <c r="R120" s="95">
        <v>0</v>
      </c>
      <c r="S120" s="95">
        <v>27</v>
      </c>
      <c r="T120" s="95">
        <f t="shared" si="21"/>
        <v>27</v>
      </c>
      <c r="U120" s="95">
        <v>0</v>
      </c>
      <c r="V120" s="90">
        <f t="shared" si="18"/>
        <v>113</v>
      </c>
      <c r="W120" s="95">
        <v>0</v>
      </c>
      <c r="X120" s="90">
        <f t="shared" si="19"/>
        <v>410</v>
      </c>
      <c r="Y120" s="96">
        <v>482</v>
      </c>
      <c r="Z120" s="19" t="s">
        <v>69</v>
      </c>
      <c r="AA120" s="17" t="s">
        <v>1047</v>
      </c>
      <c r="AB120" s="17" t="s">
        <v>1048</v>
      </c>
      <c r="AC120" s="17" t="s">
        <v>672</v>
      </c>
      <c r="AD120" s="17" t="s">
        <v>124</v>
      </c>
    </row>
    <row r="121" spans="1:30" ht="42" x14ac:dyDescent="0.2">
      <c r="A121" s="345"/>
      <c r="B121" s="110" t="s">
        <v>673</v>
      </c>
      <c r="C121" s="17" t="s">
        <v>674</v>
      </c>
      <c r="D121" s="19" t="s">
        <v>675</v>
      </c>
      <c r="E121" s="19" t="s">
        <v>7</v>
      </c>
      <c r="F121" s="95">
        <v>0</v>
      </c>
      <c r="G121" s="95">
        <v>0</v>
      </c>
      <c r="H121" s="19" t="s">
        <v>46</v>
      </c>
      <c r="I121" s="95">
        <v>0</v>
      </c>
      <c r="J121" s="95">
        <v>0</v>
      </c>
      <c r="K121" s="95">
        <v>0</v>
      </c>
      <c r="L121" s="95">
        <v>0</v>
      </c>
      <c r="M121" s="95">
        <v>0</v>
      </c>
      <c r="N121" s="95">
        <f t="shared" ref="N121:N122" si="44">SUM(I121:M121)</f>
        <v>0</v>
      </c>
      <c r="O121" s="95">
        <v>0</v>
      </c>
      <c r="P121" s="95">
        <v>0</v>
      </c>
      <c r="Q121" s="95">
        <v>0</v>
      </c>
      <c r="R121" s="95">
        <v>0</v>
      </c>
      <c r="S121" s="95">
        <v>0</v>
      </c>
      <c r="T121" s="95">
        <f t="shared" si="21"/>
        <v>0</v>
      </c>
      <c r="U121" s="95">
        <v>40</v>
      </c>
      <c r="V121" s="90">
        <f t="shared" si="18"/>
        <v>40</v>
      </c>
      <c r="W121" s="95">
        <v>1060</v>
      </c>
      <c r="X121" s="90">
        <f t="shared" si="19"/>
        <v>1100</v>
      </c>
      <c r="Y121" s="96">
        <v>1284</v>
      </c>
      <c r="Z121" s="19" t="s">
        <v>7</v>
      </c>
      <c r="AA121" s="17" t="s">
        <v>24</v>
      </c>
      <c r="AB121" s="17" t="s">
        <v>1049</v>
      </c>
      <c r="AC121" s="17" t="s">
        <v>226</v>
      </c>
      <c r="AD121" s="17" t="s">
        <v>124</v>
      </c>
    </row>
    <row r="122" spans="1:30" ht="94.5" x14ac:dyDescent="0.2">
      <c r="A122" s="345"/>
      <c r="B122" s="19" t="s">
        <v>677</v>
      </c>
      <c r="C122" s="17" t="s">
        <v>25</v>
      </c>
      <c r="D122" s="19" t="s">
        <v>675</v>
      </c>
      <c r="E122" s="19" t="s">
        <v>7</v>
      </c>
      <c r="F122" s="95">
        <v>167.655</v>
      </c>
      <c r="G122" s="95">
        <v>0</v>
      </c>
      <c r="H122" s="19" t="s">
        <v>46</v>
      </c>
      <c r="I122" s="95">
        <v>0</v>
      </c>
      <c r="J122" s="95">
        <v>0</v>
      </c>
      <c r="K122" s="95">
        <v>152.072</v>
      </c>
      <c r="L122" s="95">
        <v>0</v>
      </c>
      <c r="M122" s="95">
        <v>296.726</v>
      </c>
      <c r="N122" s="95">
        <f t="shared" si="44"/>
        <v>448.798</v>
      </c>
      <c r="O122" s="95">
        <v>0</v>
      </c>
      <c r="P122" s="95">
        <v>0</v>
      </c>
      <c r="Q122" s="95">
        <v>437.25599999999997</v>
      </c>
      <c r="R122" s="95">
        <v>0</v>
      </c>
      <c r="S122" s="95">
        <v>287.16300000000001</v>
      </c>
      <c r="T122" s="95">
        <f t="shared" si="21"/>
        <v>724.41899999999998</v>
      </c>
      <c r="U122" s="95">
        <v>2780.9279999999999</v>
      </c>
      <c r="V122" s="90">
        <f t="shared" si="18"/>
        <v>3954.145</v>
      </c>
      <c r="W122" s="95">
        <v>600</v>
      </c>
      <c r="X122" s="90">
        <f t="shared" si="19"/>
        <v>4721.8</v>
      </c>
      <c r="Y122" s="96">
        <v>4721.8</v>
      </c>
      <c r="Z122" s="19" t="s">
        <v>7</v>
      </c>
      <c r="AA122" s="17" t="s">
        <v>1050</v>
      </c>
      <c r="AB122" s="17" t="s">
        <v>1051</v>
      </c>
      <c r="AC122" s="17" t="s">
        <v>226</v>
      </c>
      <c r="AD122" s="17" t="s">
        <v>124</v>
      </c>
    </row>
    <row r="123" spans="1:30" ht="136.5" x14ac:dyDescent="0.2">
      <c r="A123" s="345"/>
      <c r="B123" s="19" t="s">
        <v>222</v>
      </c>
      <c r="C123" s="17" t="s">
        <v>223</v>
      </c>
      <c r="D123" s="19" t="s">
        <v>224</v>
      </c>
      <c r="E123" s="19"/>
      <c r="F123" s="95">
        <v>0</v>
      </c>
      <c r="G123" s="95">
        <v>0</v>
      </c>
      <c r="H123" s="19" t="s">
        <v>46</v>
      </c>
      <c r="I123" s="95">
        <v>0</v>
      </c>
      <c r="J123" s="95">
        <v>0</v>
      </c>
      <c r="K123" s="95">
        <v>0</v>
      </c>
      <c r="L123" s="95">
        <v>0</v>
      </c>
      <c r="M123" s="95">
        <v>4.3259999999999996</v>
      </c>
      <c r="N123" s="95">
        <v>4.3259999999999996</v>
      </c>
      <c r="O123" s="95">
        <v>0</v>
      </c>
      <c r="P123" s="95">
        <v>50</v>
      </c>
      <c r="Q123" s="95">
        <v>0</v>
      </c>
      <c r="R123" s="95">
        <v>0</v>
      </c>
      <c r="S123" s="95">
        <v>0</v>
      </c>
      <c r="T123" s="95">
        <v>50</v>
      </c>
      <c r="U123" s="95">
        <v>1398.616</v>
      </c>
      <c r="V123" s="90">
        <f t="shared" si="18"/>
        <v>1452.942</v>
      </c>
      <c r="W123" s="95">
        <v>0</v>
      </c>
      <c r="X123" s="90">
        <v>0</v>
      </c>
      <c r="Y123" s="96">
        <v>1452.94</v>
      </c>
      <c r="Z123" s="19" t="s">
        <v>7</v>
      </c>
      <c r="AA123" s="17" t="s">
        <v>1052</v>
      </c>
      <c r="AB123" s="17" t="s">
        <v>225</v>
      </c>
      <c r="AC123" s="17" t="s">
        <v>226</v>
      </c>
      <c r="AD123" s="17" t="s">
        <v>124</v>
      </c>
    </row>
    <row r="124" spans="1:30" x14ac:dyDescent="0.2">
      <c r="A124" s="345"/>
      <c r="B124" s="294" t="s">
        <v>680</v>
      </c>
      <c r="C124" s="294"/>
      <c r="D124" s="38" t="s">
        <v>681</v>
      </c>
      <c r="E124" s="38" t="s">
        <v>48</v>
      </c>
      <c r="F124" s="40">
        <f>SUM(F125:F126)</f>
        <v>0</v>
      </c>
      <c r="G124" s="40">
        <f>SUM(G125:G126)</f>
        <v>0</v>
      </c>
      <c r="H124" s="38" t="s">
        <v>48</v>
      </c>
      <c r="I124" s="40">
        <f>SUM(I125:I126)</f>
        <v>0</v>
      </c>
      <c r="J124" s="40">
        <f t="shared" ref="J124:L124" si="45">SUM(J125:J126)</f>
        <v>0</v>
      </c>
      <c r="K124" s="40">
        <f t="shared" si="45"/>
        <v>0</v>
      </c>
      <c r="L124" s="40">
        <f t="shared" si="45"/>
        <v>0</v>
      </c>
      <c r="M124" s="40">
        <f>SUM(M125:M126)</f>
        <v>0</v>
      </c>
      <c r="N124" s="40">
        <f>SUM(I124:M124)</f>
        <v>0</v>
      </c>
      <c r="O124" s="40">
        <f>SUM(O125:O126)</f>
        <v>0</v>
      </c>
      <c r="P124" s="40">
        <f t="shared" ref="P124:R124" si="46">SUM(P125:P126)</f>
        <v>0</v>
      </c>
      <c r="Q124" s="40">
        <f t="shared" si="46"/>
        <v>0</v>
      </c>
      <c r="R124" s="40">
        <f t="shared" si="46"/>
        <v>0</v>
      </c>
      <c r="S124" s="40">
        <f>SUM(S125:S126)</f>
        <v>0</v>
      </c>
      <c r="T124" s="41">
        <f t="shared" si="21"/>
        <v>0</v>
      </c>
      <c r="U124" s="40">
        <f>SUM(U125:U126)</f>
        <v>0</v>
      </c>
      <c r="V124" s="93">
        <f t="shared" si="18"/>
        <v>0</v>
      </c>
      <c r="W124" s="40">
        <f>SUM(W125:W126)</f>
        <v>0</v>
      </c>
      <c r="X124" s="93">
        <f t="shared" si="19"/>
        <v>0</v>
      </c>
      <c r="Y124" s="22" t="s">
        <v>48</v>
      </c>
      <c r="Z124" s="38" t="s">
        <v>48</v>
      </c>
      <c r="AA124" s="38" t="s">
        <v>48</v>
      </c>
      <c r="AB124" s="38" t="s">
        <v>48</v>
      </c>
      <c r="AC124" s="38" t="s">
        <v>48</v>
      </c>
      <c r="AD124" s="38" t="s">
        <v>48</v>
      </c>
    </row>
    <row r="125" spans="1:30" ht="52.5" x14ac:dyDescent="0.2">
      <c r="A125" s="345"/>
      <c r="B125" s="110" t="s">
        <v>682</v>
      </c>
      <c r="C125" s="17" t="s">
        <v>683</v>
      </c>
      <c r="D125" s="19" t="s">
        <v>120</v>
      </c>
      <c r="E125" s="19" t="s">
        <v>69</v>
      </c>
      <c r="F125" s="95">
        <v>0</v>
      </c>
      <c r="G125" s="95">
        <v>0</v>
      </c>
      <c r="H125" s="19" t="s">
        <v>152</v>
      </c>
      <c r="I125" s="95">
        <v>0</v>
      </c>
      <c r="J125" s="95">
        <v>0</v>
      </c>
      <c r="K125" s="95">
        <v>0</v>
      </c>
      <c r="L125" s="95">
        <v>0</v>
      </c>
      <c r="M125" s="95">
        <v>0</v>
      </c>
      <c r="N125" s="95">
        <f>SUM(I125:M125)</f>
        <v>0</v>
      </c>
      <c r="O125" s="95">
        <v>0</v>
      </c>
      <c r="P125" s="95">
        <v>0</v>
      </c>
      <c r="Q125" s="95">
        <v>0</v>
      </c>
      <c r="R125" s="95">
        <v>0</v>
      </c>
      <c r="S125" s="95">
        <v>0</v>
      </c>
      <c r="T125" s="95">
        <f t="shared" si="21"/>
        <v>0</v>
      </c>
      <c r="U125" s="95">
        <v>0</v>
      </c>
      <c r="V125" s="90">
        <f t="shared" si="18"/>
        <v>0</v>
      </c>
      <c r="W125" s="95">
        <v>0</v>
      </c>
      <c r="X125" s="90">
        <f t="shared" si="19"/>
        <v>0</v>
      </c>
      <c r="Y125" s="96">
        <v>5040</v>
      </c>
      <c r="Z125" s="19" t="s">
        <v>69</v>
      </c>
      <c r="AA125" s="17" t="s">
        <v>1053</v>
      </c>
      <c r="AB125" s="17" t="s">
        <v>26</v>
      </c>
      <c r="AC125" s="17" t="s">
        <v>49</v>
      </c>
      <c r="AD125" s="17" t="s">
        <v>1054</v>
      </c>
    </row>
    <row r="126" spans="1:30" ht="52.5" x14ac:dyDescent="0.2">
      <c r="A126" s="345"/>
      <c r="B126" s="110" t="s">
        <v>686</v>
      </c>
      <c r="C126" s="17" t="s">
        <v>28</v>
      </c>
      <c r="D126" s="19" t="s">
        <v>687</v>
      </c>
      <c r="E126" s="19" t="s">
        <v>7</v>
      </c>
      <c r="F126" s="95">
        <v>0</v>
      </c>
      <c r="G126" s="95">
        <v>0</v>
      </c>
      <c r="H126" s="19" t="s">
        <v>152</v>
      </c>
      <c r="I126" s="95">
        <v>0</v>
      </c>
      <c r="J126" s="95">
        <v>0</v>
      </c>
      <c r="K126" s="95">
        <v>0</v>
      </c>
      <c r="L126" s="95">
        <v>0</v>
      </c>
      <c r="M126" s="95">
        <v>0</v>
      </c>
      <c r="N126" s="95">
        <f>SUM(I126:M126)</f>
        <v>0</v>
      </c>
      <c r="O126" s="95">
        <v>0</v>
      </c>
      <c r="P126" s="95">
        <v>0</v>
      </c>
      <c r="Q126" s="95">
        <v>0</v>
      </c>
      <c r="R126" s="95">
        <v>0</v>
      </c>
      <c r="S126" s="95">
        <v>0</v>
      </c>
      <c r="T126" s="95">
        <f t="shared" si="21"/>
        <v>0</v>
      </c>
      <c r="U126" s="95">
        <v>0</v>
      </c>
      <c r="V126" s="90">
        <f t="shared" si="18"/>
        <v>0</v>
      </c>
      <c r="W126" s="95">
        <v>0</v>
      </c>
      <c r="X126" s="90">
        <f t="shared" si="19"/>
        <v>0</v>
      </c>
      <c r="Y126" s="96">
        <v>480</v>
      </c>
      <c r="Z126" s="19" t="s">
        <v>69</v>
      </c>
      <c r="AA126" s="17" t="s">
        <v>1055</v>
      </c>
      <c r="AB126" s="17" t="s">
        <v>27</v>
      </c>
      <c r="AC126" s="17" t="s">
        <v>338</v>
      </c>
      <c r="AD126" s="17" t="s">
        <v>214</v>
      </c>
    </row>
    <row r="127" spans="1:30" x14ac:dyDescent="0.2">
      <c r="A127" s="345"/>
      <c r="B127" s="294" t="s">
        <v>689</v>
      </c>
      <c r="C127" s="294"/>
      <c r="D127" s="38" t="s">
        <v>690</v>
      </c>
      <c r="E127" s="38" t="s">
        <v>48</v>
      </c>
      <c r="F127" s="40">
        <f>SUM(F128)</f>
        <v>0</v>
      </c>
      <c r="G127" s="40">
        <f>SUM(G128)</f>
        <v>105.598</v>
      </c>
      <c r="H127" s="38" t="s">
        <v>48</v>
      </c>
      <c r="I127" s="40">
        <f>SUM(I128)</f>
        <v>123.988</v>
      </c>
      <c r="J127" s="40">
        <f t="shared" ref="J127:L127" si="47">SUM(J128)</f>
        <v>0</v>
      </c>
      <c r="K127" s="40">
        <f>SUM(K128)</f>
        <v>0</v>
      </c>
      <c r="L127" s="40">
        <f t="shared" si="47"/>
        <v>0</v>
      </c>
      <c r="M127" s="40">
        <f>SUM(M128)</f>
        <v>0</v>
      </c>
      <c r="N127" s="40">
        <f>SUM(I127:M127)</f>
        <v>123.988</v>
      </c>
      <c r="O127" s="40">
        <f>SUM(O128)</f>
        <v>50</v>
      </c>
      <c r="P127" s="40">
        <f t="shared" ref="P127:S127" si="48">SUM(P128)</f>
        <v>0</v>
      </c>
      <c r="Q127" s="40">
        <f t="shared" si="48"/>
        <v>0</v>
      </c>
      <c r="R127" s="40">
        <f t="shared" si="48"/>
        <v>0</v>
      </c>
      <c r="S127" s="40">
        <f t="shared" si="48"/>
        <v>0</v>
      </c>
      <c r="T127" s="41">
        <f t="shared" si="21"/>
        <v>50</v>
      </c>
      <c r="U127" s="40">
        <f>SUM(U128)</f>
        <v>66.819999999999993</v>
      </c>
      <c r="V127" s="93">
        <f t="shared" si="18"/>
        <v>240.80799999999999</v>
      </c>
      <c r="W127" s="40">
        <f>SUM(W128)</f>
        <v>0</v>
      </c>
      <c r="X127" s="93">
        <f t="shared" si="19"/>
        <v>346.40600000000001</v>
      </c>
      <c r="Y127" s="22" t="s">
        <v>48</v>
      </c>
      <c r="Z127" s="38" t="s">
        <v>48</v>
      </c>
      <c r="AA127" s="38" t="s">
        <v>48</v>
      </c>
      <c r="AB127" s="38" t="s">
        <v>48</v>
      </c>
      <c r="AC127" s="38" t="s">
        <v>48</v>
      </c>
      <c r="AD127" s="38" t="s">
        <v>48</v>
      </c>
    </row>
    <row r="128" spans="1:30" ht="52.5" x14ac:dyDescent="0.2">
      <c r="A128" s="345"/>
      <c r="B128" s="110" t="s">
        <v>691</v>
      </c>
      <c r="C128" s="17" t="s">
        <v>692</v>
      </c>
      <c r="D128" s="19" t="s">
        <v>693</v>
      </c>
      <c r="E128" s="19" t="s">
        <v>69</v>
      </c>
      <c r="F128" s="95">
        <v>0</v>
      </c>
      <c r="G128" s="95">
        <f>6.318+99.28</f>
        <v>105.598</v>
      </c>
      <c r="H128" s="19" t="s">
        <v>46</v>
      </c>
      <c r="I128" s="95">
        <v>123.988</v>
      </c>
      <c r="J128" s="95">
        <v>0</v>
      </c>
      <c r="K128" s="95">
        <v>0</v>
      </c>
      <c r="L128" s="95">
        <v>0</v>
      </c>
      <c r="M128" s="95">
        <v>0</v>
      </c>
      <c r="N128" s="95">
        <f>SUM(I128:M128)</f>
        <v>123.988</v>
      </c>
      <c r="O128" s="95">
        <v>50</v>
      </c>
      <c r="P128" s="95">
        <v>0</v>
      </c>
      <c r="Q128" s="95">
        <v>0</v>
      </c>
      <c r="R128" s="95">
        <v>0</v>
      </c>
      <c r="S128" s="95">
        <v>0</v>
      </c>
      <c r="T128" s="95">
        <f t="shared" si="21"/>
        <v>50</v>
      </c>
      <c r="U128" s="95">
        <v>66.819999999999993</v>
      </c>
      <c r="V128" s="90">
        <f t="shared" si="18"/>
        <v>240.80799999999999</v>
      </c>
      <c r="W128" s="95">
        <v>0</v>
      </c>
      <c r="X128" s="90">
        <f t="shared" si="19"/>
        <v>346.40600000000001</v>
      </c>
      <c r="Y128" s="96">
        <v>360</v>
      </c>
      <c r="Z128" s="19" t="s">
        <v>81</v>
      </c>
      <c r="AA128" s="17" t="s">
        <v>1056</v>
      </c>
      <c r="AB128" s="17" t="s">
        <v>48</v>
      </c>
      <c r="AC128" s="17" t="s">
        <v>695</v>
      </c>
      <c r="AD128" s="17" t="s">
        <v>287</v>
      </c>
    </row>
    <row r="129" spans="1:30" x14ac:dyDescent="0.2">
      <c r="A129" s="345"/>
      <c r="B129" s="294" t="s">
        <v>696</v>
      </c>
      <c r="C129" s="294"/>
      <c r="D129" s="38" t="s">
        <v>697</v>
      </c>
      <c r="E129" s="38" t="s">
        <v>48</v>
      </c>
      <c r="F129" s="40">
        <f>SUM(F130:F133)</f>
        <v>0</v>
      </c>
      <c r="G129" s="40">
        <f>SUM(G130:G133)</f>
        <v>0</v>
      </c>
      <c r="H129" s="38" t="s">
        <v>48</v>
      </c>
      <c r="I129" s="40">
        <f>SUM(I130:I133)</f>
        <v>110.568</v>
      </c>
      <c r="J129" s="40">
        <f t="shared" ref="J129:L129" si="49">SUM(J130:J133)</f>
        <v>0</v>
      </c>
      <c r="K129" s="40">
        <f>SUM(K130:K133)</f>
        <v>0</v>
      </c>
      <c r="L129" s="40">
        <f t="shared" si="49"/>
        <v>0</v>
      </c>
      <c r="M129" s="40">
        <f>SUM(M130:M133)</f>
        <v>0</v>
      </c>
      <c r="N129" s="41">
        <f t="shared" ref="N129:N181" si="50">SUM(I129:M129)</f>
        <v>110.568</v>
      </c>
      <c r="O129" s="40">
        <f>SUM(O130:O133)</f>
        <v>100</v>
      </c>
      <c r="P129" s="40">
        <f t="shared" ref="P129:R129" si="51">SUM(P130:P133)</f>
        <v>0</v>
      </c>
      <c r="Q129" s="40">
        <f t="shared" si="51"/>
        <v>0</v>
      </c>
      <c r="R129" s="40">
        <f t="shared" si="51"/>
        <v>0</v>
      </c>
      <c r="S129" s="40">
        <f>SUM(S130:S133)</f>
        <v>0</v>
      </c>
      <c r="T129" s="41">
        <f t="shared" si="21"/>
        <v>100</v>
      </c>
      <c r="U129" s="40">
        <f>SUM(U130:U133)</f>
        <v>100</v>
      </c>
      <c r="V129" s="93">
        <f t="shared" si="18"/>
        <v>310.56799999999998</v>
      </c>
      <c r="W129" s="40">
        <f>SUM(W130:W133)</f>
        <v>289.43</v>
      </c>
      <c r="X129" s="93">
        <f t="shared" si="19"/>
        <v>599.99800000000005</v>
      </c>
      <c r="Y129" s="22" t="s">
        <v>48</v>
      </c>
      <c r="Z129" s="38" t="s">
        <v>48</v>
      </c>
      <c r="AA129" s="38" t="s">
        <v>48</v>
      </c>
      <c r="AB129" s="38" t="s">
        <v>48</v>
      </c>
      <c r="AC129" s="38" t="s">
        <v>48</v>
      </c>
      <c r="AD129" s="38" t="s">
        <v>48</v>
      </c>
    </row>
    <row r="130" spans="1:30" ht="73.5" x14ac:dyDescent="0.2">
      <c r="A130" s="345"/>
      <c r="B130" s="110" t="s">
        <v>698</v>
      </c>
      <c r="C130" s="17" t="s">
        <v>699</v>
      </c>
      <c r="D130" s="19" t="s">
        <v>700</v>
      </c>
      <c r="E130" s="19" t="s">
        <v>7</v>
      </c>
      <c r="F130" s="95">
        <v>0</v>
      </c>
      <c r="G130" s="95">
        <v>0</v>
      </c>
      <c r="H130" s="19" t="s">
        <v>46</v>
      </c>
      <c r="I130" s="95">
        <v>110.568</v>
      </c>
      <c r="J130" s="95">
        <v>0</v>
      </c>
      <c r="K130" s="95">
        <v>0</v>
      </c>
      <c r="L130" s="95">
        <v>0</v>
      </c>
      <c r="M130" s="95">
        <v>0</v>
      </c>
      <c r="N130" s="95">
        <f t="shared" si="50"/>
        <v>110.568</v>
      </c>
      <c r="O130" s="95">
        <v>100</v>
      </c>
      <c r="P130" s="95">
        <v>0</v>
      </c>
      <c r="Q130" s="95">
        <v>0</v>
      </c>
      <c r="R130" s="95">
        <v>0</v>
      </c>
      <c r="S130" s="95">
        <v>0</v>
      </c>
      <c r="T130" s="95">
        <f t="shared" si="21"/>
        <v>100</v>
      </c>
      <c r="U130" s="95">
        <v>100</v>
      </c>
      <c r="V130" s="90">
        <f t="shared" si="18"/>
        <v>310.56799999999998</v>
      </c>
      <c r="W130" s="95">
        <v>289.43</v>
      </c>
      <c r="X130" s="90">
        <f t="shared" si="19"/>
        <v>599.99800000000005</v>
      </c>
      <c r="Y130" s="96">
        <v>600</v>
      </c>
      <c r="Z130" s="19" t="s">
        <v>69</v>
      </c>
      <c r="AA130" s="17" t="s">
        <v>1057</v>
      </c>
      <c r="AB130" s="17" t="s">
        <v>48</v>
      </c>
      <c r="AC130" s="17" t="s">
        <v>123</v>
      </c>
      <c r="AD130" s="17" t="s">
        <v>159</v>
      </c>
    </row>
    <row r="131" spans="1:30" ht="42" x14ac:dyDescent="0.2">
      <c r="A131" s="345"/>
      <c r="B131" s="110" t="s">
        <v>1058</v>
      </c>
      <c r="C131" s="17" t="s">
        <v>29</v>
      </c>
      <c r="D131" s="19" t="s">
        <v>700</v>
      </c>
      <c r="E131" s="19" t="s">
        <v>69</v>
      </c>
      <c r="F131" s="95">
        <v>0</v>
      </c>
      <c r="G131" s="95">
        <v>0</v>
      </c>
      <c r="H131" s="19" t="s">
        <v>446</v>
      </c>
      <c r="I131" s="95">
        <v>0</v>
      </c>
      <c r="J131" s="95">
        <v>0</v>
      </c>
      <c r="K131" s="95">
        <v>0</v>
      </c>
      <c r="L131" s="95">
        <v>0</v>
      </c>
      <c r="M131" s="95">
        <v>0</v>
      </c>
      <c r="N131" s="95">
        <f t="shared" si="50"/>
        <v>0</v>
      </c>
      <c r="O131" s="95">
        <v>0</v>
      </c>
      <c r="P131" s="95">
        <v>0</v>
      </c>
      <c r="Q131" s="95">
        <v>0</v>
      </c>
      <c r="R131" s="95">
        <v>0</v>
      </c>
      <c r="S131" s="95">
        <v>0</v>
      </c>
      <c r="T131" s="95">
        <f t="shared" si="21"/>
        <v>0</v>
      </c>
      <c r="U131" s="95">
        <v>0</v>
      </c>
      <c r="V131" s="90">
        <f t="shared" si="18"/>
        <v>0</v>
      </c>
      <c r="W131" s="95">
        <v>0</v>
      </c>
      <c r="X131" s="90">
        <f t="shared" si="19"/>
        <v>0</v>
      </c>
      <c r="Y131" s="96">
        <v>720</v>
      </c>
      <c r="Z131" s="19" t="s">
        <v>69</v>
      </c>
      <c r="AA131" s="17" t="s">
        <v>1059</v>
      </c>
      <c r="AB131" s="17" t="s">
        <v>1060</v>
      </c>
      <c r="AC131" s="17" t="s">
        <v>123</v>
      </c>
      <c r="AD131" s="17" t="s">
        <v>159</v>
      </c>
    </row>
    <row r="132" spans="1:30" ht="31.5" x14ac:dyDescent="0.2">
      <c r="A132" s="345"/>
      <c r="B132" s="110" t="s">
        <v>1061</v>
      </c>
      <c r="C132" s="17" t="s">
        <v>59</v>
      </c>
      <c r="D132" s="19" t="s">
        <v>700</v>
      </c>
      <c r="E132" s="19" t="s">
        <v>69</v>
      </c>
      <c r="F132" s="95">
        <v>0</v>
      </c>
      <c r="G132" s="95">
        <v>0</v>
      </c>
      <c r="H132" s="19" t="s">
        <v>446</v>
      </c>
      <c r="I132" s="95">
        <v>0</v>
      </c>
      <c r="J132" s="95">
        <v>0</v>
      </c>
      <c r="K132" s="95">
        <v>0</v>
      </c>
      <c r="L132" s="95">
        <v>0</v>
      </c>
      <c r="M132" s="95">
        <v>0</v>
      </c>
      <c r="N132" s="95">
        <f t="shared" si="50"/>
        <v>0</v>
      </c>
      <c r="O132" s="95">
        <v>0</v>
      </c>
      <c r="P132" s="95">
        <v>0</v>
      </c>
      <c r="Q132" s="95">
        <v>0</v>
      </c>
      <c r="R132" s="95">
        <v>0</v>
      </c>
      <c r="S132" s="95">
        <v>0</v>
      </c>
      <c r="T132" s="95">
        <f t="shared" si="21"/>
        <v>0</v>
      </c>
      <c r="U132" s="95">
        <v>0</v>
      </c>
      <c r="V132" s="90">
        <f t="shared" si="18"/>
        <v>0</v>
      </c>
      <c r="W132" s="95">
        <v>0</v>
      </c>
      <c r="X132" s="90">
        <f t="shared" si="19"/>
        <v>0</v>
      </c>
      <c r="Y132" s="96">
        <v>720</v>
      </c>
      <c r="Z132" s="19" t="s">
        <v>69</v>
      </c>
      <c r="AA132" s="17" t="s">
        <v>60</v>
      </c>
      <c r="AB132" s="17" t="s">
        <v>1060</v>
      </c>
      <c r="AC132" s="17" t="s">
        <v>123</v>
      </c>
      <c r="AD132" s="17" t="s">
        <v>159</v>
      </c>
    </row>
    <row r="133" spans="1:30" ht="52.5" x14ac:dyDescent="0.2">
      <c r="A133" s="345"/>
      <c r="B133" s="110" t="s">
        <v>701</v>
      </c>
      <c r="C133" s="17" t="s">
        <v>30</v>
      </c>
      <c r="D133" s="19" t="s">
        <v>700</v>
      </c>
      <c r="E133" s="19" t="s">
        <v>7</v>
      </c>
      <c r="F133" s="95">
        <v>0</v>
      </c>
      <c r="G133" s="95">
        <v>0</v>
      </c>
      <c r="H133" s="19" t="s">
        <v>152</v>
      </c>
      <c r="I133" s="95">
        <v>0</v>
      </c>
      <c r="J133" s="95">
        <v>0</v>
      </c>
      <c r="K133" s="95">
        <v>0</v>
      </c>
      <c r="L133" s="95">
        <v>0</v>
      </c>
      <c r="M133" s="95">
        <v>0</v>
      </c>
      <c r="N133" s="95">
        <f t="shared" si="50"/>
        <v>0</v>
      </c>
      <c r="O133" s="95">
        <v>0</v>
      </c>
      <c r="P133" s="95">
        <v>0</v>
      </c>
      <c r="Q133" s="95">
        <v>0</v>
      </c>
      <c r="R133" s="95">
        <v>0</v>
      </c>
      <c r="S133" s="95">
        <v>0</v>
      </c>
      <c r="T133" s="95">
        <f t="shared" si="21"/>
        <v>0</v>
      </c>
      <c r="U133" s="95">
        <v>0</v>
      </c>
      <c r="V133" s="90">
        <f t="shared" si="18"/>
        <v>0</v>
      </c>
      <c r="W133" s="95">
        <v>0</v>
      </c>
      <c r="X133" s="90">
        <f t="shared" si="19"/>
        <v>0</v>
      </c>
      <c r="Y133" s="96">
        <v>5126.6899999999996</v>
      </c>
      <c r="Z133" s="19" t="s">
        <v>7</v>
      </c>
      <c r="AA133" s="17" t="s">
        <v>31</v>
      </c>
      <c r="AB133" s="17" t="s">
        <v>703</v>
      </c>
      <c r="AC133" s="17" t="s">
        <v>49</v>
      </c>
      <c r="AD133" s="17" t="s">
        <v>1062</v>
      </c>
    </row>
    <row r="134" spans="1:30" x14ac:dyDescent="0.2">
      <c r="A134" s="341"/>
      <c r="B134" s="342" t="s">
        <v>704</v>
      </c>
      <c r="C134" s="342"/>
      <c r="D134" s="68" t="s">
        <v>705</v>
      </c>
      <c r="E134" s="68" t="s">
        <v>48</v>
      </c>
      <c r="F134" s="67">
        <f>F135</f>
        <v>1495.9059</v>
      </c>
      <c r="G134" s="67">
        <f>G135</f>
        <v>2753.6909999999998</v>
      </c>
      <c r="H134" s="68" t="s">
        <v>48</v>
      </c>
      <c r="I134" s="67">
        <f>I135</f>
        <v>2202.5929999999998</v>
      </c>
      <c r="J134" s="67">
        <f t="shared" ref="J134:M134" si="52">J135</f>
        <v>5129.433</v>
      </c>
      <c r="K134" s="67">
        <f t="shared" si="52"/>
        <v>109.86</v>
      </c>
      <c r="L134" s="67">
        <f t="shared" si="52"/>
        <v>972.94599999999991</v>
      </c>
      <c r="M134" s="67">
        <f t="shared" si="52"/>
        <v>0</v>
      </c>
      <c r="N134" s="69">
        <f t="shared" si="50"/>
        <v>8414.8319999999985</v>
      </c>
      <c r="O134" s="67">
        <f>O135</f>
        <v>7642.1920000000009</v>
      </c>
      <c r="P134" s="67">
        <f t="shared" ref="P134:S134" si="53">P135</f>
        <v>3806.826</v>
      </c>
      <c r="Q134" s="67">
        <f t="shared" si="53"/>
        <v>0</v>
      </c>
      <c r="R134" s="67">
        <f t="shared" si="53"/>
        <v>1314.0809999999999</v>
      </c>
      <c r="S134" s="67">
        <f t="shared" si="53"/>
        <v>0</v>
      </c>
      <c r="T134" s="69">
        <f t="shared" si="21"/>
        <v>12763.099</v>
      </c>
      <c r="U134" s="67">
        <f>U135</f>
        <v>19982.268000000004</v>
      </c>
      <c r="V134" s="112">
        <f t="shared" si="18"/>
        <v>41160.199000000001</v>
      </c>
      <c r="W134" s="67">
        <f>W135</f>
        <v>48754.795000000006</v>
      </c>
      <c r="X134" s="112">
        <f t="shared" si="19"/>
        <v>94164.59090000001</v>
      </c>
      <c r="Y134" s="24" t="s">
        <v>48</v>
      </c>
      <c r="Z134" s="68" t="s">
        <v>48</v>
      </c>
      <c r="AA134" s="68" t="s">
        <v>48</v>
      </c>
      <c r="AB134" s="68" t="s">
        <v>48</v>
      </c>
      <c r="AC134" s="68" t="s">
        <v>48</v>
      </c>
      <c r="AD134" s="68" t="s">
        <v>48</v>
      </c>
    </row>
    <row r="135" spans="1:30" x14ac:dyDescent="0.2">
      <c r="A135" s="341"/>
      <c r="B135" s="294" t="s">
        <v>1063</v>
      </c>
      <c r="C135" s="294"/>
      <c r="D135" s="38" t="s">
        <v>707</v>
      </c>
      <c r="E135" s="38" t="s">
        <v>48</v>
      </c>
      <c r="F135" s="40">
        <f>SUM(F136:F158)</f>
        <v>1495.9059</v>
      </c>
      <c r="G135" s="40">
        <f>SUM(G136:G158)</f>
        <v>2753.6909999999998</v>
      </c>
      <c r="H135" s="38" t="s">
        <v>48</v>
      </c>
      <c r="I135" s="40">
        <f>SUM(I136:I158)</f>
        <v>2202.5929999999998</v>
      </c>
      <c r="J135" s="40">
        <f t="shared" ref="J135:L135" si="54">SUM(J136:J158)</f>
        <v>5129.433</v>
      </c>
      <c r="K135" s="40">
        <f>SUM(K136:K158)</f>
        <v>109.86</v>
      </c>
      <c r="L135" s="40">
        <f t="shared" si="54"/>
        <v>972.94599999999991</v>
      </c>
      <c r="M135" s="40">
        <f>SUM(M136:M158)</f>
        <v>0</v>
      </c>
      <c r="N135" s="41">
        <f t="shared" si="50"/>
        <v>8414.8319999999985</v>
      </c>
      <c r="O135" s="40">
        <f>SUM(O136:O158)</f>
        <v>7642.1920000000009</v>
      </c>
      <c r="P135" s="40">
        <f t="shared" ref="P135:R135" si="55">SUM(P136:P158)</f>
        <v>3806.826</v>
      </c>
      <c r="Q135" s="40">
        <f t="shared" si="55"/>
        <v>0</v>
      </c>
      <c r="R135" s="40">
        <f t="shared" si="55"/>
        <v>1314.0809999999999</v>
      </c>
      <c r="S135" s="40">
        <f>SUM(S136:S158)</f>
        <v>0</v>
      </c>
      <c r="T135" s="41">
        <f t="shared" si="21"/>
        <v>12763.099</v>
      </c>
      <c r="U135" s="40">
        <f>SUM(U136:U158)</f>
        <v>19982.268000000004</v>
      </c>
      <c r="V135" s="93">
        <f t="shared" si="18"/>
        <v>41160.199000000001</v>
      </c>
      <c r="W135" s="40">
        <f>SUM(W136:W158)</f>
        <v>48754.795000000006</v>
      </c>
      <c r="X135" s="93">
        <f t="shared" si="19"/>
        <v>94164.59090000001</v>
      </c>
      <c r="Y135" s="22" t="s">
        <v>48</v>
      </c>
      <c r="Z135" s="38" t="s">
        <v>48</v>
      </c>
      <c r="AA135" s="38" t="s">
        <v>48</v>
      </c>
      <c r="AB135" s="38" t="s">
        <v>48</v>
      </c>
      <c r="AC135" s="38" t="s">
        <v>48</v>
      </c>
      <c r="AD135" s="38" t="s">
        <v>48</v>
      </c>
    </row>
    <row r="136" spans="1:30" ht="126" x14ac:dyDescent="0.2">
      <c r="A136" s="341"/>
      <c r="B136" s="113" t="s">
        <v>708</v>
      </c>
      <c r="C136" s="17" t="s">
        <v>32</v>
      </c>
      <c r="D136" s="19" t="s">
        <v>66</v>
      </c>
      <c r="E136" s="19" t="s">
        <v>7</v>
      </c>
      <c r="F136" s="95">
        <v>0</v>
      </c>
      <c r="G136" s="95">
        <v>54.837000000000003</v>
      </c>
      <c r="H136" s="19" t="s">
        <v>46</v>
      </c>
      <c r="I136" s="95">
        <v>46.104999999999997</v>
      </c>
      <c r="J136" s="95">
        <v>0</v>
      </c>
      <c r="K136" s="95">
        <v>0</v>
      </c>
      <c r="L136" s="95">
        <v>9.5109999999999992</v>
      </c>
      <c r="M136" s="95">
        <v>0</v>
      </c>
      <c r="N136" s="95">
        <f t="shared" si="50"/>
        <v>55.616</v>
      </c>
      <c r="O136" s="95">
        <v>943.79300000000001</v>
      </c>
      <c r="P136" s="95">
        <v>0</v>
      </c>
      <c r="Q136" s="95">
        <v>0</v>
      </c>
      <c r="R136" s="95">
        <v>34</v>
      </c>
      <c r="S136" s="95">
        <v>0</v>
      </c>
      <c r="T136" s="95">
        <f t="shared" si="21"/>
        <v>977.79300000000001</v>
      </c>
      <c r="U136" s="95">
        <v>1007.496</v>
      </c>
      <c r="V136" s="90">
        <f t="shared" si="18"/>
        <v>2040.9050000000002</v>
      </c>
      <c r="W136" s="95">
        <v>2732.4090000000001</v>
      </c>
      <c r="X136" s="90">
        <f t="shared" si="19"/>
        <v>4828.1510000000007</v>
      </c>
      <c r="Y136" s="96">
        <f t="shared" ref="Y136:Y142" si="56">X136</f>
        <v>4828.1510000000007</v>
      </c>
      <c r="Z136" s="19" t="s">
        <v>81</v>
      </c>
      <c r="AA136" s="17" t="s">
        <v>1064</v>
      </c>
      <c r="AB136" s="17" t="s">
        <v>33</v>
      </c>
      <c r="AC136" s="17" t="s">
        <v>1065</v>
      </c>
      <c r="AD136" s="17" t="s">
        <v>711</v>
      </c>
    </row>
    <row r="137" spans="1:30" ht="105" x14ac:dyDescent="0.2">
      <c r="A137" s="341"/>
      <c r="B137" s="113" t="s">
        <v>712</v>
      </c>
      <c r="C137" s="17" t="s">
        <v>713</v>
      </c>
      <c r="D137" s="19" t="s">
        <v>714</v>
      </c>
      <c r="E137" s="19" t="s">
        <v>7</v>
      </c>
      <c r="F137" s="95">
        <v>0</v>
      </c>
      <c r="G137" s="95">
        <v>0</v>
      </c>
      <c r="H137" s="19" t="s">
        <v>46</v>
      </c>
      <c r="I137" s="95">
        <v>216.11099999999999</v>
      </c>
      <c r="J137" s="95">
        <v>172.35599999999999</v>
      </c>
      <c r="K137" s="95">
        <v>0</v>
      </c>
      <c r="L137" s="95">
        <v>30.416</v>
      </c>
      <c r="M137" s="95">
        <v>0</v>
      </c>
      <c r="N137" s="95">
        <f t="shared" si="50"/>
        <v>418.88299999999998</v>
      </c>
      <c r="O137" s="95">
        <v>1530.0329999999999</v>
      </c>
      <c r="P137" s="95">
        <v>114.904</v>
      </c>
      <c r="Q137" s="95">
        <v>0</v>
      </c>
      <c r="R137" s="95">
        <v>20.277000000000001</v>
      </c>
      <c r="S137" s="95">
        <v>0</v>
      </c>
      <c r="T137" s="95">
        <f t="shared" si="21"/>
        <v>1665.2139999999999</v>
      </c>
      <c r="U137" s="95">
        <v>1620.9690000000001</v>
      </c>
      <c r="V137" s="90">
        <f t="shared" si="18"/>
        <v>3705.0659999999998</v>
      </c>
      <c r="W137" s="95">
        <v>5452.0379999999996</v>
      </c>
      <c r="X137" s="90">
        <f t="shared" si="19"/>
        <v>9157.1039999999994</v>
      </c>
      <c r="Y137" s="96">
        <f t="shared" si="56"/>
        <v>9157.1039999999994</v>
      </c>
      <c r="Z137" s="19" t="s">
        <v>69</v>
      </c>
      <c r="AA137" s="17" t="s">
        <v>1066</v>
      </c>
      <c r="AB137" s="17" t="s">
        <v>48</v>
      </c>
      <c r="AC137" s="17" t="s">
        <v>1065</v>
      </c>
      <c r="AD137" s="17" t="s">
        <v>48</v>
      </c>
    </row>
    <row r="138" spans="1:30" ht="105" x14ac:dyDescent="0.2">
      <c r="A138" s="341"/>
      <c r="B138" s="113" t="s">
        <v>716</v>
      </c>
      <c r="C138" s="17" t="s">
        <v>717</v>
      </c>
      <c r="D138" s="19" t="s">
        <v>718</v>
      </c>
      <c r="E138" s="19" t="s">
        <v>7</v>
      </c>
      <c r="F138" s="95">
        <v>0</v>
      </c>
      <c r="G138" s="95">
        <v>270.83999999999997</v>
      </c>
      <c r="H138" s="19" t="s">
        <v>46</v>
      </c>
      <c r="I138" s="95">
        <v>143.58099999999999</v>
      </c>
      <c r="J138" s="95">
        <v>0</v>
      </c>
      <c r="K138" s="95">
        <v>0</v>
      </c>
      <c r="L138" s="95">
        <v>0</v>
      </c>
      <c r="M138" s="95">
        <v>0</v>
      </c>
      <c r="N138" s="95">
        <f t="shared" si="50"/>
        <v>143.58099999999999</v>
      </c>
      <c r="O138" s="95">
        <v>0</v>
      </c>
      <c r="P138" s="95">
        <v>733.71299999999997</v>
      </c>
      <c r="Q138" s="95">
        <v>0</v>
      </c>
      <c r="R138" s="95">
        <v>10</v>
      </c>
      <c r="S138" s="95">
        <v>0</v>
      </c>
      <c r="T138" s="95">
        <f t="shared" si="21"/>
        <v>743.71299999999997</v>
      </c>
      <c r="U138" s="95">
        <v>5187.3239999999996</v>
      </c>
      <c r="V138" s="90">
        <f t="shared" si="18"/>
        <v>6074.6179999999995</v>
      </c>
      <c r="W138" s="95">
        <v>10029.719999999999</v>
      </c>
      <c r="X138" s="90">
        <f t="shared" si="19"/>
        <v>16375.178</v>
      </c>
      <c r="Y138" s="96">
        <f t="shared" si="56"/>
        <v>16375.178</v>
      </c>
      <c r="Z138" s="19" t="s">
        <v>69</v>
      </c>
      <c r="AA138" s="17" t="s">
        <v>1067</v>
      </c>
      <c r="AB138" s="17" t="s">
        <v>720</v>
      </c>
      <c r="AC138" s="17" t="s">
        <v>1065</v>
      </c>
      <c r="AD138" s="17" t="s">
        <v>48</v>
      </c>
    </row>
    <row r="139" spans="1:30" ht="231" x14ac:dyDescent="0.2">
      <c r="A139" s="341"/>
      <c r="B139" s="113" t="s">
        <v>721</v>
      </c>
      <c r="C139" s="17" t="s">
        <v>722</v>
      </c>
      <c r="D139" s="19" t="s">
        <v>723</v>
      </c>
      <c r="E139" s="19" t="s">
        <v>7</v>
      </c>
      <c r="F139" s="95">
        <v>0</v>
      </c>
      <c r="G139" s="95">
        <v>630.83299999999997</v>
      </c>
      <c r="H139" s="19" t="s">
        <v>46</v>
      </c>
      <c r="I139" s="95">
        <v>359.74799999999999</v>
      </c>
      <c r="J139" s="95">
        <v>1050.848</v>
      </c>
      <c r="K139" s="95">
        <v>0</v>
      </c>
      <c r="L139" s="95">
        <v>265.50900000000001</v>
      </c>
      <c r="M139" s="95">
        <v>0</v>
      </c>
      <c r="N139" s="95">
        <f t="shared" si="50"/>
        <v>1676.105</v>
      </c>
      <c r="O139" s="95">
        <v>2014.6880000000001</v>
      </c>
      <c r="P139" s="95">
        <v>690.50099999999998</v>
      </c>
      <c r="Q139" s="95">
        <v>0</v>
      </c>
      <c r="R139" s="95">
        <v>808.63499999999999</v>
      </c>
      <c r="S139" s="95">
        <v>0</v>
      </c>
      <c r="T139" s="95">
        <f t="shared" si="21"/>
        <v>3513.8240000000005</v>
      </c>
      <c r="U139" s="95">
        <v>8785.5759999999991</v>
      </c>
      <c r="V139" s="90">
        <f t="shared" si="18"/>
        <v>13975.504999999999</v>
      </c>
      <c r="W139" s="95">
        <v>6292.4660000000003</v>
      </c>
      <c r="X139" s="90">
        <f t="shared" si="19"/>
        <v>20898.803999999996</v>
      </c>
      <c r="Y139" s="96">
        <f t="shared" si="56"/>
        <v>20898.803999999996</v>
      </c>
      <c r="Z139" s="19" t="s">
        <v>69</v>
      </c>
      <c r="AA139" s="17" t="s">
        <v>1068</v>
      </c>
      <c r="AB139" s="17" t="s">
        <v>48</v>
      </c>
      <c r="AC139" s="17" t="s">
        <v>1065</v>
      </c>
      <c r="AD139" s="17" t="s">
        <v>48</v>
      </c>
    </row>
    <row r="140" spans="1:30" ht="52.5" x14ac:dyDescent="0.2">
      <c r="A140" s="341"/>
      <c r="B140" s="113" t="s">
        <v>725</v>
      </c>
      <c r="C140" s="17" t="s">
        <v>726</v>
      </c>
      <c r="D140" s="19" t="s">
        <v>723</v>
      </c>
      <c r="E140" s="19" t="s">
        <v>7</v>
      </c>
      <c r="F140" s="95">
        <v>0</v>
      </c>
      <c r="G140" s="95">
        <v>0</v>
      </c>
      <c r="H140" s="19" t="s">
        <v>46</v>
      </c>
      <c r="I140" s="95">
        <v>597.62599999999998</v>
      </c>
      <c r="J140" s="95">
        <v>0</v>
      </c>
      <c r="K140" s="95">
        <v>0</v>
      </c>
      <c r="L140" s="95">
        <v>0</v>
      </c>
      <c r="M140" s="95">
        <v>0</v>
      </c>
      <c r="N140" s="95">
        <f t="shared" si="50"/>
        <v>597.62599999999998</v>
      </c>
      <c r="O140" s="95">
        <v>448.79399999999998</v>
      </c>
      <c r="P140" s="95">
        <v>0</v>
      </c>
      <c r="Q140" s="95">
        <v>0</v>
      </c>
      <c r="R140" s="95">
        <v>0</v>
      </c>
      <c r="S140" s="95">
        <v>0</v>
      </c>
      <c r="T140" s="95">
        <f t="shared" si="21"/>
        <v>448.79399999999998</v>
      </c>
      <c r="U140" s="95">
        <v>80</v>
      </c>
      <c r="V140" s="90">
        <f t="shared" si="18"/>
        <v>1126.42</v>
      </c>
      <c r="W140" s="95">
        <v>0</v>
      </c>
      <c r="X140" s="90">
        <f t="shared" si="19"/>
        <v>1126.42</v>
      </c>
      <c r="Y140" s="96">
        <f t="shared" si="56"/>
        <v>1126.42</v>
      </c>
      <c r="Z140" s="19" t="s">
        <v>69</v>
      </c>
      <c r="AA140" s="17" t="s">
        <v>1069</v>
      </c>
      <c r="AB140" s="17" t="s">
        <v>48</v>
      </c>
      <c r="AC140" s="17" t="s">
        <v>1065</v>
      </c>
      <c r="AD140" s="17" t="s">
        <v>48</v>
      </c>
    </row>
    <row r="141" spans="1:30" ht="52.5" x14ac:dyDescent="0.2">
      <c r="A141" s="341"/>
      <c r="B141" s="113" t="s">
        <v>728</v>
      </c>
      <c r="C141" s="17" t="s">
        <v>729</v>
      </c>
      <c r="D141" s="19" t="s">
        <v>723</v>
      </c>
      <c r="E141" s="19" t="s">
        <v>7</v>
      </c>
      <c r="F141" s="95">
        <v>0</v>
      </c>
      <c r="G141" s="95">
        <v>0</v>
      </c>
      <c r="H141" s="19" t="s">
        <v>46</v>
      </c>
      <c r="I141" s="95">
        <v>166.38200000000001</v>
      </c>
      <c r="J141" s="95">
        <v>0</v>
      </c>
      <c r="K141" s="95">
        <v>0</v>
      </c>
      <c r="L141" s="95">
        <v>0</v>
      </c>
      <c r="M141" s="95">
        <v>0</v>
      </c>
      <c r="N141" s="95">
        <f t="shared" si="50"/>
        <v>166.38200000000001</v>
      </c>
      <c r="O141" s="95">
        <v>367.10599999999999</v>
      </c>
      <c r="P141" s="95">
        <v>0</v>
      </c>
      <c r="Q141" s="95">
        <v>0</v>
      </c>
      <c r="R141" s="95">
        <v>0</v>
      </c>
      <c r="S141" s="95">
        <v>0</v>
      </c>
      <c r="T141" s="95">
        <f t="shared" si="21"/>
        <v>367.10599999999999</v>
      </c>
      <c r="U141" s="95">
        <v>342.40600000000001</v>
      </c>
      <c r="V141" s="90">
        <f t="shared" si="18"/>
        <v>875.89400000000001</v>
      </c>
      <c r="W141" s="95">
        <v>2209.6819999999998</v>
      </c>
      <c r="X141" s="90">
        <f t="shared" si="19"/>
        <v>3085.576</v>
      </c>
      <c r="Y141" s="96">
        <f t="shared" si="56"/>
        <v>3085.576</v>
      </c>
      <c r="Z141" s="19" t="s">
        <v>69</v>
      </c>
      <c r="AA141" s="17" t="s">
        <v>1070</v>
      </c>
      <c r="AB141" s="17" t="s">
        <v>48</v>
      </c>
      <c r="AC141" s="17" t="s">
        <v>1065</v>
      </c>
      <c r="AD141" s="17" t="s">
        <v>48</v>
      </c>
    </row>
    <row r="142" spans="1:30" ht="42" x14ac:dyDescent="0.2">
      <c r="A142" s="341"/>
      <c r="B142" s="113" t="s">
        <v>731</v>
      </c>
      <c r="C142" s="17" t="s">
        <v>732</v>
      </c>
      <c r="D142" s="19" t="s">
        <v>723</v>
      </c>
      <c r="E142" s="19" t="s">
        <v>7</v>
      </c>
      <c r="F142" s="95">
        <v>0</v>
      </c>
      <c r="G142" s="95">
        <v>9.9350000000000005</v>
      </c>
      <c r="H142" s="19" t="s">
        <v>152</v>
      </c>
      <c r="I142" s="95">
        <v>0</v>
      </c>
      <c r="J142" s="95">
        <v>0</v>
      </c>
      <c r="K142" s="95">
        <v>0</v>
      </c>
      <c r="L142" s="95">
        <v>0</v>
      </c>
      <c r="M142" s="95">
        <v>0</v>
      </c>
      <c r="N142" s="95">
        <f t="shared" si="50"/>
        <v>0</v>
      </c>
      <c r="O142" s="95">
        <v>245.81299999999999</v>
      </c>
      <c r="P142" s="95">
        <v>0</v>
      </c>
      <c r="Q142" s="95">
        <v>0</v>
      </c>
      <c r="R142" s="95">
        <v>0</v>
      </c>
      <c r="S142" s="95">
        <v>0</v>
      </c>
      <c r="T142" s="95">
        <f t="shared" si="21"/>
        <v>245.81299999999999</v>
      </c>
      <c r="U142" s="95">
        <v>301.30900000000003</v>
      </c>
      <c r="V142" s="90">
        <f t="shared" si="18"/>
        <v>547.12200000000007</v>
      </c>
      <c r="W142" s="95">
        <v>5597.5</v>
      </c>
      <c r="X142" s="90">
        <f t="shared" si="19"/>
        <v>6154.5570000000007</v>
      </c>
      <c r="Y142" s="96">
        <f t="shared" si="56"/>
        <v>6154.5570000000007</v>
      </c>
      <c r="Z142" s="19" t="s">
        <v>69</v>
      </c>
      <c r="AA142" s="17" t="s">
        <v>1071</v>
      </c>
      <c r="AB142" s="17" t="s">
        <v>734</v>
      </c>
      <c r="AC142" s="17" t="s">
        <v>1065</v>
      </c>
      <c r="AD142" s="17" t="s">
        <v>48</v>
      </c>
    </row>
    <row r="143" spans="1:30" ht="42" x14ac:dyDescent="0.2">
      <c r="A143" s="341"/>
      <c r="B143" s="113" t="s">
        <v>1072</v>
      </c>
      <c r="C143" s="17" t="s">
        <v>1073</v>
      </c>
      <c r="D143" s="19" t="s">
        <v>723</v>
      </c>
      <c r="E143" s="19" t="s">
        <v>69</v>
      </c>
      <c r="F143" s="95">
        <v>0</v>
      </c>
      <c r="G143" s="95">
        <v>9.9350000000000005</v>
      </c>
      <c r="H143" s="19" t="s">
        <v>446</v>
      </c>
      <c r="I143" s="95">
        <v>0</v>
      </c>
      <c r="J143" s="95">
        <v>0</v>
      </c>
      <c r="K143" s="95">
        <v>0</v>
      </c>
      <c r="L143" s="95">
        <v>0</v>
      </c>
      <c r="M143" s="95">
        <v>0</v>
      </c>
      <c r="N143" s="95">
        <f t="shared" si="50"/>
        <v>0</v>
      </c>
      <c r="O143" s="95">
        <v>0</v>
      </c>
      <c r="P143" s="95">
        <v>0</v>
      </c>
      <c r="Q143" s="95">
        <v>0</v>
      </c>
      <c r="R143" s="95">
        <v>0</v>
      </c>
      <c r="S143" s="95">
        <v>0</v>
      </c>
      <c r="T143" s="95">
        <f t="shared" si="21"/>
        <v>0</v>
      </c>
      <c r="U143" s="95">
        <v>0</v>
      </c>
      <c r="V143" s="90">
        <f t="shared" ref="V143:V181" si="57">N143+T143+U143</f>
        <v>0</v>
      </c>
      <c r="W143" s="95">
        <v>0</v>
      </c>
      <c r="X143" s="90">
        <f t="shared" ref="X143:X181" si="58">W143+V143+G143+F143</f>
        <v>9.9350000000000005</v>
      </c>
      <c r="Y143" s="96">
        <v>24000</v>
      </c>
      <c r="Z143" s="19" t="s">
        <v>7</v>
      </c>
      <c r="AA143" s="17" t="s">
        <v>1074</v>
      </c>
      <c r="AB143" s="17" t="s">
        <v>1075</v>
      </c>
      <c r="AC143" s="17" t="s">
        <v>1065</v>
      </c>
      <c r="AD143" s="17" t="s">
        <v>48</v>
      </c>
    </row>
    <row r="144" spans="1:30" ht="63" x14ac:dyDescent="0.2">
      <c r="A144" s="341"/>
      <c r="B144" s="113" t="s">
        <v>735</v>
      </c>
      <c r="C144" s="17" t="s">
        <v>736</v>
      </c>
      <c r="D144" s="19" t="s">
        <v>723</v>
      </c>
      <c r="E144" s="19" t="s">
        <v>7</v>
      </c>
      <c r="F144" s="95">
        <v>0</v>
      </c>
      <c r="G144" s="95">
        <v>42.411000000000001</v>
      </c>
      <c r="H144" s="19" t="s">
        <v>46</v>
      </c>
      <c r="I144" s="95">
        <v>10</v>
      </c>
      <c r="J144" s="95">
        <v>199.494</v>
      </c>
      <c r="K144" s="95">
        <v>0</v>
      </c>
      <c r="L144" s="95">
        <v>35.204999999999998</v>
      </c>
      <c r="M144" s="95">
        <v>0</v>
      </c>
      <c r="N144" s="95">
        <f t="shared" si="50"/>
        <v>244.69900000000001</v>
      </c>
      <c r="O144" s="95">
        <v>108.872</v>
      </c>
      <c r="P144" s="95">
        <v>129.31800000000001</v>
      </c>
      <c r="Q144" s="95">
        <v>0</v>
      </c>
      <c r="R144" s="95">
        <v>32.329000000000001</v>
      </c>
      <c r="S144" s="95">
        <v>0</v>
      </c>
      <c r="T144" s="95">
        <f t="shared" si="21"/>
        <v>270.51900000000001</v>
      </c>
      <c r="U144" s="95">
        <v>306.63</v>
      </c>
      <c r="V144" s="90">
        <f t="shared" si="57"/>
        <v>821.84800000000007</v>
      </c>
      <c r="W144" s="95">
        <v>11777.08</v>
      </c>
      <c r="X144" s="90">
        <f t="shared" si="58"/>
        <v>12641.339</v>
      </c>
      <c r="Y144" s="96">
        <f>X144</f>
        <v>12641.339</v>
      </c>
      <c r="Z144" s="19" t="s">
        <v>69</v>
      </c>
      <c r="AA144" s="17" t="s">
        <v>1076</v>
      </c>
      <c r="AB144" s="17" t="s">
        <v>48</v>
      </c>
      <c r="AC144" s="17" t="s">
        <v>1065</v>
      </c>
      <c r="AD144" s="17" t="s">
        <v>48</v>
      </c>
    </row>
    <row r="145" spans="1:30" ht="73.5" x14ac:dyDescent="0.2">
      <c r="A145" s="341"/>
      <c r="B145" s="113" t="s">
        <v>738</v>
      </c>
      <c r="C145" s="17" t="s">
        <v>739</v>
      </c>
      <c r="D145" s="19" t="s">
        <v>723</v>
      </c>
      <c r="E145" s="19" t="s">
        <v>7</v>
      </c>
      <c r="F145" s="95">
        <v>165.51589999999999</v>
      </c>
      <c r="G145" s="95">
        <v>1734.9</v>
      </c>
      <c r="H145" s="19" t="s">
        <v>46</v>
      </c>
      <c r="I145" s="95">
        <v>315.07600000000002</v>
      </c>
      <c r="J145" s="95">
        <v>3706.7350000000001</v>
      </c>
      <c r="K145" s="95">
        <v>0</v>
      </c>
      <c r="L145" s="95">
        <v>632.30499999999995</v>
      </c>
      <c r="M145" s="95">
        <v>0</v>
      </c>
      <c r="N145" s="95">
        <f>SUM(I145:M145)</f>
        <v>4654.116</v>
      </c>
      <c r="O145" s="95">
        <v>138.32</v>
      </c>
      <c r="P145" s="95">
        <v>2138.39</v>
      </c>
      <c r="Q145" s="95">
        <v>0</v>
      </c>
      <c r="R145" s="95">
        <v>408.84</v>
      </c>
      <c r="S145" s="95">
        <v>0</v>
      </c>
      <c r="T145" s="95">
        <f t="shared" si="21"/>
        <v>2685.55</v>
      </c>
      <c r="U145" s="95">
        <v>0</v>
      </c>
      <c r="V145" s="90">
        <f t="shared" si="57"/>
        <v>7339.6660000000002</v>
      </c>
      <c r="W145" s="95">
        <v>0</v>
      </c>
      <c r="X145" s="90">
        <f t="shared" si="58"/>
        <v>9240.081900000001</v>
      </c>
      <c r="Y145" s="96">
        <f>X145</f>
        <v>9240.081900000001</v>
      </c>
      <c r="Z145" s="19" t="s">
        <v>69</v>
      </c>
      <c r="AA145" s="17" t="s">
        <v>1077</v>
      </c>
      <c r="AB145" s="17" t="s">
        <v>1078</v>
      </c>
      <c r="AC145" s="17" t="s">
        <v>10</v>
      </c>
      <c r="AD145" s="17" t="s">
        <v>48</v>
      </c>
    </row>
    <row r="146" spans="1:30" ht="42" x14ac:dyDescent="0.2">
      <c r="A146" s="341"/>
      <c r="B146" s="113" t="s">
        <v>1079</v>
      </c>
      <c r="C146" s="17" t="s">
        <v>1080</v>
      </c>
      <c r="D146" s="19" t="s">
        <v>723</v>
      </c>
      <c r="E146" s="19" t="s">
        <v>69</v>
      </c>
      <c r="F146" s="95">
        <v>0</v>
      </c>
      <c r="G146" s="95">
        <v>0</v>
      </c>
      <c r="H146" s="19" t="s">
        <v>446</v>
      </c>
      <c r="I146" s="95">
        <v>0</v>
      </c>
      <c r="J146" s="95">
        <v>0</v>
      </c>
      <c r="K146" s="95">
        <v>0</v>
      </c>
      <c r="L146" s="95">
        <v>0</v>
      </c>
      <c r="M146" s="95">
        <v>0</v>
      </c>
      <c r="N146" s="95">
        <f t="shared" si="50"/>
        <v>0</v>
      </c>
      <c r="O146" s="95">
        <v>0</v>
      </c>
      <c r="P146" s="95">
        <v>0</v>
      </c>
      <c r="Q146" s="95">
        <v>0</v>
      </c>
      <c r="R146" s="95">
        <v>0</v>
      </c>
      <c r="S146" s="95">
        <v>0</v>
      </c>
      <c r="T146" s="95">
        <f t="shared" ref="T146:T181" si="59">SUM(O146:S146)</f>
        <v>0</v>
      </c>
      <c r="U146" s="95">
        <v>0</v>
      </c>
      <c r="V146" s="90">
        <f t="shared" si="57"/>
        <v>0</v>
      </c>
      <c r="W146" s="95">
        <v>0</v>
      </c>
      <c r="X146" s="90">
        <f t="shared" si="58"/>
        <v>0</v>
      </c>
      <c r="Y146" s="96">
        <v>120</v>
      </c>
      <c r="Z146" s="19" t="s">
        <v>7</v>
      </c>
      <c r="AA146" s="17" t="s">
        <v>1081</v>
      </c>
      <c r="AB146" s="17" t="s">
        <v>1082</v>
      </c>
      <c r="AC146" s="17" t="s">
        <v>1065</v>
      </c>
      <c r="AD146" s="17" t="s">
        <v>88</v>
      </c>
    </row>
    <row r="147" spans="1:30" ht="42" x14ac:dyDescent="0.2">
      <c r="A147" s="341"/>
      <c r="B147" s="113" t="s">
        <v>742</v>
      </c>
      <c r="C147" s="17" t="s">
        <v>743</v>
      </c>
      <c r="D147" s="19" t="s">
        <v>744</v>
      </c>
      <c r="E147" s="19" t="s">
        <v>7</v>
      </c>
      <c r="F147" s="95">
        <v>0</v>
      </c>
      <c r="G147" s="95">
        <v>0</v>
      </c>
      <c r="H147" s="19" t="s">
        <v>152</v>
      </c>
      <c r="I147" s="95">
        <v>0</v>
      </c>
      <c r="J147" s="95">
        <v>0</v>
      </c>
      <c r="K147" s="95">
        <v>0</v>
      </c>
      <c r="L147" s="95">
        <v>0</v>
      </c>
      <c r="M147" s="95">
        <v>0</v>
      </c>
      <c r="N147" s="95">
        <f t="shared" si="50"/>
        <v>0</v>
      </c>
      <c r="O147" s="95">
        <v>419.60899999999998</v>
      </c>
      <c r="P147" s="95">
        <v>0</v>
      </c>
      <c r="Q147" s="95">
        <v>0</v>
      </c>
      <c r="R147" s="95">
        <v>0</v>
      </c>
      <c r="S147" s="95">
        <v>0</v>
      </c>
      <c r="T147" s="95">
        <f t="shared" si="59"/>
        <v>419.60899999999998</v>
      </c>
      <c r="U147" s="95">
        <v>510.72199999999998</v>
      </c>
      <c r="V147" s="90">
        <f t="shared" si="57"/>
        <v>930.3309999999999</v>
      </c>
      <c r="W147" s="95">
        <v>1040</v>
      </c>
      <c r="X147" s="90">
        <f t="shared" si="58"/>
        <v>1970.3309999999999</v>
      </c>
      <c r="Y147" s="96">
        <f>X147</f>
        <v>1970.3309999999999</v>
      </c>
      <c r="Z147" s="19" t="s">
        <v>69</v>
      </c>
      <c r="AA147" s="17" t="s">
        <v>1083</v>
      </c>
      <c r="AB147" s="17" t="s">
        <v>746</v>
      </c>
      <c r="AC147" s="17" t="s">
        <v>1065</v>
      </c>
      <c r="AD147" s="17" t="s">
        <v>48</v>
      </c>
    </row>
    <row r="148" spans="1:30" ht="262.5" x14ac:dyDescent="0.2">
      <c r="A148" s="341"/>
      <c r="B148" s="113" t="s">
        <v>747</v>
      </c>
      <c r="C148" s="17" t="s">
        <v>748</v>
      </c>
      <c r="D148" s="19" t="s">
        <v>83</v>
      </c>
      <c r="E148" s="19" t="s">
        <v>7</v>
      </c>
      <c r="F148" s="95">
        <v>0</v>
      </c>
      <c r="G148" s="95">
        <v>0</v>
      </c>
      <c r="H148" s="19" t="s">
        <v>46</v>
      </c>
      <c r="I148" s="95">
        <v>61.893999999999998</v>
      </c>
      <c r="J148" s="95">
        <v>0</v>
      </c>
      <c r="K148" s="95">
        <v>0</v>
      </c>
      <c r="L148" s="95">
        <v>0</v>
      </c>
      <c r="M148" s="95">
        <v>0</v>
      </c>
      <c r="N148" s="95">
        <f t="shared" si="50"/>
        <v>61.893999999999998</v>
      </c>
      <c r="O148" s="95">
        <v>783.06399999999996</v>
      </c>
      <c r="P148" s="95">
        <v>0</v>
      </c>
      <c r="Q148" s="95">
        <v>0</v>
      </c>
      <c r="R148" s="95">
        <v>0</v>
      </c>
      <c r="S148" s="95">
        <v>0</v>
      </c>
      <c r="T148" s="95">
        <f t="shared" si="59"/>
        <v>783.06399999999996</v>
      </c>
      <c r="U148" s="95">
        <v>435.43599999999998</v>
      </c>
      <c r="V148" s="90">
        <f t="shared" si="57"/>
        <v>1280.394</v>
      </c>
      <c r="W148" s="95">
        <v>90</v>
      </c>
      <c r="X148" s="90">
        <f t="shared" si="58"/>
        <v>1370.394</v>
      </c>
      <c r="Y148" s="96">
        <f>X148</f>
        <v>1370.394</v>
      </c>
      <c r="Z148" s="19" t="s">
        <v>69</v>
      </c>
      <c r="AA148" s="17" t="s">
        <v>1084</v>
      </c>
      <c r="AB148" s="17" t="s">
        <v>48</v>
      </c>
      <c r="AC148" s="17" t="s">
        <v>128</v>
      </c>
      <c r="AD148" s="17" t="s">
        <v>1085</v>
      </c>
    </row>
    <row r="149" spans="1:30" ht="147" x14ac:dyDescent="0.2">
      <c r="A149" s="341"/>
      <c r="B149" s="113" t="s">
        <v>752</v>
      </c>
      <c r="C149" s="17" t="s">
        <v>753</v>
      </c>
      <c r="D149" s="19" t="s">
        <v>754</v>
      </c>
      <c r="E149" s="19" t="s">
        <v>7</v>
      </c>
      <c r="F149" s="95">
        <v>477</v>
      </c>
      <c r="G149" s="95">
        <v>0</v>
      </c>
      <c r="H149" s="19" t="s">
        <v>46</v>
      </c>
      <c r="I149" s="95">
        <v>72</v>
      </c>
      <c r="J149" s="95">
        <v>0</v>
      </c>
      <c r="K149" s="95">
        <v>0</v>
      </c>
      <c r="L149" s="95">
        <v>0</v>
      </c>
      <c r="M149" s="95">
        <v>0</v>
      </c>
      <c r="N149" s="95">
        <f t="shared" si="50"/>
        <v>72</v>
      </c>
      <c r="O149" s="95">
        <v>492.8</v>
      </c>
      <c r="P149" s="95">
        <v>0</v>
      </c>
      <c r="Q149" s="95">
        <v>0</v>
      </c>
      <c r="R149" s="95">
        <v>0</v>
      </c>
      <c r="S149" s="95">
        <v>0</v>
      </c>
      <c r="T149" s="95">
        <f t="shared" si="59"/>
        <v>492.8</v>
      </c>
      <c r="U149" s="95">
        <v>0</v>
      </c>
      <c r="V149" s="90">
        <f t="shared" si="57"/>
        <v>564.79999999999995</v>
      </c>
      <c r="W149" s="95">
        <v>2649</v>
      </c>
      <c r="X149" s="90">
        <f t="shared" si="58"/>
        <v>3690.8</v>
      </c>
      <c r="Y149" s="96">
        <v>3600</v>
      </c>
      <c r="Z149" s="19" t="s">
        <v>81</v>
      </c>
      <c r="AA149" s="17" t="s">
        <v>1086</v>
      </c>
      <c r="AB149" s="17" t="s">
        <v>48</v>
      </c>
      <c r="AC149" s="17" t="s">
        <v>750</v>
      </c>
      <c r="AD149" s="17" t="s">
        <v>124</v>
      </c>
    </row>
    <row r="150" spans="1:30" ht="273" x14ac:dyDescent="0.2">
      <c r="A150" s="341"/>
      <c r="B150" s="113" t="s">
        <v>756</v>
      </c>
      <c r="C150" s="17" t="s">
        <v>757</v>
      </c>
      <c r="D150" s="19" t="s">
        <v>754</v>
      </c>
      <c r="E150" s="19" t="s">
        <v>7</v>
      </c>
      <c r="F150" s="95">
        <v>16.399999999999999</v>
      </c>
      <c r="G150" s="95">
        <v>0</v>
      </c>
      <c r="H150" s="19" t="s">
        <v>46</v>
      </c>
      <c r="I150" s="95">
        <v>43.2</v>
      </c>
      <c r="J150" s="95">
        <v>0</v>
      </c>
      <c r="K150" s="95">
        <v>0</v>
      </c>
      <c r="L150" s="95">
        <v>0</v>
      </c>
      <c r="M150" s="95">
        <v>0</v>
      </c>
      <c r="N150" s="95">
        <f t="shared" si="50"/>
        <v>43.2</v>
      </c>
      <c r="O150" s="95">
        <v>99.3</v>
      </c>
      <c r="P150" s="95">
        <v>0</v>
      </c>
      <c r="Q150" s="95">
        <v>0</v>
      </c>
      <c r="R150" s="95">
        <v>0</v>
      </c>
      <c r="S150" s="95">
        <v>0</v>
      </c>
      <c r="T150" s="95">
        <f t="shared" si="59"/>
        <v>99.3</v>
      </c>
      <c r="U150" s="95">
        <v>46.9</v>
      </c>
      <c r="V150" s="90">
        <f t="shared" si="57"/>
        <v>189.4</v>
      </c>
      <c r="W150" s="95">
        <v>232.8</v>
      </c>
      <c r="X150" s="90">
        <f t="shared" si="58"/>
        <v>438.6</v>
      </c>
      <c r="Y150" s="96">
        <f>X150</f>
        <v>438.6</v>
      </c>
      <c r="Z150" s="19" t="s">
        <v>69</v>
      </c>
      <c r="AA150" s="17" t="s">
        <v>1087</v>
      </c>
      <c r="AB150" s="17" t="s">
        <v>48</v>
      </c>
      <c r="AC150" s="17" t="s">
        <v>750</v>
      </c>
      <c r="AD150" s="17" t="s">
        <v>124</v>
      </c>
    </row>
    <row r="151" spans="1:30" ht="42" x14ac:dyDescent="0.2">
      <c r="A151" s="341"/>
      <c r="B151" s="113" t="s">
        <v>759</v>
      </c>
      <c r="C151" s="17" t="s">
        <v>760</v>
      </c>
      <c r="D151" s="19" t="s">
        <v>761</v>
      </c>
      <c r="E151" s="19" t="s">
        <v>69</v>
      </c>
      <c r="F151" s="95">
        <v>0</v>
      </c>
      <c r="G151" s="95">
        <v>0</v>
      </c>
      <c r="H151" s="19" t="s">
        <v>152</v>
      </c>
      <c r="I151" s="95">
        <v>0</v>
      </c>
      <c r="J151" s="95">
        <v>0</v>
      </c>
      <c r="K151" s="95">
        <v>0</v>
      </c>
      <c r="L151" s="95">
        <v>0</v>
      </c>
      <c r="M151" s="95">
        <v>0</v>
      </c>
      <c r="N151" s="95">
        <f t="shared" si="50"/>
        <v>0</v>
      </c>
      <c r="O151" s="95">
        <v>0</v>
      </c>
      <c r="P151" s="95">
        <v>0</v>
      </c>
      <c r="Q151" s="95">
        <v>0</v>
      </c>
      <c r="R151" s="95">
        <v>0</v>
      </c>
      <c r="S151" s="95">
        <v>0</v>
      </c>
      <c r="T151" s="95">
        <f t="shared" si="59"/>
        <v>0</v>
      </c>
      <c r="U151" s="95">
        <v>0</v>
      </c>
      <c r="V151" s="90">
        <f t="shared" si="57"/>
        <v>0</v>
      </c>
      <c r="W151" s="95">
        <v>0</v>
      </c>
      <c r="X151" s="90">
        <f t="shared" si="58"/>
        <v>0</v>
      </c>
      <c r="Y151" s="96">
        <v>2041</v>
      </c>
      <c r="Z151" s="19" t="s">
        <v>81</v>
      </c>
      <c r="AA151" s="17" t="s">
        <v>1088</v>
      </c>
      <c r="AB151" s="17" t="s">
        <v>48</v>
      </c>
      <c r="AC151" s="17" t="s">
        <v>750</v>
      </c>
      <c r="AD151" s="17" t="s">
        <v>124</v>
      </c>
    </row>
    <row r="152" spans="1:30" ht="168" x14ac:dyDescent="0.2">
      <c r="A152" s="341"/>
      <c r="B152" s="113" t="s">
        <v>763</v>
      </c>
      <c r="C152" s="17" t="s">
        <v>35</v>
      </c>
      <c r="D152" s="19" t="s">
        <v>764</v>
      </c>
      <c r="E152" s="19" t="s">
        <v>7</v>
      </c>
      <c r="F152" s="95">
        <v>58.9</v>
      </c>
      <c r="G152" s="95">
        <v>0</v>
      </c>
      <c r="H152" s="19" t="s">
        <v>152</v>
      </c>
      <c r="I152" s="95">
        <v>90</v>
      </c>
      <c r="J152" s="95">
        <v>0</v>
      </c>
      <c r="K152" s="95">
        <v>0</v>
      </c>
      <c r="L152" s="95">
        <v>0</v>
      </c>
      <c r="M152" s="95">
        <v>0</v>
      </c>
      <c r="N152" s="95">
        <f t="shared" si="50"/>
        <v>90</v>
      </c>
      <c r="O152" s="95">
        <v>0</v>
      </c>
      <c r="P152" s="95">
        <v>0</v>
      </c>
      <c r="Q152" s="95">
        <v>0</v>
      </c>
      <c r="R152" s="95">
        <v>0</v>
      </c>
      <c r="S152" s="95">
        <v>0</v>
      </c>
      <c r="T152" s="95">
        <f t="shared" si="59"/>
        <v>0</v>
      </c>
      <c r="U152" s="95">
        <v>292.5</v>
      </c>
      <c r="V152" s="90">
        <f t="shared" si="57"/>
        <v>382.5</v>
      </c>
      <c r="W152" s="95">
        <v>457.1</v>
      </c>
      <c r="X152" s="90">
        <f t="shared" si="58"/>
        <v>898.5</v>
      </c>
      <c r="Y152" s="96">
        <v>840</v>
      </c>
      <c r="Z152" s="19" t="s">
        <v>69</v>
      </c>
      <c r="AA152" s="17" t="s">
        <v>1089</v>
      </c>
      <c r="AB152" s="17" t="s">
        <v>48</v>
      </c>
      <c r="AC152" s="17" t="s">
        <v>750</v>
      </c>
      <c r="AD152" s="17" t="s">
        <v>124</v>
      </c>
    </row>
    <row r="153" spans="1:30" ht="52.5" x14ac:dyDescent="0.2">
      <c r="A153" s="341"/>
      <c r="B153" s="113" t="s">
        <v>766</v>
      </c>
      <c r="C153" s="17" t="s">
        <v>767</v>
      </c>
      <c r="D153" s="19" t="s">
        <v>121</v>
      </c>
      <c r="E153" s="19" t="s">
        <v>69</v>
      </c>
      <c r="F153" s="95">
        <v>0</v>
      </c>
      <c r="G153" s="95">
        <v>0</v>
      </c>
      <c r="H153" s="19" t="s">
        <v>152</v>
      </c>
      <c r="I153" s="95">
        <v>0</v>
      </c>
      <c r="J153" s="95">
        <v>0</v>
      </c>
      <c r="K153" s="95">
        <v>0</v>
      </c>
      <c r="L153" s="95">
        <v>0</v>
      </c>
      <c r="M153" s="95">
        <v>0</v>
      </c>
      <c r="N153" s="95">
        <f t="shared" si="50"/>
        <v>0</v>
      </c>
      <c r="O153" s="95">
        <v>50</v>
      </c>
      <c r="P153" s="95">
        <v>0</v>
      </c>
      <c r="Q153" s="95">
        <v>0</v>
      </c>
      <c r="R153" s="95">
        <v>0</v>
      </c>
      <c r="S153" s="95">
        <v>0</v>
      </c>
      <c r="T153" s="95">
        <f t="shared" si="59"/>
        <v>50</v>
      </c>
      <c r="U153" s="95">
        <v>910</v>
      </c>
      <c r="V153" s="90">
        <f t="shared" si="57"/>
        <v>960</v>
      </c>
      <c r="W153" s="95">
        <v>0</v>
      </c>
      <c r="X153" s="90">
        <f t="shared" si="58"/>
        <v>960</v>
      </c>
      <c r="Y153" s="96">
        <v>960</v>
      </c>
      <c r="Z153" s="19" t="s">
        <v>7</v>
      </c>
      <c r="AA153" s="17" t="s">
        <v>1090</v>
      </c>
      <c r="AB153" s="17" t="s">
        <v>36</v>
      </c>
      <c r="AC153" s="17" t="s">
        <v>153</v>
      </c>
      <c r="AD153" s="17" t="s">
        <v>131</v>
      </c>
    </row>
    <row r="154" spans="1:30" ht="52.5" x14ac:dyDescent="0.2">
      <c r="A154" s="341"/>
      <c r="B154" s="113" t="s">
        <v>769</v>
      </c>
      <c r="C154" s="17" t="s">
        <v>770</v>
      </c>
      <c r="D154" s="19" t="s">
        <v>771</v>
      </c>
      <c r="E154" s="19" t="s">
        <v>69</v>
      </c>
      <c r="F154" s="95">
        <v>0</v>
      </c>
      <c r="G154" s="95">
        <v>0</v>
      </c>
      <c r="H154" s="19" t="s">
        <v>152</v>
      </c>
      <c r="I154" s="95">
        <v>0</v>
      </c>
      <c r="J154" s="95">
        <v>0</v>
      </c>
      <c r="K154" s="95">
        <v>0</v>
      </c>
      <c r="L154" s="95">
        <v>0</v>
      </c>
      <c r="M154" s="95">
        <v>0</v>
      </c>
      <c r="N154" s="95">
        <f t="shared" si="50"/>
        <v>0</v>
      </c>
      <c r="O154" s="95">
        <v>0</v>
      </c>
      <c r="P154" s="95">
        <v>0</v>
      </c>
      <c r="Q154" s="95">
        <v>0</v>
      </c>
      <c r="R154" s="95">
        <v>0</v>
      </c>
      <c r="S154" s="95">
        <v>0</v>
      </c>
      <c r="T154" s="95">
        <f t="shared" si="59"/>
        <v>0</v>
      </c>
      <c r="U154" s="95">
        <v>0</v>
      </c>
      <c r="V154" s="90">
        <f t="shared" si="57"/>
        <v>0</v>
      </c>
      <c r="W154" s="95">
        <v>0</v>
      </c>
      <c r="X154" s="90">
        <f t="shared" si="58"/>
        <v>0</v>
      </c>
      <c r="Y154" s="96">
        <v>3600</v>
      </c>
      <c r="Z154" s="19" t="s">
        <v>69</v>
      </c>
      <c r="AA154" s="17" t="s">
        <v>1091</v>
      </c>
      <c r="AB154" s="17" t="s">
        <v>48</v>
      </c>
      <c r="AC154" s="17" t="s">
        <v>153</v>
      </c>
      <c r="AD154" s="17" t="s">
        <v>132</v>
      </c>
    </row>
    <row r="155" spans="1:30" ht="31.5" x14ac:dyDescent="0.2">
      <c r="A155" s="341"/>
      <c r="B155" s="113" t="s">
        <v>773</v>
      </c>
      <c r="C155" s="17" t="s">
        <v>774</v>
      </c>
      <c r="D155" s="19" t="s">
        <v>775</v>
      </c>
      <c r="E155" s="19" t="s">
        <v>69</v>
      </c>
      <c r="F155" s="95">
        <v>0</v>
      </c>
      <c r="G155" s="95">
        <v>0</v>
      </c>
      <c r="H155" s="19" t="s">
        <v>46</v>
      </c>
      <c r="I155" s="95">
        <v>0</v>
      </c>
      <c r="J155" s="95">
        <v>0</v>
      </c>
      <c r="K155" s="95">
        <v>0</v>
      </c>
      <c r="L155" s="95">
        <v>0</v>
      </c>
      <c r="M155" s="95">
        <v>0</v>
      </c>
      <c r="N155" s="95">
        <f t="shared" si="50"/>
        <v>0</v>
      </c>
      <c r="O155" s="95">
        <v>0</v>
      </c>
      <c r="P155" s="95">
        <v>0</v>
      </c>
      <c r="Q155" s="95">
        <v>0</v>
      </c>
      <c r="R155" s="95">
        <v>0</v>
      </c>
      <c r="S155" s="95">
        <v>0</v>
      </c>
      <c r="T155" s="95">
        <f t="shared" si="59"/>
        <v>0</v>
      </c>
      <c r="U155" s="95">
        <v>100</v>
      </c>
      <c r="V155" s="90">
        <f t="shared" si="57"/>
        <v>100</v>
      </c>
      <c r="W155" s="95">
        <v>140</v>
      </c>
      <c r="X155" s="90">
        <f t="shared" si="58"/>
        <v>240</v>
      </c>
      <c r="Y155" s="96">
        <v>240</v>
      </c>
      <c r="Z155" s="19" t="s">
        <v>81</v>
      </c>
      <c r="AA155" s="17" t="s">
        <v>1092</v>
      </c>
      <c r="AB155" s="17" t="s">
        <v>37</v>
      </c>
      <c r="AC155" s="17" t="s">
        <v>133</v>
      </c>
      <c r="AD155" s="17" t="s">
        <v>48</v>
      </c>
    </row>
    <row r="156" spans="1:30" ht="52.5" x14ac:dyDescent="0.2">
      <c r="A156" s="341"/>
      <c r="B156" s="113" t="s">
        <v>64</v>
      </c>
      <c r="C156" s="17" t="s">
        <v>777</v>
      </c>
      <c r="D156" s="19" t="s">
        <v>66</v>
      </c>
      <c r="E156" s="19" t="s">
        <v>7</v>
      </c>
      <c r="F156" s="95">
        <v>778.09</v>
      </c>
      <c r="G156" s="95">
        <v>0</v>
      </c>
      <c r="H156" s="19" t="s">
        <v>46</v>
      </c>
      <c r="I156" s="95">
        <v>0</v>
      </c>
      <c r="J156" s="95">
        <v>0</v>
      </c>
      <c r="K156" s="95">
        <v>0</v>
      </c>
      <c r="L156" s="95">
        <v>0</v>
      </c>
      <c r="M156" s="95">
        <v>0</v>
      </c>
      <c r="N156" s="95">
        <f t="shared" si="50"/>
        <v>0</v>
      </c>
      <c r="O156" s="95">
        <v>0</v>
      </c>
      <c r="P156" s="95">
        <v>0</v>
      </c>
      <c r="Q156" s="95">
        <v>0</v>
      </c>
      <c r="R156" s="95">
        <v>0</v>
      </c>
      <c r="S156" s="95">
        <v>0</v>
      </c>
      <c r="T156" s="95">
        <f t="shared" si="59"/>
        <v>0</v>
      </c>
      <c r="U156" s="95">
        <v>0</v>
      </c>
      <c r="V156" s="90">
        <f t="shared" si="57"/>
        <v>0</v>
      </c>
      <c r="W156" s="95">
        <v>0</v>
      </c>
      <c r="X156" s="90">
        <f t="shared" si="58"/>
        <v>778.09</v>
      </c>
      <c r="Y156" s="96">
        <v>1294.7034699999999</v>
      </c>
      <c r="Z156" s="19" t="s">
        <v>7</v>
      </c>
      <c r="AA156" s="17" t="s">
        <v>1093</v>
      </c>
      <c r="AB156" s="17"/>
      <c r="AC156" s="17" t="s">
        <v>128</v>
      </c>
      <c r="AD156" s="17" t="s">
        <v>48</v>
      </c>
    </row>
    <row r="157" spans="1:30" ht="157.5" x14ac:dyDescent="0.2">
      <c r="A157" s="341"/>
      <c r="B157" s="113" t="s">
        <v>67</v>
      </c>
      <c r="C157" s="17" t="s">
        <v>68</v>
      </c>
      <c r="D157" s="19" t="s">
        <v>85</v>
      </c>
      <c r="E157" s="19" t="s">
        <v>69</v>
      </c>
      <c r="F157" s="95">
        <v>0</v>
      </c>
      <c r="G157" s="95">
        <v>0</v>
      </c>
      <c r="H157" s="19" t="s">
        <v>46</v>
      </c>
      <c r="I157" s="95">
        <v>80.87</v>
      </c>
      <c r="J157" s="95">
        <v>0</v>
      </c>
      <c r="K157" s="95">
        <v>109.86</v>
      </c>
      <c r="L157" s="95">
        <v>0</v>
      </c>
      <c r="M157" s="95">
        <v>0</v>
      </c>
      <c r="N157" s="95">
        <f t="shared" si="50"/>
        <v>190.73000000000002</v>
      </c>
      <c r="O157" s="95">
        <v>0</v>
      </c>
      <c r="P157" s="95">
        <v>0</v>
      </c>
      <c r="Q157" s="95">
        <v>0</v>
      </c>
      <c r="R157" s="95">
        <v>0</v>
      </c>
      <c r="S157" s="95">
        <v>0</v>
      </c>
      <c r="T157" s="95">
        <f t="shared" si="59"/>
        <v>0</v>
      </c>
      <c r="U157" s="95">
        <v>0</v>
      </c>
      <c r="V157" s="90">
        <f t="shared" si="57"/>
        <v>190.73000000000002</v>
      </c>
      <c r="W157" s="95">
        <v>0</v>
      </c>
      <c r="X157" s="90">
        <f t="shared" si="58"/>
        <v>190.73000000000002</v>
      </c>
      <c r="Y157" s="96">
        <v>190.73</v>
      </c>
      <c r="Z157" s="19" t="s">
        <v>7</v>
      </c>
      <c r="AA157" s="17" t="s">
        <v>1094</v>
      </c>
      <c r="AB157" s="17" t="s">
        <v>255</v>
      </c>
      <c r="AC157" s="17" t="s">
        <v>70</v>
      </c>
      <c r="AD157" s="114" t="s">
        <v>1095</v>
      </c>
    </row>
    <row r="158" spans="1:30" ht="126" x14ac:dyDescent="0.2">
      <c r="A158" s="341"/>
      <c r="B158" s="113" t="s">
        <v>76</v>
      </c>
      <c r="C158" s="17" t="s">
        <v>82</v>
      </c>
      <c r="D158" s="19" t="s">
        <v>83</v>
      </c>
      <c r="E158" s="19" t="s">
        <v>69</v>
      </c>
      <c r="F158" s="95">
        <v>0</v>
      </c>
      <c r="G158" s="95">
        <v>0</v>
      </c>
      <c r="H158" s="19" t="s">
        <v>46</v>
      </c>
      <c r="I158" s="95">
        <v>0</v>
      </c>
      <c r="J158" s="95">
        <v>0</v>
      </c>
      <c r="K158" s="95">
        <v>0</v>
      </c>
      <c r="L158" s="95">
        <v>0</v>
      </c>
      <c r="M158" s="95">
        <v>0</v>
      </c>
      <c r="N158" s="95">
        <f>SUM(I158:M158)</f>
        <v>0</v>
      </c>
      <c r="O158" s="95">
        <v>0</v>
      </c>
      <c r="P158" s="95">
        <v>0</v>
      </c>
      <c r="Q158" s="95">
        <v>0</v>
      </c>
      <c r="R158" s="95">
        <v>0</v>
      </c>
      <c r="S158" s="95">
        <v>0</v>
      </c>
      <c r="T158" s="95">
        <f t="shared" si="59"/>
        <v>0</v>
      </c>
      <c r="U158" s="95">
        <v>55</v>
      </c>
      <c r="V158" s="90">
        <f t="shared" si="57"/>
        <v>55</v>
      </c>
      <c r="W158" s="95">
        <v>55</v>
      </c>
      <c r="X158" s="90">
        <f t="shared" si="58"/>
        <v>110</v>
      </c>
      <c r="Y158" s="96">
        <v>110</v>
      </c>
      <c r="Z158" s="19" t="s">
        <v>7</v>
      </c>
      <c r="AA158" s="17" t="s">
        <v>1096</v>
      </c>
      <c r="AB158" s="17" t="s">
        <v>84</v>
      </c>
      <c r="AC158" s="17" t="s">
        <v>70</v>
      </c>
      <c r="AD158" s="17" t="s">
        <v>216</v>
      </c>
    </row>
    <row r="159" spans="1:30" x14ac:dyDescent="0.2">
      <c r="A159" s="343"/>
      <c r="B159" s="344" t="s">
        <v>1097</v>
      </c>
      <c r="C159" s="344"/>
      <c r="D159" s="74" t="s">
        <v>785</v>
      </c>
      <c r="E159" s="74" t="s">
        <v>48</v>
      </c>
      <c r="F159" s="76">
        <f>F160+F167+F165</f>
        <v>4486.2199999999993</v>
      </c>
      <c r="G159" s="76">
        <f>G160+G167+G165</f>
        <v>1189.1599999999999</v>
      </c>
      <c r="H159" s="74" t="s">
        <v>48</v>
      </c>
      <c r="I159" s="76">
        <f t="shared" ref="I159:S159" si="60">I160+I167+I165</f>
        <v>120.84399999999999</v>
      </c>
      <c r="J159" s="76">
        <f t="shared" si="60"/>
        <v>0</v>
      </c>
      <c r="K159" s="76">
        <f t="shared" si="60"/>
        <v>455.31599999999997</v>
      </c>
      <c r="L159" s="76">
        <f t="shared" si="60"/>
        <v>0</v>
      </c>
      <c r="M159" s="76">
        <f t="shared" si="60"/>
        <v>18</v>
      </c>
      <c r="N159" s="76">
        <f t="shared" si="60"/>
        <v>594.16</v>
      </c>
      <c r="O159" s="76">
        <f t="shared" si="60"/>
        <v>50</v>
      </c>
      <c r="P159" s="76">
        <f t="shared" si="60"/>
        <v>0</v>
      </c>
      <c r="Q159" s="76">
        <f t="shared" si="60"/>
        <v>200</v>
      </c>
      <c r="R159" s="76">
        <f t="shared" si="60"/>
        <v>0</v>
      </c>
      <c r="S159" s="76">
        <f t="shared" si="60"/>
        <v>319</v>
      </c>
      <c r="T159" s="77">
        <f>SUM(O159:S159)</f>
        <v>569</v>
      </c>
      <c r="U159" s="76">
        <f>U160+U167+U165</f>
        <v>768</v>
      </c>
      <c r="V159" s="115">
        <f>N159+T159+U159</f>
        <v>1931.1599999999999</v>
      </c>
      <c r="W159" s="76">
        <f>W160+W167+W165</f>
        <v>500</v>
      </c>
      <c r="X159" s="115">
        <f>W159+V159+G159+F159</f>
        <v>8106.5399999999991</v>
      </c>
      <c r="Y159" s="23" t="s">
        <v>48</v>
      </c>
      <c r="Z159" s="74" t="s">
        <v>48</v>
      </c>
      <c r="AA159" s="74" t="s">
        <v>48</v>
      </c>
      <c r="AB159" s="74" t="s">
        <v>48</v>
      </c>
      <c r="AC159" s="74" t="s">
        <v>48</v>
      </c>
      <c r="AD159" s="74" t="s">
        <v>48</v>
      </c>
    </row>
    <row r="160" spans="1:30" x14ac:dyDescent="0.2">
      <c r="A160" s="343"/>
      <c r="B160" s="294" t="s">
        <v>786</v>
      </c>
      <c r="C160" s="294"/>
      <c r="D160" s="38" t="s">
        <v>787</v>
      </c>
      <c r="E160" s="38" t="s">
        <v>48</v>
      </c>
      <c r="F160" s="40">
        <f>SUM(F161:F164)</f>
        <v>4486.2199999999993</v>
      </c>
      <c r="G160" s="40">
        <f>SUM(G161:G164)</f>
        <v>1189.1599999999999</v>
      </c>
      <c r="H160" s="38" t="s">
        <v>48</v>
      </c>
      <c r="I160" s="40">
        <f>SUM(I161:I164)</f>
        <v>120.84399999999999</v>
      </c>
      <c r="J160" s="40">
        <f t="shared" ref="J160:L160" si="61">SUM(J161:J164)</f>
        <v>0</v>
      </c>
      <c r="K160" s="40">
        <f>SUM(K161:K164)</f>
        <v>0</v>
      </c>
      <c r="L160" s="40">
        <f t="shared" si="61"/>
        <v>0</v>
      </c>
      <c r="M160" s="40">
        <f>SUM(M161:M164)</f>
        <v>18</v>
      </c>
      <c r="N160" s="40">
        <f>SUM(N161:N164)</f>
        <v>138.84399999999999</v>
      </c>
      <c r="O160" s="40">
        <f>SUM(O161:O164)</f>
        <v>0</v>
      </c>
      <c r="P160" s="40">
        <f t="shared" ref="P160:R160" si="62">SUM(P161:P164)</f>
        <v>0</v>
      </c>
      <c r="Q160" s="40">
        <f t="shared" si="62"/>
        <v>0</v>
      </c>
      <c r="R160" s="40">
        <f t="shared" si="62"/>
        <v>0</v>
      </c>
      <c r="S160" s="40">
        <f>SUM(S161:S164)</f>
        <v>19</v>
      </c>
      <c r="T160" s="41">
        <f t="shared" si="59"/>
        <v>19</v>
      </c>
      <c r="U160" s="40">
        <f>SUM(U161:U164)</f>
        <v>18</v>
      </c>
      <c r="V160" s="93">
        <f t="shared" si="57"/>
        <v>175.84399999999999</v>
      </c>
      <c r="W160" s="40">
        <f>SUM(W161:W164)</f>
        <v>0</v>
      </c>
      <c r="X160" s="93">
        <f t="shared" si="58"/>
        <v>5851.2239999999993</v>
      </c>
      <c r="Y160" s="22" t="s">
        <v>48</v>
      </c>
      <c r="Z160" s="38" t="s">
        <v>48</v>
      </c>
      <c r="AA160" s="38" t="s">
        <v>48</v>
      </c>
      <c r="AB160" s="38" t="s">
        <v>48</v>
      </c>
      <c r="AC160" s="38" t="s">
        <v>48</v>
      </c>
      <c r="AD160" s="38" t="s">
        <v>48</v>
      </c>
    </row>
    <row r="161" spans="1:30" ht="378" x14ac:dyDescent="0.2">
      <c r="A161" s="343"/>
      <c r="B161" s="116" t="s">
        <v>788</v>
      </c>
      <c r="C161" s="17" t="s">
        <v>1098</v>
      </c>
      <c r="D161" s="19" t="s">
        <v>790</v>
      </c>
      <c r="E161" s="19" t="s">
        <v>7</v>
      </c>
      <c r="F161" s="95">
        <v>3105.64</v>
      </c>
      <c r="G161" s="95">
        <v>225.73</v>
      </c>
      <c r="H161" s="19" t="s">
        <v>46</v>
      </c>
      <c r="I161" s="95">
        <v>120.84399999999999</v>
      </c>
      <c r="J161" s="95">
        <v>0</v>
      </c>
      <c r="K161" s="95">
        <v>0</v>
      </c>
      <c r="L161" s="95">
        <v>0</v>
      </c>
      <c r="M161" s="95">
        <v>0</v>
      </c>
      <c r="N161" s="95">
        <f t="shared" si="50"/>
        <v>120.84399999999999</v>
      </c>
      <c r="O161" s="95">
        <v>0</v>
      </c>
      <c r="P161" s="95">
        <v>0</v>
      </c>
      <c r="Q161" s="95">
        <v>0</v>
      </c>
      <c r="R161" s="95">
        <v>0</v>
      </c>
      <c r="S161" s="95">
        <v>0</v>
      </c>
      <c r="T161" s="95">
        <f t="shared" si="59"/>
        <v>0</v>
      </c>
      <c r="U161" s="95">
        <v>0</v>
      </c>
      <c r="V161" s="90">
        <f t="shared" si="57"/>
        <v>120.84399999999999</v>
      </c>
      <c r="W161" s="95">
        <v>0</v>
      </c>
      <c r="X161" s="90">
        <f t="shared" si="58"/>
        <v>3452.2139999999999</v>
      </c>
      <c r="Y161" s="96">
        <v>13786.25411</v>
      </c>
      <c r="Z161" s="19" t="s">
        <v>7</v>
      </c>
      <c r="AA161" s="17" t="s">
        <v>1099</v>
      </c>
      <c r="AB161" s="17" t="s">
        <v>1100</v>
      </c>
      <c r="AC161" s="17" t="s">
        <v>10</v>
      </c>
      <c r="AD161" s="17" t="s">
        <v>153</v>
      </c>
    </row>
    <row r="162" spans="1:30" ht="241.5" x14ac:dyDescent="0.2">
      <c r="A162" s="343"/>
      <c r="B162" s="116" t="s">
        <v>793</v>
      </c>
      <c r="C162" s="17" t="s">
        <v>794</v>
      </c>
      <c r="D162" s="19" t="s">
        <v>790</v>
      </c>
      <c r="E162" s="19" t="s">
        <v>7</v>
      </c>
      <c r="F162" s="95">
        <v>1380.58</v>
      </c>
      <c r="G162" s="95">
        <v>963.43</v>
      </c>
      <c r="H162" s="19" t="s">
        <v>46</v>
      </c>
      <c r="I162" s="95">
        <v>0</v>
      </c>
      <c r="J162" s="95">
        <v>0</v>
      </c>
      <c r="K162" s="95">
        <v>0</v>
      </c>
      <c r="L162" s="95">
        <v>0</v>
      </c>
      <c r="M162" s="95">
        <v>0</v>
      </c>
      <c r="N162" s="95">
        <f t="shared" si="50"/>
        <v>0</v>
      </c>
      <c r="O162" s="95">
        <v>0</v>
      </c>
      <c r="P162" s="95">
        <v>0</v>
      </c>
      <c r="Q162" s="95">
        <v>0</v>
      </c>
      <c r="R162" s="95">
        <v>0</v>
      </c>
      <c r="S162" s="95">
        <v>0</v>
      </c>
      <c r="T162" s="95">
        <f t="shared" si="59"/>
        <v>0</v>
      </c>
      <c r="U162" s="95">
        <v>0</v>
      </c>
      <c r="V162" s="90">
        <f t="shared" si="57"/>
        <v>0</v>
      </c>
      <c r="W162" s="95">
        <v>0</v>
      </c>
      <c r="X162" s="90">
        <f t="shared" si="58"/>
        <v>2344.0099999999998</v>
      </c>
      <c r="Y162" s="96">
        <v>8839.9245599999995</v>
      </c>
      <c r="Z162" s="19" t="s">
        <v>7</v>
      </c>
      <c r="AA162" s="17" t="s">
        <v>1101</v>
      </c>
      <c r="AB162" s="17" t="s">
        <v>48</v>
      </c>
      <c r="AC162" s="17" t="s">
        <v>10</v>
      </c>
      <c r="AD162" s="17" t="s">
        <v>89</v>
      </c>
    </row>
    <row r="163" spans="1:30" ht="73.5" x14ac:dyDescent="0.2">
      <c r="A163" s="343"/>
      <c r="B163" s="116" t="s">
        <v>797</v>
      </c>
      <c r="C163" s="17" t="s">
        <v>38</v>
      </c>
      <c r="D163" s="19" t="s">
        <v>798</v>
      </c>
      <c r="E163" s="19" t="s">
        <v>7</v>
      </c>
      <c r="F163" s="95">
        <v>0</v>
      </c>
      <c r="G163" s="95">
        <v>0</v>
      </c>
      <c r="H163" s="19" t="s">
        <v>152</v>
      </c>
      <c r="I163" s="95">
        <v>0</v>
      </c>
      <c r="J163" s="95">
        <v>0</v>
      </c>
      <c r="K163" s="95">
        <v>0</v>
      </c>
      <c r="L163" s="95">
        <v>0</v>
      </c>
      <c r="M163" s="95">
        <v>18</v>
      </c>
      <c r="N163" s="95">
        <f t="shared" si="50"/>
        <v>18</v>
      </c>
      <c r="O163" s="95">
        <v>0</v>
      </c>
      <c r="P163" s="95">
        <v>0</v>
      </c>
      <c r="Q163" s="95">
        <v>0</v>
      </c>
      <c r="R163" s="95">
        <v>0</v>
      </c>
      <c r="S163" s="95">
        <v>19</v>
      </c>
      <c r="T163" s="95">
        <f t="shared" si="59"/>
        <v>19</v>
      </c>
      <c r="U163" s="95">
        <v>18</v>
      </c>
      <c r="V163" s="90">
        <f t="shared" si="57"/>
        <v>55</v>
      </c>
      <c r="W163" s="95">
        <v>0</v>
      </c>
      <c r="X163" s="90">
        <f t="shared" si="58"/>
        <v>55</v>
      </c>
      <c r="Y163" s="96">
        <v>260</v>
      </c>
      <c r="Z163" s="19" t="s">
        <v>7</v>
      </c>
      <c r="AA163" s="17" t="s">
        <v>1102</v>
      </c>
      <c r="AB163" s="17" t="s">
        <v>800</v>
      </c>
      <c r="AC163" s="17" t="s">
        <v>153</v>
      </c>
      <c r="AD163" s="114" t="s">
        <v>1103</v>
      </c>
    </row>
    <row r="164" spans="1:30" ht="52.5" x14ac:dyDescent="0.2">
      <c r="A164" s="343"/>
      <c r="B164" s="116" t="s">
        <v>802</v>
      </c>
      <c r="C164" s="17" t="s">
        <v>803</v>
      </c>
      <c r="D164" s="19" t="s">
        <v>804</v>
      </c>
      <c r="E164" s="19" t="s">
        <v>7</v>
      </c>
      <c r="F164" s="95">
        <v>0</v>
      </c>
      <c r="G164" s="95">
        <v>0</v>
      </c>
      <c r="H164" s="19" t="s">
        <v>152</v>
      </c>
      <c r="I164" s="95">
        <v>0</v>
      </c>
      <c r="J164" s="95">
        <v>0</v>
      </c>
      <c r="K164" s="95">
        <v>0</v>
      </c>
      <c r="L164" s="95">
        <v>0</v>
      </c>
      <c r="M164" s="95">
        <v>0</v>
      </c>
      <c r="N164" s="95">
        <f t="shared" si="50"/>
        <v>0</v>
      </c>
      <c r="O164" s="95">
        <v>0</v>
      </c>
      <c r="P164" s="95">
        <v>0</v>
      </c>
      <c r="Q164" s="95">
        <v>0</v>
      </c>
      <c r="R164" s="95">
        <v>0</v>
      </c>
      <c r="S164" s="95">
        <v>0</v>
      </c>
      <c r="T164" s="95">
        <f t="shared" si="59"/>
        <v>0</v>
      </c>
      <c r="U164" s="95">
        <v>0</v>
      </c>
      <c r="V164" s="90">
        <f t="shared" si="57"/>
        <v>0</v>
      </c>
      <c r="W164" s="95">
        <v>0</v>
      </c>
      <c r="X164" s="90">
        <f t="shared" si="58"/>
        <v>0</v>
      </c>
      <c r="Y164" s="96">
        <v>500</v>
      </c>
      <c r="Z164" s="19" t="s">
        <v>7</v>
      </c>
      <c r="AA164" s="17" t="s">
        <v>1104</v>
      </c>
      <c r="AB164" s="17" t="s">
        <v>48</v>
      </c>
      <c r="AC164" s="17" t="s">
        <v>153</v>
      </c>
      <c r="AD164" s="17" t="s">
        <v>48</v>
      </c>
    </row>
    <row r="165" spans="1:30" x14ac:dyDescent="0.2">
      <c r="A165" s="343"/>
      <c r="B165" s="294" t="s">
        <v>148</v>
      </c>
      <c r="C165" s="294"/>
      <c r="D165" s="38" t="s">
        <v>151</v>
      </c>
      <c r="E165" s="38"/>
      <c r="F165" s="40">
        <f>SUM(F166:F169)</f>
        <v>0</v>
      </c>
      <c r="G165" s="40">
        <f>SUM(G166:G169)</f>
        <v>0</v>
      </c>
      <c r="H165" s="38" t="s">
        <v>48</v>
      </c>
      <c r="I165" s="40">
        <f>I166</f>
        <v>0</v>
      </c>
      <c r="J165" s="40">
        <f>J166</f>
        <v>0</v>
      </c>
      <c r="K165" s="40">
        <f>K166</f>
        <v>0</v>
      </c>
      <c r="L165" s="40">
        <f>L166</f>
        <v>0</v>
      </c>
      <c r="M165" s="40">
        <f>M166</f>
        <v>0</v>
      </c>
      <c r="N165" s="117">
        <f t="shared" si="50"/>
        <v>0</v>
      </c>
      <c r="O165" s="40">
        <f>O166</f>
        <v>50</v>
      </c>
      <c r="P165" s="40">
        <f>P166</f>
        <v>0</v>
      </c>
      <c r="Q165" s="40">
        <f>Q166</f>
        <v>200</v>
      </c>
      <c r="R165" s="40">
        <f>R166</f>
        <v>0</v>
      </c>
      <c r="S165" s="40">
        <f>S166</f>
        <v>0</v>
      </c>
      <c r="T165" s="22">
        <f t="shared" si="59"/>
        <v>250</v>
      </c>
      <c r="U165" s="22">
        <f>SUM(U166:U169)</f>
        <v>750</v>
      </c>
      <c r="V165" s="22">
        <f t="shared" si="57"/>
        <v>1000</v>
      </c>
      <c r="W165" s="22">
        <f>SUM(W166:W169)</f>
        <v>500</v>
      </c>
      <c r="X165" s="22">
        <f>W165+V165+G165+F165</f>
        <v>1500</v>
      </c>
      <c r="Y165" s="38" t="s">
        <v>48</v>
      </c>
      <c r="Z165" s="38" t="s">
        <v>48</v>
      </c>
      <c r="AA165" s="38" t="s">
        <v>48</v>
      </c>
      <c r="AB165" s="38" t="s">
        <v>48</v>
      </c>
      <c r="AC165" s="38" t="s">
        <v>48</v>
      </c>
      <c r="AD165" s="38" t="s">
        <v>48</v>
      </c>
    </row>
    <row r="166" spans="1:30" ht="178.5" x14ac:dyDescent="0.2">
      <c r="A166" s="343"/>
      <c r="B166" s="7" t="s">
        <v>149</v>
      </c>
      <c r="C166" s="10" t="s">
        <v>150</v>
      </c>
      <c r="D166" s="18" t="s">
        <v>151</v>
      </c>
      <c r="E166" s="19"/>
      <c r="F166" s="95">
        <v>0</v>
      </c>
      <c r="G166" s="95">
        <v>0</v>
      </c>
      <c r="H166" s="19" t="s">
        <v>152</v>
      </c>
      <c r="I166" s="95">
        <v>0</v>
      </c>
      <c r="J166" s="95">
        <v>0</v>
      </c>
      <c r="K166" s="95">
        <v>0</v>
      </c>
      <c r="L166" s="95">
        <v>0</v>
      </c>
      <c r="M166" s="95">
        <v>0</v>
      </c>
      <c r="N166" s="95">
        <f t="shared" si="50"/>
        <v>0</v>
      </c>
      <c r="O166" s="95">
        <v>50</v>
      </c>
      <c r="P166" s="95">
        <v>0</v>
      </c>
      <c r="Q166" s="95">
        <v>200</v>
      </c>
      <c r="R166" s="95">
        <v>0</v>
      </c>
      <c r="S166" s="95">
        <v>0</v>
      </c>
      <c r="T166" s="95">
        <f t="shared" si="59"/>
        <v>250</v>
      </c>
      <c r="U166" s="95">
        <v>750</v>
      </c>
      <c r="V166" s="90">
        <f t="shared" si="57"/>
        <v>1000</v>
      </c>
      <c r="W166" s="95">
        <v>500</v>
      </c>
      <c r="X166" s="90">
        <f t="shared" si="58"/>
        <v>1500</v>
      </c>
      <c r="Y166" s="96">
        <f>X166</f>
        <v>1500</v>
      </c>
      <c r="Z166" s="19" t="s">
        <v>7</v>
      </c>
      <c r="AA166" s="17" t="s">
        <v>1105</v>
      </c>
      <c r="AB166" s="17" t="s">
        <v>1106</v>
      </c>
      <c r="AC166" s="10" t="s">
        <v>144</v>
      </c>
      <c r="AD166" s="17" t="s">
        <v>1107</v>
      </c>
    </row>
    <row r="167" spans="1:30" x14ac:dyDescent="0.2">
      <c r="A167" s="343"/>
      <c r="B167" s="294" t="s">
        <v>1108</v>
      </c>
      <c r="C167" s="294"/>
      <c r="D167" s="38" t="s">
        <v>807</v>
      </c>
      <c r="E167" s="38" t="s">
        <v>48</v>
      </c>
      <c r="F167" s="40">
        <f>SUM(F168:F171)</f>
        <v>0</v>
      </c>
      <c r="G167" s="40">
        <f>SUM(G168:G171)</f>
        <v>0</v>
      </c>
      <c r="H167" s="38" t="s">
        <v>48</v>
      </c>
      <c r="I167" s="40">
        <f>SUM(I168:I171)</f>
        <v>0</v>
      </c>
      <c r="J167" s="40">
        <f t="shared" ref="J167:L167" si="63">SUM(J168:J171)</f>
        <v>0</v>
      </c>
      <c r="K167" s="40">
        <f>SUM(K168:K171)</f>
        <v>455.31599999999997</v>
      </c>
      <c r="L167" s="40">
        <f t="shared" si="63"/>
        <v>0</v>
      </c>
      <c r="M167" s="40">
        <f>SUM(M168:M171)</f>
        <v>0</v>
      </c>
      <c r="N167" s="41">
        <f t="shared" si="50"/>
        <v>455.31599999999997</v>
      </c>
      <c r="O167" s="40">
        <f>SUM(O168:O171)</f>
        <v>0</v>
      </c>
      <c r="P167" s="40">
        <f t="shared" ref="P167:R167" si="64">SUM(P168:P171)</f>
        <v>0</v>
      </c>
      <c r="Q167" s="40">
        <f t="shared" si="64"/>
        <v>0</v>
      </c>
      <c r="R167" s="40">
        <f t="shared" si="64"/>
        <v>0</v>
      </c>
      <c r="S167" s="40">
        <f>SUM(S168:S171)</f>
        <v>300</v>
      </c>
      <c r="T167" s="41">
        <f t="shared" si="59"/>
        <v>300</v>
      </c>
      <c r="U167" s="40">
        <f>SUM(U168:U171)</f>
        <v>0</v>
      </c>
      <c r="V167" s="93">
        <f t="shared" si="57"/>
        <v>755.31600000000003</v>
      </c>
      <c r="W167" s="40">
        <f>SUM(W168:W171)</f>
        <v>0</v>
      </c>
      <c r="X167" s="93">
        <f>W167+V167+G167+F167</f>
        <v>755.31600000000003</v>
      </c>
      <c r="Y167" s="22" t="s">
        <v>48</v>
      </c>
      <c r="Z167" s="38" t="s">
        <v>48</v>
      </c>
      <c r="AA167" s="38" t="s">
        <v>48</v>
      </c>
      <c r="AB167" s="38" t="s">
        <v>48</v>
      </c>
      <c r="AC167" s="38" t="s">
        <v>48</v>
      </c>
      <c r="AD167" s="38" t="s">
        <v>48</v>
      </c>
    </row>
    <row r="168" spans="1:30" ht="63" x14ac:dyDescent="0.2">
      <c r="A168" s="343"/>
      <c r="B168" s="116" t="s">
        <v>808</v>
      </c>
      <c r="C168" s="17" t="s">
        <v>809</v>
      </c>
      <c r="D168" s="19" t="s">
        <v>810</v>
      </c>
      <c r="E168" s="19" t="s">
        <v>7</v>
      </c>
      <c r="F168" s="95">
        <v>0</v>
      </c>
      <c r="G168" s="95">
        <v>0</v>
      </c>
      <c r="H168" s="19" t="s">
        <v>152</v>
      </c>
      <c r="I168" s="95">
        <v>0</v>
      </c>
      <c r="J168" s="95">
        <v>0</v>
      </c>
      <c r="K168" s="95">
        <v>0</v>
      </c>
      <c r="L168" s="95">
        <v>0</v>
      </c>
      <c r="M168" s="95">
        <v>0</v>
      </c>
      <c r="N168" s="95">
        <f t="shared" si="50"/>
        <v>0</v>
      </c>
      <c r="O168" s="95">
        <v>0</v>
      </c>
      <c r="P168" s="95">
        <v>0</v>
      </c>
      <c r="Q168" s="95">
        <v>0</v>
      </c>
      <c r="R168" s="95">
        <v>0</v>
      </c>
      <c r="S168" s="95">
        <v>300</v>
      </c>
      <c r="T168" s="95">
        <f t="shared" si="59"/>
        <v>300</v>
      </c>
      <c r="U168" s="95">
        <v>0</v>
      </c>
      <c r="V168" s="90">
        <f t="shared" si="57"/>
        <v>300</v>
      </c>
      <c r="W168" s="95">
        <v>0</v>
      </c>
      <c r="X168" s="90">
        <f t="shared" si="58"/>
        <v>300</v>
      </c>
      <c r="Y168" s="96">
        <v>1204.8</v>
      </c>
      <c r="Z168" s="19" t="s">
        <v>7</v>
      </c>
      <c r="AA168" s="17" t="s">
        <v>40</v>
      </c>
      <c r="AB168" s="17" t="s">
        <v>48</v>
      </c>
      <c r="AC168" s="17" t="s">
        <v>226</v>
      </c>
      <c r="AD168" s="17" t="s">
        <v>135</v>
      </c>
    </row>
    <row r="169" spans="1:30" ht="63" x14ac:dyDescent="0.2">
      <c r="A169" s="343"/>
      <c r="B169" s="116" t="s">
        <v>812</v>
      </c>
      <c r="C169" s="17" t="s">
        <v>813</v>
      </c>
      <c r="D169" s="19" t="s">
        <v>814</v>
      </c>
      <c r="E169" s="19" t="s">
        <v>69</v>
      </c>
      <c r="F169" s="95">
        <v>0</v>
      </c>
      <c r="G169" s="95">
        <v>0</v>
      </c>
      <c r="H169" s="19" t="s">
        <v>152</v>
      </c>
      <c r="I169" s="95">
        <v>0</v>
      </c>
      <c r="J169" s="95">
        <v>0</v>
      </c>
      <c r="K169" s="95">
        <v>0</v>
      </c>
      <c r="L169" s="95">
        <v>0</v>
      </c>
      <c r="M169" s="95">
        <v>0</v>
      </c>
      <c r="N169" s="95">
        <f t="shared" si="50"/>
        <v>0</v>
      </c>
      <c r="O169" s="95">
        <v>0</v>
      </c>
      <c r="P169" s="95">
        <v>0</v>
      </c>
      <c r="Q169" s="95">
        <v>0</v>
      </c>
      <c r="R169" s="95">
        <v>0</v>
      </c>
      <c r="S169" s="95">
        <v>0</v>
      </c>
      <c r="T169" s="95">
        <f t="shared" si="59"/>
        <v>0</v>
      </c>
      <c r="U169" s="95">
        <v>0</v>
      </c>
      <c r="V169" s="90">
        <f t="shared" si="57"/>
        <v>0</v>
      </c>
      <c r="W169" s="95">
        <v>0</v>
      </c>
      <c r="X169" s="90">
        <f t="shared" si="58"/>
        <v>0</v>
      </c>
      <c r="Y169" s="96">
        <v>360</v>
      </c>
      <c r="Z169" s="19" t="s">
        <v>69</v>
      </c>
      <c r="AA169" s="17" t="s">
        <v>1109</v>
      </c>
      <c r="AB169" s="17" t="s">
        <v>48</v>
      </c>
      <c r="AC169" s="17" t="s">
        <v>816</v>
      </c>
      <c r="AD169" s="17" t="s">
        <v>90</v>
      </c>
    </row>
    <row r="170" spans="1:30" ht="52.5" x14ac:dyDescent="0.2">
      <c r="A170" s="343"/>
      <c r="B170" s="116" t="s">
        <v>817</v>
      </c>
      <c r="C170" s="17" t="s">
        <v>818</v>
      </c>
      <c r="D170" s="19" t="s">
        <v>819</v>
      </c>
      <c r="E170" s="19" t="s">
        <v>7</v>
      </c>
      <c r="F170" s="95">
        <v>0</v>
      </c>
      <c r="G170" s="95">
        <v>0</v>
      </c>
      <c r="H170" s="19" t="s">
        <v>152</v>
      </c>
      <c r="I170" s="95">
        <v>0</v>
      </c>
      <c r="J170" s="95">
        <v>0</v>
      </c>
      <c r="K170" s="95">
        <v>455.31599999999997</v>
      </c>
      <c r="L170" s="95">
        <v>0</v>
      </c>
      <c r="M170" s="95">
        <v>0</v>
      </c>
      <c r="N170" s="95">
        <f t="shared" si="50"/>
        <v>455.31599999999997</v>
      </c>
      <c r="O170" s="95">
        <v>0</v>
      </c>
      <c r="P170" s="95">
        <v>0</v>
      </c>
      <c r="Q170" s="95">
        <v>0</v>
      </c>
      <c r="R170" s="95">
        <v>0</v>
      </c>
      <c r="S170" s="95">
        <v>0</v>
      </c>
      <c r="T170" s="95">
        <f t="shared" si="59"/>
        <v>0</v>
      </c>
      <c r="U170" s="95">
        <v>0</v>
      </c>
      <c r="V170" s="90">
        <f t="shared" si="57"/>
        <v>455.31599999999997</v>
      </c>
      <c r="W170" s="95">
        <v>0</v>
      </c>
      <c r="X170" s="90">
        <f t="shared" si="58"/>
        <v>455.31599999999997</v>
      </c>
      <c r="Y170" s="96">
        <v>1910</v>
      </c>
      <c r="Z170" s="19" t="s">
        <v>7</v>
      </c>
      <c r="AA170" s="17" t="s">
        <v>1110</v>
      </c>
      <c r="AB170" s="17" t="s">
        <v>48</v>
      </c>
      <c r="AC170" s="17" t="s">
        <v>206</v>
      </c>
      <c r="AD170" s="17" t="s">
        <v>821</v>
      </c>
    </row>
    <row r="171" spans="1:30" ht="52.5" x14ac:dyDescent="0.2">
      <c r="A171" s="343"/>
      <c r="B171" s="116" t="s">
        <v>1111</v>
      </c>
      <c r="C171" s="17" t="s">
        <v>1112</v>
      </c>
      <c r="D171" s="19" t="s">
        <v>1113</v>
      </c>
      <c r="E171" s="19" t="s">
        <v>69</v>
      </c>
      <c r="F171" s="95">
        <v>0</v>
      </c>
      <c r="G171" s="95">
        <v>0</v>
      </c>
      <c r="H171" s="19" t="s">
        <v>446</v>
      </c>
      <c r="I171" s="95">
        <v>0</v>
      </c>
      <c r="J171" s="95">
        <v>0</v>
      </c>
      <c r="K171" s="95">
        <v>0</v>
      </c>
      <c r="L171" s="95">
        <v>0</v>
      </c>
      <c r="M171" s="95">
        <v>0</v>
      </c>
      <c r="N171" s="95">
        <f t="shared" si="50"/>
        <v>0</v>
      </c>
      <c r="O171" s="95">
        <v>0</v>
      </c>
      <c r="P171" s="95">
        <v>0</v>
      </c>
      <c r="Q171" s="95">
        <v>0</v>
      </c>
      <c r="R171" s="95">
        <v>0</v>
      </c>
      <c r="S171" s="95">
        <v>0</v>
      </c>
      <c r="T171" s="95">
        <f t="shared" si="59"/>
        <v>0</v>
      </c>
      <c r="U171" s="95">
        <v>0</v>
      </c>
      <c r="V171" s="90">
        <f t="shared" si="57"/>
        <v>0</v>
      </c>
      <c r="W171" s="95">
        <v>0</v>
      </c>
      <c r="X171" s="90">
        <f t="shared" si="58"/>
        <v>0</v>
      </c>
      <c r="Y171" s="96">
        <v>11604</v>
      </c>
      <c r="Z171" s="19" t="s">
        <v>1114</v>
      </c>
      <c r="AA171" s="17" t="s">
        <v>1115</v>
      </c>
      <c r="AB171" s="17" t="s">
        <v>1116</v>
      </c>
      <c r="AC171" s="17" t="s">
        <v>10</v>
      </c>
      <c r="AD171" s="17" t="s">
        <v>1117</v>
      </c>
    </row>
    <row r="172" spans="1:30" x14ac:dyDescent="0.2">
      <c r="A172" s="337"/>
      <c r="B172" s="338" t="s">
        <v>822</v>
      </c>
      <c r="C172" s="338"/>
      <c r="D172" s="82" t="s">
        <v>46</v>
      </c>
      <c r="E172" s="82" t="s">
        <v>48</v>
      </c>
      <c r="F172" s="81">
        <f>F173+F180</f>
        <v>0</v>
      </c>
      <c r="G172" s="81">
        <f>G173+G180</f>
        <v>22.387</v>
      </c>
      <c r="H172" s="82" t="s">
        <v>48</v>
      </c>
      <c r="I172" s="81">
        <f>I173+I180</f>
        <v>49.594999999999999</v>
      </c>
      <c r="J172" s="81">
        <f>J173+J180</f>
        <v>0</v>
      </c>
      <c r="K172" s="81">
        <f>K173+K180</f>
        <v>0</v>
      </c>
      <c r="L172" s="81">
        <f>L173+L180</f>
        <v>0</v>
      </c>
      <c r="M172" s="81">
        <f>M173+M180</f>
        <v>0</v>
      </c>
      <c r="N172" s="81">
        <f t="shared" si="50"/>
        <v>49.594999999999999</v>
      </c>
      <c r="O172" s="81">
        <f>O173+O180</f>
        <v>225</v>
      </c>
      <c r="P172" s="81">
        <f>P173+P180</f>
        <v>0</v>
      </c>
      <c r="Q172" s="81">
        <f>Q173+Q180</f>
        <v>0</v>
      </c>
      <c r="R172" s="81">
        <f>R173+R180</f>
        <v>0</v>
      </c>
      <c r="S172" s="81">
        <f>S173+S180</f>
        <v>0</v>
      </c>
      <c r="T172" s="81">
        <f t="shared" si="59"/>
        <v>225</v>
      </c>
      <c r="U172" s="81">
        <f>U173+U180</f>
        <v>675</v>
      </c>
      <c r="V172" s="118">
        <f t="shared" si="57"/>
        <v>949.59500000000003</v>
      </c>
      <c r="W172" s="81">
        <f>W173+W180</f>
        <v>3636.61</v>
      </c>
      <c r="X172" s="118">
        <f t="shared" si="58"/>
        <v>4608.5919999999996</v>
      </c>
      <c r="Y172" s="79" t="s">
        <v>48</v>
      </c>
      <c r="Z172" s="82" t="s">
        <v>48</v>
      </c>
      <c r="AA172" s="82" t="s">
        <v>48</v>
      </c>
      <c r="AB172" s="82" t="s">
        <v>48</v>
      </c>
      <c r="AC172" s="82" t="s">
        <v>48</v>
      </c>
      <c r="AD172" s="82" t="s">
        <v>48</v>
      </c>
    </row>
    <row r="173" spans="1:30" x14ac:dyDescent="0.2">
      <c r="A173" s="337"/>
      <c r="B173" s="294" t="s">
        <v>823</v>
      </c>
      <c r="C173" s="294"/>
      <c r="D173" s="38" t="s">
        <v>824</v>
      </c>
      <c r="E173" s="38" t="s">
        <v>48</v>
      </c>
      <c r="F173" s="40">
        <f>SUM(F174:F179)</f>
        <v>0</v>
      </c>
      <c r="G173" s="40">
        <f>SUM(G174:G179)</f>
        <v>22.387</v>
      </c>
      <c r="H173" s="38" t="s">
        <v>48</v>
      </c>
      <c r="I173" s="40">
        <f>SUM(I174:I179)</f>
        <v>49.594999999999999</v>
      </c>
      <c r="J173" s="40">
        <f>SUM(J174:J179)</f>
        <v>0</v>
      </c>
      <c r="K173" s="40">
        <f>SUM(K174:K179)</f>
        <v>0</v>
      </c>
      <c r="L173" s="40">
        <f>SUM(L174:L179)</f>
        <v>0</v>
      </c>
      <c r="M173" s="40">
        <f>SUM(M174:M179)</f>
        <v>0</v>
      </c>
      <c r="N173" s="41">
        <f t="shared" si="50"/>
        <v>49.594999999999999</v>
      </c>
      <c r="O173" s="40">
        <f>SUM(O174:O179)</f>
        <v>150</v>
      </c>
      <c r="P173" s="40">
        <f>SUM(P174:P179)</f>
        <v>0</v>
      </c>
      <c r="Q173" s="40">
        <f>SUM(Q174:Q179)</f>
        <v>0</v>
      </c>
      <c r="R173" s="40">
        <f>SUM(R174:R179)</f>
        <v>0</v>
      </c>
      <c r="S173" s="40">
        <f>SUM(S174:S179)</f>
        <v>0</v>
      </c>
      <c r="T173" s="41">
        <f t="shared" si="59"/>
        <v>150</v>
      </c>
      <c r="U173" s="40">
        <f>SUM(U174:U179)</f>
        <v>600</v>
      </c>
      <c r="V173" s="93">
        <f t="shared" si="57"/>
        <v>799.59500000000003</v>
      </c>
      <c r="W173" s="40">
        <f>SUM(W174:W179)</f>
        <v>3331.61</v>
      </c>
      <c r="X173" s="93">
        <f t="shared" si="58"/>
        <v>4153.5919999999996</v>
      </c>
      <c r="Y173" s="22" t="s">
        <v>48</v>
      </c>
      <c r="Z173" s="38" t="s">
        <v>48</v>
      </c>
      <c r="AA173" s="38" t="s">
        <v>48</v>
      </c>
      <c r="AB173" s="38" t="s">
        <v>48</v>
      </c>
      <c r="AC173" s="38" t="s">
        <v>48</v>
      </c>
      <c r="AD173" s="38" t="s">
        <v>48</v>
      </c>
    </row>
    <row r="174" spans="1:30" ht="63" x14ac:dyDescent="0.2">
      <c r="A174" s="337"/>
      <c r="B174" s="119" t="s">
        <v>825</v>
      </c>
      <c r="C174" s="17" t="s">
        <v>826</v>
      </c>
      <c r="D174" s="19" t="s">
        <v>827</v>
      </c>
      <c r="E174" s="19" t="s">
        <v>7</v>
      </c>
      <c r="F174" s="95">
        <v>0</v>
      </c>
      <c r="G174" s="95">
        <v>22.387</v>
      </c>
      <c r="H174" s="19" t="s">
        <v>152</v>
      </c>
      <c r="I174" s="95">
        <v>0</v>
      </c>
      <c r="J174" s="95">
        <v>0</v>
      </c>
      <c r="K174" s="95">
        <v>0</v>
      </c>
      <c r="L174" s="95">
        <v>0</v>
      </c>
      <c r="M174" s="95">
        <v>0</v>
      </c>
      <c r="N174" s="95">
        <f t="shared" si="50"/>
        <v>0</v>
      </c>
      <c r="O174" s="95">
        <v>0</v>
      </c>
      <c r="P174" s="95">
        <v>0</v>
      </c>
      <c r="Q174" s="95">
        <v>0</v>
      </c>
      <c r="R174" s="95">
        <v>0</v>
      </c>
      <c r="S174" s="95">
        <v>0</v>
      </c>
      <c r="T174" s="95">
        <f t="shared" si="59"/>
        <v>0</v>
      </c>
      <c r="U174" s="95">
        <v>150</v>
      </c>
      <c r="V174" s="90">
        <f t="shared" si="57"/>
        <v>150</v>
      </c>
      <c r="W174" s="95">
        <v>787.61</v>
      </c>
      <c r="X174" s="90">
        <f t="shared" si="58"/>
        <v>959.99700000000007</v>
      </c>
      <c r="Y174" s="96">
        <v>960</v>
      </c>
      <c r="Z174" s="19" t="s">
        <v>69</v>
      </c>
      <c r="AA174" s="17" t="s">
        <v>41</v>
      </c>
      <c r="AB174" s="17" t="s">
        <v>48</v>
      </c>
      <c r="AC174" s="17" t="s">
        <v>155</v>
      </c>
      <c r="AD174" s="17" t="s">
        <v>80</v>
      </c>
    </row>
    <row r="175" spans="1:30" ht="94.5" x14ac:dyDescent="0.2">
      <c r="A175" s="337"/>
      <c r="B175" s="119" t="s">
        <v>831</v>
      </c>
      <c r="C175" s="17" t="s">
        <v>832</v>
      </c>
      <c r="D175" s="19" t="s">
        <v>833</v>
      </c>
      <c r="E175" s="19" t="s">
        <v>7</v>
      </c>
      <c r="F175" s="95">
        <v>0</v>
      </c>
      <c r="G175" s="95">
        <v>0</v>
      </c>
      <c r="H175" s="19" t="s">
        <v>152</v>
      </c>
      <c r="I175" s="95">
        <v>0</v>
      </c>
      <c r="J175" s="95">
        <v>0</v>
      </c>
      <c r="K175" s="95">
        <v>0</v>
      </c>
      <c r="L175" s="95">
        <v>0</v>
      </c>
      <c r="M175" s="95">
        <v>0</v>
      </c>
      <c r="N175" s="95">
        <f t="shared" si="50"/>
        <v>0</v>
      </c>
      <c r="O175" s="95">
        <v>0</v>
      </c>
      <c r="P175" s="95">
        <v>0</v>
      </c>
      <c r="Q175" s="95">
        <v>0</v>
      </c>
      <c r="R175" s="95">
        <v>0</v>
      </c>
      <c r="S175" s="95">
        <v>0</v>
      </c>
      <c r="T175" s="95">
        <f t="shared" si="59"/>
        <v>0</v>
      </c>
      <c r="U175" s="95">
        <v>0</v>
      </c>
      <c r="V175" s="90">
        <f t="shared" si="57"/>
        <v>0</v>
      </c>
      <c r="W175" s="95">
        <v>0</v>
      </c>
      <c r="X175" s="90">
        <f t="shared" si="58"/>
        <v>0</v>
      </c>
      <c r="Y175" s="96">
        <v>600</v>
      </c>
      <c r="Z175" s="19"/>
      <c r="AA175" s="17" t="s">
        <v>1118</v>
      </c>
      <c r="AB175" s="17" t="s">
        <v>48</v>
      </c>
      <c r="AC175" s="17" t="s">
        <v>816</v>
      </c>
      <c r="AD175" s="17" t="s">
        <v>133</v>
      </c>
    </row>
    <row r="176" spans="1:30" ht="63" x14ac:dyDescent="0.2">
      <c r="A176" s="337"/>
      <c r="B176" s="119" t="s">
        <v>835</v>
      </c>
      <c r="C176" s="17" t="s">
        <v>836</v>
      </c>
      <c r="D176" s="19" t="s">
        <v>833</v>
      </c>
      <c r="E176" s="19" t="s">
        <v>7</v>
      </c>
      <c r="F176" s="95">
        <v>0</v>
      </c>
      <c r="G176" s="95">
        <v>0</v>
      </c>
      <c r="H176" s="19" t="s">
        <v>152</v>
      </c>
      <c r="I176" s="95">
        <v>0</v>
      </c>
      <c r="J176" s="95">
        <v>0</v>
      </c>
      <c r="K176" s="95">
        <v>0</v>
      </c>
      <c r="L176" s="95">
        <v>0</v>
      </c>
      <c r="M176" s="95">
        <v>0</v>
      </c>
      <c r="N176" s="95">
        <f t="shared" si="50"/>
        <v>0</v>
      </c>
      <c r="O176" s="95">
        <v>0</v>
      </c>
      <c r="P176" s="95">
        <v>0</v>
      </c>
      <c r="Q176" s="95">
        <v>0</v>
      </c>
      <c r="R176" s="95">
        <v>0</v>
      </c>
      <c r="S176" s="95">
        <v>0</v>
      </c>
      <c r="T176" s="95">
        <f t="shared" si="59"/>
        <v>0</v>
      </c>
      <c r="U176" s="95">
        <v>0</v>
      </c>
      <c r="V176" s="90">
        <f t="shared" si="57"/>
        <v>0</v>
      </c>
      <c r="W176" s="95">
        <v>0</v>
      </c>
      <c r="X176" s="90">
        <f t="shared" si="58"/>
        <v>0</v>
      </c>
      <c r="Y176" s="96">
        <v>2000</v>
      </c>
      <c r="Z176" s="19" t="s">
        <v>69</v>
      </c>
      <c r="AA176" s="17" t="s">
        <v>43</v>
      </c>
      <c r="AB176" s="17" t="s">
        <v>838</v>
      </c>
      <c r="AC176" s="17" t="s">
        <v>816</v>
      </c>
      <c r="AD176" s="17" t="s">
        <v>218</v>
      </c>
    </row>
    <row r="177" spans="1:30" ht="31.5" x14ac:dyDescent="0.2">
      <c r="A177" s="337"/>
      <c r="B177" s="119" t="s">
        <v>840</v>
      </c>
      <c r="C177" s="17" t="s">
        <v>841</v>
      </c>
      <c r="D177" s="19" t="s">
        <v>842</v>
      </c>
      <c r="E177" s="19" t="s">
        <v>7</v>
      </c>
      <c r="F177" s="95">
        <v>0</v>
      </c>
      <c r="G177" s="95">
        <v>0</v>
      </c>
      <c r="H177" s="19" t="s">
        <v>46</v>
      </c>
      <c r="I177" s="95">
        <v>49.594999999999999</v>
      </c>
      <c r="J177" s="95">
        <v>0</v>
      </c>
      <c r="K177" s="95">
        <v>0</v>
      </c>
      <c r="L177" s="95">
        <v>0</v>
      </c>
      <c r="M177" s="95">
        <v>0</v>
      </c>
      <c r="N177" s="95">
        <f t="shared" si="50"/>
        <v>49.594999999999999</v>
      </c>
      <c r="O177" s="95">
        <v>50</v>
      </c>
      <c r="P177" s="95">
        <v>0</v>
      </c>
      <c r="Q177" s="95">
        <v>0</v>
      </c>
      <c r="R177" s="95">
        <v>0</v>
      </c>
      <c r="S177" s="95">
        <v>0</v>
      </c>
      <c r="T177" s="95">
        <f t="shared" si="59"/>
        <v>50</v>
      </c>
      <c r="U177" s="95">
        <v>50</v>
      </c>
      <c r="V177" s="90">
        <f t="shared" si="57"/>
        <v>149.595</v>
      </c>
      <c r="W177" s="95">
        <v>284</v>
      </c>
      <c r="X177" s="90">
        <f t="shared" si="58"/>
        <v>433.59500000000003</v>
      </c>
      <c r="Y177" s="96">
        <v>420</v>
      </c>
      <c r="Z177" s="19" t="s">
        <v>7</v>
      </c>
      <c r="AA177" s="17" t="s">
        <v>1119</v>
      </c>
      <c r="AB177" s="17" t="s">
        <v>48</v>
      </c>
      <c r="AC177" s="120" t="s">
        <v>1120</v>
      </c>
      <c r="AD177" s="17" t="s">
        <v>136</v>
      </c>
    </row>
    <row r="178" spans="1:30" ht="73.5" x14ac:dyDescent="0.2">
      <c r="A178" s="337"/>
      <c r="B178" s="119" t="s">
        <v>844</v>
      </c>
      <c r="C178" s="17" t="s">
        <v>845</v>
      </c>
      <c r="D178" s="19" t="s">
        <v>846</v>
      </c>
      <c r="E178" s="19" t="s">
        <v>7</v>
      </c>
      <c r="F178" s="95">
        <v>0</v>
      </c>
      <c r="G178" s="95">
        <v>0</v>
      </c>
      <c r="H178" s="19" t="s">
        <v>152</v>
      </c>
      <c r="I178" s="95">
        <v>0</v>
      </c>
      <c r="J178" s="95">
        <v>0</v>
      </c>
      <c r="K178" s="95">
        <v>0</v>
      </c>
      <c r="L178" s="121">
        <v>0</v>
      </c>
      <c r="M178" s="95">
        <v>0</v>
      </c>
      <c r="N178" s="95">
        <f>SUM(I178:M178)</f>
        <v>0</v>
      </c>
      <c r="O178" s="95">
        <v>0</v>
      </c>
      <c r="P178" s="95">
        <v>0</v>
      </c>
      <c r="Q178" s="95">
        <v>0</v>
      </c>
      <c r="R178" s="95">
        <v>0</v>
      </c>
      <c r="S178" s="95">
        <v>0</v>
      </c>
      <c r="T178" s="95">
        <f t="shared" si="59"/>
        <v>0</v>
      </c>
      <c r="U178" s="95">
        <v>100</v>
      </c>
      <c r="V178" s="90">
        <f t="shared" si="57"/>
        <v>100</v>
      </c>
      <c r="W178" s="95">
        <v>260</v>
      </c>
      <c r="X178" s="90">
        <f t="shared" si="58"/>
        <v>360</v>
      </c>
      <c r="Y178" s="96">
        <v>360</v>
      </c>
      <c r="Z178" s="19" t="s">
        <v>69</v>
      </c>
      <c r="AA178" s="17" t="s">
        <v>1121</v>
      </c>
      <c r="AB178" s="17" t="s">
        <v>848</v>
      </c>
      <c r="AC178" s="17" t="s">
        <v>695</v>
      </c>
      <c r="AD178" s="17" t="s">
        <v>219</v>
      </c>
    </row>
    <row r="179" spans="1:30" ht="31.5" x14ac:dyDescent="0.2">
      <c r="A179" s="337"/>
      <c r="B179" s="119" t="s">
        <v>850</v>
      </c>
      <c r="C179" s="17" t="s">
        <v>851</v>
      </c>
      <c r="D179" s="19" t="s">
        <v>852</v>
      </c>
      <c r="E179" s="19" t="s">
        <v>7</v>
      </c>
      <c r="F179" s="95">
        <v>0</v>
      </c>
      <c r="G179" s="95">
        <v>0</v>
      </c>
      <c r="H179" s="19" t="s">
        <v>46</v>
      </c>
      <c r="I179" s="95">
        <v>0</v>
      </c>
      <c r="J179" s="95">
        <v>0</v>
      </c>
      <c r="K179" s="95">
        <v>0</v>
      </c>
      <c r="L179" s="95">
        <v>0</v>
      </c>
      <c r="M179" s="95">
        <v>0</v>
      </c>
      <c r="N179" s="95">
        <f t="shared" si="50"/>
        <v>0</v>
      </c>
      <c r="O179" s="95">
        <v>100</v>
      </c>
      <c r="P179" s="95">
        <v>0</v>
      </c>
      <c r="Q179" s="95">
        <v>0</v>
      </c>
      <c r="R179" s="95">
        <v>0</v>
      </c>
      <c r="S179" s="95">
        <v>0</v>
      </c>
      <c r="T179" s="95">
        <f t="shared" si="59"/>
        <v>100</v>
      </c>
      <c r="U179" s="95">
        <v>300</v>
      </c>
      <c r="V179" s="90">
        <f t="shared" si="57"/>
        <v>400</v>
      </c>
      <c r="W179" s="95">
        <v>2000</v>
      </c>
      <c r="X179" s="90">
        <f t="shared" si="58"/>
        <v>2400</v>
      </c>
      <c r="Y179" s="96">
        <v>2400</v>
      </c>
      <c r="Z179" s="19" t="s">
        <v>69</v>
      </c>
      <c r="AA179" s="17" t="s">
        <v>1122</v>
      </c>
      <c r="AB179" s="17" t="s">
        <v>48</v>
      </c>
      <c r="AC179" s="17" t="s">
        <v>695</v>
      </c>
      <c r="AD179" s="17" t="s">
        <v>160</v>
      </c>
    </row>
    <row r="180" spans="1:30" x14ac:dyDescent="0.2">
      <c r="A180" s="337"/>
      <c r="B180" s="339" t="s">
        <v>1123</v>
      </c>
      <c r="C180" s="339"/>
      <c r="D180" s="122" t="s">
        <v>855</v>
      </c>
      <c r="E180" s="122" t="s">
        <v>48</v>
      </c>
      <c r="F180" s="123">
        <f>SUM(F181)</f>
        <v>0</v>
      </c>
      <c r="G180" s="123">
        <f>SUM(G181)</f>
        <v>0</v>
      </c>
      <c r="H180" s="122" t="s">
        <v>48</v>
      </c>
      <c r="I180" s="123">
        <f>SUM(I181)</f>
        <v>0</v>
      </c>
      <c r="J180" s="123">
        <f t="shared" ref="J180:L180" si="65">SUM(J181)</f>
        <v>0</v>
      </c>
      <c r="K180" s="123">
        <f>SUM(K181)</f>
        <v>0</v>
      </c>
      <c r="L180" s="123">
        <f t="shared" si="65"/>
        <v>0</v>
      </c>
      <c r="M180" s="123">
        <f>SUM(M181)</f>
        <v>0</v>
      </c>
      <c r="N180" s="124">
        <f t="shared" si="50"/>
        <v>0</v>
      </c>
      <c r="O180" s="123">
        <f>SUM(O181)</f>
        <v>75</v>
      </c>
      <c r="P180" s="123">
        <f t="shared" ref="P180:R180" si="66">SUM(P181)</f>
        <v>0</v>
      </c>
      <c r="Q180" s="123">
        <f t="shared" si="66"/>
        <v>0</v>
      </c>
      <c r="R180" s="123">
        <f t="shared" si="66"/>
        <v>0</v>
      </c>
      <c r="S180" s="123">
        <f>SUM(S181)</f>
        <v>0</v>
      </c>
      <c r="T180" s="124">
        <f t="shared" si="59"/>
        <v>75</v>
      </c>
      <c r="U180" s="123">
        <f>SUM(U181)</f>
        <v>75</v>
      </c>
      <c r="V180" s="93">
        <f t="shared" si="57"/>
        <v>150</v>
      </c>
      <c r="W180" s="123">
        <f>SUM(W181)</f>
        <v>305</v>
      </c>
      <c r="X180" s="93">
        <f t="shared" si="58"/>
        <v>455</v>
      </c>
      <c r="Y180" s="125" t="s">
        <v>48</v>
      </c>
      <c r="Z180" s="122" t="s">
        <v>48</v>
      </c>
      <c r="AA180" s="122" t="s">
        <v>48</v>
      </c>
      <c r="AB180" s="122" t="s">
        <v>48</v>
      </c>
      <c r="AC180" s="122" t="s">
        <v>48</v>
      </c>
      <c r="AD180" s="122" t="s">
        <v>48</v>
      </c>
    </row>
    <row r="181" spans="1:30" ht="42" x14ac:dyDescent="0.2">
      <c r="A181" s="337"/>
      <c r="B181" s="119" t="s">
        <v>856</v>
      </c>
      <c r="C181" s="17" t="s">
        <v>857</v>
      </c>
      <c r="D181" s="19" t="s">
        <v>858</v>
      </c>
      <c r="E181" s="19" t="s">
        <v>69</v>
      </c>
      <c r="F181" s="95">
        <v>0</v>
      </c>
      <c r="G181" s="95">
        <v>0</v>
      </c>
      <c r="H181" s="19" t="s">
        <v>46</v>
      </c>
      <c r="I181" s="95">
        <v>0</v>
      </c>
      <c r="J181" s="95">
        <v>0</v>
      </c>
      <c r="K181" s="95">
        <v>0</v>
      </c>
      <c r="L181" s="95">
        <v>0</v>
      </c>
      <c r="M181" s="95">
        <v>0</v>
      </c>
      <c r="N181" s="95">
        <f t="shared" si="50"/>
        <v>0</v>
      </c>
      <c r="O181" s="95">
        <v>75</v>
      </c>
      <c r="P181" s="95">
        <v>0</v>
      </c>
      <c r="Q181" s="95">
        <v>0</v>
      </c>
      <c r="R181" s="95">
        <v>0</v>
      </c>
      <c r="S181" s="95">
        <v>0</v>
      </c>
      <c r="T181" s="95">
        <f t="shared" si="59"/>
        <v>75</v>
      </c>
      <c r="U181" s="95">
        <v>75</v>
      </c>
      <c r="V181" s="90">
        <f t="shared" si="57"/>
        <v>150</v>
      </c>
      <c r="W181" s="95">
        <v>305</v>
      </c>
      <c r="X181" s="90">
        <f t="shared" si="58"/>
        <v>455</v>
      </c>
      <c r="Y181" s="96">
        <v>455</v>
      </c>
      <c r="Z181" s="19" t="s">
        <v>69</v>
      </c>
      <c r="AA181" s="17" t="s">
        <v>1124</v>
      </c>
      <c r="AB181" s="17" t="s">
        <v>860</v>
      </c>
      <c r="AC181" s="17" t="s">
        <v>158</v>
      </c>
      <c r="AD181" s="17" t="s">
        <v>90</v>
      </c>
    </row>
    <row r="182" spans="1:30" x14ac:dyDescent="0.2">
      <c r="A182" s="340" t="s">
        <v>1125</v>
      </c>
      <c r="B182" s="340"/>
      <c r="C182" s="340"/>
      <c r="D182" s="340"/>
      <c r="E182" s="340"/>
      <c r="F182" s="340"/>
      <c r="G182" s="340"/>
      <c r="H182" s="340"/>
      <c r="I182" s="340"/>
      <c r="J182" s="340"/>
      <c r="K182" s="340"/>
      <c r="L182" s="340"/>
      <c r="M182" s="340"/>
      <c r="N182" s="340"/>
      <c r="O182" s="340"/>
      <c r="P182" s="340"/>
      <c r="Q182" s="340"/>
      <c r="R182" s="340"/>
      <c r="S182" s="340"/>
      <c r="T182" s="340"/>
      <c r="U182" s="340"/>
      <c r="V182" s="340"/>
      <c r="W182" s="340"/>
      <c r="X182" s="340"/>
      <c r="Y182" s="340"/>
      <c r="Z182" s="340"/>
      <c r="AA182" s="340"/>
      <c r="AB182" s="340"/>
      <c r="AC182" s="340"/>
      <c r="AD182" s="340"/>
    </row>
  </sheetData>
  <mergeCells count="61">
    <mergeCell ref="A1:AD1"/>
    <mergeCell ref="A2:AD2"/>
    <mergeCell ref="A3:A6"/>
    <mergeCell ref="B3:B5"/>
    <mergeCell ref="C3:C5"/>
    <mergeCell ref="D3:D5"/>
    <mergeCell ref="E3:E5"/>
    <mergeCell ref="F3:F5"/>
    <mergeCell ref="G3:G5"/>
    <mergeCell ref="H3:H5"/>
    <mergeCell ref="AD3:AD5"/>
    <mergeCell ref="I3:N3"/>
    <mergeCell ref="O3:T3"/>
    <mergeCell ref="U3:U5"/>
    <mergeCell ref="V3:V5"/>
    <mergeCell ref="W3:W5"/>
    <mergeCell ref="AA3:AA5"/>
    <mergeCell ref="AB3:AB5"/>
    <mergeCell ref="AC3:AC5"/>
    <mergeCell ref="B6:C6"/>
    <mergeCell ref="A7:A64"/>
    <mergeCell ref="B7:C7"/>
    <mergeCell ref="B8:C8"/>
    <mergeCell ref="B29:C29"/>
    <mergeCell ref="B39:C39"/>
    <mergeCell ref="B59:C59"/>
    <mergeCell ref="X3:X5"/>
    <mergeCell ref="I4:N4"/>
    <mergeCell ref="O4:T4"/>
    <mergeCell ref="Y3:Y5"/>
    <mergeCell ref="Z3:Z5"/>
    <mergeCell ref="A99:A109"/>
    <mergeCell ref="B99:C99"/>
    <mergeCell ref="B100:C100"/>
    <mergeCell ref="B104:C104"/>
    <mergeCell ref="B107:C107"/>
    <mergeCell ref="A65:A98"/>
    <mergeCell ref="B65:C65"/>
    <mergeCell ref="B66:C66"/>
    <mergeCell ref="B95:C95"/>
    <mergeCell ref="B97:C97"/>
    <mergeCell ref="A110:A133"/>
    <mergeCell ref="B110:C110"/>
    <mergeCell ref="B111:C111"/>
    <mergeCell ref="B119:C119"/>
    <mergeCell ref="B124:C124"/>
    <mergeCell ref="B127:C127"/>
    <mergeCell ref="B129:C129"/>
    <mergeCell ref="A134:A158"/>
    <mergeCell ref="B134:C134"/>
    <mergeCell ref="B135:C135"/>
    <mergeCell ref="A159:A171"/>
    <mergeCell ref="B159:C159"/>
    <mergeCell ref="B160:C160"/>
    <mergeCell ref="B165:C165"/>
    <mergeCell ref="B167:C167"/>
    <mergeCell ref="A172:A181"/>
    <mergeCell ref="B172:C172"/>
    <mergeCell ref="B173:C173"/>
    <mergeCell ref="B180:C180"/>
    <mergeCell ref="A182:AD18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89"/>
  <sheetViews>
    <sheetView zoomScale="80" zoomScaleNormal="80" workbookViewId="0">
      <pane xSplit="1" ySplit="6" topLeftCell="B7" activePane="bottomRight" state="frozen"/>
      <selection pane="topRight" activeCell="B1" sqref="B1"/>
      <selection pane="bottomLeft" activeCell="A7" sqref="A7"/>
      <selection pane="bottomRight" activeCell="B3" sqref="B3:B6"/>
    </sheetView>
  </sheetViews>
  <sheetFormatPr defaultColWidth="8.83203125" defaultRowHeight="10.5" x14ac:dyDescent="0.2"/>
  <cols>
    <col min="1" max="1" width="4.6640625" style="129" customWidth="1"/>
    <col min="2" max="2" width="6" style="129" bestFit="1" customWidth="1"/>
    <col min="3" max="3" width="31.5" style="197" customWidth="1"/>
    <col min="4" max="4" width="8" style="129" customWidth="1"/>
    <col min="5" max="5" width="9.33203125" style="129" customWidth="1"/>
    <col min="6" max="6" width="14" style="198" customWidth="1"/>
    <col min="7" max="7" width="12.5" style="198" customWidth="1"/>
    <col min="8" max="8" width="9.83203125" style="129" customWidth="1"/>
    <col min="9" max="9" width="11.5" style="198" bestFit="1" customWidth="1"/>
    <col min="10" max="10" width="12.83203125" style="198" customWidth="1"/>
    <col min="11" max="11" width="11" style="198" customWidth="1"/>
    <col min="12" max="12" width="10.5" style="198" customWidth="1"/>
    <col min="13" max="13" width="9.6640625" style="198" customWidth="1"/>
    <col min="14" max="14" width="13.5" style="198" customWidth="1"/>
    <col min="15" max="16" width="12.83203125" style="198" customWidth="1"/>
    <col min="17" max="17" width="13" style="198" customWidth="1"/>
    <col min="18" max="18" width="12" style="198" customWidth="1"/>
    <col min="19" max="19" width="13" style="198" customWidth="1"/>
    <col min="20" max="20" width="7.5" style="198" customWidth="1"/>
    <col min="21" max="21" width="12.83203125" style="198" customWidth="1"/>
    <col min="22" max="22" width="12.6640625" style="198" customWidth="1"/>
    <col min="23" max="23" width="12.5" style="198" customWidth="1"/>
    <col min="24" max="24" width="14.5" style="198" customWidth="1"/>
    <col min="25" max="25" width="12.6640625" style="198" customWidth="1"/>
    <col min="26" max="26" width="14.33203125" style="198" customWidth="1"/>
    <col min="27" max="27" width="13" style="129" customWidth="1"/>
    <col min="28" max="28" width="8.83203125" style="129"/>
    <col min="29" max="29" width="55.5" style="197" customWidth="1"/>
    <col min="30" max="30" width="26.33203125" style="197" customWidth="1"/>
    <col min="31" max="31" width="17" style="197" customWidth="1"/>
    <col min="32" max="32" width="27.5" style="197" customWidth="1"/>
    <col min="33" max="33" width="8.83203125" style="128"/>
    <col min="34" max="16384" width="8.83203125" style="129"/>
  </cols>
  <sheetData>
    <row r="1" spans="1:32" ht="30" customHeight="1" x14ac:dyDescent="0.2">
      <c r="A1" s="375" t="s">
        <v>1356</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row>
    <row r="2" spans="1:32" ht="26.45" customHeight="1" x14ac:dyDescent="0.2">
      <c r="A2" s="377" t="s">
        <v>1154</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row>
    <row r="3" spans="1:32" x14ac:dyDescent="0.2">
      <c r="A3" s="378"/>
      <c r="B3" s="381" t="s">
        <v>864</v>
      </c>
      <c r="C3" s="384" t="s">
        <v>180</v>
      </c>
      <c r="D3" s="386" t="s">
        <v>1155</v>
      </c>
      <c r="E3" s="384" t="s">
        <v>303</v>
      </c>
      <c r="F3" s="389" t="s">
        <v>866</v>
      </c>
      <c r="G3" s="389" t="s">
        <v>1156</v>
      </c>
      <c r="H3" s="384" t="s">
        <v>868</v>
      </c>
      <c r="I3" s="392" t="s">
        <v>309</v>
      </c>
      <c r="J3" s="393"/>
      <c r="K3" s="393"/>
      <c r="L3" s="393"/>
      <c r="M3" s="393"/>
      <c r="N3" s="393"/>
      <c r="O3" s="393"/>
      <c r="P3" s="394"/>
      <c r="Q3" s="395" t="s">
        <v>869</v>
      </c>
      <c r="R3" s="395"/>
      <c r="S3" s="395"/>
      <c r="T3" s="395"/>
      <c r="U3" s="395"/>
      <c r="V3" s="395"/>
      <c r="W3" s="395" t="s">
        <v>1157</v>
      </c>
      <c r="X3" s="398" t="s">
        <v>870</v>
      </c>
      <c r="Y3" s="401" t="s">
        <v>1158</v>
      </c>
      <c r="Z3" s="405" t="s">
        <v>872</v>
      </c>
      <c r="AA3" s="384" t="s">
        <v>312</v>
      </c>
      <c r="AB3" s="384" t="s">
        <v>313</v>
      </c>
      <c r="AC3" s="384" t="s">
        <v>873</v>
      </c>
      <c r="AD3" s="384" t="s">
        <v>874</v>
      </c>
      <c r="AE3" s="384" t="s">
        <v>875</v>
      </c>
      <c r="AF3" s="384" t="s">
        <v>876</v>
      </c>
    </row>
    <row r="4" spans="1:32" ht="12.75" customHeight="1" x14ac:dyDescent="0.2">
      <c r="A4" s="379"/>
      <c r="B4" s="382"/>
      <c r="C4" s="384"/>
      <c r="D4" s="386"/>
      <c r="E4" s="384"/>
      <c r="F4" s="389"/>
      <c r="G4" s="389"/>
      <c r="H4" s="384"/>
      <c r="I4" s="408" t="s">
        <v>314</v>
      </c>
      <c r="J4" s="409"/>
      <c r="K4" s="409"/>
      <c r="L4" s="409"/>
      <c r="M4" s="409"/>
      <c r="N4" s="409"/>
      <c r="O4" s="409"/>
      <c r="P4" s="410"/>
      <c r="Q4" s="411" t="s">
        <v>314</v>
      </c>
      <c r="R4" s="411"/>
      <c r="S4" s="411"/>
      <c r="T4" s="411"/>
      <c r="U4" s="411"/>
      <c r="V4" s="411"/>
      <c r="W4" s="395"/>
      <c r="X4" s="398"/>
      <c r="Y4" s="402"/>
      <c r="Z4" s="406"/>
      <c r="AA4" s="384"/>
      <c r="AB4" s="384"/>
      <c r="AC4" s="384"/>
      <c r="AD4" s="384"/>
      <c r="AE4" s="384"/>
      <c r="AF4" s="384"/>
    </row>
    <row r="5" spans="1:32" ht="24.75" customHeight="1" x14ac:dyDescent="0.2">
      <c r="A5" s="379"/>
      <c r="B5" s="382"/>
      <c r="C5" s="381"/>
      <c r="D5" s="387"/>
      <c r="E5" s="381"/>
      <c r="F5" s="390"/>
      <c r="G5" s="390"/>
      <c r="H5" s="381"/>
      <c r="I5" s="412" t="s">
        <v>315</v>
      </c>
      <c r="J5" s="413"/>
      <c r="K5" s="414" t="s">
        <v>316</v>
      </c>
      <c r="L5" s="414" t="s">
        <v>317</v>
      </c>
      <c r="M5" s="414" t="s">
        <v>1159</v>
      </c>
      <c r="N5" s="414" t="s">
        <v>319</v>
      </c>
      <c r="O5" s="419" t="s">
        <v>320</v>
      </c>
      <c r="P5" s="420"/>
      <c r="Q5" s="414" t="s">
        <v>315</v>
      </c>
      <c r="R5" s="414" t="s">
        <v>316</v>
      </c>
      <c r="S5" s="414" t="s">
        <v>317</v>
      </c>
      <c r="T5" s="414" t="s">
        <v>1159</v>
      </c>
      <c r="U5" s="414" t="s">
        <v>319</v>
      </c>
      <c r="V5" s="416" t="s">
        <v>320</v>
      </c>
      <c r="W5" s="396"/>
      <c r="X5" s="399"/>
      <c r="Y5" s="403"/>
      <c r="Z5" s="406"/>
      <c r="AA5" s="381"/>
      <c r="AB5" s="381"/>
      <c r="AC5" s="381"/>
      <c r="AD5" s="381"/>
      <c r="AE5" s="381"/>
      <c r="AF5" s="381"/>
    </row>
    <row r="6" spans="1:32" ht="39.75" customHeight="1" thickBot="1" x14ac:dyDescent="0.25">
      <c r="A6" s="379"/>
      <c r="B6" s="383"/>
      <c r="C6" s="385"/>
      <c r="D6" s="388"/>
      <c r="E6" s="385"/>
      <c r="F6" s="391"/>
      <c r="G6" s="391"/>
      <c r="H6" s="385"/>
      <c r="I6" s="130" t="s">
        <v>1160</v>
      </c>
      <c r="J6" s="131" t="s">
        <v>1161</v>
      </c>
      <c r="K6" s="415"/>
      <c r="L6" s="415"/>
      <c r="M6" s="415"/>
      <c r="N6" s="415"/>
      <c r="O6" s="132" t="s">
        <v>1160</v>
      </c>
      <c r="P6" s="133" t="s">
        <v>1161</v>
      </c>
      <c r="Q6" s="415"/>
      <c r="R6" s="415"/>
      <c r="S6" s="415"/>
      <c r="T6" s="415"/>
      <c r="U6" s="415"/>
      <c r="V6" s="417"/>
      <c r="W6" s="397"/>
      <c r="X6" s="400"/>
      <c r="Y6" s="404"/>
      <c r="Z6" s="407"/>
      <c r="AA6" s="385"/>
      <c r="AB6" s="385"/>
      <c r="AC6" s="385"/>
      <c r="AD6" s="385"/>
      <c r="AE6" s="385"/>
      <c r="AF6" s="385"/>
    </row>
    <row r="7" spans="1:32" ht="25.15" customHeight="1" x14ac:dyDescent="0.2">
      <c r="A7" s="380"/>
      <c r="B7" s="418" t="s">
        <v>322</v>
      </c>
      <c r="C7" s="418"/>
      <c r="D7" s="135" t="s">
        <v>48</v>
      </c>
      <c r="E7" s="135" t="s">
        <v>48</v>
      </c>
      <c r="F7" s="136">
        <f>F8+F68+F103+F114+F139+F165+F178</f>
        <v>104438.40000000001</v>
      </c>
      <c r="G7" s="136">
        <f>G8+G68+G103+G114+G139+G165+G178</f>
        <v>56138.985999999997</v>
      </c>
      <c r="H7" s="137" t="s">
        <v>48</v>
      </c>
      <c r="I7" s="136">
        <f>I8+I68+I103+I114+I139+I165+I178</f>
        <v>2507.3239199999998</v>
      </c>
      <c r="J7" s="136">
        <f>J8+J68+J103+J114+J139+J165+J178</f>
        <v>14104.722919999998</v>
      </c>
      <c r="K7" s="136">
        <f t="shared" ref="K7:N7" si="0">K8+K68+K103+K114+K139+K165+K178</f>
        <v>9076.6729999999989</v>
      </c>
      <c r="L7" s="136">
        <f t="shared" si="0"/>
        <v>644.62300000000005</v>
      </c>
      <c r="M7" s="136">
        <f t="shared" si="0"/>
        <v>734.53899999999999</v>
      </c>
      <c r="N7" s="136">
        <f t="shared" si="0"/>
        <v>9635.6980000000003</v>
      </c>
      <c r="O7" s="136">
        <f>I7+K7+L7+M7+N7</f>
        <v>22598.856919999998</v>
      </c>
      <c r="P7" s="136">
        <f>J7+K7+L7+M7+N7</f>
        <v>34196.255919999996</v>
      </c>
      <c r="Q7" s="136">
        <f>Q8+Q68+Q103+Q114+Q139+Q165+Q178</f>
        <v>17272.755000000001</v>
      </c>
      <c r="R7" s="136">
        <f>R8+R68+R103+R114+R139+R165+R178</f>
        <v>5588.6120000000001</v>
      </c>
      <c r="S7" s="136">
        <f>S8+S68+S103+S114+S139+S165+S178</f>
        <v>10531.208000000001</v>
      </c>
      <c r="T7" s="136">
        <f>T8+T68+T103+T114+T139+T165+T178</f>
        <v>0</v>
      </c>
      <c r="U7" s="136">
        <f>U8+U68+U103+U114+U139+U165+U178</f>
        <v>18584.93419</v>
      </c>
      <c r="V7" s="136">
        <f>SUM(Q7:U7)</f>
        <v>51977.509190000004</v>
      </c>
      <c r="W7" s="136">
        <f>W8+W68+W103+W114+W139+W165+W178</f>
        <v>47371.659</v>
      </c>
      <c r="X7" s="136">
        <f>O7+V7+W7</f>
        <v>121948.02511</v>
      </c>
      <c r="Y7" s="136">
        <f>Y8+Y68+Y103+Y114+Y139+Y165+Y178</f>
        <v>27610.527000000002</v>
      </c>
      <c r="Z7" s="136">
        <f>Y7+X7+G7+F7</f>
        <v>310135.93810999999</v>
      </c>
      <c r="AA7" s="134" t="s">
        <v>48</v>
      </c>
      <c r="AB7" s="135" t="s">
        <v>48</v>
      </c>
      <c r="AC7" s="135" t="s">
        <v>48</v>
      </c>
      <c r="AD7" s="135" t="s">
        <v>48</v>
      </c>
      <c r="AE7" s="135" t="s">
        <v>48</v>
      </c>
      <c r="AF7" s="135" t="s">
        <v>48</v>
      </c>
    </row>
    <row r="8" spans="1:32" ht="25.15" customHeight="1" x14ac:dyDescent="0.2">
      <c r="A8" s="424"/>
      <c r="B8" s="425" t="s">
        <v>878</v>
      </c>
      <c r="C8" s="425"/>
      <c r="D8" s="139" t="s">
        <v>324</v>
      </c>
      <c r="E8" s="139" t="s">
        <v>48</v>
      </c>
      <c r="F8" s="140">
        <f>F9+F31+F42+F62</f>
        <v>81940.320000000007</v>
      </c>
      <c r="G8" s="140">
        <f>G9+G31+G42+G62</f>
        <v>19937.349999999999</v>
      </c>
      <c r="H8" s="139" t="s">
        <v>48</v>
      </c>
      <c r="I8" s="140">
        <f>I9+I31+I42+I62</f>
        <v>585.78599999999994</v>
      </c>
      <c r="J8" s="140">
        <f t="shared" ref="J8:N8" si="1">J9+J31+J42+J62</f>
        <v>1186.9090000000001</v>
      </c>
      <c r="K8" s="140">
        <f t="shared" si="1"/>
        <v>889.29600000000005</v>
      </c>
      <c r="L8" s="140">
        <f t="shared" si="1"/>
        <v>305.95799999999997</v>
      </c>
      <c r="M8" s="140">
        <f t="shared" si="1"/>
        <v>0</v>
      </c>
      <c r="N8" s="140">
        <f t="shared" si="1"/>
        <v>6321.3519999999999</v>
      </c>
      <c r="O8" s="140">
        <f>I8+K8+L8+M8+N8</f>
        <v>8102.3919999999998</v>
      </c>
      <c r="P8" s="140">
        <f>J8+K8+L8+M8+N8</f>
        <v>8703.5149999999994</v>
      </c>
      <c r="Q8" s="140">
        <f>Q9+Q31+Q42+Q62</f>
        <v>1402.3789999999999</v>
      </c>
      <c r="R8" s="140">
        <f>R9+R31+R42+R62</f>
        <v>3045.7269999999999</v>
      </c>
      <c r="S8" s="140">
        <f>S9+S31+S42+S62</f>
        <v>3922.21</v>
      </c>
      <c r="T8" s="140">
        <f>T9+T31+T42+T62</f>
        <v>0</v>
      </c>
      <c r="U8" s="140">
        <f>U9+U31+U42+U62</f>
        <v>11052.73019</v>
      </c>
      <c r="V8" s="140">
        <f>SUM(Q8:U8)</f>
        <v>19423.046190000001</v>
      </c>
      <c r="W8" s="140">
        <f>W9+W31+W42+W62</f>
        <v>23213.272000000001</v>
      </c>
      <c r="X8" s="141">
        <f>O8+V8+W8</f>
        <v>50738.710189999998</v>
      </c>
      <c r="Y8" s="140">
        <f>Y9+Y31+Y42+Y62</f>
        <v>8205</v>
      </c>
      <c r="Z8" s="141">
        <f t="shared" ref="Z8:Z71" si="2">Y8+X8+G8+F8</f>
        <v>160821.38019</v>
      </c>
      <c r="AA8" s="138" t="s">
        <v>48</v>
      </c>
      <c r="AB8" s="139" t="s">
        <v>48</v>
      </c>
      <c r="AC8" s="139" t="s">
        <v>48</v>
      </c>
      <c r="AD8" s="139" t="s">
        <v>48</v>
      </c>
      <c r="AE8" s="139" t="s">
        <v>48</v>
      </c>
      <c r="AF8" s="139" t="s">
        <v>48</v>
      </c>
    </row>
    <row r="9" spans="1:32" ht="25.15" customHeight="1" x14ac:dyDescent="0.2">
      <c r="A9" s="424"/>
      <c r="B9" s="421" t="s">
        <v>325</v>
      </c>
      <c r="C9" s="421"/>
      <c r="D9" s="143" t="s">
        <v>326</v>
      </c>
      <c r="E9" s="143" t="s">
        <v>48</v>
      </c>
      <c r="F9" s="144">
        <f>SUM(F10:F30)</f>
        <v>189.2</v>
      </c>
      <c r="G9" s="144">
        <f>SUM(G10:G30)</f>
        <v>629.83000000000004</v>
      </c>
      <c r="H9" s="143" t="s">
        <v>48</v>
      </c>
      <c r="I9" s="144">
        <f>SUM(I10:I30)</f>
        <v>401.14299999999997</v>
      </c>
      <c r="J9" s="144">
        <f t="shared" ref="J9:N9" si="3">SUM(J10:J30)</f>
        <v>588.29899999999998</v>
      </c>
      <c r="K9" s="144">
        <f t="shared" si="3"/>
        <v>0</v>
      </c>
      <c r="L9" s="144">
        <f t="shared" si="3"/>
        <v>210.11799999999999</v>
      </c>
      <c r="M9" s="144">
        <f t="shared" si="3"/>
        <v>0</v>
      </c>
      <c r="N9" s="144">
        <f t="shared" si="3"/>
        <v>0</v>
      </c>
      <c r="O9" s="144">
        <f>I9+K9+L9+M9+N9</f>
        <v>611.26099999999997</v>
      </c>
      <c r="P9" s="144">
        <f>J9+K9+L9+M9+N9</f>
        <v>798.41699999999992</v>
      </c>
      <c r="Q9" s="144">
        <f>SUM(Q10:Q30)</f>
        <v>217.91299999999998</v>
      </c>
      <c r="R9" s="144">
        <f>SUM(R10:R30)</f>
        <v>530</v>
      </c>
      <c r="S9" s="144">
        <f>SUM(S10:S30)</f>
        <v>330.53999999999996</v>
      </c>
      <c r="T9" s="144">
        <f>SUM(T10:T30)</f>
        <v>0</v>
      </c>
      <c r="U9" s="144">
        <f>SUM(U10:U30)</f>
        <v>0</v>
      </c>
      <c r="V9" s="144">
        <f>SUM(Q9:U9)</f>
        <v>1078.453</v>
      </c>
      <c r="W9" s="144">
        <f>SUM(W10:W30)</f>
        <v>564.70299999999997</v>
      </c>
      <c r="X9" s="145">
        <f t="shared" ref="X9:X78" si="4">O9+V9+W9</f>
        <v>2254.4169999999999</v>
      </c>
      <c r="Y9" s="144">
        <f>SUM(Y10:Y30)</f>
        <v>650</v>
      </c>
      <c r="Z9" s="145">
        <f t="shared" si="2"/>
        <v>3723.4469999999997</v>
      </c>
      <c r="AA9" s="142" t="s">
        <v>48</v>
      </c>
      <c r="AB9" s="143" t="s">
        <v>48</v>
      </c>
      <c r="AC9" s="143" t="s">
        <v>48</v>
      </c>
      <c r="AD9" s="143" t="s">
        <v>48</v>
      </c>
      <c r="AE9" s="143" t="s">
        <v>48</v>
      </c>
      <c r="AF9" s="143" t="s">
        <v>48</v>
      </c>
    </row>
    <row r="10" spans="1:32" ht="31.5" hidden="1" x14ac:dyDescent="0.2">
      <c r="A10" s="424"/>
      <c r="B10" s="146" t="s">
        <v>327</v>
      </c>
      <c r="C10" s="147"/>
      <c r="D10" s="148" t="s">
        <v>329</v>
      </c>
      <c r="E10" s="148" t="s">
        <v>7</v>
      </c>
      <c r="F10" s="149">
        <v>9.1999999999999993</v>
      </c>
      <c r="G10" s="149">
        <v>0</v>
      </c>
      <c r="H10" s="148" t="s">
        <v>152</v>
      </c>
      <c r="I10" s="149">
        <v>0</v>
      </c>
      <c r="J10" s="149"/>
      <c r="K10" s="149">
        <v>0</v>
      </c>
      <c r="L10" s="149">
        <v>0</v>
      </c>
      <c r="M10" s="149">
        <v>0</v>
      </c>
      <c r="N10" s="149">
        <v>0</v>
      </c>
      <c r="O10" s="149">
        <f>SUM(I10:N10)</f>
        <v>0</v>
      </c>
      <c r="P10" s="149"/>
      <c r="Q10" s="149">
        <v>0</v>
      </c>
      <c r="R10" s="149">
        <v>0</v>
      </c>
      <c r="S10" s="149">
        <v>0</v>
      </c>
      <c r="T10" s="149">
        <v>0</v>
      </c>
      <c r="U10" s="149">
        <v>0</v>
      </c>
      <c r="V10" s="149">
        <f>SUM(Q10:U10)</f>
        <v>0</v>
      </c>
      <c r="W10" s="149">
        <v>0</v>
      </c>
      <c r="X10" s="136">
        <f t="shared" si="4"/>
        <v>0</v>
      </c>
      <c r="Y10" s="149">
        <v>0</v>
      </c>
      <c r="Z10" s="136">
        <f t="shared" si="2"/>
        <v>9.1999999999999993</v>
      </c>
      <c r="AA10" s="150">
        <v>205</v>
      </c>
      <c r="AB10" s="148" t="s">
        <v>69</v>
      </c>
      <c r="AC10" s="147" t="s">
        <v>91</v>
      </c>
      <c r="AD10" s="147" t="s">
        <v>331</v>
      </c>
      <c r="AE10" s="147" t="s">
        <v>332</v>
      </c>
      <c r="AF10" s="147" t="s">
        <v>48</v>
      </c>
    </row>
    <row r="11" spans="1:32" ht="81" hidden="1" customHeight="1" x14ac:dyDescent="0.2">
      <c r="A11" s="424"/>
      <c r="B11" s="146" t="s">
        <v>333</v>
      </c>
      <c r="C11" s="147" t="s">
        <v>334</v>
      </c>
      <c r="D11" s="148" t="s">
        <v>335</v>
      </c>
      <c r="E11" s="148" t="s">
        <v>69</v>
      </c>
      <c r="F11" s="149">
        <v>0</v>
      </c>
      <c r="G11" s="149">
        <v>0</v>
      </c>
      <c r="H11" s="148" t="s">
        <v>152</v>
      </c>
      <c r="I11" s="149">
        <v>0</v>
      </c>
      <c r="J11" s="149"/>
      <c r="K11" s="149">
        <v>0</v>
      </c>
      <c r="L11" s="149">
        <v>0</v>
      </c>
      <c r="M11" s="149">
        <v>0</v>
      </c>
      <c r="N11" s="149">
        <v>0</v>
      </c>
      <c r="O11" s="149">
        <f t="shared" ref="O11:O26" si="5">SUM(I11:N11)</f>
        <v>0</v>
      </c>
      <c r="P11" s="149"/>
      <c r="Q11" s="149">
        <v>0</v>
      </c>
      <c r="R11" s="149">
        <v>0</v>
      </c>
      <c r="S11" s="149">
        <v>0</v>
      </c>
      <c r="T11" s="149">
        <v>0</v>
      </c>
      <c r="U11" s="149">
        <v>0</v>
      </c>
      <c r="V11" s="149">
        <f t="shared" ref="V11:V81" si="6">SUM(Q11:U11)</f>
        <v>0</v>
      </c>
      <c r="W11" s="149">
        <v>0</v>
      </c>
      <c r="X11" s="136">
        <f t="shared" si="4"/>
        <v>0</v>
      </c>
      <c r="Y11" s="149">
        <v>0</v>
      </c>
      <c r="Z11" s="136">
        <f t="shared" si="2"/>
        <v>0</v>
      </c>
      <c r="AA11" s="150">
        <v>120</v>
      </c>
      <c r="AB11" s="148" t="s">
        <v>69</v>
      </c>
      <c r="AC11" s="147" t="s">
        <v>63</v>
      </c>
      <c r="AD11" s="147" t="s">
        <v>297</v>
      </c>
      <c r="AE11" s="147" t="s">
        <v>243</v>
      </c>
      <c r="AF11" s="147" t="s">
        <v>879</v>
      </c>
    </row>
    <row r="12" spans="1:32" ht="325.5" customHeight="1" x14ac:dyDescent="0.2">
      <c r="A12" s="424"/>
      <c r="B12" s="146" t="s">
        <v>340</v>
      </c>
      <c r="C12" s="147" t="s">
        <v>880</v>
      </c>
      <c r="D12" s="148" t="s">
        <v>335</v>
      </c>
      <c r="E12" s="148" t="s">
        <v>69</v>
      </c>
      <c r="F12" s="149">
        <v>0</v>
      </c>
      <c r="G12" s="149">
        <v>0</v>
      </c>
      <c r="H12" s="148" t="s">
        <v>46</v>
      </c>
      <c r="I12" s="149">
        <v>62.802999999999997</v>
      </c>
      <c r="J12" s="149">
        <v>62.802999999999997</v>
      </c>
      <c r="K12" s="149">
        <v>0</v>
      </c>
      <c r="L12" s="149">
        <v>204.44399999999999</v>
      </c>
      <c r="M12" s="149">
        <v>0</v>
      </c>
      <c r="N12" s="149">
        <v>0</v>
      </c>
      <c r="O12" s="149">
        <f>I12+K12+L12+M12+N12</f>
        <v>267.24699999999996</v>
      </c>
      <c r="P12" s="149">
        <f>J12+K12+L12+M12+N12</f>
        <v>267.24699999999996</v>
      </c>
      <c r="Q12" s="149">
        <v>0</v>
      </c>
      <c r="R12" s="149">
        <v>0</v>
      </c>
      <c r="S12" s="149">
        <v>22.72</v>
      </c>
      <c r="T12" s="149">
        <v>0</v>
      </c>
      <c r="U12" s="149">
        <v>0</v>
      </c>
      <c r="V12" s="149">
        <f t="shared" si="6"/>
        <v>22.72</v>
      </c>
      <c r="W12" s="149">
        <v>0</v>
      </c>
      <c r="X12" s="136">
        <f t="shared" si="4"/>
        <v>289.96699999999998</v>
      </c>
      <c r="Y12" s="149">
        <v>0</v>
      </c>
      <c r="Z12" s="136">
        <f t="shared" si="2"/>
        <v>289.96699999999998</v>
      </c>
      <c r="AA12" s="150">
        <v>350</v>
      </c>
      <c r="AB12" s="148" t="s">
        <v>7</v>
      </c>
      <c r="AC12" s="147" t="s">
        <v>1162</v>
      </c>
      <c r="AD12" s="147" t="s">
        <v>142</v>
      </c>
      <c r="AE12" s="147" t="s">
        <v>158</v>
      </c>
      <c r="AF12" s="147" t="s">
        <v>1163</v>
      </c>
    </row>
    <row r="13" spans="1:32" ht="75" hidden="1" customHeight="1" x14ac:dyDescent="0.2">
      <c r="A13" s="424"/>
      <c r="B13" s="146" t="s">
        <v>346</v>
      </c>
      <c r="C13" s="147" t="s">
        <v>77</v>
      </c>
      <c r="D13" s="148" t="s">
        <v>335</v>
      </c>
      <c r="E13" s="148" t="s">
        <v>69</v>
      </c>
      <c r="F13" s="149">
        <v>0</v>
      </c>
      <c r="G13" s="149">
        <v>0</v>
      </c>
      <c r="H13" s="148" t="s">
        <v>152</v>
      </c>
      <c r="I13" s="149">
        <v>0</v>
      </c>
      <c r="J13" s="149"/>
      <c r="K13" s="149">
        <v>0</v>
      </c>
      <c r="L13" s="149">
        <v>0</v>
      </c>
      <c r="M13" s="149">
        <v>0</v>
      </c>
      <c r="N13" s="149">
        <v>0</v>
      </c>
      <c r="O13" s="149">
        <f t="shared" si="5"/>
        <v>0</v>
      </c>
      <c r="P13" s="149"/>
      <c r="Q13" s="149">
        <v>0</v>
      </c>
      <c r="R13" s="149">
        <v>0</v>
      </c>
      <c r="S13" s="149">
        <v>0</v>
      </c>
      <c r="T13" s="149">
        <v>0</v>
      </c>
      <c r="U13" s="149">
        <v>0</v>
      </c>
      <c r="V13" s="149">
        <f t="shared" si="6"/>
        <v>0</v>
      </c>
      <c r="W13" s="149">
        <v>0</v>
      </c>
      <c r="X13" s="136">
        <f t="shared" si="4"/>
        <v>0</v>
      </c>
      <c r="Y13" s="149">
        <v>0</v>
      </c>
      <c r="Z13" s="136">
        <f t="shared" si="2"/>
        <v>0</v>
      </c>
      <c r="AA13" s="150">
        <v>600</v>
      </c>
      <c r="AB13" s="148" t="s">
        <v>69</v>
      </c>
      <c r="AC13" s="147" t="s">
        <v>1164</v>
      </c>
      <c r="AD13" s="147" t="s">
        <v>298</v>
      </c>
      <c r="AE13" s="147" t="s">
        <v>243</v>
      </c>
      <c r="AF13" s="147" t="s">
        <v>884</v>
      </c>
    </row>
    <row r="14" spans="1:32" ht="85.5" hidden="1" customHeight="1" x14ac:dyDescent="0.2">
      <c r="A14" s="424"/>
      <c r="B14" s="146" t="s">
        <v>350</v>
      </c>
      <c r="C14" s="147" t="s">
        <v>351</v>
      </c>
      <c r="D14" s="148" t="s">
        <v>335</v>
      </c>
      <c r="E14" s="148" t="s">
        <v>69</v>
      </c>
      <c r="F14" s="149">
        <v>0</v>
      </c>
      <c r="G14" s="149">
        <v>0</v>
      </c>
      <c r="H14" s="148" t="s">
        <v>152</v>
      </c>
      <c r="I14" s="149">
        <v>0</v>
      </c>
      <c r="J14" s="149"/>
      <c r="K14" s="149">
        <v>0</v>
      </c>
      <c r="L14" s="149">
        <v>0</v>
      </c>
      <c r="M14" s="149">
        <v>0</v>
      </c>
      <c r="N14" s="149">
        <v>0</v>
      </c>
      <c r="O14" s="149">
        <f t="shared" si="5"/>
        <v>0</v>
      </c>
      <c r="P14" s="149"/>
      <c r="Q14" s="149">
        <v>0</v>
      </c>
      <c r="R14" s="149">
        <v>0</v>
      </c>
      <c r="S14" s="149">
        <v>0</v>
      </c>
      <c r="T14" s="149">
        <v>0</v>
      </c>
      <c r="U14" s="149">
        <v>0</v>
      </c>
      <c r="V14" s="149">
        <f t="shared" si="6"/>
        <v>0</v>
      </c>
      <c r="W14" s="149">
        <v>0</v>
      </c>
      <c r="X14" s="136">
        <f t="shared" si="4"/>
        <v>0</v>
      </c>
      <c r="Y14" s="149">
        <v>0</v>
      </c>
      <c r="Z14" s="136">
        <f t="shared" si="2"/>
        <v>0</v>
      </c>
      <c r="AA14" s="150">
        <v>240</v>
      </c>
      <c r="AB14" s="148" t="s">
        <v>69</v>
      </c>
      <c r="AC14" s="147" t="s">
        <v>71</v>
      </c>
      <c r="AD14" s="147" t="s">
        <v>353</v>
      </c>
      <c r="AE14" s="147" t="s">
        <v>243</v>
      </c>
      <c r="AF14" s="147" t="s">
        <v>186</v>
      </c>
    </row>
    <row r="15" spans="1:32" ht="159.75" customHeight="1" x14ac:dyDescent="0.2">
      <c r="A15" s="424"/>
      <c r="B15" s="146" t="s">
        <v>355</v>
      </c>
      <c r="C15" s="147" t="s">
        <v>356</v>
      </c>
      <c r="D15" s="148" t="s">
        <v>357</v>
      </c>
      <c r="E15" s="148" t="s">
        <v>69</v>
      </c>
      <c r="F15" s="149">
        <v>0</v>
      </c>
      <c r="G15" s="149">
        <v>0</v>
      </c>
      <c r="H15" s="148" t="s">
        <v>152</v>
      </c>
      <c r="I15" s="149">
        <v>0</v>
      </c>
      <c r="J15" s="149">
        <v>51</v>
      </c>
      <c r="K15" s="149">
        <v>0</v>
      </c>
      <c r="L15" s="149">
        <v>0</v>
      </c>
      <c r="M15" s="149">
        <v>0</v>
      </c>
      <c r="N15" s="149">
        <v>0</v>
      </c>
      <c r="O15" s="149">
        <f>I15+K15+L15+M15+N15</f>
        <v>0</v>
      </c>
      <c r="P15" s="149">
        <f>J15+K15+L15+M15+N15</f>
        <v>51</v>
      </c>
      <c r="Q15" s="149">
        <v>0</v>
      </c>
      <c r="R15" s="149">
        <v>530</v>
      </c>
      <c r="S15" s="149">
        <v>120</v>
      </c>
      <c r="T15" s="149">
        <v>0</v>
      </c>
      <c r="U15" s="149">
        <v>0</v>
      </c>
      <c r="V15" s="149">
        <f t="shared" si="6"/>
        <v>650</v>
      </c>
      <c r="W15" s="149">
        <v>180</v>
      </c>
      <c r="X15" s="136">
        <f t="shared" si="4"/>
        <v>830</v>
      </c>
      <c r="Y15" s="149">
        <v>0</v>
      </c>
      <c r="Z15" s="136">
        <f t="shared" si="2"/>
        <v>830</v>
      </c>
      <c r="AA15" s="150">
        <f>830</f>
        <v>830</v>
      </c>
      <c r="AB15" s="148" t="s">
        <v>7</v>
      </c>
      <c r="AC15" s="147" t="s">
        <v>1165</v>
      </c>
      <c r="AD15" s="147" t="s">
        <v>1166</v>
      </c>
      <c r="AE15" s="147" t="s">
        <v>10</v>
      </c>
      <c r="AF15" s="147" t="s">
        <v>1167</v>
      </c>
    </row>
    <row r="16" spans="1:32" ht="214.5" customHeight="1" x14ac:dyDescent="0.2">
      <c r="A16" s="424"/>
      <c r="B16" s="146" t="s">
        <v>361</v>
      </c>
      <c r="C16" s="147" t="s">
        <v>362</v>
      </c>
      <c r="D16" s="148" t="s">
        <v>357</v>
      </c>
      <c r="E16" s="148" t="s">
        <v>7</v>
      </c>
      <c r="F16" s="149">
        <v>0</v>
      </c>
      <c r="G16" s="149">
        <v>430.16</v>
      </c>
      <c r="H16" s="148" t="s">
        <v>46</v>
      </c>
      <c r="I16" s="149">
        <v>116</v>
      </c>
      <c r="J16" s="149">
        <v>116</v>
      </c>
      <c r="K16" s="149">
        <v>0</v>
      </c>
      <c r="L16" s="149">
        <v>0</v>
      </c>
      <c r="M16" s="149">
        <v>0</v>
      </c>
      <c r="N16" s="149">
        <v>0</v>
      </c>
      <c r="O16" s="149">
        <f>I16+K16+L16+M16+N16</f>
        <v>116</v>
      </c>
      <c r="P16" s="149">
        <f>J16+K16+L16+M16+N16</f>
        <v>116</v>
      </c>
      <c r="Q16" s="149">
        <v>0</v>
      </c>
      <c r="R16" s="149">
        <v>0</v>
      </c>
      <c r="S16" s="149">
        <v>0</v>
      </c>
      <c r="T16" s="149">
        <v>0</v>
      </c>
      <c r="U16" s="149">
        <v>0</v>
      </c>
      <c r="V16" s="149">
        <f t="shared" si="6"/>
        <v>0</v>
      </c>
      <c r="W16" s="149">
        <v>0</v>
      </c>
      <c r="X16" s="136">
        <f t="shared" si="4"/>
        <v>116</v>
      </c>
      <c r="Y16" s="149">
        <v>0</v>
      </c>
      <c r="Z16" s="136">
        <f t="shared" si="2"/>
        <v>546.16000000000008</v>
      </c>
      <c r="AA16" s="150">
        <v>600</v>
      </c>
      <c r="AB16" s="148" t="s">
        <v>69</v>
      </c>
      <c r="AC16" s="147" t="s">
        <v>1168</v>
      </c>
      <c r="AD16" s="147" t="s">
        <v>888</v>
      </c>
      <c r="AE16" s="147" t="s">
        <v>243</v>
      </c>
      <c r="AF16" s="147" t="s">
        <v>48</v>
      </c>
    </row>
    <row r="17" spans="1:32" ht="29.45" hidden="1" customHeight="1" x14ac:dyDescent="0.2">
      <c r="A17" s="424"/>
      <c r="B17" s="146" t="s">
        <v>366</v>
      </c>
      <c r="C17" s="147" t="s">
        <v>367</v>
      </c>
      <c r="D17" s="148" t="s">
        <v>368</v>
      </c>
      <c r="E17" s="148" t="s">
        <v>69</v>
      </c>
      <c r="F17" s="149">
        <v>0</v>
      </c>
      <c r="G17" s="149">
        <v>0</v>
      </c>
      <c r="H17" s="148" t="s">
        <v>152</v>
      </c>
      <c r="I17" s="149">
        <v>0</v>
      </c>
      <c r="J17" s="149"/>
      <c r="K17" s="149">
        <v>0</v>
      </c>
      <c r="L17" s="149">
        <v>0</v>
      </c>
      <c r="M17" s="149">
        <v>0</v>
      </c>
      <c r="N17" s="149">
        <v>0</v>
      </c>
      <c r="O17" s="149">
        <f t="shared" si="5"/>
        <v>0</v>
      </c>
      <c r="P17" s="149"/>
      <c r="Q17" s="149">
        <v>0</v>
      </c>
      <c r="R17" s="149">
        <v>0</v>
      </c>
      <c r="S17" s="149">
        <v>0</v>
      </c>
      <c r="T17" s="149">
        <v>0</v>
      </c>
      <c r="U17" s="149">
        <v>0</v>
      </c>
      <c r="V17" s="149">
        <f t="shared" si="6"/>
        <v>0</v>
      </c>
      <c r="W17" s="149">
        <v>0</v>
      </c>
      <c r="X17" s="136">
        <f t="shared" si="4"/>
        <v>0</v>
      </c>
      <c r="Y17" s="149">
        <v>0</v>
      </c>
      <c r="Z17" s="136">
        <f t="shared" si="2"/>
        <v>0</v>
      </c>
      <c r="AA17" s="150">
        <v>50</v>
      </c>
      <c r="AB17" s="148" t="s">
        <v>69</v>
      </c>
      <c r="AC17" s="147" t="s">
        <v>889</v>
      </c>
      <c r="AD17" s="147" t="s">
        <v>369</v>
      </c>
      <c r="AE17" s="147" t="s">
        <v>243</v>
      </c>
      <c r="AF17" s="147" t="s">
        <v>48</v>
      </c>
    </row>
    <row r="18" spans="1:32" ht="69.75" hidden="1" customHeight="1" x14ac:dyDescent="0.2">
      <c r="A18" s="424"/>
      <c r="B18" s="146" t="s">
        <v>370</v>
      </c>
      <c r="C18" s="147" t="s">
        <v>371</v>
      </c>
      <c r="D18" s="148" t="s">
        <v>372</v>
      </c>
      <c r="E18" s="148" t="s">
        <v>7</v>
      </c>
      <c r="F18" s="149">
        <v>0</v>
      </c>
      <c r="G18" s="149">
        <v>0</v>
      </c>
      <c r="H18" s="148" t="s">
        <v>46</v>
      </c>
      <c r="I18" s="149">
        <v>0</v>
      </c>
      <c r="J18" s="149"/>
      <c r="K18" s="149">
        <v>0</v>
      </c>
      <c r="L18" s="149">
        <v>0</v>
      </c>
      <c r="M18" s="149">
        <v>0</v>
      </c>
      <c r="N18" s="149">
        <v>0</v>
      </c>
      <c r="O18" s="149">
        <f t="shared" si="5"/>
        <v>0</v>
      </c>
      <c r="P18" s="149"/>
      <c r="Q18" s="149">
        <v>0</v>
      </c>
      <c r="R18" s="149">
        <v>0</v>
      </c>
      <c r="S18" s="149">
        <v>0</v>
      </c>
      <c r="T18" s="149">
        <v>0</v>
      </c>
      <c r="U18" s="149">
        <v>0</v>
      </c>
      <c r="V18" s="149">
        <f t="shared" si="6"/>
        <v>0</v>
      </c>
      <c r="W18" s="149">
        <v>0</v>
      </c>
      <c r="X18" s="136">
        <f t="shared" si="4"/>
        <v>0</v>
      </c>
      <c r="Y18" s="149">
        <v>0</v>
      </c>
      <c r="Z18" s="136">
        <f t="shared" si="2"/>
        <v>0</v>
      </c>
      <c r="AA18" s="150">
        <v>360</v>
      </c>
      <c r="AB18" s="148" t="s">
        <v>69</v>
      </c>
      <c r="AC18" s="147" t="s">
        <v>890</v>
      </c>
      <c r="AD18" s="147" t="s">
        <v>374</v>
      </c>
      <c r="AE18" s="147" t="s">
        <v>243</v>
      </c>
      <c r="AF18" s="147" t="s">
        <v>78</v>
      </c>
    </row>
    <row r="19" spans="1:32" ht="66" hidden="1" customHeight="1" x14ac:dyDescent="0.2">
      <c r="A19" s="424"/>
      <c r="B19" s="146" t="s">
        <v>891</v>
      </c>
      <c r="C19" s="147" t="s">
        <v>892</v>
      </c>
      <c r="D19" s="148" t="s">
        <v>893</v>
      </c>
      <c r="E19" s="148" t="s">
        <v>69</v>
      </c>
      <c r="F19" s="149">
        <v>0</v>
      </c>
      <c r="G19" s="149">
        <v>0</v>
      </c>
      <c r="H19" s="148" t="s">
        <v>446</v>
      </c>
      <c r="I19" s="149">
        <v>0</v>
      </c>
      <c r="J19" s="149"/>
      <c r="K19" s="149">
        <v>0</v>
      </c>
      <c r="L19" s="149">
        <v>0</v>
      </c>
      <c r="M19" s="149">
        <v>0</v>
      </c>
      <c r="N19" s="149">
        <v>0</v>
      </c>
      <c r="O19" s="149">
        <f t="shared" si="5"/>
        <v>0</v>
      </c>
      <c r="P19" s="149"/>
      <c r="Q19" s="149">
        <v>0</v>
      </c>
      <c r="R19" s="149">
        <v>0</v>
      </c>
      <c r="S19" s="149">
        <v>0</v>
      </c>
      <c r="T19" s="149">
        <v>0</v>
      </c>
      <c r="U19" s="149">
        <v>0</v>
      </c>
      <c r="V19" s="149">
        <f t="shared" si="6"/>
        <v>0</v>
      </c>
      <c r="W19" s="149">
        <v>0</v>
      </c>
      <c r="X19" s="136">
        <f t="shared" si="4"/>
        <v>0</v>
      </c>
      <c r="Y19" s="149">
        <v>0</v>
      </c>
      <c r="Z19" s="136">
        <f t="shared" si="2"/>
        <v>0</v>
      </c>
      <c r="AA19" s="150">
        <v>1200</v>
      </c>
      <c r="AB19" s="148" t="s">
        <v>7</v>
      </c>
      <c r="AC19" s="147" t="s">
        <v>894</v>
      </c>
      <c r="AD19" s="147" t="s">
        <v>895</v>
      </c>
      <c r="AE19" s="147" t="s">
        <v>332</v>
      </c>
      <c r="AF19" s="147" t="s">
        <v>896</v>
      </c>
    </row>
    <row r="20" spans="1:32" ht="72" customHeight="1" x14ac:dyDescent="0.2">
      <c r="A20" s="424"/>
      <c r="B20" s="146" t="s">
        <v>375</v>
      </c>
      <c r="C20" s="147" t="s">
        <v>376</v>
      </c>
      <c r="D20" s="148" t="s">
        <v>377</v>
      </c>
      <c r="E20" s="148" t="s">
        <v>7</v>
      </c>
      <c r="F20" s="149">
        <v>0</v>
      </c>
      <c r="G20" s="149">
        <v>0</v>
      </c>
      <c r="H20" s="148" t="s">
        <v>152</v>
      </c>
      <c r="I20" s="149">
        <v>0</v>
      </c>
      <c r="J20" s="149">
        <v>0</v>
      </c>
      <c r="K20" s="149">
        <v>0</v>
      </c>
      <c r="L20" s="149">
        <v>0</v>
      </c>
      <c r="M20" s="149">
        <v>0</v>
      </c>
      <c r="N20" s="149">
        <v>0</v>
      </c>
      <c r="O20" s="149">
        <f>I20+K20+L20+M20+N20</f>
        <v>0</v>
      </c>
      <c r="P20" s="149">
        <f>J20+K20+L20+M20+N20</f>
        <v>0</v>
      </c>
      <c r="Q20" s="149">
        <v>0</v>
      </c>
      <c r="R20" s="149">
        <v>0</v>
      </c>
      <c r="S20" s="149">
        <v>0</v>
      </c>
      <c r="T20" s="149">
        <v>0</v>
      </c>
      <c r="U20" s="149">
        <v>0</v>
      </c>
      <c r="V20" s="149">
        <f t="shared" si="6"/>
        <v>0</v>
      </c>
      <c r="W20" s="149">
        <v>0</v>
      </c>
      <c r="X20" s="136">
        <f t="shared" si="4"/>
        <v>0</v>
      </c>
      <c r="Y20" s="149">
        <v>0</v>
      </c>
      <c r="Z20" s="136">
        <f t="shared" si="2"/>
        <v>0</v>
      </c>
      <c r="AA20" s="150">
        <v>480</v>
      </c>
      <c r="AB20" s="148" t="s">
        <v>69</v>
      </c>
      <c r="AC20" s="147" t="s">
        <v>378</v>
      </c>
      <c r="AD20" s="147" t="s">
        <v>379</v>
      </c>
      <c r="AE20" s="147" t="s">
        <v>123</v>
      </c>
      <c r="AF20" s="147" t="s">
        <v>79</v>
      </c>
    </row>
    <row r="21" spans="1:32" ht="49.9" customHeight="1" x14ac:dyDescent="0.2">
      <c r="A21" s="424"/>
      <c r="B21" s="146" t="s">
        <v>380</v>
      </c>
      <c r="C21" s="147" t="s">
        <v>8</v>
      </c>
      <c r="D21" s="148" t="s">
        <v>381</v>
      </c>
      <c r="E21" s="148" t="s">
        <v>7</v>
      </c>
      <c r="F21" s="149">
        <v>0</v>
      </c>
      <c r="G21" s="149">
        <v>8.3000000000000007</v>
      </c>
      <c r="H21" s="148" t="s">
        <v>46</v>
      </c>
      <c r="I21" s="149">
        <v>8.2949999999999999</v>
      </c>
      <c r="J21" s="149">
        <v>8.2949999999999999</v>
      </c>
      <c r="K21" s="149">
        <v>0</v>
      </c>
      <c r="L21" s="149">
        <v>0</v>
      </c>
      <c r="M21" s="149">
        <v>0</v>
      </c>
      <c r="N21" s="149">
        <v>0</v>
      </c>
      <c r="O21" s="149">
        <f>I21+K21+L21+M21+N21</f>
        <v>8.2949999999999999</v>
      </c>
      <c r="P21" s="149">
        <f>J21+K21+L21+M21+N21</f>
        <v>8.2949999999999999</v>
      </c>
      <c r="Q21" s="149">
        <v>0</v>
      </c>
      <c r="R21" s="149">
        <v>0</v>
      </c>
      <c r="S21" s="149">
        <v>0</v>
      </c>
      <c r="T21" s="149">
        <v>0</v>
      </c>
      <c r="U21" s="149">
        <v>0</v>
      </c>
      <c r="V21" s="149">
        <f t="shared" si="6"/>
        <v>0</v>
      </c>
      <c r="W21" s="149">
        <v>0</v>
      </c>
      <c r="X21" s="136">
        <f t="shared" si="4"/>
        <v>8.2949999999999999</v>
      </c>
      <c r="Y21" s="149">
        <v>0</v>
      </c>
      <c r="Z21" s="136">
        <f t="shared" si="2"/>
        <v>16.594999999999999</v>
      </c>
      <c r="AA21" s="150">
        <v>300</v>
      </c>
      <c r="AB21" s="148" t="s">
        <v>69</v>
      </c>
      <c r="AC21" s="147" t="s">
        <v>1169</v>
      </c>
      <c r="AD21" s="147" t="s">
        <v>899</v>
      </c>
      <c r="AE21" s="147" t="s">
        <v>243</v>
      </c>
      <c r="AF21" s="147" t="s">
        <v>48</v>
      </c>
    </row>
    <row r="22" spans="1:32" ht="95.45" customHeight="1" x14ac:dyDescent="0.2">
      <c r="A22" s="424"/>
      <c r="B22" s="146" t="s">
        <v>384</v>
      </c>
      <c r="C22" s="147" t="s">
        <v>1170</v>
      </c>
      <c r="D22" s="148" t="s">
        <v>381</v>
      </c>
      <c r="E22" s="148" t="s">
        <v>7</v>
      </c>
      <c r="F22" s="149">
        <v>0</v>
      </c>
      <c r="G22" s="149">
        <v>30.5</v>
      </c>
      <c r="H22" s="148" t="s">
        <v>46</v>
      </c>
      <c r="I22" s="149">
        <v>29.963000000000001</v>
      </c>
      <c r="J22" s="149">
        <v>29.963000000000001</v>
      </c>
      <c r="K22" s="149">
        <v>0</v>
      </c>
      <c r="L22" s="149">
        <v>0</v>
      </c>
      <c r="M22" s="149">
        <v>0</v>
      </c>
      <c r="N22" s="149">
        <v>0</v>
      </c>
      <c r="O22" s="149">
        <f>I22+K22+L22+M22+N22</f>
        <v>29.963000000000001</v>
      </c>
      <c r="P22" s="149">
        <f>J22+K22+L22+M22+N22</f>
        <v>29.963000000000001</v>
      </c>
      <c r="Q22" s="149">
        <v>0</v>
      </c>
      <c r="R22" s="149">
        <v>0</v>
      </c>
      <c r="S22" s="149">
        <v>0</v>
      </c>
      <c r="T22" s="149">
        <v>0</v>
      </c>
      <c r="U22" s="149">
        <v>0</v>
      </c>
      <c r="V22" s="149">
        <f t="shared" si="6"/>
        <v>0</v>
      </c>
      <c r="W22" s="149">
        <v>0</v>
      </c>
      <c r="X22" s="136">
        <f t="shared" si="4"/>
        <v>29.963000000000001</v>
      </c>
      <c r="Y22" s="149">
        <v>0</v>
      </c>
      <c r="Z22" s="136">
        <f t="shared" si="2"/>
        <v>60.463000000000001</v>
      </c>
      <c r="AA22" s="150">
        <v>240</v>
      </c>
      <c r="AB22" s="148" t="s">
        <v>81</v>
      </c>
      <c r="AC22" s="147" t="s">
        <v>1171</v>
      </c>
      <c r="AD22" s="147" t="s">
        <v>386</v>
      </c>
      <c r="AE22" s="147" t="s">
        <v>243</v>
      </c>
      <c r="AF22" s="147" t="s">
        <v>1172</v>
      </c>
    </row>
    <row r="23" spans="1:32" ht="108.75" customHeight="1" x14ac:dyDescent="0.2">
      <c r="A23" s="424"/>
      <c r="B23" s="146" t="s">
        <v>901</v>
      </c>
      <c r="C23" s="147" t="s">
        <v>902</v>
      </c>
      <c r="D23" s="148" t="s">
        <v>903</v>
      </c>
      <c r="E23" s="148" t="s">
        <v>69</v>
      </c>
      <c r="F23" s="149">
        <v>0</v>
      </c>
      <c r="G23" s="149">
        <v>0</v>
      </c>
      <c r="H23" s="148" t="s">
        <v>152</v>
      </c>
      <c r="I23" s="149">
        <v>0</v>
      </c>
      <c r="J23" s="149">
        <v>0</v>
      </c>
      <c r="K23" s="149">
        <v>0</v>
      </c>
      <c r="L23" s="149">
        <v>0</v>
      </c>
      <c r="M23" s="149">
        <v>0</v>
      </c>
      <c r="N23" s="149">
        <v>0</v>
      </c>
      <c r="O23" s="149">
        <f>I23+K23+L23+M23+N23</f>
        <v>0</v>
      </c>
      <c r="P23" s="149">
        <f>J23+K23+L23+M23+N23</f>
        <v>0</v>
      </c>
      <c r="Q23" s="149">
        <v>0</v>
      </c>
      <c r="R23" s="149">
        <v>0</v>
      </c>
      <c r="S23" s="149">
        <v>0</v>
      </c>
      <c r="T23" s="149">
        <v>0</v>
      </c>
      <c r="U23" s="149">
        <v>0</v>
      </c>
      <c r="V23" s="149">
        <f t="shared" si="6"/>
        <v>0</v>
      </c>
      <c r="W23" s="149">
        <v>300</v>
      </c>
      <c r="X23" s="136">
        <f t="shared" si="4"/>
        <v>300</v>
      </c>
      <c r="Y23" s="149">
        <v>650</v>
      </c>
      <c r="Z23" s="136">
        <f t="shared" si="2"/>
        <v>950</v>
      </c>
      <c r="AA23" s="150">
        <v>1000</v>
      </c>
      <c r="AB23" s="148" t="s">
        <v>81</v>
      </c>
      <c r="AC23" s="147" t="s">
        <v>1173</v>
      </c>
      <c r="AD23" s="147" t="s">
        <v>905</v>
      </c>
      <c r="AE23" s="147" t="s">
        <v>144</v>
      </c>
      <c r="AF23" s="147" t="s">
        <v>1174</v>
      </c>
    </row>
    <row r="24" spans="1:32" ht="56.45" hidden="1" customHeight="1" x14ac:dyDescent="0.2">
      <c r="A24" s="424"/>
      <c r="B24" s="146" t="s">
        <v>907</v>
      </c>
      <c r="C24" s="147" t="s">
        <v>908</v>
      </c>
      <c r="D24" s="148" t="s">
        <v>903</v>
      </c>
      <c r="E24" s="148" t="s">
        <v>69</v>
      </c>
      <c r="F24" s="149">
        <v>0</v>
      </c>
      <c r="G24" s="149">
        <v>0</v>
      </c>
      <c r="H24" s="148" t="s">
        <v>446</v>
      </c>
      <c r="I24" s="149">
        <v>0</v>
      </c>
      <c r="J24" s="149"/>
      <c r="K24" s="149">
        <v>0</v>
      </c>
      <c r="L24" s="149">
        <v>0</v>
      </c>
      <c r="M24" s="149">
        <v>0</v>
      </c>
      <c r="N24" s="149">
        <v>0</v>
      </c>
      <c r="O24" s="149">
        <f t="shared" si="5"/>
        <v>0</v>
      </c>
      <c r="P24" s="149"/>
      <c r="Q24" s="149">
        <v>0</v>
      </c>
      <c r="R24" s="149">
        <v>0</v>
      </c>
      <c r="S24" s="149">
        <v>0</v>
      </c>
      <c r="T24" s="149">
        <v>0</v>
      </c>
      <c r="U24" s="149">
        <v>0</v>
      </c>
      <c r="V24" s="149">
        <f t="shared" si="6"/>
        <v>0</v>
      </c>
      <c r="W24" s="149">
        <v>0</v>
      </c>
      <c r="X24" s="136">
        <f t="shared" si="4"/>
        <v>0</v>
      </c>
      <c r="Y24" s="149">
        <v>0</v>
      </c>
      <c r="Z24" s="136">
        <f t="shared" si="2"/>
        <v>0</v>
      </c>
      <c r="AA24" s="149" t="s">
        <v>48</v>
      </c>
      <c r="AB24" s="148" t="s">
        <v>7</v>
      </c>
      <c r="AC24" s="147" t="s">
        <v>1175</v>
      </c>
      <c r="AD24" s="147" t="s">
        <v>909</v>
      </c>
      <c r="AE24" s="147" t="s">
        <v>144</v>
      </c>
      <c r="AF24" s="147" t="s">
        <v>260</v>
      </c>
    </row>
    <row r="25" spans="1:32" ht="269.45" customHeight="1" x14ac:dyDescent="0.2">
      <c r="A25" s="424"/>
      <c r="B25" s="146" t="s">
        <v>387</v>
      </c>
      <c r="C25" s="147" t="s">
        <v>388</v>
      </c>
      <c r="D25" s="148" t="s">
        <v>154</v>
      </c>
      <c r="E25" s="148" t="s">
        <v>7</v>
      </c>
      <c r="F25" s="149">
        <v>0</v>
      </c>
      <c r="G25" s="149">
        <v>0</v>
      </c>
      <c r="H25" s="148" t="s">
        <v>46</v>
      </c>
      <c r="I25" s="149">
        <v>0</v>
      </c>
      <c r="J25" s="149">
        <v>0</v>
      </c>
      <c r="K25" s="149">
        <v>0</v>
      </c>
      <c r="L25" s="149">
        <v>0</v>
      </c>
      <c r="M25" s="149">
        <v>0</v>
      </c>
      <c r="N25" s="149">
        <v>0</v>
      </c>
      <c r="O25" s="149">
        <f>I25+K25+L25+M25+N25</f>
        <v>0</v>
      </c>
      <c r="P25" s="149">
        <f>J25+K25+L25+M25+N25</f>
        <v>0</v>
      </c>
      <c r="Q25" s="149">
        <v>0</v>
      </c>
      <c r="R25" s="149">
        <v>0</v>
      </c>
      <c r="S25" s="149">
        <v>0</v>
      </c>
      <c r="T25" s="149">
        <v>0</v>
      </c>
      <c r="U25" s="149">
        <v>0</v>
      </c>
      <c r="V25" s="149">
        <f t="shared" si="6"/>
        <v>0</v>
      </c>
      <c r="W25" s="149">
        <v>0</v>
      </c>
      <c r="X25" s="136">
        <f t="shared" si="4"/>
        <v>0</v>
      </c>
      <c r="Y25" s="149">
        <v>0</v>
      </c>
      <c r="Z25" s="136">
        <f t="shared" si="2"/>
        <v>0</v>
      </c>
      <c r="AA25" s="150">
        <v>600</v>
      </c>
      <c r="AB25" s="148" t="s">
        <v>7</v>
      </c>
      <c r="AC25" s="147" t="s">
        <v>1176</v>
      </c>
      <c r="AD25" s="147" t="s">
        <v>912</v>
      </c>
      <c r="AE25" s="147" t="s">
        <v>243</v>
      </c>
      <c r="AF25" s="147" t="s">
        <v>1177</v>
      </c>
    </row>
    <row r="26" spans="1:32" ht="72" hidden="1" customHeight="1" x14ac:dyDescent="0.2">
      <c r="A26" s="424"/>
      <c r="B26" s="146" t="s">
        <v>392</v>
      </c>
      <c r="C26" s="147" t="s">
        <v>393</v>
      </c>
      <c r="D26" s="148" t="s">
        <v>394</v>
      </c>
      <c r="E26" s="148" t="s">
        <v>69</v>
      </c>
      <c r="F26" s="149">
        <v>0</v>
      </c>
      <c r="G26" s="149">
        <v>0</v>
      </c>
      <c r="H26" s="148" t="s">
        <v>152</v>
      </c>
      <c r="I26" s="149">
        <v>0</v>
      </c>
      <c r="J26" s="149"/>
      <c r="K26" s="149">
        <v>0</v>
      </c>
      <c r="L26" s="149">
        <v>0</v>
      </c>
      <c r="M26" s="149">
        <v>0</v>
      </c>
      <c r="N26" s="149">
        <v>0</v>
      </c>
      <c r="O26" s="149">
        <f t="shared" si="5"/>
        <v>0</v>
      </c>
      <c r="P26" s="149"/>
      <c r="Q26" s="149">
        <v>0</v>
      </c>
      <c r="R26" s="149">
        <v>0</v>
      </c>
      <c r="S26" s="149">
        <v>0</v>
      </c>
      <c r="T26" s="149">
        <v>0</v>
      </c>
      <c r="U26" s="149">
        <v>0</v>
      </c>
      <c r="V26" s="149">
        <f t="shared" si="6"/>
        <v>0</v>
      </c>
      <c r="W26" s="149">
        <v>0</v>
      </c>
      <c r="X26" s="136">
        <f t="shared" si="4"/>
        <v>0</v>
      </c>
      <c r="Y26" s="149">
        <v>0</v>
      </c>
      <c r="Z26" s="136">
        <f t="shared" si="2"/>
        <v>0</v>
      </c>
      <c r="AA26" s="150">
        <v>480</v>
      </c>
      <c r="AB26" s="148" t="s">
        <v>69</v>
      </c>
      <c r="AC26" s="147" t="s">
        <v>1178</v>
      </c>
      <c r="AD26" s="147" t="s">
        <v>396</v>
      </c>
      <c r="AE26" s="147" t="s">
        <v>128</v>
      </c>
      <c r="AF26" s="147" t="s">
        <v>126</v>
      </c>
    </row>
    <row r="27" spans="1:32" ht="40.9" customHeight="1" x14ac:dyDescent="0.2">
      <c r="A27" s="424"/>
      <c r="B27" s="146" t="s">
        <v>397</v>
      </c>
      <c r="C27" s="147" t="s">
        <v>398</v>
      </c>
      <c r="D27" s="148" t="s">
        <v>399</v>
      </c>
      <c r="E27" s="148" t="s">
        <v>69</v>
      </c>
      <c r="F27" s="149">
        <v>0</v>
      </c>
      <c r="G27" s="149">
        <v>0</v>
      </c>
      <c r="H27" s="148" t="s">
        <v>46</v>
      </c>
      <c r="I27" s="149">
        <v>0</v>
      </c>
      <c r="J27" s="149">
        <v>0</v>
      </c>
      <c r="K27" s="149">
        <v>0</v>
      </c>
      <c r="L27" s="149">
        <v>0</v>
      </c>
      <c r="M27" s="149">
        <v>0</v>
      </c>
      <c r="N27" s="149">
        <v>0</v>
      </c>
      <c r="O27" s="149">
        <f>I27+K27+L27+M27+N27</f>
        <v>0</v>
      </c>
      <c r="P27" s="149">
        <f>J27+K27+L27+M27+N27</f>
        <v>0</v>
      </c>
      <c r="Q27" s="149">
        <v>0</v>
      </c>
      <c r="R27" s="149">
        <v>0</v>
      </c>
      <c r="S27" s="149">
        <v>0</v>
      </c>
      <c r="T27" s="149">
        <v>0</v>
      </c>
      <c r="U27" s="149">
        <v>0</v>
      </c>
      <c r="V27" s="149">
        <f t="shared" si="6"/>
        <v>0</v>
      </c>
      <c r="W27" s="149">
        <v>0</v>
      </c>
      <c r="X27" s="136">
        <f t="shared" si="4"/>
        <v>0</v>
      </c>
      <c r="Y27" s="149">
        <v>0</v>
      </c>
      <c r="Z27" s="136">
        <f t="shared" si="2"/>
        <v>0</v>
      </c>
      <c r="AA27" s="150">
        <v>120</v>
      </c>
      <c r="AB27" s="148" t="s">
        <v>7</v>
      </c>
      <c r="AC27" s="147" t="s">
        <v>400</v>
      </c>
      <c r="AD27" s="147" t="s">
        <v>48</v>
      </c>
      <c r="AE27" s="147" t="s">
        <v>401</v>
      </c>
      <c r="AF27" s="147" t="s">
        <v>1179</v>
      </c>
    </row>
    <row r="28" spans="1:32" ht="153.6" customHeight="1" x14ac:dyDescent="0.2">
      <c r="A28" s="424"/>
      <c r="B28" s="146" t="s">
        <v>402</v>
      </c>
      <c r="C28" s="147" t="s">
        <v>403</v>
      </c>
      <c r="D28" s="148" t="s">
        <v>404</v>
      </c>
      <c r="E28" s="148" t="s">
        <v>7</v>
      </c>
      <c r="F28" s="149">
        <v>180</v>
      </c>
      <c r="G28" s="149">
        <v>159.72</v>
      </c>
      <c r="H28" s="148" t="s">
        <v>46</v>
      </c>
      <c r="I28" s="149">
        <v>167.88800000000001</v>
      </c>
      <c r="J28" s="149">
        <v>167.88800000000001</v>
      </c>
      <c r="K28" s="149">
        <v>0</v>
      </c>
      <c r="L28" s="149">
        <v>0</v>
      </c>
      <c r="M28" s="149">
        <v>0</v>
      </c>
      <c r="N28" s="149">
        <v>0</v>
      </c>
      <c r="O28" s="149">
        <f>I28+K28+L28+M28+N28</f>
        <v>167.88800000000001</v>
      </c>
      <c r="P28" s="149">
        <f>J28+K28+L28+M28+N28</f>
        <v>167.88800000000001</v>
      </c>
      <c r="Q28" s="149">
        <v>0</v>
      </c>
      <c r="R28" s="149">
        <v>0</v>
      </c>
      <c r="S28" s="149">
        <v>0</v>
      </c>
      <c r="T28" s="149">
        <v>0</v>
      </c>
      <c r="U28" s="149">
        <v>0</v>
      </c>
      <c r="V28" s="149">
        <f t="shared" si="6"/>
        <v>0</v>
      </c>
      <c r="W28" s="149">
        <v>0</v>
      </c>
      <c r="X28" s="136">
        <f t="shared" si="4"/>
        <v>167.88800000000001</v>
      </c>
      <c r="Y28" s="149">
        <v>0</v>
      </c>
      <c r="Z28" s="136">
        <f t="shared" si="2"/>
        <v>507.608</v>
      </c>
      <c r="AA28" s="149">
        <v>2265.27</v>
      </c>
      <c r="AB28" s="148" t="s">
        <v>7</v>
      </c>
      <c r="AC28" s="147" t="s">
        <v>1180</v>
      </c>
      <c r="AD28" s="147" t="s">
        <v>406</v>
      </c>
      <c r="AE28" s="147" t="s">
        <v>401</v>
      </c>
      <c r="AF28" s="147" t="s">
        <v>1181</v>
      </c>
    </row>
    <row r="29" spans="1:32" ht="228.6" customHeight="1" x14ac:dyDescent="0.2">
      <c r="A29" s="424"/>
      <c r="B29" s="146" t="s">
        <v>170</v>
      </c>
      <c r="C29" s="147" t="s">
        <v>171</v>
      </c>
      <c r="D29" s="148" t="s">
        <v>154</v>
      </c>
      <c r="E29" s="148" t="s">
        <v>69</v>
      </c>
      <c r="F29" s="149">
        <v>0</v>
      </c>
      <c r="G29" s="149">
        <v>1.1499999999999999</v>
      </c>
      <c r="H29" s="148" t="s">
        <v>152</v>
      </c>
      <c r="I29" s="149">
        <v>16.193999999999999</v>
      </c>
      <c r="J29" s="149">
        <v>14.06</v>
      </c>
      <c r="K29" s="149">
        <v>0</v>
      </c>
      <c r="L29" s="149">
        <f>1.214+4.46</f>
        <v>5.6739999999999995</v>
      </c>
      <c r="M29" s="149">
        <v>0</v>
      </c>
      <c r="N29" s="149">
        <v>0</v>
      </c>
      <c r="O29" s="149">
        <f>I29+K29+L29+M29+N29</f>
        <v>21.867999999999999</v>
      </c>
      <c r="P29" s="149">
        <f>J29+K29+L29+N29+M29</f>
        <v>19.734000000000002</v>
      </c>
      <c r="Q29" s="149">
        <v>33.523000000000003</v>
      </c>
      <c r="R29" s="149">
        <v>0</v>
      </c>
      <c r="S29" s="149">
        <v>37.82</v>
      </c>
      <c r="T29" s="149">
        <v>0</v>
      </c>
      <c r="U29" s="149">
        <v>0</v>
      </c>
      <c r="V29" s="149">
        <f t="shared" si="6"/>
        <v>71.343000000000004</v>
      </c>
      <c r="W29" s="149">
        <v>1.103</v>
      </c>
      <c r="X29" s="136">
        <f t="shared" si="4"/>
        <v>94.313999999999993</v>
      </c>
      <c r="Y29" s="149">
        <v>0</v>
      </c>
      <c r="Z29" s="136">
        <f>64.56</f>
        <v>64.56</v>
      </c>
      <c r="AA29" s="149">
        <f>Z29</f>
        <v>64.56</v>
      </c>
      <c r="AB29" s="148" t="s">
        <v>7</v>
      </c>
      <c r="AC29" s="147" t="s">
        <v>1182</v>
      </c>
      <c r="AD29" s="147" t="s">
        <v>172</v>
      </c>
      <c r="AE29" s="147" t="s">
        <v>153</v>
      </c>
      <c r="AF29" s="147" t="s">
        <v>1183</v>
      </c>
    </row>
    <row r="30" spans="1:32" ht="168.6" customHeight="1" x14ac:dyDescent="0.2">
      <c r="A30" s="424"/>
      <c r="B30" s="146" t="s">
        <v>245</v>
      </c>
      <c r="C30" s="147" t="s">
        <v>246</v>
      </c>
      <c r="D30" s="148" t="s">
        <v>247</v>
      </c>
      <c r="E30" s="148" t="s">
        <v>69</v>
      </c>
      <c r="F30" s="149">
        <v>0</v>
      </c>
      <c r="G30" s="149">
        <v>0</v>
      </c>
      <c r="H30" s="148" t="s">
        <v>152</v>
      </c>
      <c r="I30" s="149">
        <v>0</v>
      </c>
      <c r="J30" s="149">
        <v>138.29</v>
      </c>
      <c r="K30" s="149">
        <v>0</v>
      </c>
      <c r="L30" s="149">
        <v>0</v>
      </c>
      <c r="M30" s="149">
        <v>0</v>
      </c>
      <c r="N30" s="149">
        <v>0</v>
      </c>
      <c r="O30" s="149">
        <f>I30+K30+L30+M30+N30</f>
        <v>0</v>
      </c>
      <c r="P30" s="149">
        <f>J30+K30+L30+M30+N30</f>
        <v>138.29</v>
      </c>
      <c r="Q30" s="149">
        <v>184.39</v>
      </c>
      <c r="R30" s="149">
        <v>0</v>
      </c>
      <c r="S30" s="149">
        <v>150</v>
      </c>
      <c r="T30" s="149">
        <v>0</v>
      </c>
      <c r="U30" s="149">
        <v>0</v>
      </c>
      <c r="V30" s="149">
        <f t="shared" si="6"/>
        <v>334.39</v>
      </c>
      <c r="W30" s="149">
        <v>83.6</v>
      </c>
      <c r="X30" s="136">
        <f t="shared" si="4"/>
        <v>417.99</v>
      </c>
      <c r="Y30" s="149">
        <v>0</v>
      </c>
      <c r="Z30" s="136">
        <f>Y30+X30+G30+F30</f>
        <v>417.99</v>
      </c>
      <c r="AA30" s="149">
        <v>668.77571</v>
      </c>
      <c r="AB30" s="148" t="s">
        <v>7</v>
      </c>
      <c r="AC30" s="147" t="s">
        <v>1184</v>
      </c>
      <c r="AD30" s="147" t="s">
        <v>248</v>
      </c>
      <c r="AE30" s="147" t="s">
        <v>153</v>
      </c>
      <c r="AF30" s="147" t="s">
        <v>1185</v>
      </c>
    </row>
    <row r="31" spans="1:32" ht="25.15" customHeight="1" x14ac:dyDescent="0.2">
      <c r="A31" s="424"/>
      <c r="B31" s="421" t="s">
        <v>407</v>
      </c>
      <c r="C31" s="421"/>
      <c r="D31" s="143" t="s">
        <v>408</v>
      </c>
      <c r="E31" s="143" t="s">
        <v>48</v>
      </c>
      <c r="F31" s="144">
        <f>SUM(F32:F39)</f>
        <v>1961.13</v>
      </c>
      <c r="G31" s="151">
        <f>SUM(G32:G39)</f>
        <v>3839.85</v>
      </c>
      <c r="H31" s="143" t="s">
        <v>48</v>
      </c>
      <c r="I31" s="144">
        <f>SUM(I32:I41)</f>
        <v>184.643</v>
      </c>
      <c r="J31" s="144">
        <f t="shared" ref="J31:N31" si="7">SUM(J32:J41)</f>
        <v>591.61</v>
      </c>
      <c r="K31" s="144">
        <f t="shared" si="7"/>
        <v>889.29600000000005</v>
      </c>
      <c r="L31" s="144">
        <f t="shared" si="7"/>
        <v>95.84</v>
      </c>
      <c r="M31" s="144">
        <f t="shared" si="7"/>
        <v>0</v>
      </c>
      <c r="N31" s="144">
        <f t="shared" si="7"/>
        <v>597.20000000000005</v>
      </c>
      <c r="O31" s="144">
        <f>I31+K31+L31+M31+N31</f>
        <v>1766.979</v>
      </c>
      <c r="P31" s="144">
        <f>J31+K31+L31+M31+N31</f>
        <v>2173.9459999999999</v>
      </c>
      <c r="Q31" s="144">
        <f>SUM(Q32:Q41)</f>
        <v>1184.4659999999999</v>
      </c>
      <c r="R31" s="144">
        <f t="shared" ref="R31:U31" si="8">SUM(R32:R41)</f>
        <v>2515.7269999999999</v>
      </c>
      <c r="S31" s="144">
        <f t="shared" si="8"/>
        <v>2901.27</v>
      </c>
      <c r="T31" s="144">
        <f t="shared" si="8"/>
        <v>0</v>
      </c>
      <c r="U31" s="144">
        <f t="shared" si="8"/>
        <v>0</v>
      </c>
      <c r="V31" s="152">
        <f>SUM(Q31:U31)</f>
        <v>6601.4629999999997</v>
      </c>
      <c r="W31" s="144">
        <f>SUM(W32:W41)</f>
        <v>3498.0839999999998</v>
      </c>
      <c r="X31" s="145">
        <f t="shared" si="4"/>
        <v>11866.525999999998</v>
      </c>
      <c r="Y31" s="144">
        <f>SUM(Y32:Y41)</f>
        <v>0</v>
      </c>
      <c r="Z31" s="145">
        <f t="shared" si="2"/>
        <v>17667.505999999998</v>
      </c>
      <c r="AA31" s="142" t="s">
        <v>48</v>
      </c>
      <c r="AB31" s="143" t="s">
        <v>48</v>
      </c>
      <c r="AC31" s="143" t="s">
        <v>48</v>
      </c>
      <c r="AD31" s="143" t="s">
        <v>48</v>
      </c>
      <c r="AE31" s="143" t="s">
        <v>48</v>
      </c>
      <c r="AF31" s="143" t="s">
        <v>48</v>
      </c>
    </row>
    <row r="32" spans="1:32" ht="21" hidden="1" x14ac:dyDescent="0.2">
      <c r="A32" s="424"/>
      <c r="B32" s="146" t="s">
        <v>409</v>
      </c>
      <c r="C32" s="147" t="s">
        <v>410</v>
      </c>
      <c r="D32" s="148" t="s">
        <v>411</v>
      </c>
      <c r="E32" s="148" t="s">
        <v>69</v>
      </c>
      <c r="F32" s="149">
        <v>0</v>
      </c>
      <c r="G32" s="149">
        <v>0</v>
      </c>
      <c r="H32" s="148" t="s">
        <v>46</v>
      </c>
      <c r="I32" s="149">
        <v>0</v>
      </c>
      <c r="J32" s="149"/>
      <c r="K32" s="149">
        <v>0</v>
      </c>
      <c r="L32" s="149">
        <v>0</v>
      </c>
      <c r="M32" s="149">
        <v>0</v>
      </c>
      <c r="N32" s="149">
        <v>0</v>
      </c>
      <c r="O32" s="149">
        <f>SUM(I32:N32)</f>
        <v>0</v>
      </c>
      <c r="P32" s="149"/>
      <c r="Q32" s="149">
        <v>0</v>
      </c>
      <c r="R32" s="149">
        <v>0</v>
      </c>
      <c r="S32" s="149">
        <v>0</v>
      </c>
      <c r="T32" s="149">
        <v>0</v>
      </c>
      <c r="U32" s="149">
        <v>0</v>
      </c>
      <c r="V32" s="149">
        <f t="shared" si="6"/>
        <v>0</v>
      </c>
      <c r="W32" s="149">
        <v>0</v>
      </c>
      <c r="X32" s="136">
        <f t="shared" si="4"/>
        <v>0</v>
      </c>
      <c r="Y32" s="149">
        <v>0</v>
      </c>
      <c r="Z32" s="136">
        <f t="shared" si="2"/>
        <v>0</v>
      </c>
      <c r="AA32" s="150">
        <v>240</v>
      </c>
      <c r="AB32" s="148" t="s">
        <v>7</v>
      </c>
      <c r="AC32" s="147" t="s">
        <v>918</v>
      </c>
      <c r="AD32" s="147" t="s">
        <v>413</v>
      </c>
      <c r="AE32" s="147" t="s">
        <v>401</v>
      </c>
      <c r="AF32" s="147" t="s">
        <v>123</v>
      </c>
    </row>
    <row r="33" spans="1:32" ht="236.45" customHeight="1" x14ac:dyDescent="0.2">
      <c r="A33" s="424"/>
      <c r="B33" s="146" t="s">
        <v>414</v>
      </c>
      <c r="C33" s="147" t="s">
        <v>12</v>
      </c>
      <c r="D33" s="148" t="s">
        <v>411</v>
      </c>
      <c r="E33" s="148" t="s">
        <v>7</v>
      </c>
      <c r="F33" s="149">
        <v>1961.13</v>
      </c>
      <c r="G33" s="149">
        <f>2199.81+996.2</f>
        <v>3196.01</v>
      </c>
      <c r="H33" s="148" t="s">
        <v>46</v>
      </c>
      <c r="I33" s="149">
        <v>27.992999999999999</v>
      </c>
      <c r="J33" s="149">
        <v>368.61</v>
      </c>
      <c r="K33" s="149">
        <v>889.29600000000005</v>
      </c>
      <c r="L33" s="149">
        <v>0</v>
      </c>
      <c r="M33" s="149">
        <v>0</v>
      </c>
      <c r="N33" s="149">
        <v>0</v>
      </c>
      <c r="O33" s="149">
        <f t="shared" ref="O33:O34" si="9">I33+K33+L33+M33+N33</f>
        <v>917.2890000000001</v>
      </c>
      <c r="P33" s="149">
        <f t="shared" ref="P33:P34" si="10">J33+K33+L33+M33+N33</f>
        <v>1257.9059999999999</v>
      </c>
      <c r="Q33" s="149">
        <v>676.38599999999997</v>
      </c>
      <c r="R33" s="149">
        <v>2515.7269999999999</v>
      </c>
      <c r="S33" s="149">
        <v>0</v>
      </c>
      <c r="T33" s="149">
        <v>0</v>
      </c>
      <c r="U33" s="149">
        <v>0</v>
      </c>
      <c r="V33" s="149">
        <f>SUM(Q33:U33)</f>
        <v>3192.1129999999998</v>
      </c>
      <c r="W33" s="149">
        <v>279.73399999999998</v>
      </c>
      <c r="X33" s="136">
        <f t="shared" si="4"/>
        <v>4389.1360000000004</v>
      </c>
      <c r="Y33" s="149">
        <v>0</v>
      </c>
      <c r="Z33" s="136">
        <f t="shared" si="2"/>
        <v>9546.2760000000017</v>
      </c>
      <c r="AA33" s="150">
        <f>Z33</f>
        <v>9546.2760000000017</v>
      </c>
      <c r="AB33" s="148" t="s">
        <v>7</v>
      </c>
      <c r="AC33" s="147" t="s">
        <v>1186</v>
      </c>
      <c r="AD33" s="147" t="s">
        <v>416</v>
      </c>
      <c r="AE33" s="147" t="s">
        <v>10</v>
      </c>
      <c r="AF33" s="147" t="s">
        <v>1187</v>
      </c>
    </row>
    <row r="34" spans="1:32" ht="246" customHeight="1" x14ac:dyDescent="0.2">
      <c r="A34" s="424"/>
      <c r="B34" s="146" t="s">
        <v>921</v>
      </c>
      <c r="C34" s="147" t="s">
        <v>922</v>
      </c>
      <c r="D34" s="148" t="s">
        <v>411</v>
      </c>
      <c r="E34" s="148" t="s">
        <v>69</v>
      </c>
      <c r="F34" s="149">
        <v>0</v>
      </c>
      <c r="G34" s="149">
        <v>50</v>
      </c>
      <c r="H34" s="148" t="s">
        <v>46</v>
      </c>
      <c r="I34" s="149">
        <v>13.65</v>
      </c>
      <c r="J34" s="149">
        <v>80</v>
      </c>
      <c r="K34" s="149">
        <v>0</v>
      </c>
      <c r="L34" s="149">
        <v>0</v>
      </c>
      <c r="M34" s="149">
        <v>0</v>
      </c>
      <c r="N34" s="149">
        <v>0</v>
      </c>
      <c r="O34" s="149">
        <f t="shared" si="9"/>
        <v>13.65</v>
      </c>
      <c r="P34" s="149">
        <f t="shared" si="10"/>
        <v>80</v>
      </c>
      <c r="Q34" s="149">
        <v>0</v>
      </c>
      <c r="R34" s="149">
        <v>0</v>
      </c>
      <c r="S34" s="149">
        <v>0</v>
      </c>
      <c r="T34" s="149">
        <v>0</v>
      </c>
      <c r="U34" s="149">
        <v>0</v>
      </c>
      <c r="V34" s="149">
        <f t="shared" si="6"/>
        <v>0</v>
      </c>
      <c r="W34" s="149">
        <v>0</v>
      </c>
      <c r="X34" s="136">
        <f t="shared" si="4"/>
        <v>13.65</v>
      </c>
      <c r="Y34" s="149">
        <v>0</v>
      </c>
      <c r="Z34" s="136">
        <f t="shared" si="2"/>
        <v>63.65</v>
      </c>
      <c r="AA34" s="149">
        <v>5000</v>
      </c>
      <c r="AB34" s="148" t="s">
        <v>7</v>
      </c>
      <c r="AC34" s="147" t="s">
        <v>1188</v>
      </c>
      <c r="AD34" s="147" t="s">
        <v>1189</v>
      </c>
      <c r="AE34" s="147" t="s">
        <v>144</v>
      </c>
      <c r="AF34" s="147" t="s">
        <v>1190</v>
      </c>
    </row>
    <row r="35" spans="1:32" ht="63" hidden="1" x14ac:dyDescent="0.2">
      <c r="A35" s="424"/>
      <c r="B35" s="146" t="s">
        <v>924</v>
      </c>
      <c r="C35" s="147" t="s">
        <v>925</v>
      </c>
      <c r="D35" s="148" t="s">
        <v>411</v>
      </c>
      <c r="E35" s="148" t="s">
        <v>69</v>
      </c>
      <c r="F35" s="149">
        <v>0</v>
      </c>
      <c r="G35" s="149">
        <v>0</v>
      </c>
      <c r="H35" s="148" t="s">
        <v>446</v>
      </c>
      <c r="I35" s="149">
        <v>0</v>
      </c>
      <c r="J35" s="149"/>
      <c r="K35" s="149">
        <v>0</v>
      </c>
      <c r="L35" s="149">
        <v>0</v>
      </c>
      <c r="M35" s="149">
        <v>0</v>
      </c>
      <c r="N35" s="149">
        <v>0</v>
      </c>
      <c r="O35" s="149">
        <f t="shared" ref="O35:O36" si="11">SUM(I35:N35)</f>
        <v>0</v>
      </c>
      <c r="P35" s="149"/>
      <c r="Q35" s="149">
        <v>0</v>
      </c>
      <c r="R35" s="149">
        <v>0</v>
      </c>
      <c r="S35" s="149">
        <v>0</v>
      </c>
      <c r="T35" s="149">
        <v>0</v>
      </c>
      <c r="U35" s="149">
        <v>0</v>
      </c>
      <c r="V35" s="149">
        <f t="shared" si="6"/>
        <v>0</v>
      </c>
      <c r="W35" s="149">
        <v>0</v>
      </c>
      <c r="X35" s="136">
        <f t="shared" si="4"/>
        <v>0</v>
      </c>
      <c r="Y35" s="149">
        <v>0</v>
      </c>
      <c r="Z35" s="136">
        <f t="shared" si="2"/>
        <v>0</v>
      </c>
      <c r="AA35" s="149" t="s">
        <v>48</v>
      </c>
      <c r="AB35" s="148" t="s">
        <v>69</v>
      </c>
      <c r="AC35" s="147" t="s">
        <v>926</v>
      </c>
      <c r="AD35" s="147" t="s">
        <v>927</v>
      </c>
      <c r="AE35" s="153" t="s">
        <v>1191</v>
      </c>
      <c r="AF35" s="147" t="s">
        <v>48</v>
      </c>
    </row>
    <row r="36" spans="1:32" ht="52.5" hidden="1" x14ac:dyDescent="0.2">
      <c r="A36" s="424"/>
      <c r="B36" s="146" t="s">
        <v>418</v>
      </c>
      <c r="C36" s="147" t="s">
        <v>419</v>
      </c>
      <c r="D36" s="148" t="s">
        <v>420</v>
      </c>
      <c r="E36" s="148" t="s">
        <v>7</v>
      </c>
      <c r="F36" s="149">
        <v>0</v>
      </c>
      <c r="G36" s="149">
        <v>55.14</v>
      </c>
      <c r="H36" s="148" t="s">
        <v>46</v>
      </c>
      <c r="I36" s="149">
        <v>0</v>
      </c>
      <c r="J36" s="149">
        <v>0</v>
      </c>
      <c r="K36" s="149">
        <v>0</v>
      </c>
      <c r="L36" s="149">
        <v>0</v>
      </c>
      <c r="M36" s="149">
        <v>0</v>
      </c>
      <c r="N36" s="149">
        <v>0</v>
      </c>
      <c r="O36" s="149">
        <f t="shared" si="11"/>
        <v>0</v>
      </c>
      <c r="P36" s="149"/>
      <c r="Q36" s="149">
        <v>0</v>
      </c>
      <c r="R36" s="149">
        <v>0</v>
      </c>
      <c r="S36" s="149">
        <v>0</v>
      </c>
      <c r="T36" s="149">
        <v>0</v>
      </c>
      <c r="U36" s="149">
        <v>0</v>
      </c>
      <c r="V36" s="149">
        <f t="shared" si="6"/>
        <v>0</v>
      </c>
      <c r="W36" s="149">
        <v>0</v>
      </c>
      <c r="X36" s="136">
        <f t="shared" si="4"/>
        <v>0</v>
      </c>
      <c r="Y36" s="149">
        <v>0</v>
      </c>
      <c r="Z36" s="136">
        <f t="shared" si="2"/>
        <v>55.14</v>
      </c>
      <c r="AA36" s="150">
        <v>720</v>
      </c>
      <c r="AB36" s="148" t="s">
        <v>69</v>
      </c>
      <c r="AC36" s="147" t="s">
        <v>928</v>
      </c>
      <c r="AD36" s="147" t="s">
        <v>48</v>
      </c>
      <c r="AE36" s="147" t="s">
        <v>160</v>
      </c>
      <c r="AF36" s="147" t="s">
        <v>1192</v>
      </c>
    </row>
    <row r="37" spans="1:32" ht="272.45" customHeight="1" x14ac:dyDescent="0.2">
      <c r="A37" s="424"/>
      <c r="B37" s="146" t="s">
        <v>423</v>
      </c>
      <c r="C37" s="147" t="s">
        <v>424</v>
      </c>
      <c r="D37" s="148" t="s">
        <v>425</v>
      </c>
      <c r="E37" s="148" t="s">
        <v>7</v>
      </c>
      <c r="F37" s="149">
        <v>0</v>
      </c>
      <c r="G37" s="149">
        <v>238</v>
      </c>
      <c r="H37" s="148" t="s">
        <v>46</v>
      </c>
      <c r="I37" s="149">
        <v>0</v>
      </c>
      <c r="J37" s="149">
        <v>0</v>
      </c>
      <c r="K37" s="149">
        <v>0</v>
      </c>
      <c r="L37" s="149">
        <v>0</v>
      </c>
      <c r="M37" s="149">
        <v>0</v>
      </c>
      <c r="N37" s="149">
        <v>301.7</v>
      </c>
      <c r="O37" s="149">
        <f t="shared" ref="O37:O41" si="12">I37+K37+L37+M37+N37</f>
        <v>301.7</v>
      </c>
      <c r="P37" s="149">
        <f t="shared" ref="P37:P41" si="13">J37+K37+L37+M37+N37</f>
        <v>301.7</v>
      </c>
      <c r="Q37" s="149">
        <v>0</v>
      </c>
      <c r="R37" s="149">
        <v>0</v>
      </c>
      <c r="S37" s="149">
        <v>0</v>
      </c>
      <c r="T37" s="149">
        <v>0</v>
      </c>
      <c r="U37" s="149">
        <v>0</v>
      </c>
      <c r="V37" s="149">
        <f t="shared" si="6"/>
        <v>0</v>
      </c>
      <c r="W37" s="149">
        <v>0</v>
      </c>
      <c r="X37" s="136">
        <f t="shared" si="4"/>
        <v>301.7</v>
      </c>
      <c r="Y37" s="149">
        <v>0</v>
      </c>
      <c r="Z37" s="136">
        <f t="shared" si="2"/>
        <v>539.70000000000005</v>
      </c>
      <c r="AA37" s="150">
        <v>490</v>
      </c>
      <c r="AB37" s="148" t="s">
        <v>7</v>
      </c>
      <c r="AC37" s="147" t="s">
        <v>1193</v>
      </c>
      <c r="AD37" s="147" t="s">
        <v>427</v>
      </c>
      <c r="AE37" s="147" t="s">
        <v>140</v>
      </c>
      <c r="AF37" s="147" t="s">
        <v>1194</v>
      </c>
    </row>
    <row r="38" spans="1:32" ht="108" customHeight="1" x14ac:dyDescent="0.2">
      <c r="A38" s="424"/>
      <c r="B38" s="154" t="s">
        <v>428</v>
      </c>
      <c r="C38" s="147" t="s">
        <v>429</v>
      </c>
      <c r="D38" s="148" t="s">
        <v>117</v>
      </c>
      <c r="E38" s="148" t="s">
        <v>7</v>
      </c>
      <c r="F38" s="149">
        <v>0</v>
      </c>
      <c r="G38" s="149">
        <v>112.7</v>
      </c>
      <c r="H38" s="148" t="s">
        <v>46</v>
      </c>
      <c r="I38" s="149">
        <v>143</v>
      </c>
      <c r="J38" s="149">
        <v>143</v>
      </c>
      <c r="K38" s="149">
        <v>0</v>
      </c>
      <c r="L38" s="149">
        <v>0</v>
      </c>
      <c r="M38" s="149">
        <v>0</v>
      </c>
      <c r="N38" s="149">
        <v>0</v>
      </c>
      <c r="O38" s="149">
        <f t="shared" si="12"/>
        <v>143</v>
      </c>
      <c r="P38" s="149">
        <f t="shared" si="13"/>
        <v>143</v>
      </c>
      <c r="Q38" s="149">
        <v>262.5</v>
      </c>
      <c r="R38" s="149">
        <v>0</v>
      </c>
      <c r="S38" s="149">
        <v>1500</v>
      </c>
      <c r="T38" s="149">
        <v>0</v>
      </c>
      <c r="U38" s="149">
        <v>0</v>
      </c>
      <c r="V38" s="149">
        <f t="shared" si="6"/>
        <v>1762.5</v>
      </c>
      <c r="W38" s="149">
        <v>1762.5</v>
      </c>
      <c r="X38" s="136">
        <f t="shared" si="4"/>
        <v>3668</v>
      </c>
      <c r="Y38" s="149">
        <v>0</v>
      </c>
      <c r="Z38" s="136">
        <f t="shared" si="2"/>
        <v>3780.7</v>
      </c>
      <c r="AA38" s="149">
        <v>4235.7</v>
      </c>
      <c r="AB38" s="148" t="s">
        <v>7</v>
      </c>
      <c r="AC38" s="147" t="s">
        <v>1195</v>
      </c>
      <c r="AD38" s="147" t="s">
        <v>48</v>
      </c>
      <c r="AE38" s="147" t="s">
        <v>128</v>
      </c>
      <c r="AF38" s="147" t="s">
        <v>48</v>
      </c>
    </row>
    <row r="39" spans="1:32" ht="228" customHeight="1" x14ac:dyDescent="0.2">
      <c r="A39" s="424"/>
      <c r="B39" s="154" t="s">
        <v>137</v>
      </c>
      <c r="C39" s="147" t="s">
        <v>1196</v>
      </c>
      <c r="D39" s="148" t="s">
        <v>231</v>
      </c>
      <c r="E39" s="148" t="s">
        <v>7</v>
      </c>
      <c r="F39" s="149">
        <v>0</v>
      </c>
      <c r="G39" s="149">
        <v>188</v>
      </c>
      <c r="H39" s="148" t="s">
        <v>46</v>
      </c>
      <c r="I39" s="149">
        <v>0</v>
      </c>
      <c r="J39" s="149">
        <v>0</v>
      </c>
      <c r="K39" s="149">
        <v>0</v>
      </c>
      <c r="L39" s="149">
        <v>0</v>
      </c>
      <c r="M39" s="149">
        <v>0</v>
      </c>
      <c r="N39" s="149">
        <v>295.5</v>
      </c>
      <c r="O39" s="149">
        <f t="shared" si="12"/>
        <v>295.5</v>
      </c>
      <c r="P39" s="149">
        <f t="shared" si="13"/>
        <v>295.5</v>
      </c>
      <c r="Q39" s="149">
        <v>0</v>
      </c>
      <c r="R39" s="149">
        <v>0</v>
      </c>
      <c r="S39" s="149">
        <v>0</v>
      </c>
      <c r="T39" s="149">
        <v>0</v>
      </c>
      <c r="U39" s="149">
        <v>0</v>
      </c>
      <c r="V39" s="149">
        <f>SUM(Q39:U39)</f>
        <v>0</v>
      </c>
      <c r="W39" s="149">
        <v>0</v>
      </c>
      <c r="X39" s="136">
        <f>O39+V39+W39</f>
        <v>295.5</v>
      </c>
      <c r="Y39" s="149">
        <v>0</v>
      </c>
      <c r="Z39" s="136">
        <f t="shared" si="2"/>
        <v>483.5</v>
      </c>
      <c r="AA39" s="149">
        <f>Z39</f>
        <v>483.5</v>
      </c>
      <c r="AB39" s="148" t="s">
        <v>7</v>
      </c>
      <c r="AC39" s="147" t="s">
        <v>1197</v>
      </c>
      <c r="AD39" s="147" t="s">
        <v>934</v>
      </c>
      <c r="AE39" s="147" t="s">
        <v>140</v>
      </c>
      <c r="AF39" s="147" t="s">
        <v>1198</v>
      </c>
    </row>
    <row r="40" spans="1:32" ht="241.5" hidden="1" x14ac:dyDescent="0.2">
      <c r="A40" s="424"/>
      <c r="B40" s="154" t="s">
        <v>228</v>
      </c>
      <c r="C40" s="147" t="s">
        <v>232</v>
      </c>
      <c r="D40" s="148" t="s">
        <v>231</v>
      </c>
      <c r="E40" s="148" t="s">
        <v>7</v>
      </c>
      <c r="F40" s="149">
        <v>0</v>
      </c>
      <c r="G40" s="149">
        <v>0</v>
      </c>
      <c r="H40" s="148" t="s">
        <v>46</v>
      </c>
      <c r="I40" s="149">
        <v>0</v>
      </c>
      <c r="J40" s="149"/>
      <c r="K40" s="149">
        <v>0</v>
      </c>
      <c r="L40" s="149">
        <v>0</v>
      </c>
      <c r="M40" s="149">
        <v>0</v>
      </c>
      <c r="N40" s="149">
        <v>0</v>
      </c>
      <c r="O40" s="149">
        <f t="shared" si="12"/>
        <v>0</v>
      </c>
      <c r="P40" s="149">
        <f t="shared" si="13"/>
        <v>0</v>
      </c>
      <c r="Q40" s="149">
        <v>0</v>
      </c>
      <c r="R40" s="149">
        <v>0</v>
      </c>
      <c r="S40" s="149">
        <v>0</v>
      </c>
      <c r="T40" s="149">
        <v>0</v>
      </c>
      <c r="U40" s="149">
        <v>0</v>
      </c>
      <c r="V40" s="149">
        <f t="shared" ref="V40:V41" si="14">SUM(Q40:U40)</f>
        <v>0</v>
      </c>
      <c r="W40" s="149">
        <v>0</v>
      </c>
      <c r="X40" s="136">
        <f t="shared" ref="X40:X41" si="15">O40+V40+W40</f>
        <v>0</v>
      </c>
      <c r="Y40" s="149">
        <v>0</v>
      </c>
      <c r="Z40" s="136">
        <f t="shared" si="2"/>
        <v>0</v>
      </c>
      <c r="AA40" s="149">
        <v>108.63</v>
      </c>
      <c r="AB40" s="148" t="s">
        <v>7</v>
      </c>
      <c r="AC40" s="147" t="s">
        <v>1199</v>
      </c>
      <c r="AD40" s="147" t="s">
        <v>229</v>
      </c>
      <c r="AE40" s="147" t="s">
        <v>158</v>
      </c>
      <c r="AF40" s="147" t="s">
        <v>1200</v>
      </c>
    </row>
    <row r="41" spans="1:32" ht="217.9" customHeight="1" x14ac:dyDescent="0.2">
      <c r="A41" s="424"/>
      <c r="B41" s="154" t="s">
        <v>1127</v>
      </c>
      <c r="C41" s="147" t="s">
        <v>1128</v>
      </c>
      <c r="D41" s="148" t="s">
        <v>1129</v>
      </c>
      <c r="E41" s="148" t="s">
        <v>69</v>
      </c>
      <c r="F41" s="149">
        <v>0</v>
      </c>
      <c r="G41" s="149">
        <v>0</v>
      </c>
      <c r="H41" s="148" t="s">
        <v>46</v>
      </c>
      <c r="I41" s="149">
        <v>0</v>
      </c>
      <c r="J41" s="149">
        <v>0</v>
      </c>
      <c r="K41" s="149">
        <v>0</v>
      </c>
      <c r="L41" s="149">
        <v>95.84</v>
      </c>
      <c r="M41" s="149">
        <v>0</v>
      </c>
      <c r="N41" s="149">
        <v>0</v>
      </c>
      <c r="O41" s="149">
        <f t="shared" si="12"/>
        <v>95.84</v>
      </c>
      <c r="P41" s="149">
        <f t="shared" si="13"/>
        <v>95.84</v>
      </c>
      <c r="Q41" s="149">
        <v>245.58</v>
      </c>
      <c r="R41" s="149">
        <v>0</v>
      </c>
      <c r="S41" s="149">
        <v>1401.27</v>
      </c>
      <c r="T41" s="149">
        <v>0</v>
      </c>
      <c r="U41" s="149">
        <v>0</v>
      </c>
      <c r="V41" s="149">
        <f t="shared" si="14"/>
        <v>1646.85</v>
      </c>
      <c r="W41" s="149">
        <v>1455.85</v>
      </c>
      <c r="X41" s="136">
        <f t="shared" si="15"/>
        <v>3198.54</v>
      </c>
      <c r="Y41" s="149">
        <v>0</v>
      </c>
      <c r="Z41" s="136">
        <f t="shared" si="2"/>
        <v>3198.54</v>
      </c>
      <c r="AA41" s="149">
        <v>3500</v>
      </c>
      <c r="AB41" s="148" t="s">
        <v>7</v>
      </c>
      <c r="AC41" s="147" t="s">
        <v>1201</v>
      </c>
      <c r="AD41" s="147" t="s">
        <v>1130</v>
      </c>
      <c r="AE41" s="147" t="s">
        <v>128</v>
      </c>
      <c r="AF41" s="147" t="s">
        <v>1202</v>
      </c>
    </row>
    <row r="42" spans="1:32" ht="25.15" customHeight="1" x14ac:dyDescent="0.2">
      <c r="A42" s="424"/>
      <c r="B42" s="421" t="s">
        <v>434</v>
      </c>
      <c r="C42" s="421"/>
      <c r="D42" s="143" t="s">
        <v>435</v>
      </c>
      <c r="E42" s="143" t="s">
        <v>48</v>
      </c>
      <c r="F42" s="144">
        <f>SUM(F43:F58)</f>
        <v>79789.990000000005</v>
      </c>
      <c r="G42" s="144">
        <f>SUM(G43:G58)</f>
        <v>15460.669999999998</v>
      </c>
      <c r="H42" s="143" t="s">
        <v>48</v>
      </c>
      <c r="I42" s="144">
        <f>SUM(I43:I61)</f>
        <v>0</v>
      </c>
      <c r="J42" s="144">
        <f t="shared" ref="J42:N42" si="16">SUM(J43:J61)</f>
        <v>0</v>
      </c>
      <c r="K42" s="144">
        <f t="shared" si="16"/>
        <v>0</v>
      </c>
      <c r="L42" s="144">
        <f t="shared" si="16"/>
        <v>0</v>
      </c>
      <c r="M42" s="144">
        <f t="shared" si="16"/>
        <v>0</v>
      </c>
      <c r="N42" s="144">
        <f t="shared" si="16"/>
        <v>5724.152</v>
      </c>
      <c r="O42" s="144">
        <f>I42+K42+L42+M42+N42</f>
        <v>5724.152</v>
      </c>
      <c r="P42" s="144">
        <f>J42+K42+L42+M42+N42</f>
        <v>5724.152</v>
      </c>
      <c r="Q42" s="144">
        <f>SUM(Q43:Q58)</f>
        <v>0</v>
      </c>
      <c r="R42" s="144">
        <f>SUM(R43:R58)</f>
        <v>0</v>
      </c>
      <c r="S42" s="144">
        <f>SUM(S43:S58)</f>
        <v>690.4</v>
      </c>
      <c r="T42" s="144">
        <f>SUM(T43:T58)</f>
        <v>0</v>
      </c>
      <c r="U42" s="144">
        <f>SUM(U43:U58)</f>
        <v>11052.73019</v>
      </c>
      <c r="V42" s="152">
        <f t="shared" si="6"/>
        <v>11743.13019</v>
      </c>
      <c r="W42" s="144">
        <f>SUM(W43:W58)</f>
        <v>19150.485000000001</v>
      </c>
      <c r="X42" s="145">
        <f t="shared" si="4"/>
        <v>36617.767189999999</v>
      </c>
      <c r="Y42" s="144">
        <f>SUM(Y43:Y58)</f>
        <v>7555</v>
      </c>
      <c r="Z42" s="145">
        <f t="shared" si="2"/>
        <v>139423.42719000002</v>
      </c>
      <c r="AA42" s="142" t="s">
        <v>48</v>
      </c>
      <c r="AB42" s="143" t="s">
        <v>48</v>
      </c>
      <c r="AC42" s="143" t="s">
        <v>48</v>
      </c>
      <c r="AD42" s="143" t="s">
        <v>48</v>
      </c>
      <c r="AE42" s="143" t="s">
        <v>48</v>
      </c>
      <c r="AF42" s="143" t="s">
        <v>48</v>
      </c>
    </row>
    <row r="43" spans="1:32" ht="187.9" customHeight="1" x14ac:dyDescent="0.2">
      <c r="A43" s="424"/>
      <c r="B43" s="146" t="s">
        <v>436</v>
      </c>
      <c r="C43" s="147" t="s">
        <v>437</v>
      </c>
      <c r="D43" s="148" t="s">
        <v>53</v>
      </c>
      <c r="E43" s="148" t="s">
        <v>7</v>
      </c>
      <c r="F43" s="149">
        <v>174.02</v>
      </c>
      <c r="G43" s="149">
        <v>1638.53</v>
      </c>
      <c r="H43" s="148" t="s">
        <v>46</v>
      </c>
      <c r="I43" s="149">
        <v>0</v>
      </c>
      <c r="J43" s="149">
        <v>0</v>
      </c>
      <c r="K43" s="149">
        <v>0</v>
      </c>
      <c r="L43" s="149">
        <v>0</v>
      </c>
      <c r="M43" s="149">
        <v>0</v>
      </c>
      <c r="N43" s="149">
        <v>81.099999999999994</v>
      </c>
      <c r="O43" s="149">
        <f t="shared" ref="O43:O45" si="17">I43+K43+L43+M43+N43</f>
        <v>81.099999999999994</v>
      </c>
      <c r="P43" s="149">
        <f t="shared" ref="P43:P45" si="18">J43+K43+L43+M43+N43</f>
        <v>81.099999999999994</v>
      </c>
      <c r="Q43" s="149">
        <v>0</v>
      </c>
      <c r="R43" s="149">
        <v>0</v>
      </c>
      <c r="S43" s="149">
        <v>0</v>
      </c>
      <c r="T43" s="149">
        <v>0</v>
      </c>
      <c r="U43" s="149">
        <v>275.90818999999999</v>
      </c>
      <c r="V43" s="149">
        <f t="shared" si="6"/>
        <v>275.90818999999999</v>
      </c>
      <c r="W43" s="149">
        <v>50</v>
      </c>
      <c r="X43" s="136">
        <f t="shared" si="4"/>
        <v>407.00819000000001</v>
      </c>
      <c r="Y43" s="149">
        <v>0</v>
      </c>
      <c r="Z43" s="136">
        <f t="shared" si="2"/>
        <v>2219.5581900000002</v>
      </c>
      <c r="AA43" s="150">
        <v>1333.85</v>
      </c>
      <c r="AB43" s="148" t="s">
        <v>69</v>
      </c>
      <c r="AC43" s="147" t="s">
        <v>1203</v>
      </c>
      <c r="AD43" s="147" t="s">
        <v>937</v>
      </c>
      <c r="AE43" s="147" t="s">
        <v>440</v>
      </c>
      <c r="AF43" s="147" t="s">
        <v>1204</v>
      </c>
    </row>
    <row r="44" spans="1:32" ht="83.45" customHeight="1" x14ac:dyDescent="0.2">
      <c r="A44" s="424"/>
      <c r="B44" s="146" t="s">
        <v>441</v>
      </c>
      <c r="C44" s="147" t="s">
        <v>442</v>
      </c>
      <c r="D44" s="148" t="s">
        <v>53</v>
      </c>
      <c r="E44" s="148" t="s">
        <v>7</v>
      </c>
      <c r="F44" s="149">
        <v>280.31</v>
      </c>
      <c r="G44" s="149">
        <v>1378.5</v>
      </c>
      <c r="H44" s="148" t="s">
        <v>46</v>
      </c>
      <c r="I44" s="149">
        <v>0</v>
      </c>
      <c r="J44" s="149">
        <v>0</v>
      </c>
      <c r="K44" s="149">
        <v>0</v>
      </c>
      <c r="L44" s="149">
        <v>0</v>
      </c>
      <c r="M44" s="149">
        <v>0</v>
      </c>
      <c r="N44" s="149">
        <v>1820.7739999999999</v>
      </c>
      <c r="O44" s="149">
        <f t="shared" si="17"/>
        <v>1820.7739999999999</v>
      </c>
      <c r="P44" s="149">
        <f t="shared" si="18"/>
        <v>1820.7739999999999</v>
      </c>
      <c r="Q44" s="149">
        <v>0</v>
      </c>
      <c r="R44" s="149">
        <v>0</v>
      </c>
      <c r="S44" s="149">
        <v>0</v>
      </c>
      <c r="T44" s="149">
        <v>0</v>
      </c>
      <c r="U44" s="149">
        <v>820.70399999999995</v>
      </c>
      <c r="V44" s="149">
        <f t="shared" si="6"/>
        <v>820.70399999999995</v>
      </c>
      <c r="W44" s="149">
        <v>939.92499999999995</v>
      </c>
      <c r="X44" s="136">
        <f t="shared" si="4"/>
        <v>3581.4030000000002</v>
      </c>
      <c r="Y44" s="149">
        <v>0</v>
      </c>
      <c r="Z44" s="136">
        <f t="shared" si="2"/>
        <v>5240.2130000000006</v>
      </c>
      <c r="AA44" s="150">
        <v>1410.31</v>
      </c>
      <c r="AB44" s="148" t="s">
        <v>69</v>
      </c>
      <c r="AC44" s="147" t="s">
        <v>1205</v>
      </c>
      <c r="AD44" s="147" t="s">
        <v>444</v>
      </c>
      <c r="AE44" s="147" t="s">
        <v>440</v>
      </c>
      <c r="AF44" s="147" t="s">
        <v>1198</v>
      </c>
    </row>
    <row r="45" spans="1:32" ht="56.45" customHeight="1" x14ac:dyDescent="0.2">
      <c r="A45" s="424"/>
      <c r="B45" s="146" t="s">
        <v>445</v>
      </c>
      <c r="C45" s="147" t="s">
        <v>13</v>
      </c>
      <c r="D45" s="148" t="s">
        <v>53</v>
      </c>
      <c r="E45" s="148" t="s">
        <v>69</v>
      </c>
      <c r="F45" s="149">
        <v>0</v>
      </c>
      <c r="G45" s="149">
        <v>100</v>
      </c>
      <c r="H45" s="148" t="s">
        <v>446</v>
      </c>
      <c r="I45" s="149">
        <v>0</v>
      </c>
      <c r="J45" s="149">
        <v>0</v>
      </c>
      <c r="K45" s="149">
        <v>0</v>
      </c>
      <c r="L45" s="149">
        <v>0</v>
      </c>
      <c r="M45" s="149">
        <v>0</v>
      </c>
      <c r="N45" s="149">
        <v>0</v>
      </c>
      <c r="O45" s="149">
        <f t="shared" si="17"/>
        <v>0</v>
      </c>
      <c r="P45" s="149">
        <f t="shared" si="18"/>
        <v>0</v>
      </c>
      <c r="Q45" s="149">
        <v>0</v>
      </c>
      <c r="R45" s="149">
        <v>0</v>
      </c>
      <c r="S45" s="149">
        <v>0</v>
      </c>
      <c r="T45" s="149">
        <v>0</v>
      </c>
      <c r="U45" s="149">
        <v>0</v>
      </c>
      <c r="V45" s="149">
        <f t="shared" si="6"/>
        <v>0</v>
      </c>
      <c r="W45" s="149">
        <v>6100</v>
      </c>
      <c r="X45" s="136">
        <f t="shared" si="4"/>
        <v>6100</v>
      </c>
      <c r="Y45" s="149">
        <v>0</v>
      </c>
      <c r="Z45" s="136">
        <f t="shared" si="2"/>
        <v>6200</v>
      </c>
      <c r="AA45" s="150">
        <v>6100000</v>
      </c>
      <c r="AB45" s="148" t="s">
        <v>7</v>
      </c>
      <c r="AC45" s="147" t="s">
        <v>1206</v>
      </c>
      <c r="AD45" s="147" t="s">
        <v>1207</v>
      </c>
      <c r="AE45" s="147" t="s">
        <v>440</v>
      </c>
      <c r="AF45" s="147" t="s">
        <v>1198</v>
      </c>
    </row>
    <row r="46" spans="1:32" ht="52.5" hidden="1" x14ac:dyDescent="0.2">
      <c r="A46" s="424"/>
      <c r="B46" s="146" t="s">
        <v>449</v>
      </c>
      <c r="C46" s="147" t="s">
        <v>450</v>
      </c>
      <c r="D46" s="148" t="s">
        <v>53</v>
      </c>
      <c r="E46" s="148" t="s">
        <v>7</v>
      </c>
      <c r="F46" s="149">
        <v>1221.22</v>
      </c>
      <c r="G46" s="149">
        <v>5649.25</v>
      </c>
      <c r="H46" s="148" t="s">
        <v>152</v>
      </c>
      <c r="I46" s="149">
        <v>0</v>
      </c>
      <c r="J46" s="149"/>
      <c r="K46" s="149">
        <v>0</v>
      </c>
      <c r="L46" s="149">
        <v>0</v>
      </c>
      <c r="M46" s="149">
        <v>0</v>
      </c>
      <c r="N46" s="149">
        <v>0</v>
      </c>
      <c r="O46" s="149">
        <f t="shared" ref="O46:O58" si="19">SUM(I46:N46)</f>
        <v>0</v>
      </c>
      <c r="P46" s="149"/>
      <c r="Q46" s="149">
        <v>0</v>
      </c>
      <c r="R46" s="149">
        <v>0</v>
      </c>
      <c r="S46" s="149">
        <v>0</v>
      </c>
      <c r="T46" s="149">
        <v>0</v>
      </c>
      <c r="U46" s="149">
        <v>0</v>
      </c>
      <c r="V46" s="149">
        <f t="shared" si="6"/>
        <v>0</v>
      </c>
      <c r="W46" s="149">
        <v>0</v>
      </c>
      <c r="X46" s="136">
        <f t="shared" si="4"/>
        <v>0</v>
      </c>
      <c r="Y46" s="149">
        <v>0</v>
      </c>
      <c r="Z46" s="136">
        <f t="shared" si="2"/>
        <v>6870.47</v>
      </c>
      <c r="AA46" s="150">
        <v>6015.4229999999998</v>
      </c>
      <c r="AB46" s="148" t="s">
        <v>7</v>
      </c>
      <c r="AC46" s="147" t="s">
        <v>1208</v>
      </c>
      <c r="AD46" s="147" t="s">
        <v>1209</v>
      </c>
      <c r="AE46" s="147" t="s">
        <v>440</v>
      </c>
      <c r="AF46" s="147" t="s">
        <v>129</v>
      </c>
    </row>
    <row r="47" spans="1:32" ht="57" customHeight="1" x14ac:dyDescent="0.2">
      <c r="A47" s="424"/>
      <c r="B47" s="146" t="s">
        <v>453</v>
      </c>
      <c r="C47" s="147" t="s">
        <v>454</v>
      </c>
      <c r="D47" s="148" t="s">
        <v>53</v>
      </c>
      <c r="E47" s="148" t="s">
        <v>7</v>
      </c>
      <c r="F47" s="149">
        <v>0</v>
      </c>
      <c r="G47" s="149">
        <v>0</v>
      </c>
      <c r="H47" s="148" t="s">
        <v>446</v>
      </c>
      <c r="I47" s="149">
        <v>0</v>
      </c>
      <c r="J47" s="149">
        <v>0</v>
      </c>
      <c r="K47" s="149">
        <v>0</v>
      </c>
      <c r="L47" s="149">
        <v>0</v>
      </c>
      <c r="M47" s="149">
        <v>0</v>
      </c>
      <c r="N47" s="149">
        <v>0</v>
      </c>
      <c r="O47" s="149">
        <f t="shared" ref="O47:O48" si="20">I47+K47+L47+M47+N47</f>
        <v>0</v>
      </c>
      <c r="P47" s="149">
        <f t="shared" ref="P47:P48" si="21">J47+K47+L47+M47+N47</f>
        <v>0</v>
      </c>
      <c r="Q47" s="149">
        <v>0</v>
      </c>
      <c r="R47" s="149">
        <v>0</v>
      </c>
      <c r="S47" s="149">
        <v>0</v>
      </c>
      <c r="T47" s="149">
        <v>0</v>
      </c>
      <c r="U47" s="149">
        <v>0</v>
      </c>
      <c r="V47" s="149">
        <f t="shared" si="6"/>
        <v>0</v>
      </c>
      <c r="W47" s="149">
        <v>100</v>
      </c>
      <c r="X47" s="136">
        <f t="shared" si="4"/>
        <v>100</v>
      </c>
      <c r="Y47" s="149">
        <v>0</v>
      </c>
      <c r="Z47" s="136">
        <f t="shared" si="2"/>
        <v>100</v>
      </c>
      <c r="AA47" s="150">
        <v>150</v>
      </c>
      <c r="AB47" s="148" t="s">
        <v>69</v>
      </c>
      <c r="AC47" s="147" t="s">
        <v>455</v>
      </c>
      <c r="AD47" s="147" t="s">
        <v>456</v>
      </c>
      <c r="AE47" s="147" t="s">
        <v>440</v>
      </c>
      <c r="AF47" s="147" t="s">
        <v>1198</v>
      </c>
    </row>
    <row r="48" spans="1:32" ht="409.15" customHeight="1" x14ac:dyDescent="0.2">
      <c r="A48" s="424"/>
      <c r="B48" s="146" t="s">
        <v>457</v>
      </c>
      <c r="C48" s="147" t="s">
        <v>458</v>
      </c>
      <c r="D48" s="148" t="s">
        <v>53</v>
      </c>
      <c r="E48" s="148" t="s">
        <v>7</v>
      </c>
      <c r="F48" s="149">
        <v>5</v>
      </c>
      <c r="G48" s="149">
        <v>258.33999999999997</v>
      </c>
      <c r="H48" s="148" t="s">
        <v>46</v>
      </c>
      <c r="I48" s="149">
        <v>0</v>
      </c>
      <c r="J48" s="149">
        <v>0</v>
      </c>
      <c r="K48" s="149">
        <v>0</v>
      </c>
      <c r="L48" s="149">
        <v>0</v>
      </c>
      <c r="M48" s="149">
        <v>0</v>
      </c>
      <c r="N48" s="149">
        <v>266.65800000000002</v>
      </c>
      <c r="O48" s="149">
        <f t="shared" si="20"/>
        <v>266.65800000000002</v>
      </c>
      <c r="P48" s="149">
        <f t="shared" si="21"/>
        <v>266.65800000000002</v>
      </c>
      <c r="Q48" s="149">
        <v>0</v>
      </c>
      <c r="R48" s="149">
        <v>0</v>
      </c>
      <c r="S48" s="149">
        <v>0</v>
      </c>
      <c r="T48" s="149">
        <v>0</v>
      </c>
      <c r="U48" s="149">
        <v>120.158</v>
      </c>
      <c r="V48" s="149">
        <f t="shared" si="6"/>
        <v>120.158</v>
      </c>
      <c r="W48" s="149">
        <v>115</v>
      </c>
      <c r="X48" s="136">
        <f t="shared" si="4"/>
        <v>501.81600000000003</v>
      </c>
      <c r="Y48" s="149">
        <v>0</v>
      </c>
      <c r="Z48" s="136">
        <f t="shared" si="2"/>
        <v>765.15599999999995</v>
      </c>
      <c r="AA48" s="150">
        <v>437.505</v>
      </c>
      <c r="AB48" s="148" t="s">
        <v>69</v>
      </c>
      <c r="AC48" s="147" t="s">
        <v>1210</v>
      </c>
      <c r="AD48" s="147" t="s">
        <v>460</v>
      </c>
      <c r="AE48" s="147" t="s">
        <v>440</v>
      </c>
      <c r="AF48" s="147" t="s">
        <v>1198</v>
      </c>
    </row>
    <row r="49" spans="1:32" ht="178.5" hidden="1" x14ac:dyDescent="0.2">
      <c r="A49" s="424"/>
      <c r="B49" s="146" t="s">
        <v>461</v>
      </c>
      <c r="C49" s="153" t="s">
        <v>1211</v>
      </c>
      <c r="D49" s="148" t="s">
        <v>463</v>
      </c>
      <c r="E49" s="148" t="s">
        <v>7</v>
      </c>
      <c r="F49" s="149">
        <v>72582.240000000005</v>
      </c>
      <c r="G49" s="149">
        <v>580.76</v>
      </c>
      <c r="H49" s="148" t="s">
        <v>46</v>
      </c>
      <c r="I49" s="149">
        <v>0</v>
      </c>
      <c r="J49" s="149"/>
      <c r="K49" s="149">
        <v>0</v>
      </c>
      <c r="L49" s="149">
        <v>0</v>
      </c>
      <c r="M49" s="149">
        <v>0</v>
      </c>
      <c r="N49" s="149">
        <v>0</v>
      </c>
      <c r="O49" s="149">
        <f t="shared" si="19"/>
        <v>0</v>
      </c>
      <c r="P49" s="149"/>
      <c r="Q49" s="149">
        <v>0</v>
      </c>
      <c r="R49" s="149">
        <v>0</v>
      </c>
      <c r="S49" s="149">
        <v>0</v>
      </c>
      <c r="T49" s="149">
        <v>0</v>
      </c>
      <c r="U49" s="149">
        <v>0</v>
      </c>
      <c r="V49" s="149">
        <f t="shared" si="6"/>
        <v>0</v>
      </c>
      <c r="W49" s="149">
        <v>0</v>
      </c>
      <c r="X49" s="136">
        <f t="shared" si="4"/>
        <v>0</v>
      </c>
      <c r="Y49" s="149">
        <v>0</v>
      </c>
      <c r="Z49" s="136">
        <f t="shared" si="2"/>
        <v>73163</v>
      </c>
      <c r="AA49" s="150">
        <v>73162</v>
      </c>
      <c r="AB49" s="148" t="s">
        <v>7</v>
      </c>
      <c r="AC49" s="153" t="s">
        <v>1212</v>
      </c>
      <c r="AD49" s="147" t="s">
        <v>945</v>
      </c>
      <c r="AE49" s="147" t="s">
        <v>140</v>
      </c>
      <c r="AF49" s="147" t="s">
        <v>1198</v>
      </c>
    </row>
    <row r="50" spans="1:32" ht="270.60000000000002" customHeight="1" x14ac:dyDescent="0.2">
      <c r="A50" s="424"/>
      <c r="B50" s="146" t="s">
        <v>466</v>
      </c>
      <c r="C50" s="147" t="s">
        <v>467</v>
      </c>
      <c r="D50" s="148" t="s">
        <v>463</v>
      </c>
      <c r="E50" s="148" t="s">
        <v>7</v>
      </c>
      <c r="F50" s="149">
        <v>0</v>
      </c>
      <c r="G50" s="149">
        <v>3361</v>
      </c>
      <c r="H50" s="148" t="s">
        <v>152</v>
      </c>
      <c r="I50" s="149">
        <v>0</v>
      </c>
      <c r="J50" s="149">
        <v>0</v>
      </c>
      <c r="K50" s="149">
        <v>0</v>
      </c>
      <c r="L50" s="149">
        <v>0</v>
      </c>
      <c r="M50" s="149">
        <v>0</v>
      </c>
      <c r="N50" s="149">
        <v>1331.24</v>
      </c>
      <c r="O50" s="149">
        <f t="shared" ref="O50" si="22">I50+K50+L50+M50+N50</f>
        <v>1331.24</v>
      </c>
      <c r="P50" s="149">
        <f t="shared" ref="P50" si="23">J50+K50+L50+M50+N50</f>
        <v>1331.24</v>
      </c>
      <c r="Q50" s="149">
        <v>0</v>
      </c>
      <c r="R50" s="149">
        <v>0</v>
      </c>
      <c r="S50" s="149">
        <v>0</v>
      </c>
      <c r="T50" s="149">
        <v>0</v>
      </c>
      <c r="U50" s="149">
        <v>1361.2</v>
      </c>
      <c r="V50" s="149">
        <f t="shared" si="6"/>
        <v>1361.2</v>
      </c>
      <c r="W50" s="149">
        <v>1204.2</v>
      </c>
      <c r="X50" s="136">
        <f t="shared" si="4"/>
        <v>3896.6400000000003</v>
      </c>
      <c r="Y50" s="149">
        <v>2155</v>
      </c>
      <c r="Z50" s="136">
        <f t="shared" si="2"/>
        <v>9412.64</v>
      </c>
      <c r="AA50" s="150">
        <f>Z50</f>
        <v>9412.64</v>
      </c>
      <c r="AB50" s="148" t="s">
        <v>69</v>
      </c>
      <c r="AC50" s="147" t="s">
        <v>1213</v>
      </c>
      <c r="AD50" s="147" t="s">
        <v>48</v>
      </c>
      <c r="AE50" s="147" t="s">
        <v>140</v>
      </c>
      <c r="AF50" s="147" t="s">
        <v>1198</v>
      </c>
    </row>
    <row r="51" spans="1:32" ht="42" hidden="1" x14ac:dyDescent="0.2">
      <c r="A51" s="424"/>
      <c r="B51" s="146" t="s">
        <v>469</v>
      </c>
      <c r="C51" s="147" t="s">
        <v>470</v>
      </c>
      <c r="D51" s="148" t="s">
        <v>463</v>
      </c>
      <c r="E51" s="148" t="s">
        <v>7</v>
      </c>
      <c r="F51" s="149">
        <v>0</v>
      </c>
      <c r="G51" s="149">
        <v>0</v>
      </c>
      <c r="H51" s="148" t="s">
        <v>152</v>
      </c>
      <c r="I51" s="149">
        <v>0</v>
      </c>
      <c r="J51" s="149"/>
      <c r="K51" s="149">
        <v>0</v>
      </c>
      <c r="L51" s="149">
        <v>0</v>
      </c>
      <c r="M51" s="149">
        <v>0</v>
      </c>
      <c r="N51" s="149">
        <v>0</v>
      </c>
      <c r="O51" s="149">
        <f t="shared" si="19"/>
        <v>0</v>
      </c>
      <c r="P51" s="149"/>
      <c r="Q51" s="149">
        <v>0</v>
      </c>
      <c r="R51" s="149">
        <v>0</v>
      </c>
      <c r="S51" s="149">
        <v>0</v>
      </c>
      <c r="T51" s="149">
        <v>0</v>
      </c>
      <c r="U51" s="149">
        <v>0</v>
      </c>
      <c r="V51" s="149">
        <f t="shared" si="6"/>
        <v>0</v>
      </c>
      <c r="W51" s="149">
        <v>0</v>
      </c>
      <c r="X51" s="136">
        <f t="shared" si="4"/>
        <v>0</v>
      </c>
      <c r="Y51" s="149">
        <v>0</v>
      </c>
      <c r="Z51" s="136">
        <f t="shared" si="2"/>
        <v>0</v>
      </c>
      <c r="AA51" s="150">
        <v>10000</v>
      </c>
      <c r="AB51" s="148" t="s">
        <v>7</v>
      </c>
      <c r="AC51" s="147" t="s">
        <v>1214</v>
      </c>
      <c r="AD51" s="147" t="s">
        <v>472</v>
      </c>
      <c r="AE51" s="147" t="s">
        <v>140</v>
      </c>
      <c r="AF51" s="147" t="s">
        <v>124</v>
      </c>
    </row>
    <row r="52" spans="1:32" ht="96" hidden="1" customHeight="1" x14ac:dyDescent="0.2">
      <c r="A52" s="424"/>
      <c r="B52" s="146" t="s">
        <v>473</v>
      </c>
      <c r="C52" s="147" t="s">
        <v>474</v>
      </c>
      <c r="D52" s="148" t="s">
        <v>156</v>
      </c>
      <c r="E52" s="148" t="s">
        <v>7</v>
      </c>
      <c r="F52" s="149">
        <v>650.20000000000005</v>
      </c>
      <c r="G52" s="149">
        <v>1516.8</v>
      </c>
      <c r="H52" s="148" t="s">
        <v>46</v>
      </c>
      <c r="I52" s="149">
        <v>0</v>
      </c>
      <c r="J52" s="149"/>
      <c r="K52" s="149">
        <v>0</v>
      </c>
      <c r="L52" s="149">
        <v>0</v>
      </c>
      <c r="M52" s="149">
        <v>0</v>
      </c>
      <c r="N52" s="149">
        <v>0</v>
      </c>
      <c r="O52" s="149">
        <f t="shared" si="19"/>
        <v>0</v>
      </c>
      <c r="P52" s="149"/>
      <c r="Q52" s="149">
        <v>0</v>
      </c>
      <c r="R52" s="149">
        <v>0</v>
      </c>
      <c r="S52" s="149">
        <v>0</v>
      </c>
      <c r="T52" s="149">
        <v>0</v>
      </c>
      <c r="U52" s="149">
        <v>0</v>
      </c>
      <c r="V52" s="149">
        <f t="shared" si="6"/>
        <v>0</v>
      </c>
      <c r="W52" s="149">
        <v>0</v>
      </c>
      <c r="X52" s="136">
        <f t="shared" si="4"/>
        <v>0</v>
      </c>
      <c r="Y52" s="149">
        <v>0</v>
      </c>
      <c r="Z52" s="136">
        <f t="shared" si="2"/>
        <v>2167</v>
      </c>
      <c r="AA52" s="150">
        <v>2167</v>
      </c>
      <c r="AB52" s="148" t="s">
        <v>7</v>
      </c>
      <c r="AC52" s="147" t="s">
        <v>1215</v>
      </c>
      <c r="AD52" s="147" t="s">
        <v>476</v>
      </c>
      <c r="AE52" s="147" t="s">
        <v>140</v>
      </c>
      <c r="AF52" s="147" t="s">
        <v>124</v>
      </c>
    </row>
    <row r="53" spans="1:32" ht="337.9" customHeight="1" x14ac:dyDescent="0.2">
      <c r="A53" s="424"/>
      <c r="B53" s="146" t="s">
        <v>477</v>
      </c>
      <c r="C53" s="147" t="s">
        <v>478</v>
      </c>
      <c r="D53" s="148" t="s">
        <v>156</v>
      </c>
      <c r="E53" s="148"/>
      <c r="F53" s="149">
        <v>0</v>
      </c>
      <c r="G53" s="149">
        <v>0</v>
      </c>
      <c r="H53" s="148" t="s">
        <v>152</v>
      </c>
      <c r="I53" s="149">
        <v>0</v>
      </c>
      <c r="J53" s="149">
        <v>0</v>
      </c>
      <c r="K53" s="149">
        <v>0</v>
      </c>
      <c r="L53" s="149">
        <v>0</v>
      </c>
      <c r="M53" s="149">
        <v>0</v>
      </c>
      <c r="N53" s="149">
        <v>154.24</v>
      </c>
      <c r="O53" s="149">
        <f t="shared" ref="O53:O57" si="24">I53+K53+L53+M53+N53</f>
        <v>154.24</v>
      </c>
      <c r="P53" s="149">
        <f t="shared" ref="P53:P57" si="25">J53+K53+L53+M53+N53</f>
        <v>154.24</v>
      </c>
      <c r="Q53" s="149">
        <v>0</v>
      </c>
      <c r="R53" s="149">
        <v>0</v>
      </c>
      <c r="S53" s="149">
        <v>123.4</v>
      </c>
      <c r="T53" s="149">
        <v>0</v>
      </c>
      <c r="U53" s="149">
        <v>31</v>
      </c>
      <c r="V53" s="149">
        <f>SUM(Q53:U53)</f>
        <v>154.4</v>
      </c>
      <c r="W53" s="149">
        <v>154.19999999999999</v>
      </c>
      <c r="X53" s="136">
        <f>O53+V53+W53</f>
        <v>462.84</v>
      </c>
      <c r="Y53" s="149">
        <v>0</v>
      </c>
      <c r="Z53" s="136">
        <f t="shared" si="2"/>
        <v>462.84</v>
      </c>
      <c r="AA53" s="150">
        <f>1072.94+125</f>
        <v>1197.94</v>
      </c>
      <c r="AB53" s="148" t="s">
        <v>7</v>
      </c>
      <c r="AC53" s="147" t="s">
        <v>1216</v>
      </c>
      <c r="AD53" s="147" t="s">
        <v>949</v>
      </c>
      <c r="AE53" s="147" t="s">
        <v>140</v>
      </c>
      <c r="AF53" s="147" t="s">
        <v>1204</v>
      </c>
    </row>
    <row r="54" spans="1:32" ht="307.89999999999998" customHeight="1" x14ac:dyDescent="0.2">
      <c r="A54" s="424"/>
      <c r="B54" s="146" t="s">
        <v>481</v>
      </c>
      <c r="C54" s="147" t="s">
        <v>17</v>
      </c>
      <c r="D54" s="148" t="s">
        <v>156</v>
      </c>
      <c r="E54" s="148" t="s">
        <v>69</v>
      </c>
      <c r="F54" s="149">
        <v>0</v>
      </c>
      <c r="G54" s="149">
        <v>0</v>
      </c>
      <c r="H54" s="148" t="s">
        <v>152</v>
      </c>
      <c r="I54" s="149">
        <v>0</v>
      </c>
      <c r="J54" s="149">
        <v>0</v>
      </c>
      <c r="K54" s="149">
        <v>0</v>
      </c>
      <c r="L54" s="149">
        <v>0</v>
      </c>
      <c r="M54" s="149">
        <v>0</v>
      </c>
      <c r="N54" s="149">
        <v>145.04</v>
      </c>
      <c r="O54" s="149">
        <f t="shared" si="24"/>
        <v>145.04</v>
      </c>
      <c r="P54" s="149">
        <f t="shared" si="25"/>
        <v>145.04</v>
      </c>
      <c r="Q54" s="149">
        <v>0</v>
      </c>
      <c r="R54" s="149">
        <v>0</v>
      </c>
      <c r="S54" s="149">
        <v>0</v>
      </c>
      <c r="T54" s="149">
        <v>0</v>
      </c>
      <c r="U54" s="149">
        <v>870.21</v>
      </c>
      <c r="V54" s="149">
        <f t="shared" si="6"/>
        <v>870.21</v>
      </c>
      <c r="W54" s="149">
        <v>435.11</v>
      </c>
      <c r="X54" s="136">
        <f t="shared" si="4"/>
        <v>1450.3600000000001</v>
      </c>
      <c r="Y54" s="149">
        <v>0</v>
      </c>
      <c r="Z54" s="136">
        <f t="shared" si="2"/>
        <v>1450.3600000000001</v>
      </c>
      <c r="AA54" s="150">
        <f>Z54</f>
        <v>1450.3600000000001</v>
      </c>
      <c r="AB54" s="148" t="s">
        <v>7</v>
      </c>
      <c r="AC54" s="147" t="s">
        <v>1217</v>
      </c>
      <c r="AD54" s="147" t="s">
        <v>951</v>
      </c>
      <c r="AE54" s="147" t="s">
        <v>140</v>
      </c>
      <c r="AF54" s="147" t="s">
        <v>1198</v>
      </c>
    </row>
    <row r="55" spans="1:32" ht="139.9" customHeight="1" x14ac:dyDescent="0.2">
      <c r="A55" s="424"/>
      <c r="B55" s="146" t="s">
        <v>483</v>
      </c>
      <c r="C55" s="147" t="s">
        <v>484</v>
      </c>
      <c r="D55" s="148" t="s">
        <v>156</v>
      </c>
      <c r="E55" s="148" t="s">
        <v>69</v>
      </c>
      <c r="F55" s="149">
        <v>0</v>
      </c>
      <c r="G55" s="149">
        <v>0</v>
      </c>
      <c r="H55" s="148" t="s">
        <v>152</v>
      </c>
      <c r="I55" s="149">
        <v>0</v>
      </c>
      <c r="J55" s="149">
        <v>0</v>
      </c>
      <c r="K55" s="149">
        <v>0</v>
      </c>
      <c r="L55" s="149">
        <v>0</v>
      </c>
      <c r="M55" s="149">
        <v>0</v>
      </c>
      <c r="N55" s="149">
        <v>11</v>
      </c>
      <c r="O55" s="149">
        <f t="shared" si="24"/>
        <v>11</v>
      </c>
      <c r="P55" s="149">
        <f t="shared" si="25"/>
        <v>11</v>
      </c>
      <c r="Q55" s="149">
        <v>0</v>
      </c>
      <c r="R55" s="149">
        <v>0</v>
      </c>
      <c r="S55" s="149">
        <v>567</v>
      </c>
      <c r="T55" s="149">
        <v>0</v>
      </c>
      <c r="U55" s="149">
        <v>1334</v>
      </c>
      <c r="V55" s="149">
        <f t="shared" si="6"/>
        <v>1901</v>
      </c>
      <c r="W55" s="149">
        <v>656</v>
      </c>
      <c r="X55" s="136">
        <f t="shared" si="4"/>
        <v>2568</v>
      </c>
      <c r="Y55" s="149">
        <v>0</v>
      </c>
      <c r="Z55" s="136">
        <f t="shared" si="2"/>
        <v>2568</v>
      </c>
      <c r="AA55" s="150">
        <v>2000</v>
      </c>
      <c r="AB55" s="148" t="s">
        <v>7</v>
      </c>
      <c r="AC55" s="147" t="s">
        <v>1218</v>
      </c>
      <c r="AD55" s="147" t="s">
        <v>486</v>
      </c>
      <c r="AE55" s="147" t="s">
        <v>140</v>
      </c>
      <c r="AF55" s="147" t="s">
        <v>1204</v>
      </c>
    </row>
    <row r="56" spans="1:32" ht="271.14999999999998" customHeight="1" x14ac:dyDescent="0.2">
      <c r="A56" s="424"/>
      <c r="B56" s="146" t="s">
        <v>487</v>
      </c>
      <c r="C56" s="147" t="s">
        <v>488</v>
      </c>
      <c r="D56" s="148" t="s">
        <v>156</v>
      </c>
      <c r="E56" s="148" t="s">
        <v>7</v>
      </c>
      <c r="F56" s="149">
        <v>0</v>
      </c>
      <c r="G56" s="149">
        <v>275</v>
      </c>
      <c r="H56" s="148" t="s">
        <v>152</v>
      </c>
      <c r="I56" s="149">
        <v>0</v>
      </c>
      <c r="J56" s="149">
        <v>0</v>
      </c>
      <c r="K56" s="149">
        <v>0</v>
      </c>
      <c r="L56" s="149">
        <v>0</v>
      </c>
      <c r="M56" s="149">
        <v>0</v>
      </c>
      <c r="N56" s="149">
        <v>400.2</v>
      </c>
      <c r="O56" s="149">
        <f t="shared" si="24"/>
        <v>400.2</v>
      </c>
      <c r="P56" s="149">
        <f t="shared" si="25"/>
        <v>400.2</v>
      </c>
      <c r="Q56" s="149">
        <v>0</v>
      </c>
      <c r="R56" s="149">
        <v>0</v>
      </c>
      <c r="S56" s="149">
        <v>0</v>
      </c>
      <c r="T56" s="149">
        <v>0</v>
      </c>
      <c r="U56" s="149">
        <v>5839.55</v>
      </c>
      <c r="V56" s="149">
        <f t="shared" si="6"/>
        <v>5839.55</v>
      </c>
      <c r="W56" s="149">
        <v>4396.05</v>
      </c>
      <c r="X56" s="136">
        <f t="shared" si="4"/>
        <v>10635.8</v>
      </c>
      <c r="Y56" s="149">
        <v>0</v>
      </c>
      <c r="Z56" s="136">
        <f t="shared" si="2"/>
        <v>10910.8</v>
      </c>
      <c r="AA56" s="150">
        <v>7000</v>
      </c>
      <c r="AB56" s="148" t="s">
        <v>7</v>
      </c>
      <c r="AC56" s="147" t="s">
        <v>1219</v>
      </c>
      <c r="AD56" s="147" t="s">
        <v>954</v>
      </c>
      <c r="AE56" s="147" t="s">
        <v>140</v>
      </c>
      <c r="AF56" s="147" t="s">
        <v>1204</v>
      </c>
    </row>
    <row r="57" spans="1:32" ht="130.15" customHeight="1" x14ac:dyDescent="0.2">
      <c r="A57" s="424"/>
      <c r="B57" s="146" t="s">
        <v>491</v>
      </c>
      <c r="C57" s="147" t="s">
        <v>492</v>
      </c>
      <c r="D57" s="148" t="s">
        <v>156</v>
      </c>
      <c r="E57" s="148" t="s">
        <v>69</v>
      </c>
      <c r="F57" s="149">
        <v>0</v>
      </c>
      <c r="G57" s="149">
        <v>500</v>
      </c>
      <c r="H57" s="148" t="s">
        <v>152</v>
      </c>
      <c r="I57" s="149">
        <v>0</v>
      </c>
      <c r="J57" s="149">
        <v>0</v>
      </c>
      <c r="K57" s="149">
        <v>0</v>
      </c>
      <c r="L57" s="149">
        <v>0</v>
      </c>
      <c r="M57" s="149">
        <v>0</v>
      </c>
      <c r="N57" s="149">
        <v>0</v>
      </c>
      <c r="O57" s="149">
        <f t="shared" si="24"/>
        <v>0</v>
      </c>
      <c r="P57" s="149">
        <f t="shared" si="25"/>
        <v>0</v>
      </c>
      <c r="Q57" s="149">
        <v>0</v>
      </c>
      <c r="R57" s="149">
        <v>0</v>
      </c>
      <c r="S57" s="149">
        <v>0</v>
      </c>
      <c r="T57" s="149">
        <v>0</v>
      </c>
      <c r="U57" s="149">
        <v>400</v>
      </c>
      <c r="V57" s="149">
        <f t="shared" si="6"/>
        <v>400</v>
      </c>
      <c r="W57" s="149">
        <v>5000</v>
      </c>
      <c r="X57" s="136">
        <f t="shared" si="4"/>
        <v>5400</v>
      </c>
      <c r="Y57" s="149">
        <v>5400</v>
      </c>
      <c r="Z57" s="136">
        <f t="shared" si="2"/>
        <v>11300</v>
      </c>
      <c r="AA57" s="155">
        <f>Z57</f>
        <v>11300</v>
      </c>
      <c r="AB57" s="148" t="s">
        <v>7</v>
      </c>
      <c r="AC57" s="147" t="s">
        <v>1220</v>
      </c>
      <c r="AD57" s="147" t="s">
        <v>956</v>
      </c>
      <c r="AE57" s="147" t="s">
        <v>140</v>
      </c>
      <c r="AF57" s="147" t="s">
        <v>1198</v>
      </c>
    </row>
    <row r="58" spans="1:32" ht="31.5" hidden="1" x14ac:dyDescent="0.2">
      <c r="A58" s="424"/>
      <c r="B58" s="154" t="s">
        <v>52</v>
      </c>
      <c r="C58" s="147" t="s">
        <v>495</v>
      </c>
      <c r="D58" s="148" t="s">
        <v>53</v>
      </c>
      <c r="E58" s="148" t="s">
        <v>7</v>
      </c>
      <c r="F58" s="149">
        <v>4877</v>
      </c>
      <c r="G58" s="149">
        <v>202.49</v>
      </c>
      <c r="H58" s="148" t="s">
        <v>46</v>
      </c>
      <c r="I58" s="149">
        <v>0</v>
      </c>
      <c r="J58" s="149"/>
      <c r="K58" s="149">
        <v>0</v>
      </c>
      <c r="L58" s="149">
        <v>0</v>
      </c>
      <c r="M58" s="149">
        <v>0</v>
      </c>
      <c r="N58" s="149">
        <v>0</v>
      </c>
      <c r="O58" s="149">
        <f t="shared" si="19"/>
        <v>0</v>
      </c>
      <c r="P58" s="149"/>
      <c r="Q58" s="149">
        <v>0</v>
      </c>
      <c r="R58" s="149">
        <v>0</v>
      </c>
      <c r="S58" s="149">
        <v>0</v>
      </c>
      <c r="T58" s="149">
        <v>0</v>
      </c>
      <c r="U58" s="149">
        <v>0</v>
      </c>
      <c r="V58" s="149">
        <f t="shared" si="6"/>
        <v>0</v>
      </c>
      <c r="W58" s="149">
        <v>0</v>
      </c>
      <c r="X58" s="136">
        <f t="shared" si="4"/>
        <v>0</v>
      </c>
      <c r="Y58" s="149">
        <v>0</v>
      </c>
      <c r="Z58" s="136">
        <f t="shared" si="2"/>
        <v>5079.49</v>
      </c>
      <c r="AA58" s="150">
        <v>5377</v>
      </c>
      <c r="AB58" s="148" t="s">
        <v>7</v>
      </c>
      <c r="AC58" s="147" t="s">
        <v>957</v>
      </c>
      <c r="AD58" s="147" t="s">
        <v>54</v>
      </c>
      <c r="AE58" s="147" t="s">
        <v>55</v>
      </c>
      <c r="AF58" s="147" t="s">
        <v>124</v>
      </c>
    </row>
    <row r="59" spans="1:32" ht="42" hidden="1" x14ac:dyDescent="0.2">
      <c r="A59" s="424"/>
      <c r="B59" s="154" t="s">
        <v>122</v>
      </c>
      <c r="C59" s="147" t="s">
        <v>1221</v>
      </c>
      <c r="D59" s="148" t="s">
        <v>156</v>
      </c>
      <c r="E59" s="148"/>
      <c r="F59" s="149">
        <v>0</v>
      </c>
      <c r="G59" s="149">
        <v>123.06</v>
      </c>
      <c r="H59" s="148" t="s">
        <v>152</v>
      </c>
      <c r="I59" s="149">
        <v>0</v>
      </c>
      <c r="J59" s="149"/>
      <c r="K59" s="149">
        <v>0</v>
      </c>
      <c r="L59" s="149">
        <v>0</v>
      </c>
      <c r="M59" s="149">
        <v>0</v>
      </c>
      <c r="N59" s="149">
        <v>0</v>
      </c>
      <c r="O59" s="149">
        <f>SUM(I59:N59)</f>
        <v>0</v>
      </c>
      <c r="P59" s="149"/>
      <c r="Q59" s="149">
        <v>0</v>
      </c>
      <c r="R59" s="149">
        <v>0</v>
      </c>
      <c r="S59" s="149">
        <v>0</v>
      </c>
      <c r="T59" s="149">
        <v>0</v>
      </c>
      <c r="U59" s="149">
        <v>0</v>
      </c>
      <c r="V59" s="149">
        <f>SUM(Q59:U59)</f>
        <v>0</v>
      </c>
      <c r="W59" s="149">
        <v>0</v>
      </c>
      <c r="X59" s="136">
        <f>O59+V59+W59</f>
        <v>0</v>
      </c>
      <c r="Y59" s="149">
        <v>0</v>
      </c>
      <c r="Z59" s="136">
        <f t="shared" si="2"/>
        <v>123.06</v>
      </c>
      <c r="AA59" s="150">
        <v>123.06</v>
      </c>
      <c r="AB59" s="148" t="s">
        <v>7</v>
      </c>
      <c r="AC59" s="147" t="s">
        <v>959</v>
      </c>
      <c r="AD59" s="147" t="s">
        <v>960</v>
      </c>
      <c r="AE59" s="147" t="s">
        <v>140</v>
      </c>
      <c r="AF59" s="147" t="s">
        <v>124</v>
      </c>
    </row>
    <row r="60" spans="1:32" ht="225.75" customHeight="1" x14ac:dyDescent="0.2">
      <c r="A60" s="424"/>
      <c r="B60" s="154" t="s">
        <v>173</v>
      </c>
      <c r="C60" s="147" t="s">
        <v>175</v>
      </c>
      <c r="D60" s="148" t="s">
        <v>156</v>
      </c>
      <c r="E60" s="148"/>
      <c r="F60" s="149">
        <v>0</v>
      </c>
      <c r="G60" s="149">
        <v>549</v>
      </c>
      <c r="H60" s="148" t="s">
        <v>152</v>
      </c>
      <c r="I60" s="149">
        <v>0</v>
      </c>
      <c r="J60" s="149">
        <v>0</v>
      </c>
      <c r="K60" s="149">
        <v>0</v>
      </c>
      <c r="L60" s="149">
        <v>0</v>
      </c>
      <c r="M60" s="149">
        <v>0</v>
      </c>
      <c r="N60" s="149">
        <v>1074.9000000000001</v>
      </c>
      <c r="O60" s="149">
        <f t="shared" ref="O60:O61" si="26">I60+K60+L60+M60+N60</f>
        <v>1074.9000000000001</v>
      </c>
      <c r="P60" s="149">
        <f t="shared" ref="P60:P61" si="27">J60+K60+L60+M60+N60</f>
        <v>1074.9000000000001</v>
      </c>
      <c r="Q60" s="149">
        <v>0</v>
      </c>
      <c r="R60" s="149">
        <v>0</v>
      </c>
      <c r="S60" s="149">
        <v>0</v>
      </c>
      <c r="T60" s="149">
        <v>0</v>
      </c>
      <c r="U60" s="149">
        <v>0</v>
      </c>
      <c r="V60" s="149">
        <f t="shared" si="6"/>
        <v>0</v>
      </c>
      <c r="W60" s="149">
        <v>0</v>
      </c>
      <c r="X60" s="136">
        <f t="shared" si="4"/>
        <v>1074.9000000000001</v>
      </c>
      <c r="Y60" s="149">
        <v>0</v>
      </c>
      <c r="Z60" s="136">
        <f t="shared" si="2"/>
        <v>1623.9</v>
      </c>
      <c r="AA60" s="150">
        <v>1098</v>
      </c>
      <c r="AB60" s="148" t="s">
        <v>7</v>
      </c>
      <c r="AC60" s="147" t="s">
        <v>1222</v>
      </c>
      <c r="AD60" s="147" t="s">
        <v>177</v>
      </c>
      <c r="AE60" s="147" t="s">
        <v>140</v>
      </c>
      <c r="AF60" s="147" t="s">
        <v>1198</v>
      </c>
    </row>
    <row r="61" spans="1:32" ht="220.9" customHeight="1" x14ac:dyDescent="0.2">
      <c r="A61" s="424"/>
      <c r="B61" s="154" t="s">
        <v>174</v>
      </c>
      <c r="C61" s="147" t="s">
        <v>176</v>
      </c>
      <c r="D61" s="148" t="s">
        <v>156</v>
      </c>
      <c r="E61" s="148"/>
      <c r="F61" s="149">
        <v>0</v>
      </c>
      <c r="G61" s="149">
        <v>224.5</v>
      </c>
      <c r="H61" s="148" t="s">
        <v>152</v>
      </c>
      <c r="I61" s="149">
        <v>0</v>
      </c>
      <c r="J61" s="149">
        <v>0</v>
      </c>
      <c r="K61" s="149">
        <v>0</v>
      </c>
      <c r="L61" s="149">
        <v>0</v>
      </c>
      <c r="M61" s="149">
        <v>0</v>
      </c>
      <c r="N61" s="149">
        <v>439</v>
      </c>
      <c r="O61" s="149">
        <f t="shared" si="26"/>
        <v>439</v>
      </c>
      <c r="P61" s="149">
        <f t="shared" si="27"/>
        <v>439</v>
      </c>
      <c r="Q61" s="149">
        <v>0</v>
      </c>
      <c r="R61" s="149">
        <v>0</v>
      </c>
      <c r="S61" s="149">
        <v>0</v>
      </c>
      <c r="T61" s="149">
        <v>0</v>
      </c>
      <c r="U61" s="149">
        <v>0</v>
      </c>
      <c r="V61" s="149">
        <f t="shared" si="6"/>
        <v>0</v>
      </c>
      <c r="W61" s="149">
        <v>0</v>
      </c>
      <c r="X61" s="136">
        <f t="shared" si="4"/>
        <v>439</v>
      </c>
      <c r="Y61" s="149">
        <v>0</v>
      </c>
      <c r="Z61" s="136">
        <f t="shared" si="2"/>
        <v>663.5</v>
      </c>
      <c r="AA61" s="150">
        <v>449</v>
      </c>
      <c r="AB61" s="148" t="s">
        <v>7</v>
      </c>
      <c r="AC61" s="147" t="s">
        <v>1223</v>
      </c>
      <c r="AD61" s="147" t="s">
        <v>178</v>
      </c>
      <c r="AE61" s="147" t="s">
        <v>140</v>
      </c>
      <c r="AF61" s="147" t="s">
        <v>1204</v>
      </c>
    </row>
    <row r="62" spans="1:32" ht="25.15" customHeight="1" x14ac:dyDescent="0.2">
      <c r="A62" s="424"/>
      <c r="B62" s="421" t="s">
        <v>501</v>
      </c>
      <c r="C62" s="421"/>
      <c r="D62" s="143" t="s">
        <v>502</v>
      </c>
      <c r="E62" s="143" t="s">
        <v>48</v>
      </c>
      <c r="F62" s="144">
        <f>SUM(F63:F67)</f>
        <v>0</v>
      </c>
      <c r="G62" s="144">
        <f>SUM(G63:G67)</f>
        <v>7</v>
      </c>
      <c r="H62" s="143" t="s">
        <v>48</v>
      </c>
      <c r="I62" s="144">
        <f>SUM(I63:I67)</f>
        <v>0</v>
      </c>
      <c r="J62" s="144">
        <f t="shared" ref="J62:N62" si="28">SUM(J63:J67)</f>
        <v>7</v>
      </c>
      <c r="K62" s="144">
        <f t="shared" si="28"/>
        <v>0</v>
      </c>
      <c r="L62" s="144">
        <f t="shared" si="28"/>
        <v>0</v>
      </c>
      <c r="M62" s="144">
        <f t="shared" si="28"/>
        <v>0</v>
      </c>
      <c r="N62" s="144">
        <f t="shared" si="28"/>
        <v>0</v>
      </c>
      <c r="O62" s="144">
        <f>I62+K62+M62+L62+N62</f>
        <v>0</v>
      </c>
      <c r="P62" s="144">
        <f>J62+K62+L62+N62+M62</f>
        <v>7</v>
      </c>
      <c r="Q62" s="144">
        <f>SUM(Q63:Q67)</f>
        <v>0</v>
      </c>
      <c r="R62" s="144">
        <f>SUM(R63:R67)</f>
        <v>0</v>
      </c>
      <c r="S62" s="144">
        <f>SUM(S63:S67)</f>
        <v>0</v>
      </c>
      <c r="T62" s="144">
        <f>SUM(T63:T67)</f>
        <v>0</v>
      </c>
      <c r="U62" s="144">
        <f>SUM(U63:U67)</f>
        <v>0</v>
      </c>
      <c r="V62" s="152">
        <f t="shared" si="6"/>
        <v>0</v>
      </c>
      <c r="W62" s="144">
        <f>SUM(W63:W67)</f>
        <v>0</v>
      </c>
      <c r="X62" s="145">
        <f t="shared" si="4"/>
        <v>0</v>
      </c>
      <c r="Y62" s="144">
        <f>SUM(Y63:Y67)</f>
        <v>0</v>
      </c>
      <c r="Z62" s="145">
        <f t="shared" si="2"/>
        <v>7</v>
      </c>
      <c r="AA62" s="142" t="s">
        <v>48</v>
      </c>
      <c r="AB62" s="143" t="s">
        <v>48</v>
      </c>
      <c r="AC62" s="143" t="s">
        <v>48</v>
      </c>
      <c r="AD62" s="143" t="s">
        <v>48</v>
      </c>
      <c r="AE62" s="143" t="s">
        <v>48</v>
      </c>
      <c r="AF62" s="143" t="s">
        <v>48</v>
      </c>
    </row>
    <row r="63" spans="1:32" ht="94.5" hidden="1" x14ac:dyDescent="0.2">
      <c r="A63" s="424"/>
      <c r="B63" s="146" t="s">
        <v>503</v>
      </c>
      <c r="C63" s="147" t="s">
        <v>504</v>
      </c>
      <c r="D63" s="148" t="s">
        <v>505</v>
      </c>
      <c r="E63" s="148" t="s">
        <v>69</v>
      </c>
      <c r="F63" s="149">
        <v>0</v>
      </c>
      <c r="G63" s="149">
        <v>0</v>
      </c>
      <c r="H63" s="148" t="s">
        <v>152</v>
      </c>
      <c r="I63" s="149">
        <v>0</v>
      </c>
      <c r="J63" s="149"/>
      <c r="K63" s="149">
        <v>0</v>
      </c>
      <c r="L63" s="149">
        <v>0</v>
      </c>
      <c r="M63" s="149">
        <v>0</v>
      </c>
      <c r="N63" s="149">
        <v>0</v>
      </c>
      <c r="O63" s="149">
        <f t="shared" ref="O63:O66" si="29">SUM(I63:N63)</f>
        <v>0</v>
      </c>
      <c r="P63" s="149"/>
      <c r="Q63" s="149">
        <v>0</v>
      </c>
      <c r="R63" s="149">
        <v>0</v>
      </c>
      <c r="S63" s="149">
        <v>0</v>
      </c>
      <c r="T63" s="149">
        <v>0</v>
      </c>
      <c r="U63" s="149">
        <v>0</v>
      </c>
      <c r="V63" s="149">
        <f t="shared" si="6"/>
        <v>0</v>
      </c>
      <c r="W63" s="149">
        <v>0</v>
      </c>
      <c r="X63" s="136">
        <f t="shared" si="4"/>
        <v>0</v>
      </c>
      <c r="Y63" s="149">
        <v>0</v>
      </c>
      <c r="Z63" s="136">
        <f t="shared" si="2"/>
        <v>0</v>
      </c>
      <c r="AA63" s="150">
        <v>1800</v>
      </c>
      <c r="AB63" s="148" t="s">
        <v>7</v>
      </c>
      <c r="AC63" s="147" t="s">
        <v>18</v>
      </c>
      <c r="AD63" s="147" t="s">
        <v>507</v>
      </c>
      <c r="AE63" s="156" t="s">
        <v>1224</v>
      </c>
      <c r="AF63" s="147" t="s">
        <v>158</v>
      </c>
    </row>
    <row r="64" spans="1:32" ht="94.5" hidden="1" x14ac:dyDescent="0.2">
      <c r="A64" s="424"/>
      <c r="B64" s="146" t="s">
        <v>508</v>
      </c>
      <c r="C64" s="147" t="s">
        <v>291</v>
      </c>
      <c r="D64" s="148" t="s">
        <v>505</v>
      </c>
      <c r="E64" s="148" t="s">
        <v>69</v>
      </c>
      <c r="F64" s="149">
        <v>0</v>
      </c>
      <c r="G64" s="149">
        <v>0</v>
      </c>
      <c r="H64" s="148" t="s">
        <v>152</v>
      </c>
      <c r="I64" s="149">
        <v>0</v>
      </c>
      <c r="J64" s="149"/>
      <c r="K64" s="149">
        <v>0</v>
      </c>
      <c r="L64" s="149">
        <v>0</v>
      </c>
      <c r="M64" s="149">
        <v>0</v>
      </c>
      <c r="N64" s="149">
        <v>0</v>
      </c>
      <c r="O64" s="149">
        <f t="shared" si="29"/>
        <v>0</v>
      </c>
      <c r="P64" s="149"/>
      <c r="Q64" s="149">
        <v>0</v>
      </c>
      <c r="R64" s="149">
        <v>0</v>
      </c>
      <c r="S64" s="149">
        <v>0</v>
      </c>
      <c r="T64" s="149">
        <v>0</v>
      </c>
      <c r="U64" s="149">
        <v>0</v>
      </c>
      <c r="V64" s="149">
        <f t="shared" si="6"/>
        <v>0</v>
      </c>
      <c r="W64" s="149">
        <v>0</v>
      </c>
      <c r="X64" s="136">
        <f t="shared" si="4"/>
        <v>0</v>
      </c>
      <c r="Y64" s="149">
        <v>0</v>
      </c>
      <c r="Z64" s="136">
        <f t="shared" si="2"/>
        <v>0</v>
      </c>
      <c r="AA64" s="150">
        <v>2400</v>
      </c>
      <c r="AB64" s="148" t="s">
        <v>7</v>
      </c>
      <c r="AC64" s="147" t="s">
        <v>18</v>
      </c>
      <c r="AD64" s="147" t="s">
        <v>507</v>
      </c>
      <c r="AE64" s="156" t="s">
        <v>1224</v>
      </c>
      <c r="AF64" s="147" t="s">
        <v>158</v>
      </c>
    </row>
    <row r="65" spans="1:32" ht="94.5" hidden="1" x14ac:dyDescent="0.2">
      <c r="A65" s="424"/>
      <c r="B65" s="146" t="s">
        <v>963</v>
      </c>
      <c r="C65" s="147" t="s">
        <v>289</v>
      </c>
      <c r="D65" s="148" t="s">
        <v>505</v>
      </c>
      <c r="E65" s="148" t="s">
        <v>69</v>
      </c>
      <c r="F65" s="149">
        <v>0</v>
      </c>
      <c r="G65" s="149">
        <v>0</v>
      </c>
      <c r="H65" s="148" t="s">
        <v>446</v>
      </c>
      <c r="I65" s="149">
        <v>0</v>
      </c>
      <c r="J65" s="149"/>
      <c r="K65" s="149">
        <v>0</v>
      </c>
      <c r="L65" s="149">
        <v>0</v>
      </c>
      <c r="M65" s="149">
        <v>0</v>
      </c>
      <c r="N65" s="149">
        <v>0</v>
      </c>
      <c r="O65" s="149">
        <f t="shared" si="29"/>
        <v>0</v>
      </c>
      <c r="P65" s="149"/>
      <c r="Q65" s="149">
        <v>0</v>
      </c>
      <c r="R65" s="149">
        <v>0</v>
      </c>
      <c r="S65" s="149">
        <v>0</v>
      </c>
      <c r="T65" s="149">
        <v>0</v>
      </c>
      <c r="U65" s="149">
        <v>0</v>
      </c>
      <c r="V65" s="149">
        <f t="shared" si="6"/>
        <v>0</v>
      </c>
      <c r="W65" s="149">
        <v>0</v>
      </c>
      <c r="X65" s="136">
        <f t="shared" si="4"/>
        <v>0</v>
      </c>
      <c r="Y65" s="149">
        <v>0</v>
      </c>
      <c r="Z65" s="136">
        <f t="shared" si="2"/>
        <v>0</v>
      </c>
      <c r="AA65" s="150">
        <v>1207.2</v>
      </c>
      <c r="AB65" s="148" t="s">
        <v>7</v>
      </c>
      <c r="AC65" s="147" t="s">
        <v>18</v>
      </c>
      <c r="AD65" s="147" t="s">
        <v>507</v>
      </c>
      <c r="AE65" s="156" t="s">
        <v>1224</v>
      </c>
      <c r="AF65" s="147" t="s">
        <v>158</v>
      </c>
    </row>
    <row r="66" spans="1:32" ht="94.5" hidden="1" x14ac:dyDescent="0.2">
      <c r="A66" s="424"/>
      <c r="B66" s="146" t="s">
        <v>509</v>
      </c>
      <c r="C66" s="147" t="s">
        <v>290</v>
      </c>
      <c r="D66" s="148" t="s">
        <v>505</v>
      </c>
      <c r="E66" s="148" t="s">
        <v>69</v>
      </c>
      <c r="F66" s="149">
        <v>0</v>
      </c>
      <c r="G66" s="149">
        <v>0</v>
      </c>
      <c r="H66" s="148" t="s">
        <v>152</v>
      </c>
      <c r="I66" s="149">
        <v>0</v>
      </c>
      <c r="J66" s="149"/>
      <c r="K66" s="149">
        <v>0</v>
      </c>
      <c r="L66" s="149">
        <v>0</v>
      </c>
      <c r="M66" s="149">
        <v>0</v>
      </c>
      <c r="N66" s="149">
        <v>0</v>
      </c>
      <c r="O66" s="149">
        <f t="shared" si="29"/>
        <v>0</v>
      </c>
      <c r="P66" s="149"/>
      <c r="Q66" s="149">
        <v>0</v>
      </c>
      <c r="R66" s="149">
        <v>0</v>
      </c>
      <c r="S66" s="149">
        <v>0</v>
      </c>
      <c r="T66" s="149">
        <v>0</v>
      </c>
      <c r="U66" s="149">
        <v>0</v>
      </c>
      <c r="V66" s="149">
        <f t="shared" si="6"/>
        <v>0</v>
      </c>
      <c r="W66" s="149">
        <v>0</v>
      </c>
      <c r="X66" s="136">
        <f t="shared" si="4"/>
        <v>0</v>
      </c>
      <c r="Y66" s="149">
        <v>0</v>
      </c>
      <c r="Z66" s="136">
        <f t="shared" si="2"/>
        <v>0</v>
      </c>
      <c r="AA66" s="150">
        <v>1200</v>
      </c>
      <c r="AB66" s="148" t="s">
        <v>7</v>
      </c>
      <c r="AC66" s="147" t="s">
        <v>18</v>
      </c>
      <c r="AD66" s="147" t="s">
        <v>288</v>
      </c>
      <c r="AE66" s="156" t="s">
        <v>1225</v>
      </c>
      <c r="AF66" s="147" t="s">
        <v>158</v>
      </c>
    </row>
    <row r="67" spans="1:32" ht="145.15" customHeight="1" x14ac:dyDescent="0.2">
      <c r="A67" s="424"/>
      <c r="B67" s="146" t="s">
        <v>511</v>
      </c>
      <c r="C67" s="147" t="s">
        <v>512</v>
      </c>
      <c r="D67" s="148" t="s">
        <v>513</v>
      </c>
      <c r="E67" s="148" t="s">
        <v>7</v>
      </c>
      <c r="F67" s="149">
        <v>0</v>
      </c>
      <c r="G67" s="149">
        <v>7</v>
      </c>
      <c r="H67" s="148" t="s">
        <v>152</v>
      </c>
      <c r="I67" s="149">
        <v>0</v>
      </c>
      <c r="J67" s="149">
        <v>7</v>
      </c>
      <c r="K67" s="149">
        <v>0</v>
      </c>
      <c r="L67" s="149">
        <v>0</v>
      </c>
      <c r="M67" s="149">
        <v>0</v>
      </c>
      <c r="N67" s="149">
        <v>0</v>
      </c>
      <c r="O67" s="149">
        <f t="shared" ref="O67" si="30">I67+K67+L67+M67+N67</f>
        <v>0</v>
      </c>
      <c r="P67" s="149">
        <f t="shared" ref="P67" si="31">J67+K67+L67+M67+N67</f>
        <v>7</v>
      </c>
      <c r="Q67" s="149">
        <v>0</v>
      </c>
      <c r="R67" s="149">
        <v>0</v>
      </c>
      <c r="S67" s="149">
        <v>0</v>
      </c>
      <c r="T67" s="149">
        <v>0</v>
      </c>
      <c r="U67" s="149">
        <v>0</v>
      </c>
      <c r="V67" s="149">
        <f t="shared" si="6"/>
        <v>0</v>
      </c>
      <c r="W67" s="149">
        <v>0</v>
      </c>
      <c r="X67" s="136">
        <f t="shared" si="4"/>
        <v>0</v>
      </c>
      <c r="Y67" s="149">
        <v>0</v>
      </c>
      <c r="Z67" s="136">
        <f t="shared" si="2"/>
        <v>7</v>
      </c>
      <c r="AA67" s="150">
        <v>252</v>
      </c>
      <c r="AB67" s="148" t="s">
        <v>81</v>
      </c>
      <c r="AC67" s="147" t="s">
        <v>1226</v>
      </c>
      <c r="AD67" s="147" t="s">
        <v>515</v>
      </c>
      <c r="AE67" s="147" t="s">
        <v>158</v>
      </c>
      <c r="AF67" s="147" t="s">
        <v>1227</v>
      </c>
    </row>
    <row r="68" spans="1:32" ht="25.15" customHeight="1" x14ac:dyDescent="0.2">
      <c r="A68" s="422"/>
      <c r="B68" s="423" t="s">
        <v>966</v>
      </c>
      <c r="C68" s="423"/>
      <c r="D68" s="158" t="s">
        <v>517</v>
      </c>
      <c r="E68" s="158" t="s">
        <v>48</v>
      </c>
      <c r="F68" s="159">
        <f>F69+F98+F101</f>
        <v>15235.77</v>
      </c>
      <c r="G68" s="159">
        <f>G69+G98+G101</f>
        <v>16389.666000000001</v>
      </c>
      <c r="H68" s="158" t="s">
        <v>48</v>
      </c>
      <c r="I68" s="159">
        <f>I69+I98+I101</f>
        <v>568.26899999999989</v>
      </c>
      <c r="J68" s="159">
        <f t="shared" ref="J68:N68" si="32">J69+J98+J101</f>
        <v>1780.8319999999999</v>
      </c>
      <c r="K68" s="159">
        <f t="shared" si="32"/>
        <v>1491.297</v>
      </c>
      <c r="L68" s="159">
        <f t="shared" si="32"/>
        <v>0</v>
      </c>
      <c r="M68" s="159">
        <f t="shared" si="32"/>
        <v>0</v>
      </c>
      <c r="N68" s="159">
        <f t="shared" si="32"/>
        <v>0</v>
      </c>
      <c r="O68" s="159">
        <f>I68+K68+L68+M68+N68</f>
        <v>2059.5659999999998</v>
      </c>
      <c r="P68" s="159">
        <f>J68+K68+L68+M68+N68</f>
        <v>3272.1289999999999</v>
      </c>
      <c r="Q68" s="159">
        <f>Q69+Q98+Q101</f>
        <v>4551.1899999999996</v>
      </c>
      <c r="R68" s="159">
        <f>R69+R98+R101</f>
        <v>1423.42</v>
      </c>
      <c r="S68" s="159">
        <f>S69+S98+S101</f>
        <v>0</v>
      </c>
      <c r="T68" s="159">
        <f>T69+T98+T101</f>
        <v>0</v>
      </c>
      <c r="U68" s="159">
        <f>U69+U98+U101</f>
        <v>0</v>
      </c>
      <c r="V68" s="159">
        <f t="shared" si="6"/>
        <v>5974.61</v>
      </c>
      <c r="W68" s="159">
        <f>W69+W98+W101</f>
        <v>9946.1899999999987</v>
      </c>
      <c r="X68" s="160">
        <f t="shared" si="4"/>
        <v>17980.365999999998</v>
      </c>
      <c r="Y68" s="159">
        <f>Y69+Y98+Y101</f>
        <v>9643.0299999999988</v>
      </c>
      <c r="Z68" s="160">
        <f t="shared" si="2"/>
        <v>59248.831999999995</v>
      </c>
      <c r="AA68" s="157" t="s">
        <v>48</v>
      </c>
      <c r="AB68" s="158" t="s">
        <v>48</v>
      </c>
      <c r="AC68" s="158" t="s">
        <v>48</v>
      </c>
      <c r="AD68" s="158" t="s">
        <v>48</v>
      </c>
      <c r="AE68" s="158" t="s">
        <v>48</v>
      </c>
      <c r="AF68" s="158" t="s">
        <v>48</v>
      </c>
    </row>
    <row r="69" spans="1:32" ht="25.15" customHeight="1" x14ac:dyDescent="0.2">
      <c r="A69" s="422"/>
      <c r="B69" s="421" t="s">
        <v>967</v>
      </c>
      <c r="C69" s="421"/>
      <c r="D69" s="143" t="s">
        <v>519</v>
      </c>
      <c r="E69" s="143" t="s">
        <v>48</v>
      </c>
      <c r="F69" s="144">
        <f>SUM(F70:F95)</f>
        <v>15235.77</v>
      </c>
      <c r="G69" s="144">
        <f>SUM(G70:G95)</f>
        <v>16365.466</v>
      </c>
      <c r="H69" s="143" t="s">
        <v>48</v>
      </c>
      <c r="I69" s="144">
        <f>SUM(I70:I97)</f>
        <v>551.01</v>
      </c>
      <c r="J69" s="144">
        <f t="shared" ref="J69:N69" si="33">SUM(J70:J97)</f>
        <v>1693.454</v>
      </c>
      <c r="K69" s="144">
        <f t="shared" si="33"/>
        <v>1491.297</v>
      </c>
      <c r="L69" s="144">
        <f t="shared" si="33"/>
        <v>0</v>
      </c>
      <c r="M69" s="144">
        <f t="shared" si="33"/>
        <v>0</v>
      </c>
      <c r="N69" s="144">
        <f t="shared" si="33"/>
        <v>0</v>
      </c>
      <c r="O69" s="144">
        <f>I69+K69+M69+L69+N69</f>
        <v>2042.307</v>
      </c>
      <c r="P69" s="144">
        <f>J69+K69+L69+N69+M69</f>
        <v>3184.7510000000002</v>
      </c>
      <c r="Q69" s="144">
        <f>SUM(Q70:Q95)</f>
        <v>4551.1899999999996</v>
      </c>
      <c r="R69" s="144">
        <f>SUM(R70:R95)</f>
        <v>1423.42</v>
      </c>
      <c r="S69" s="144">
        <f>SUM(S70:S95)</f>
        <v>0</v>
      </c>
      <c r="T69" s="144">
        <f>SUM(T70:T95)</f>
        <v>0</v>
      </c>
      <c r="U69" s="144">
        <f>SUM(U70:U95)</f>
        <v>0</v>
      </c>
      <c r="V69" s="152">
        <f t="shared" si="6"/>
        <v>5974.61</v>
      </c>
      <c r="W69" s="144">
        <f>SUM(W70:W95)</f>
        <v>9946.1899999999987</v>
      </c>
      <c r="X69" s="145">
        <f t="shared" si="4"/>
        <v>17963.106999999996</v>
      </c>
      <c r="Y69" s="144">
        <f>SUM(Y70:Y95)</f>
        <v>9643.0299999999988</v>
      </c>
      <c r="Z69" s="145">
        <f t="shared" si="2"/>
        <v>59207.372999999992</v>
      </c>
      <c r="AA69" s="142" t="s">
        <v>48</v>
      </c>
      <c r="AB69" s="143" t="s">
        <v>48</v>
      </c>
      <c r="AC69" s="143" t="s">
        <v>48</v>
      </c>
      <c r="AD69" s="143" t="s">
        <v>48</v>
      </c>
      <c r="AE69" s="143" t="s">
        <v>48</v>
      </c>
      <c r="AF69" s="143" t="s">
        <v>48</v>
      </c>
    </row>
    <row r="70" spans="1:32" ht="178.15" customHeight="1" x14ac:dyDescent="0.2">
      <c r="A70" s="422"/>
      <c r="B70" s="161" t="s">
        <v>92</v>
      </c>
      <c r="C70" s="147" t="s">
        <v>520</v>
      </c>
      <c r="D70" s="148" t="s">
        <v>521</v>
      </c>
      <c r="E70" s="148" t="s">
        <v>7</v>
      </c>
      <c r="F70" s="149">
        <v>1403.72</v>
      </c>
      <c r="G70" s="149">
        <v>927.38</v>
      </c>
      <c r="H70" s="148" t="s">
        <v>46</v>
      </c>
      <c r="I70" s="149">
        <v>113.27</v>
      </c>
      <c r="J70" s="149">
        <v>113.27</v>
      </c>
      <c r="K70" s="149">
        <v>1019.45</v>
      </c>
      <c r="L70" s="149">
        <v>0</v>
      </c>
      <c r="M70" s="149">
        <v>0</v>
      </c>
      <c r="N70" s="149">
        <v>0</v>
      </c>
      <c r="O70" s="149">
        <f>I70+K70+L70+M70+N70</f>
        <v>1132.72</v>
      </c>
      <c r="P70" s="149">
        <f>J70+K70+L70+M70+N70</f>
        <v>1132.72</v>
      </c>
      <c r="Q70" s="149">
        <v>158.16</v>
      </c>
      <c r="R70" s="149">
        <v>1423.42</v>
      </c>
      <c r="S70" s="149">
        <v>0</v>
      </c>
      <c r="T70" s="149">
        <v>0</v>
      </c>
      <c r="U70" s="149">
        <v>0</v>
      </c>
      <c r="V70" s="149">
        <f t="shared" si="6"/>
        <v>1581.5800000000002</v>
      </c>
      <c r="W70" s="149">
        <v>3053.16</v>
      </c>
      <c r="X70" s="136">
        <f>P70+V70+W70</f>
        <v>5767.46</v>
      </c>
      <c r="Y70" s="149">
        <v>0</v>
      </c>
      <c r="Z70" s="136">
        <f t="shared" si="2"/>
        <v>8098.56</v>
      </c>
      <c r="AA70" s="150">
        <f>Z70</f>
        <v>8098.56</v>
      </c>
      <c r="AB70" s="148" t="s">
        <v>69</v>
      </c>
      <c r="AC70" s="147" t="s">
        <v>1228</v>
      </c>
      <c r="AD70" s="147" t="s">
        <v>523</v>
      </c>
      <c r="AE70" s="147" t="s">
        <v>49</v>
      </c>
      <c r="AF70" s="147" t="s">
        <v>1229</v>
      </c>
    </row>
    <row r="71" spans="1:32" ht="69" hidden="1" customHeight="1" x14ac:dyDescent="0.2">
      <c r="A71" s="422"/>
      <c r="B71" s="161" t="s">
        <v>93</v>
      </c>
      <c r="C71" s="147" t="s">
        <v>525</v>
      </c>
      <c r="D71" s="148" t="s">
        <v>521</v>
      </c>
      <c r="E71" s="148" t="s">
        <v>7</v>
      </c>
      <c r="F71" s="149">
        <v>0</v>
      </c>
      <c r="G71" s="149">
        <v>0</v>
      </c>
      <c r="H71" s="148" t="s">
        <v>46</v>
      </c>
      <c r="I71" s="149">
        <v>0</v>
      </c>
      <c r="J71" s="149"/>
      <c r="K71" s="149">
        <v>0</v>
      </c>
      <c r="L71" s="149">
        <v>0</v>
      </c>
      <c r="M71" s="149">
        <v>0</v>
      </c>
      <c r="N71" s="149">
        <v>0</v>
      </c>
      <c r="O71" s="149">
        <f t="shared" ref="O71:O95" si="34">SUM(I71:N71)</f>
        <v>0</v>
      </c>
      <c r="P71" s="149"/>
      <c r="Q71" s="149">
        <v>0</v>
      </c>
      <c r="R71" s="149">
        <v>0</v>
      </c>
      <c r="S71" s="149">
        <v>0</v>
      </c>
      <c r="T71" s="149">
        <v>0</v>
      </c>
      <c r="U71" s="149">
        <v>0</v>
      </c>
      <c r="V71" s="149">
        <f t="shared" si="6"/>
        <v>0</v>
      </c>
      <c r="W71" s="149">
        <v>0</v>
      </c>
      <c r="X71" s="136">
        <f t="shared" si="4"/>
        <v>0</v>
      </c>
      <c r="Y71" s="149">
        <v>0</v>
      </c>
      <c r="Z71" s="136">
        <f t="shared" si="2"/>
        <v>0</v>
      </c>
      <c r="AA71" s="150">
        <v>4800</v>
      </c>
      <c r="AB71" s="148" t="s">
        <v>81</v>
      </c>
      <c r="AC71" s="147" t="s">
        <v>970</v>
      </c>
      <c r="AD71" s="147" t="s">
        <v>523</v>
      </c>
      <c r="AE71" s="156" t="s">
        <v>1230</v>
      </c>
      <c r="AF71" s="147" t="s">
        <v>189</v>
      </c>
    </row>
    <row r="72" spans="1:32" ht="82.9" hidden="1" customHeight="1" x14ac:dyDescent="0.2">
      <c r="A72" s="422"/>
      <c r="B72" s="161" t="s">
        <v>94</v>
      </c>
      <c r="C72" s="147" t="s">
        <v>528</v>
      </c>
      <c r="D72" s="148" t="s">
        <v>521</v>
      </c>
      <c r="E72" s="148" t="s">
        <v>69</v>
      </c>
      <c r="F72" s="149">
        <v>0</v>
      </c>
      <c r="G72" s="149">
        <v>0</v>
      </c>
      <c r="H72" s="148" t="s">
        <v>46</v>
      </c>
      <c r="I72" s="149">
        <v>0</v>
      </c>
      <c r="J72" s="149"/>
      <c r="K72" s="149">
        <v>0</v>
      </c>
      <c r="L72" s="149">
        <v>0</v>
      </c>
      <c r="M72" s="149">
        <v>0</v>
      </c>
      <c r="N72" s="149">
        <v>0</v>
      </c>
      <c r="O72" s="149">
        <f t="shared" si="34"/>
        <v>0</v>
      </c>
      <c r="P72" s="149"/>
      <c r="Q72" s="149">
        <v>0</v>
      </c>
      <c r="R72" s="149">
        <v>0</v>
      </c>
      <c r="S72" s="149">
        <v>0</v>
      </c>
      <c r="T72" s="149">
        <v>0</v>
      </c>
      <c r="U72" s="149">
        <v>0</v>
      </c>
      <c r="V72" s="149">
        <f t="shared" si="6"/>
        <v>0</v>
      </c>
      <c r="W72" s="149">
        <v>0</v>
      </c>
      <c r="X72" s="136">
        <f t="shared" si="4"/>
        <v>0</v>
      </c>
      <c r="Y72" s="149">
        <v>0</v>
      </c>
      <c r="Z72" s="136">
        <f t="shared" ref="Z72:Z126" si="35">Y72+X72+G72+F72</f>
        <v>0</v>
      </c>
      <c r="AA72" s="150">
        <v>4800</v>
      </c>
      <c r="AB72" s="148" t="s">
        <v>69</v>
      </c>
      <c r="AC72" s="147" t="s">
        <v>971</v>
      </c>
      <c r="AD72" s="147" t="s">
        <v>523</v>
      </c>
      <c r="AE72" s="156" t="s">
        <v>1230</v>
      </c>
      <c r="AF72" s="147" t="s">
        <v>972</v>
      </c>
    </row>
    <row r="73" spans="1:32" ht="138.6" customHeight="1" x14ac:dyDescent="0.2">
      <c r="A73" s="422"/>
      <c r="B73" s="161" t="s">
        <v>95</v>
      </c>
      <c r="C73" s="147" t="s">
        <v>531</v>
      </c>
      <c r="D73" s="148" t="s">
        <v>521</v>
      </c>
      <c r="E73" s="148" t="s">
        <v>69</v>
      </c>
      <c r="F73" s="149">
        <v>0</v>
      </c>
      <c r="G73" s="149">
        <v>0</v>
      </c>
      <c r="H73" s="148" t="s">
        <v>46</v>
      </c>
      <c r="I73" s="149">
        <v>0</v>
      </c>
      <c r="J73" s="149">
        <v>0</v>
      </c>
      <c r="K73" s="149">
        <v>0</v>
      </c>
      <c r="L73" s="149">
        <v>0</v>
      </c>
      <c r="M73" s="149">
        <v>0</v>
      </c>
      <c r="N73" s="149">
        <v>0</v>
      </c>
      <c r="O73" s="149">
        <f>I73+K73+L73+M73+N73</f>
        <v>0</v>
      </c>
      <c r="P73" s="149">
        <f t="shared" ref="P73" si="36">J73+K73+L73+M73+N73</f>
        <v>0</v>
      </c>
      <c r="Q73" s="149">
        <v>0</v>
      </c>
      <c r="R73" s="149">
        <v>0</v>
      </c>
      <c r="S73" s="149">
        <v>0</v>
      </c>
      <c r="T73" s="149">
        <v>0</v>
      </c>
      <c r="U73" s="149">
        <v>0</v>
      </c>
      <c r="V73" s="149">
        <f t="shared" si="6"/>
        <v>0</v>
      </c>
      <c r="W73" s="149">
        <v>500</v>
      </c>
      <c r="X73" s="136">
        <f t="shared" si="4"/>
        <v>500</v>
      </c>
      <c r="Y73" s="149">
        <v>4250</v>
      </c>
      <c r="Z73" s="136">
        <f t="shared" si="35"/>
        <v>4750</v>
      </c>
      <c r="AA73" s="150">
        <v>4800</v>
      </c>
      <c r="AB73" s="148" t="s">
        <v>69</v>
      </c>
      <c r="AC73" s="147" t="s">
        <v>971</v>
      </c>
      <c r="AD73" s="147" t="s">
        <v>523</v>
      </c>
      <c r="AE73" s="147" t="s">
        <v>206</v>
      </c>
      <c r="AF73" s="147" t="s">
        <v>1231</v>
      </c>
    </row>
    <row r="74" spans="1:32" ht="44.45" hidden="1" customHeight="1" x14ac:dyDescent="0.2">
      <c r="A74" s="422"/>
      <c r="B74" s="161" t="s">
        <v>96</v>
      </c>
      <c r="C74" s="147" t="s">
        <v>974</v>
      </c>
      <c r="D74" s="148" t="s">
        <v>521</v>
      </c>
      <c r="E74" s="148" t="s">
        <v>69</v>
      </c>
      <c r="F74" s="149">
        <v>0</v>
      </c>
      <c r="G74" s="149">
        <v>0</v>
      </c>
      <c r="H74" s="148" t="s">
        <v>446</v>
      </c>
      <c r="I74" s="149">
        <v>0</v>
      </c>
      <c r="J74" s="149"/>
      <c r="K74" s="149">
        <v>0</v>
      </c>
      <c r="L74" s="149">
        <v>0</v>
      </c>
      <c r="M74" s="149">
        <v>0</v>
      </c>
      <c r="N74" s="149">
        <v>0</v>
      </c>
      <c r="O74" s="149">
        <f t="shared" si="34"/>
        <v>0</v>
      </c>
      <c r="P74" s="149"/>
      <c r="Q74" s="149">
        <v>0</v>
      </c>
      <c r="R74" s="149">
        <v>0</v>
      </c>
      <c r="S74" s="149">
        <v>0</v>
      </c>
      <c r="T74" s="149">
        <v>0</v>
      </c>
      <c r="U74" s="149">
        <v>0</v>
      </c>
      <c r="V74" s="149">
        <f t="shared" si="6"/>
        <v>0</v>
      </c>
      <c r="W74" s="149">
        <v>0</v>
      </c>
      <c r="X74" s="136">
        <f t="shared" si="4"/>
        <v>0</v>
      </c>
      <c r="Y74" s="149">
        <v>0</v>
      </c>
      <c r="Z74" s="136">
        <f t="shared" si="35"/>
        <v>0</v>
      </c>
      <c r="AA74" s="150">
        <v>4800</v>
      </c>
      <c r="AB74" s="148" t="s">
        <v>69</v>
      </c>
      <c r="AC74" s="147" t="s">
        <v>971</v>
      </c>
      <c r="AD74" s="147" t="s">
        <v>523</v>
      </c>
      <c r="AE74" s="156" t="s">
        <v>1230</v>
      </c>
      <c r="AF74" s="147" t="s">
        <v>192</v>
      </c>
    </row>
    <row r="75" spans="1:32" ht="51.6" hidden="1" customHeight="1" x14ac:dyDescent="0.2">
      <c r="A75" s="422"/>
      <c r="B75" s="161" t="s">
        <v>97</v>
      </c>
      <c r="C75" s="147" t="s">
        <v>975</v>
      </c>
      <c r="D75" s="148" t="s">
        <v>521</v>
      </c>
      <c r="E75" s="148" t="s">
        <v>69</v>
      </c>
      <c r="F75" s="149">
        <v>0</v>
      </c>
      <c r="G75" s="149">
        <v>0</v>
      </c>
      <c r="H75" s="148" t="s">
        <v>446</v>
      </c>
      <c r="I75" s="149">
        <v>0</v>
      </c>
      <c r="J75" s="149"/>
      <c r="K75" s="149">
        <v>0</v>
      </c>
      <c r="L75" s="149">
        <v>0</v>
      </c>
      <c r="M75" s="149">
        <v>0</v>
      </c>
      <c r="N75" s="149">
        <v>0</v>
      </c>
      <c r="O75" s="149">
        <f t="shared" si="34"/>
        <v>0</v>
      </c>
      <c r="P75" s="149"/>
      <c r="Q75" s="149">
        <v>0</v>
      </c>
      <c r="R75" s="149">
        <v>0</v>
      </c>
      <c r="S75" s="149">
        <v>0</v>
      </c>
      <c r="T75" s="149">
        <v>0</v>
      </c>
      <c r="U75" s="149">
        <v>0</v>
      </c>
      <c r="V75" s="149">
        <f t="shared" si="6"/>
        <v>0</v>
      </c>
      <c r="W75" s="149">
        <v>0</v>
      </c>
      <c r="X75" s="136">
        <f t="shared" si="4"/>
        <v>0</v>
      </c>
      <c r="Y75" s="149">
        <v>0</v>
      </c>
      <c r="Z75" s="136">
        <f t="shared" si="35"/>
        <v>0</v>
      </c>
      <c r="AA75" s="150">
        <v>4800</v>
      </c>
      <c r="AB75" s="148" t="s">
        <v>69</v>
      </c>
      <c r="AC75" s="147" t="s">
        <v>971</v>
      </c>
      <c r="AD75" s="147" t="s">
        <v>523</v>
      </c>
      <c r="AE75" s="156" t="s">
        <v>1230</v>
      </c>
      <c r="AF75" s="147" t="s">
        <v>193</v>
      </c>
    </row>
    <row r="76" spans="1:32" ht="67.900000000000006" hidden="1" customHeight="1" x14ac:dyDescent="0.2">
      <c r="A76" s="422"/>
      <c r="B76" s="161" t="s">
        <v>98</v>
      </c>
      <c r="C76" s="147" t="s">
        <v>976</v>
      </c>
      <c r="D76" s="148" t="s">
        <v>521</v>
      </c>
      <c r="E76" s="148" t="s">
        <v>69</v>
      </c>
      <c r="F76" s="149">
        <v>0</v>
      </c>
      <c r="G76" s="149">
        <v>0</v>
      </c>
      <c r="H76" s="148" t="s">
        <v>446</v>
      </c>
      <c r="I76" s="149">
        <v>0</v>
      </c>
      <c r="J76" s="149"/>
      <c r="K76" s="149">
        <v>0</v>
      </c>
      <c r="L76" s="149">
        <v>0</v>
      </c>
      <c r="M76" s="149">
        <v>0</v>
      </c>
      <c r="N76" s="149">
        <v>0</v>
      </c>
      <c r="O76" s="149">
        <f t="shared" si="34"/>
        <v>0</v>
      </c>
      <c r="P76" s="149"/>
      <c r="Q76" s="149">
        <v>0</v>
      </c>
      <c r="R76" s="149">
        <v>0</v>
      </c>
      <c r="S76" s="149">
        <v>0</v>
      </c>
      <c r="T76" s="149">
        <v>0</v>
      </c>
      <c r="U76" s="149">
        <v>0</v>
      </c>
      <c r="V76" s="149">
        <f t="shared" si="6"/>
        <v>0</v>
      </c>
      <c r="W76" s="149">
        <v>0</v>
      </c>
      <c r="X76" s="136">
        <f t="shared" si="4"/>
        <v>0</v>
      </c>
      <c r="Y76" s="149">
        <v>0</v>
      </c>
      <c r="Z76" s="136">
        <f t="shared" si="35"/>
        <v>0</v>
      </c>
      <c r="AA76" s="150">
        <v>4800</v>
      </c>
      <c r="AB76" s="148" t="s">
        <v>69</v>
      </c>
      <c r="AC76" s="147" t="s">
        <v>971</v>
      </c>
      <c r="AD76" s="147" t="s">
        <v>523</v>
      </c>
      <c r="AE76" s="156" t="s">
        <v>1230</v>
      </c>
      <c r="AF76" s="147" t="s">
        <v>194</v>
      </c>
    </row>
    <row r="77" spans="1:32" ht="48.6" hidden="1" customHeight="1" x14ac:dyDescent="0.2">
      <c r="A77" s="422"/>
      <c r="B77" s="161" t="s">
        <v>99</v>
      </c>
      <c r="C77" s="147" t="s">
        <v>977</v>
      </c>
      <c r="D77" s="148" t="s">
        <v>521</v>
      </c>
      <c r="E77" s="148" t="s">
        <v>69</v>
      </c>
      <c r="F77" s="149">
        <v>0</v>
      </c>
      <c r="G77" s="149">
        <v>0</v>
      </c>
      <c r="H77" s="148" t="s">
        <v>446</v>
      </c>
      <c r="I77" s="149">
        <v>0</v>
      </c>
      <c r="J77" s="149"/>
      <c r="K77" s="149">
        <v>0</v>
      </c>
      <c r="L77" s="149">
        <v>0</v>
      </c>
      <c r="M77" s="149">
        <v>0</v>
      </c>
      <c r="N77" s="149">
        <v>0</v>
      </c>
      <c r="O77" s="149">
        <f t="shared" si="34"/>
        <v>0</v>
      </c>
      <c r="P77" s="149"/>
      <c r="Q77" s="149">
        <v>0</v>
      </c>
      <c r="R77" s="149">
        <v>0</v>
      </c>
      <c r="S77" s="149">
        <v>0</v>
      </c>
      <c r="T77" s="149">
        <v>0</v>
      </c>
      <c r="U77" s="149">
        <v>0</v>
      </c>
      <c r="V77" s="149">
        <f t="shared" si="6"/>
        <v>0</v>
      </c>
      <c r="W77" s="149">
        <v>0</v>
      </c>
      <c r="X77" s="136">
        <f t="shared" si="4"/>
        <v>0</v>
      </c>
      <c r="Y77" s="149">
        <v>0</v>
      </c>
      <c r="Z77" s="136">
        <f t="shared" si="35"/>
        <v>0</v>
      </c>
      <c r="AA77" s="150">
        <v>2400</v>
      </c>
      <c r="AB77" s="148" t="s">
        <v>69</v>
      </c>
      <c r="AC77" s="147" t="s">
        <v>971</v>
      </c>
      <c r="AD77" s="147" t="s">
        <v>523</v>
      </c>
      <c r="AE77" s="156" t="s">
        <v>1230</v>
      </c>
      <c r="AF77" s="147" t="s">
        <v>195</v>
      </c>
    </row>
    <row r="78" spans="1:32" ht="55.9" hidden="1" customHeight="1" x14ac:dyDescent="0.2">
      <c r="A78" s="422"/>
      <c r="B78" s="161" t="s">
        <v>100</v>
      </c>
      <c r="C78" s="147" t="s">
        <v>978</v>
      </c>
      <c r="D78" s="148" t="s">
        <v>521</v>
      </c>
      <c r="E78" s="148" t="s">
        <v>69</v>
      </c>
      <c r="F78" s="149">
        <v>0</v>
      </c>
      <c r="G78" s="149">
        <v>0</v>
      </c>
      <c r="H78" s="148" t="s">
        <v>446</v>
      </c>
      <c r="I78" s="149">
        <v>0</v>
      </c>
      <c r="J78" s="149"/>
      <c r="K78" s="149">
        <v>0</v>
      </c>
      <c r="L78" s="149">
        <v>0</v>
      </c>
      <c r="M78" s="149">
        <v>0</v>
      </c>
      <c r="N78" s="149">
        <v>0</v>
      </c>
      <c r="O78" s="149">
        <f>SUM(I78:N78)</f>
        <v>0</v>
      </c>
      <c r="P78" s="149"/>
      <c r="Q78" s="149">
        <v>0</v>
      </c>
      <c r="R78" s="149">
        <v>0</v>
      </c>
      <c r="S78" s="149">
        <v>0</v>
      </c>
      <c r="T78" s="149">
        <v>0</v>
      </c>
      <c r="U78" s="149">
        <v>0</v>
      </c>
      <c r="V78" s="149">
        <f t="shared" si="6"/>
        <v>0</v>
      </c>
      <c r="W78" s="149">
        <v>0</v>
      </c>
      <c r="X78" s="136">
        <f t="shared" si="4"/>
        <v>0</v>
      </c>
      <c r="Y78" s="149">
        <v>0</v>
      </c>
      <c r="Z78" s="136">
        <f t="shared" si="35"/>
        <v>0</v>
      </c>
      <c r="AA78" s="150">
        <v>4800</v>
      </c>
      <c r="AB78" s="148" t="s">
        <v>69</v>
      </c>
      <c r="AC78" s="147" t="s">
        <v>971</v>
      </c>
      <c r="AD78" s="147" t="s">
        <v>523</v>
      </c>
      <c r="AE78" s="156" t="s">
        <v>1230</v>
      </c>
      <c r="AF78" s="147" t="s">
        <v>196</v>
      </c>
    </row>
    <row r="79" spans="1:32" ht="69" hidden="1" customHeight="1" x14ac:dyDescent="0.2">
      <c r="A79" s="422"/>
      <c r="B79" s="161" t="s">
        <v>101</v>
      </c>
      <c r="C79" s="147" t="s">
        <v>269</v>
      </c>
      <c r="D79" s="148" t="s">
        <v>521</v>
      </c>
      <c r="E79" s="148" t="s">
        <v>69</v>
      </c>
      <c r="F79" s="149">
        <v>0</v>
      </c>
      <c r="G79" s="149">
        <v>0</v>
      </c>
      <c r="H79" s="148" t="s">
        <v>152</v>
      </c>
      <c r="I79" s="149">
        <v>0</v>
      </c>
      <c r="J79" s="149"/>
      <c r="K79" s="149">
        <v>0</v>
      </c>
      <c r="L79" s="149">
        <v>0</v>
      </c>
      <c r="M79" s="149">
        <v>0</v>
      </c>
      <c r="N79" s="149">
        <v>0</v>
      </c>
      <c r="O79" s="149">
        <f t="shared" si="34"/>
        <v>0</v>
      </c>
      <c r="P79" s="149"/>
      <c r="Q79" s="149">
        <v>0</v>
      </c>
      <c r="R79" s="149">
        <v>0</v>
      </c>
      <c r="S79" s="149">
        <v>0</v>
      </c>
      <c r="T79" s="149">
        <v>0</v>
      </c>
      <c r="U79" s="149">
        <v>0</v>
      </c>
      <c r="V79" s="149">
        <f t="shared" si="6"/>
        <v>0</v>
      </c>
      <c r="W79" s="149">
        <v>0</v>
      </c>
      <c r="X79" s="136">
        <f t="shared" ref="X79:X147" si="37">O79+V79+W79</f>
        <v>0</v>
      </c>
      <c r="Y79" s="149">
        <v>0</v>
      </c>
      <c r="Z79" s="136">
        <f t="shared" si="35"/>
        <v>0</v>
      </c>
      <c r="AA79" s="150">
        <v>4800</v>
      </c>
      <c r="AB79" s="148" t="s">
        <v>69</v>
      </c>
      <c r="AC79" s="147" t="s">
        <v>1232</v>
      </c>
      <c r="AD79" s="147" t="s">
        <v>523</v>
      </c>
      <c r="AE79" s="147" t="s">
        <v>206</v>
      </c>
      <c r="AF79" s="147" t="s">
        <v>197</v>
      </c>
    </row>
    <row r="80" spans="1:32" ht="126.6" customHeight="1" x14ac:dyDescent="0.2">
      <c r="A80" s="422"/>
      <c r="B80" s="161" t="s">
        <v>102</v>
      </c>
      <c r="C80" s="147" t="s">
        <v>535</v>
      </c>
      <c r="D80" s="148" t="s">
        <v>521</v>
      </c>
      <c r="E80" s="148" t="s">
        <v>69</v>
      </c>
      <c r="F80" s="149">
        <v>0</v>
      </c>
      <c r="G80" s="149">
        <v>225.89</v>
      </c>
      <c r="H80" s="148" t="s">
        <v>46</v>
      </c>
      <c r="I80" s="149">
        <v>15.9</v>
      </c>
      <c r="J80" s="149">
        <v>199.5</v>
      </c>
      <c r="K80" s="149">
        <v>0</v>
      </c>
      <c r="L80" s="149">
        <v>0</v>
      </c>
      <c r="M80" s="149">
        <v>0</v>
      </c>
      <c r="N80" s="149">
        <v>0</v>
      </c>
      <c r="O80" s="149">
        <f t="shared" ref="O80" si="38">I80+K80+L80+M80+N80</f>
        <v>15.9</v>
      </c>
      <c r="P80" s="149">
        <f t="shared" ref="P80" si="39">J80+K80+L80+M80+N80</f>
        <v>199.5</v>
      </c>
      <c r="Q80" s="149">
        <v>0</v>
      </c>
      <c r="R80" s="149">
        <v>0</v>
      </c>
      <c r="S80" s="149">
        <v>0</v>
      </c>
      <c r="T80" s="149">
        <v>0</v>
      </c>
      <c r="U80" s="149">
        <v>0</v>
      </c>
      <c r="V80" s="149">
        <f t="shared" si="6"/>
        <v>0</v>
      </c>
      <c r="W80" s="149">
        <v>0</v>
      </c>
      <c r="X80" s="136">
        <f t="shared" si="37"/>
        <v>15.9</v>
      </c>
      <c r="Y80" s="149">
        <v>0</v>
      </c>
      <c r="Z80" s="136">
        <f t="shared" si="35"/>
        <v>241.79</v>
      </c>
      <c r="AA80" s="150">
        <v>3600</v>
      </c>
      <c r="AB80" s="148" t="s">
        <v>69</v>
      </c>
      <c r="AC80" s="147" t="s">
        <v>1233</v>
      </c>
      <c r="AD80" s="147" t="s">
        <v>537</v>
      </c>
      <c r="AE80" s="147" t="s">
        <v>538</v>
      </c>
      <c r="AF80" s="147" t="s">
        <v>1234</v>
      </c>
    </row>
    <row r="81" spans="1:32" ht="30" hidden="1" customHeight="1" x14ac:dyDescent="0.2">
      <c r="A81" s="422"/>
      <c r="B81" s="161" t="s">
        <v>103</v>
      </c>
      <c r="C81" s="147" t="s">
        <v>540</v>
      </c>
      <c r="D81" s="148" t="s">
        <v>521</v>
      </c>
      <c r="E81" s="148" t="s">
        <v>69</v>
      </c>
      <c r="F81" s="149">
        <v>0</v>
      </c>
      <c r="G81" s="149">
        <v>0</v>
      </c>
      <c r="H81" s="148" t="s">
        <v>152</v>
      </c>
      <c r="I81" s="149">
        <v>0</v>
      </c>
      <c r="J81" s="149"/>
      <c r="K81" s="149">
        <v>0</v>
      </c>
      <c r="L81" s="149">
        <v>0</v>
      </c>
      <c r="M81" s="149">
        <v>0</v>
      </c>
      <c r="N81" s="149">
        <v>0</v>
      </c>
      <c r="O81" s="149">
        <f t="shared" si="34"/>
        <v>0</v>
      </c>
      <c r="P81" s="149"/>
      <c r="Q81" s="149">
        <v>0</v>
      </c>
      <c r="R81" s="149">
        <v>0</v>
      </c>
      <c r="S81" s="149">
        <v>0</v>
      </c>
      <c r="T81" s="149">
        <v>0</v>
      </c>
      <c r="U81" s="149">
        <v>0</v>
      </c>
      <c r="V81" s="149">
        <f t="shared" si="6"/>
        <v>0</v>
      </c>
      <c r="W81" s="149">
        <v>0</v>
      </c>
      <c r="X81" s="136">
        <f t="shared" si="37"/>
        <v>0</v>
      </c>
      <c r="Y81" s="149">
        <v>0</v>
      </c>
      <c r="Z81" s="136">
        <f t="shared" si="35"/>
        <v>0</v>
      </c>
      <c r="AA81" s="150">
        <v>4800</v>
      </c>
      <c r="AB81" s="148" t="s">
        <v>69</v>
      </c>
      <c r="AC81" s="147" t="s">
        <v>1235</v>
      </c>
      <c r="AD81" s="147" t="s">
        <v>542</v>
      </c>
      <c r="AE81" s="147" t="s">
        <v>206</v>
      </c>
      <c r="AF81" s="147" t="s">
        <v>197</v>
      </c>
    </row>
    <row r="82" spans="1:32" ht="247.15" customHeight="1" x14ac:dyDescent="0.2">
      <c r="A82" s="422"/>
      <c r="B82" s="161" t="s">
        <v>104</v>
      </c>
      <c r="C82" s="147" t="s">
        <v>983</v>
      </c>
      <c r="D82" s="148" t="s">
        <v>51</v>
      </c>
      <c r="E82" s="148" t="s">
        <v>7</v>
      </c>
      <c r="F82" s="149">
        <v>440</v>
      </c>
      <c r="G82" s="149">
        <f>124.64-57.33</f>
        <v>67.31</v>
      </c>
      <c r="H82" s="148" t="s">
        <v>46</v>
      </c>
      <c r="I82" s="149">
        <v>249.91</v>
      </c>
      <c r="J82" s="149">
        <v>222.85</v>
      </c>
      <c r="K82" s="149">
        <v>0</v>
      </c>
      <c r="L82" s="149">
        <v>0</v>
      </c>
      <c r="M82" s="149">
        <v>0</v>
      </c>
      <c r="N82" s="149">
        <v>0</v>
      </c>
      <c r="O82" s="149">
        <f t="shared" ref="O82:O83" si="40">I82+K82+L82+M82+N82</f>
        <v>249.91</v>
      </c>
      <c r="P82" s="149">
        <f t="shared" ref="P82:P83" si="41">J82+K82+L82+M82+N82</f>
        <v>222.85</v>
      </c>
      <c r="Q82" s="149">
        <v>4393.03</v>
      </c>
      <c r="R82" s="149">
        <v>0</v>
      </c>
      <c r="S82" s="149">
        <v>0</v>
      </c>
      <c r="T82" s="149">
        <v>0</v>
      </c>
      <c r="U82" s="149">
        <v>0</v>
      </c>
      <c r="V82" s="149">
        <f>SUM(Q82:U82)</f>
        <v>4393.03</v>
      </c>
      <c r="W82" s="149">
        <v>6393.03</v>
      </c>
      <c r="X82" s="136">
        <f t="shared" si="37"/>
        <v>11035.97</v>
      </c>
      <c r="Y82" s="149">
        <v>5393.03</v>
      </c>
      <c r="Z82" s="136">
        <f t="shared" si="35"/>
        <v>16936.310000000001</v>
      </c>
      <c r="AA82" s="150">
        <f>Z82</f>
        <v>16936.310000000001</v>
      </c>
      <c r="AB82" s="148" t="s">
        <v>7</v>
      </c>
      <c r="AC82" s="147" t="s">
        <v>1236</v>
      </c>
      <c r="AD82" s="147" t="s">
        <v>545</v>
      </c>
      <c r="AE82" s="147" t="s">
        <v>49</v>
      </c>
      <c r="AF82" s="147" t="s">
        <v>1237</v>
      </c>
    </row>
    <row r="83" spans="1:32" ht="159" customHeight="1" x14ac:dyDescent="0.2">
      <c r="A83" s="422"/>
      <c r="B83" s="161" t="s">
        <v>105</v>
      </c>
      <c r="C83" s="147" t="s">
        <v>547</v>
      </c>
      <c r="D83" s="148" t="s">
        <v>51</v>
      </c>
      <c r="E83" s="148" t="s">
        <v>7</v>
      </c>
      <c r="F83" s="149">
        <v>9.6300000000000008</v>
      </c>
      <c r="G83" s="149">
        <v>41.246000000000002</v>
      </c>
      <c r="H83" s="148" t="s">
        <v>46</v>
      </c>
      <c r="I83" s="149">
        <v>85.68</v>
      </c>
      <c r="J83" s="149">
        <v>32.49</v>
      </c>
      <c r="K83" s="149">
        <v>471.84699999999998</v>
      </c>
      <c r="L83" s="149">
        <v>0</v>
      </c>
      <c r="M83" s="149">
        <v>0</v>
      </c>
      <c r="N83" s="149">
        <v>0</v>
      </c>
      <c r="O83" s="149">
        <f t="shared" si="40"/>
        <v>557.52700000000004</v>
      </c>
      <c r="P83" s="149">
        <f t="shared" si="41"/>
        <v>504.33699999999999</v>
      </c>
      <c r="Q83" s="149">
        <v>0</v>
      </c>
      <c r="R83" s="149">
        <v>0</v>
      </c>
      <c r="S83" s="149">
        <v>0</v>
      </c>
      <c r="T83" s="149">
        <v>0</v>
      </c>
      <c r="U83" s="149">
        <v>0</v>
      </c>
      <c r="V83" s="149">
        <f>SUM(Q83:U83)</f>
        <v>0</v>
      </c>
      <c r="W83" s="149">
        <v>0</v>
      </c>
      <c r="X83" s="136">
        <f>O83+V83+W83</f>
        <v>557.52700000000004</v>
      </c>
      <c r="Y83" s="149">
        <v>0</v>
      </c>
      <c r="Z83" s="136">
        <f t="shared" si="35"/>
        <v>608.40300000000002</v>
      </c>
      <c r="AA83" s="150">
        <f>Z83</f>
        <v>608.40300000000002</v>
      </c>
      <c r="AB83" s="148" t="s">
        <v>7</v>
      </c>
      <c r="AC83" s="147" t="s">
        <v>1238</v>
      </c>
      <c r="AD83" s="147" t="s">
        <v>549</v>
      </c>
      <c r="AE83" s="147" t="s">
        <v>49</v>
      </c>
      <c r="AF83" s="147" t="s">
        <v>1239</v>
      </c>
    </row>
    <row r="84" spans="1:32" ht="39.6" hidden="1" customHeight="1" x14ac:dyDescent="0.2">
      <c r="A84" s="422"/>
      <c r="B84" s="161" t="s">
        <v>106</v>
      </c>
      <c r="C84" s="147" t="s">
        <v>551</v>
      </c>
      <c r="D84" s="148" t="s">
        <v>51</v>
      </c>
      <c r="E84" s="148" t="s">
        <v>69</v>
      </c>
      <c r="F84" s="149">
        <v>0</v>
      </c>
      <c r="G84" s="149">
        <v>0</v>
      </c>
      <c r="H84" s="148" t="s">
        <v>152</v>
      </c>
      <c r="I84" s="149">
        <v>0</v>
      </c>
      <c r="J84" s="149"/>
      <c r="K84" s="149">
        <v>0</v>
      </c>
      <c r="L84" s="149">
        <v>0</v>
      </c>
      <c r="M84" s="149">
        <v>0</v>
      </c>
      <c r="N84" s="149">
        <v>0</v>
      </c>
      <c r="O84" s="149">
        <f t="shared" si="34"/>
        <v>0</v>
      </c>
      <c r="P84" s="149"/>
      <c r="Q84" s="149">
        <v>0</v>
      </c>
      <c r="R84" s="149">
        <v>0</v>
      </c>
      <c r="S84" s="149">
        <v>0</v>
      </c>
      <c r="T84" s="149">
        <v>0</v>
      </c>
      <c r="U84" s="149">
        <v>0</v>
      </c>
      <c r="V84" s="149">
        <f t="shared" ref="V84:V150" si="42">SUM(Q84:U84)</f>
        <v>0</v>
      </c>
      <c r="W84" s="149">
        <v>0</v>
      </c>
      <c r="X84" s="136">
        <f t="shared" si="37"/>
        <v>0</v>
      </c>
      <c r="Y84" s="149">
        <v>0</v>
      </c>
      <c r="Z84" s="136">
        <f t="shared" si="35"/>
        <v>0</v>
      </c>
      <c r="AA84" s="150">
        <v>1200</v>
      </c>
      <c r="AB84" s="148" t="s">
        <v>69</v>
      </c>
      <c r="AC84" s="147" t="s">
        <v>988</v>
      </c>
      <c r="AD84" s="147" t="s">
        <v>50</v>
      </c>
      <c r="AE84" s="147" t="s">
        <v>538</v>
      </c>
      <c r="AF84" s="147" t="s">
        <v>1240</v>
      </c>
    </row>
    <row r="85" spans="1:32" ht="40.9" hidden="1" customHeight="1" x14ac:dyDescent="0.2">
      <c r="A85" s="422"/>
      <c r="B85" s="161" t="s">
        <v>107</v>
      </c>
      <c r="C85" s="147" t="s">
        <v>990</v>
      </c>
      <c r="D85" s="148" t="s">
        <v>51</v>
      </c>
      <c r="E85" s="148" t="s">
        <v>69</v>
      </c>
      <c r="F85" s="149">
        <v>0</v>
      </c>
      <c r="G85" s="149">
        <v>0</v>
      </c>
      <c r="H85" s="148" t="s">
        <v>152</v>
      </c>
      <c r="I85" s="149">
        <v>0</v>
      </c>
      <c r="J85" s="149"/>
      <c r="K85" s="149">
        <v>0</v>
      </c>
      <c r="L85" s="149">
        <v>0</v>
      </c>
      <c r="M85" s="149">
        <v>0</v>
      </c>
      <c r="N85" s="149">
        <v>0</v>
      </c>
      <c r="O85" s="149">
        <f>SUM(I85:N85)</f>
        <v>0</v>
      </c>
      <c r="P85" s="149"/>
      <c r="Q85" s="149">
        <v>0</v>
      </c>
      <c r="R85" s="149">
        <v>0</v>
      </c>
      <c r="S85" s="149">
        <v>0</v>
      </c>
      <c r="T85" s="149">
        <v>0</v>
      </c>
      <c r="U85" s="149">
        <v>0</v>
      </c>
      <c r="V85" s="149">
        <f t="shared" si="42"/>
        <v>0</v>
      </c>
      <c r="W85" s="149">
        <v>0</v>
      </c>
      <c r="X85" s="136">
        <f t="shared" si="37"/>
        <v>0</v>
      </c>
      <c r="Y85" s="149">
        <v>0</v>
      </c>
      <c r="Z85" s="136">
        <f t="shared" si="35"/>
        <v>0</v>
      </c>
      <c r="AA85" s="150">
        <v>6000</v>
      </c>
      <c r="AB85" s="148" t="s">
        <v>69</v>
      </c>
      <c r="AC85" s="147" t="s">
        <v>1241</v>
      </c>
      <c r="AD85" s="147" t="s">
        <v>992</v>
      </c>
      <c r="AE85" s="147" t="s">
        <v>206</v>
      </c>
      <c r="AF85" s="147" t="s">
        <v>993</v>
      </c>
    </row>
    <row r="86" spans="1:32" ht="219.75" customHeight="1" x14ac:dyDescent="0.2">
      <c r="A86" s="422"/>
      <c r="B86" s="161" t="s">
        <v>108</v>
      </c>
      <c r="C86" s="147" t="s">
        <v>553</v>
      </c>
      <c r="D86" s="148" t="s">
        <v>51</v>
      </c>
      <c r="E86" s="148" t="s">
        <v>69</v>
      </c>
      <c r="F86" s="149">
        <v>86.61</v>
      </c>
      <c r="G86" s="149">
        <v>328.27</v>
      </c>
      <c r="H86" s="148" t="s">
        <v>46</v>
      </c>
      <c r="I86" s="149">
        <v>86.25</v>
      </c>
      <c r="J86" s="149">
        <v>600.62400000000002</v>
      </c>
      <c r="K86" s="149">
        <v>0</v>
      </c>
      <c r="L86" s="149">
        <v>0</v>
      </c>
      <c r="M86" s="149">
        <v>0</v>
      </c>
      <c r="N86" s="149">
        <v>0</v>
      </c>
      <c r="O86" s="149">
        <f t="shared" ref="O86" si="43">I86+K86+L86+M86+N86</f>
        <v>86.25</v>
      </c>
      <c r="P86" s="149">
        <f t="shared" ref="P86" si="44">J86+K86+L86+M86+N86</f>
        <v>600.62400000000002</v>
      </c>
      <c r="Q86" s="149">
        <v>0</v>
      </c>
      <c r="R86" s="149">
        <v>0</v>
      </c>
      <c r="S86" s="149">
        <v>0</v>
      </c>
      <c r="T86" s="149">
        <v>0</v>
      </c>
      <c r="U86" s="149">
        <v>0</v>
      </c>
      <c r="V86" s="149">
        <f t="shared" si="42"/>
        <v>0</v>
      </c>
      <c r="W86" s="149">
        <v>0</v>
      </c>
      <c r="X86" s="136">
        <f t="shared" si="37"/>
        <v>86.25</v>
      </c>
      <c r="Y86" s="149">
        <v>0</v>
      </c>
      <c r="Z86" s="136">
        <f t="shared" si="35"/>
        <v>501.13</v>
      </c>
      <c r="AA86" s="150">
        <v>3600</v>
      </c>
      <c r="AB86" s="148" t="s">
        <v>69</v>
      </c>
      <c r="AC86" s="147" t="s">
        <v>1242</v>
      </c>
      <c r="AD86" s="147" t="s">
        <v>555</v>
      </c>
      <c r="AE86" s="147" t="s">
        <v>538</v>
      </c>
      <c r="AF86" s="147" t="s">
        <v>1243</v>
      </c>
    </row>
    <row r="87" spans="1:32" ht="50.45" hidden="1" customHeight="1" x14ac:dyDescent="0.2">
      <c r="A87" s="422"/>
      <c r="B87" s="161" t="s">
        <v>109</v>
      </c>
      <c r="C87" s="153" t="s">
        <v>1244</v>
      </c>
      <c r="D87" s="148" t="s">
        <v>45</v>
      </c>
      <c r="E87" s="148" t="s">
        <v>7</v>
      </c>
      <c r="F87" s="149">
        <v>8.4700000000000006</v>
      </c>
      <c r="G87" s="149">
        <v>1715.96</v>
      </c>
      <c r="H87" s="148" t="s">
        <v>46</v>
      </c>
      <c r="I87" s="149">
        <v>0</v>
      </c>
      <c r="J87" s="149"/>
      <c r="K87" s="149">
        <v>0</v>
      </c>
      <c r="L87" s="149">
        <v>0</v>
      </c>
      <c r="M87" s="149">
        <v>0</v>
      </c>
      <c r="N87" s="149">
        <v>0</v>
      </c>
      <c r="O87" s="149">
        <f t="shared" si="34"/>
        <v>0</v>
      </c>
      <c r="P87" s="149"/>
      <c r="Q87" s="149">
        <v>0</v>
      </c>
      <c r="R87" s="149">
        <v>0</v>
      </c>
      <c r="S87" s="149">
        <v>0</v>
      </c>
      <c r="T87" s="149">
        <v>0</v>
      </c>
      <c r="U87" s="149">
        <v>0</v>
      </c>
      <c r="V87" s="149">
        <f t="shared" si="42"/>
        <v>0</v>
      </c>
      <c r="W87" s="149">
        <v>0</v>
      </c>
      <c r="X87" s="136">
        <f t="shared" si="37"/>
        <v>0</v>
      </c>
      <c r="Y87" s="149">
        <v>0</v>
      </c>
      <c r="Z87" s="136">
        <f t="shared" si="35"/>
        <v>1724.43</v>
      </c>
      <c r="AA87" s="150">
        <v>1527.47</v>
      </c>
      <c r="AB87" s="148" t="s">
        <v>69</v>
      </c>
      <c r="AC87" s="153" t="s">
        <v>1245</v>
      </c>
      <c r="AD87" s="147" t="s">
        <v>559</v>
      </c>
      <c r="AE87" s="147" t="s">
        <v>49</v>
      </c>
      <c r="AF87" s="147" t="s">
        <v>1246</v>
      </c>
    </row>
    <row r="88" spans="1:32" ht="53.45" hidden="1" customHeight="1" x14ac:dyDescent="0.2">
      <c r="A88" s="422"/>
      <c r="B88" s="161" t="s">
        <v>110</v>
      </c>
      <c r="C88" s="153" t="s">
        <v>1247</v>
      </c>
      <c r="D88" s="148" t="s">
        <v>45</v>
      </c>
      <c r="E88" s="148" t="s">
        <v>7</v>
      </c>
      <c r="F88" s="149">
        <v>11.43</v>
      </c>
      <c r="G88" s="149">
        <v>1203.76</v>
      </c>
      <c r="H88" s="148" t="s">
        <v>46</v>
      </c>
      <c r="I88" s="149">
        <v>0</v>
      </c>
      <c r="J88" s="149"/>
      <c r="K88" s="149">
        <v>0</v>
      </c>
      <c r="L88" s="149">
        <v>0</v>
      </c>
      <c r="M88" s="149">
        <v>0</v>
      </c>
      <c r="N88" s="149">
        <v>0</v>
      </c>
      <c r="O88" s="149">
        <f t="shared" si="34"/>
        <v>0</v>
      </c>
      <c r="P88" s="149"/>
      <c r="Q88" s="149">
        <v>0</v>
      </c>
      <c r="R88" s="149">
        <v>0</v>
      </c>
      <c r="S88" s="149">
        <v>0</v>
      </c>
      <c r="T88" s="149">
        <v>0</v>
      </c>
      <c r="U88" s="149">
        <v>0</v>
      </c>
      <c r="V88" s="149">
        <f t="shared" si="42"/>
        <v>0</v>
      </c>
      <c r="W88" s="149">
        <v>0</v>
      </c>
      <c r="X88" s="136">
        <f t="shared" si="37"/>
        <v>0</v>
      </c>
      <c r="Y88" s="149">
        <v>0</v>
      </c>
      <c r="Z88" s="136">
        <f t="shared" si="35"/>
        <v>1215.19</v>
      </c>
      <c r="AA88" s="150">
        <f>Z88</f>
        <v>1215.19</v>
      </c>
      <c r="AB88" s="148" t="s">
        <v>69</v>
      </c>
      <c r="AC88" s="153" t="s">
        <v>1248</v>
      </c>
      <c r="AD88" s="147" t="s">
        <v>559</v>
      </c>
      <c r="AE88" s="147" t="s">
        <v>49</v>
      </c>
      <c r="AF88" s="147" t="s">
        <v>1249</v>
      </c>
    </row>
    <row r="89" spans="1:32" ht="46.15" customHeight="1" x14ac:dyDescent="0.2">
      <c r="A89" s="422"/>
      <c r="B89" s="161" t="s">
        <v>111</v>
      </c>
      <c r="C89" s="147" t="s">
        <v>564</v>
      </c>
      <c r="D89" s="148" t="s">
        <v>45</v>
      </c>
      <c r="E89" s="148" t="s">
        <v>7</v>
      </c>
      <c r="F89" s="149">
        <v>0</v>
      </c>
      <c r="G89" s="149">
        <v>74.17</v>
      </c>
      <c r="H89" s="148" t="s">
        <v>46</v>
      </c>
      <c r="I89" s="149">
        <v>0</v>
      </c>
      <c r="J89" s="149">
        <v>524.72</v>
      </c>
      <c r="K89" s="149">
        <v>0</v>
      </c>
      <c r="L89" s="149">
        <v>0</v>
      </c>
      <c r="M89" s="149">
        <v>0</v>
      </c>
      <c r="N89" s="149">
        <v>0</v>
      </c>
      <c r="O89" s="149">
        <f t="shared" ref="O89" si="45">I89+K89+L89+M89+N89</f>
        <v>0</v>
      </c>
      <c r="P89" s="149">
        <f t="shared" ref="P89" si="46">J89+K89+L89+M89+N89</f>
        <v>524.72</v>
      </c>
      <c r="Q89" s="149">
        <v>0</v>
      </c>
      <c r="R89" s="149">
        <v>0</v>
      </c>
      <c r="S89" s="149">
        <v>0</v>
      </c>
      <c r="T89" s="149">
        <v>0</v>
      </c>
      <c r="U89" s="149">
        <v>0</v>
      </c>
      <c r="V89" s="149">
        <f t="shared" si="42"/>
        <v>0</v>
      </c>
      <c r="W89" s="149">
        <v>0</v>
      </c>
      <c r="X89" s="136">
        <f t="shared" si="37"/>
        <v>0</v>
      </c>
      <c r="Y89" s="149">
        <v>0</v>
      </c>
      <c r="Z89" s="136">
        <f t="shared" si="35"/>
        <v>74.17</v>
      </c>
      <c r="AA89" s="150">
        <v>1920</v>
      </c>
      <c r="AB89" s="148" t="s">
        <v>69</v>
      </c>
      <c r="AC89" s="147" t="s">
        <v>1250</v>
      </c>
      <c r="AD89" s="147" t="s">
        <v>559</v>
      </c>
      <c r="AE89" s="147" t="s">
        <v>206</v>
      </c>
      <c r="AF89" s="147" t="s">
        <v>1251</v>
      </c>
    </row>
    <row r="90" spans="1:32" ht="52.5" hidden="1" x14ac:dyDescent="0.2">
      <c r="A90" s="422"/>
      <c r="B90" s="161" t="s">
        <v>112</v>
      </c>
      <c r="C90" s="147" t="s">
        <v>568</v>
      </c>
      <c r="D90" s="148" t="s">
        <v>45</v>
      </c>
      <c r="E90" s="148" t="s">
        <v>7</v>
      </c>
      <c r="F90" s="149">
        <v>0</v>
      </c>
      <c r="G90" s="149">
        <v>0</v>
      </c>
      <c r="H90" s="148" t="s">
        <v>152</v>
      </c>
      <c r="I90" s="149">
        <v>0</v>
      </c>
      <c r="J90" s="149"/>
      <c r="K90" s="149">
        <v>0</v>
      </c>
      <c r="L90" s="149">
        <v>0</v>
      </c>
      <c r="M90" s="149">
        <v>0</v>
      </c>
      <c r="N90" s="149">
        <v>0</v>
      </c>
      <c r="O90" s="149">
        <f t="shared" si="34"/>
        <v>0</v>
      </c>
      <c r="P90" s="149"/>
      <c r="Q90" s="149">
        <v>0</v>
      </c>
      <c r="R90" s="149">
        <v>0</v>
      </c>
      <c r="S90" s="149">
        <v>0</v>
      </c>
      <c r="T90" s="149">
        <v>0</v>
      </c>
      <c r="U90" s="149">
        <v>0</v>
      </c>
      <c r="V90" s="149">
        <f t="shared" si="42"/>
        <v>0</v>
      </c>
      <c r="W90" s="149">
        <v>0</v>
      </c>
      <c r="X90" s="136">
        <f t="shared" si="37"/>
        <v>0</v>
      </c>
      <c r="Y90" s="149">
        <v>0</v>
      </c>
      <c r="Z90" s="136">
        <f t="shared" si="35"/>
        <v>0</v>
      </c>
      <c r="AA90" s="150">
        <v>1200</v>
      </c>
      <c r="AB90" s="148" t="s">
        <v>69</v>
      </c>
      <c r="AC90" s="147" t="s">
        <v>1000</v>
      </c>
      <c r="AD90" s="147" t="s">
        <v>559</v>
      </c>
      <c r="AE90" s="147" t="s">
        <v>206</v>
      </c>
      <c r="AF90" s="147" t="s">
        <v>204</v>
      </c>
    </row>
    <row r="91" spans="1:32" ht="52.5" hidden="1" x14ac:dyDescent="0.2">
      <c r="A91" s="422"/>
      <c r="B91" s="161" t="s">
        <v>113</v>
      </c>
      <c r="C91" s="147" t="s">
        <v>571</v>
      </c>
      <c r="D91" s="148" t="s">
        <v>45</v>
      </c>
      <c r="E91" s="148" t="s">
        <v>69</v>
      </c>
      <c r="F91" s="149">
        <v>0</v>
      </c>
      <c r="G91" s="149">
        <v>0</v>
      </c>
      <c r="H91" s="148" t="s">
        <v>152</v>
      </c>
      <c r="I91" s="149">
        <v>0</v>
      </c>
      <c r="J91" s="149"/>
      <c r="K91" s="149">
        <v>0</v>
      </c>
      <c r="L91" s="149">
        <v>0</v>
      </c>
      <c r="M91" s="149">
        <v>0</v>
      </c>
      <c r="N91" s="149">
        <v>0</v>
      </c>
      <c r="O91" s="149">
        <f t="shared" si="34"/>
        <v>0</v>
      </c>
      <c r="P91" s="149"/>
      <c r="Q91" s="149">
        <v>0</v>
      </c>
      <c r="R91" s="149">
        <v>0</v>
      </c>
      <c r="S91" s="149">
        <v>0</v>
      </c>
      <c r="T91" s="149">
        <v>0</v>
      </c>
      <c r="U91" s="149">
        <v>0</v>
      </c>
      <c r="V91" s="149">
        <f t="shared" si="42"/>
        <v>0</v>
      </c>
      <c r="W91" s="149">
        <v>0</v>
      </c>
      <c r="X91" s="136">
        <f t="shared" si="37"/>
        <v>0</v>
      </c>
      <c r="Y91" s="149">
        <v>0</v>
      </c>
      <c r="Z91" s="136">
        <f t="shared" si="35"/>
        <v>0</v>
      </c>
      <c r="AA91" s="150">
        <v>1560</v>
      </c>
      <c r="AB91" s="148" t="s">
        <v>69</v>
      </c>
      <c r="AC91" s="147" t="s">
        <v>1252</v>
      </c>
      <c r="AD91" s="147" t="s">
        <v>559</v>
      </c>
      <c r="AE91" s="147" t="s">
        <v>206</v>
      </c>
      <c r="AF91" s="147" t="s">
        <v>204</v>
      </c>
    </row>
    <row r="92" spans="1:32" ht="45" customHeight="1" x14ac:dyDescent="0.2">
      <c r="A92" s="422"/>
      <c r="B92" s="162" t="s">
        <v>114</v>
      </c>
      <c r="C92" s="147" t="s">
        <v>574</v>
      </c>
      <c r="D92" s="148" t="s">
        <v>45</v>
      </c>
      <c r="E92" s="148" t="s">
        <v>69</v>
      </c>
      <c r="F92" s="149">
        <v>0</v>
      </c>
      <c r="G92" s="149">
        <v>9.68</v>
      </c>
      <c r="H92" s="148" t="s">
        <v>152</v>
      </c>
      <c r="I92" s="149">
        <v>0</v>
      </c>
      <c r="J92" s="149">
        <v>0</v>
      </c>
      <c r="K92" s="149">
        <v>0</v>
      </c>
      <c r="L92" s="149">
        <v>0</v>
      </c>
      <c r="M92" s="149">
        <v>0</v>
      </c>
      <c r="N92" s="149">
        <v>0</v>
      </c>
      <c r="O92" s="149">
        <f t="shared" ref="O92" si="47">I92+K92+L92+M92+N92</f>
        <v>0</v>
      </c>
      <c r="P92" s="149">
        <f t="shared" ref="P92" si="48">J92+K92+L92+M92+N92</f>
        <v>0</v>
      </c>
      <c r="Q92" s="149">
        <v>0</v>
      </c>
      <c r="R92" s="149">
        <v>0</v>
      </c>
      <c r="S92" s="149">
        <v>0</v>
      </c>
      <c r="T92" s="149">
        <v>0</v>
      </c>
      <c r="U92" s="149">
        <v>0</v>
      </c>
      <c r="V92" s="149">
        <f t="shared" si="42"/>
        <v>0</v>
      </c>
      <c r="W92" s="149">
        <v>0</v>
      </c>
      <c r="X92" s="136">
        <f t="shared" si="37"/>
        <v>0</v>
      </c>
      <c r="Y92" s="149">
        <v>0</v>
      </c>
      <c r="Z92" s="136">
        <f t="shared" si="35"/>
        <v>9.68</v>
      </c>
      <c r="AA92" s="150">
        <v>1900</v>
      </c>
      <c r="AB92" s="148" t="s">
        <v>69</v>
      </c>
      <c r="AC92" s="147" t="s">
        <v>48</v>
      </c>
      <c r="AD92" s="147" t="s">
        <v>559</v>
      </c>
      <c r="AE92" s="147" t="s">
        <v>206</v>
      </c>
      <c r="AF92" s="147" t="s">
        <v>1253</v>
      </c>
    </row>
    <row r="93" spans="1:32" ht="78" hidden="1" customHeight="1" x14ac:dyDescent="0.2">
      <c r="A93" s="422"/>
      <c r="B93" s="161" t="s">
        <v>115</v>
      </c>
      <c r="C93" s="147" t="s">
        <v>20</v>
      </c>
      <c r="D93" s="148" t="s">
        <v>45</v>
      </c>
      <c r="E93" s="148" t="s">
        <v>69</v>
      </c>
      <c r="F93" s="149">
        <v>0</v>
      </c>
      <c r="G93" s="149">
        <v>0</v>
      </c>
      <c r="H93" s="148" t="s">
        <v>152</v>
      </c>
      <c r="I93" s="149">
        <v>0</v>
      </c>
      <c r="J93" s="149"/>
      <c r="K93" s="149">
        <v>0</v>
      </c>
      <c r="L93" s="149">
        <v>0</v>
      </c>
      <c r="M93" s="149">
        <v>0</v>
      </c>
      <c r="N93" s="149">
        <v>0</v>
      </c>
      <c r="O93" s="149">
        <f t="shared" si="34"/>
        <v>0</v>
      </c>
      <c r="P93" s="149"/>
      <c r="Q93" s="149">
        <v>0</v>
      </c>
      <c r="R93" s="149">
        <v>0</v>
      </c>
      <c r="S93" s="149">
        <v>0</v>
      </c>
      <c r="T93" s="149">
        <v>0</v>
      </c>
      <c r="U93" s="149">
        <v>0</v>
      </c>
      <c r="V93" s="149">
        <f t="shared" si="42"/>
        <v>0</v>
      </c>
      <c r="W93" s="149">
        <v>0</v>
      </c>
      <c r="X93" s="136">
        <f t="shared" si="37"/>
        <v>0</v>
      </c>
      <c r="Y93" s="149">
        <v>0</v>
      </c>
      <c r="Z93" s="136">
        <f t="shared" si="35"/>
        <v>0</v>
      </c>
      <c r="AA93" s="150">
        <v>240</v>
      </c>
      <c r="AB93" s="148" t="s">
        <v>69</v>
      </c>
      <c r="AC93" s="147" t="s">
        <v>1003</v>
      </c>
      <c r="AD93" s="147" t="s">
        <v>578</v>
      </c>
      <c r="AE93" s="147" t="s">
        <v>538</v>
      </c>
      <c r="AF93" s="147" t="s">
        <v>209</v>
      </c>
    </row>
    <row r="94" spans="1:32" ht="66" hidden="1" customHeight="1" x14ac:dyDescent="0.2">
      <c r="A94" s="422"/>
      <c r="B94" s="162" t="s">
        <v>61</v>
      </c>
      <c r="C94" s="147" t="s">
        <v>580</v>
      </c>
      <c r="D94" s="148" t="s">
        <v>51</v>
      </c>
      <c r="E94" s="148" t="s">
        <v>7</v>
      </c>
      <c r="F94" s="149">
        <v>5387.89</v>
      </c>
      <c r="G94" s="149">
        <v>952.38</v>
      </c>
      <c r="H94" s="148" t="s">
        <v>46</v>
      </c>
      <c r="I94" s="149">
        <v>0</v>
      </c>
      <c r="J94" s="149"/>
      <c r="K94" s="149">
        <v>0</v>
      </c>
      <c r="L94" s="149">
        <v>0</v>
      </c>
      <c r="M94" s="149">
        <v>0</v>
      </c>
      <c r="N94" s="149">
        <v>0</v>
      </c>
      <c r="O94" s="149">
        <f t="shared" si="34"/>
        <v>0</v>
      </c>
      <c r="P94" s="149"/>
      <c r="Q94" s="149">
        <v>0</v>
      </c>
      <c r="R94" s="149">
        <v>0</v>
      </c>
      <c r="S94" s="149">
        <v>0</v>
      </c>
      <c r="T94" s="149">
        <v>0</v>
      </c>
      <c r="U94" s="149">
        <v>0</v>
      </c>
      <c r="V94" s="149">
        <f t="shared" si="42"/>
        <v>0</v>
      </c>
      <c r="W94" s="149">
        <v>0</v>
      </c>
      <c r="X94" s="136">
        <f t="shared" si="37"/>
        <v>0</v>
      </c>
      <c r="Y94" s="149">
        <v>0</v>
      </c>
      <c r="Z94" s="136">
        <f t="shared" si="35"/>
        <v>6340.27</v>
      </c>
      <c r="AA94" s="150">
        <f>Z94</f>
        <v>6340.27</v>
      </c>
      <c r="AB94" s="148" t="s">
        <v>7</v>
      </c>
      <c r="AC94" s="153" t="s">
        <v>1254</v>
      </c>
      <c r="AD94" s="147" t="s">
        <v>1005</v>
      </c>
      <c r="AE94" s="147" t="s">
        <v>49</v>
      </c>
      <c r="AF94" s="147" t="s">
        <v>204</v>
      </c>
    </row>
    <row r="95" spans="1:32" ht="111.6" hidden="1" customHeight="1" x14ac:dyDescent="0.2">
      <c r="A95" s="422"/>
      <c r="B95" s="162" t="s">
        <v>62</v>
      </c>
      <c r="C95" s="147" t="s">
        <v>583</v>
      </c>
      <c r="D95" s="148" t="s">
        <v>51</v>
      </c>
      <c r="E95" s="148" t="s">
        <v>7</v>
      </c>
      <c r="F95" s="149">
        <v>7888.02</v>
      </c>
      <c r="G95" s="149">
        <v>10819.42</v>
      </c>
      <c r="H95" s="148" t="s">
        <v>46</v>
      </c>
      <c r="I95" s="149">
        <v>0</v>
      </c>
      <c r="J95" s="149"/>
      <c r="K95" s="149">
        <v>0</v>
      </c>
      <c r="L95" s="149">
        <v>0</v>
      </c>
      <c r="M95" s="149">
        <v>0</v>
      </c>
      <c r="N95" s="149">
        <v>0</v>
      </c>
      <c r="O95" s="149">
        <f t="shared" si="34"/>
        <v>0</v>
      </c>
      <c r="P95" s="149"/>
      <c r="Q95" s="149">
        <v>0</v>
      </c>
      <c r="R95" s="149">
        <v>0</v>
      </c>
      <c r="S95" s="149">
        <v>0</v>
      </c>
      <c r="T95" s="149">
        <v>0</v>
      </c>
      <c r="U95" s="149">
        <v>0</v>
      </c>
      <c r="V95" s="149">
        <f t="shared" si="42"/>
        <v>0</v>
      </c>
      <c r="W95" s="149">
        <v>0</v>
      </c>
      <c r="X95" s="136">
        <f t="shared" si="37"/>
        <v>0</v>
      </c>
      <c r="Y95" s="149">
        <v>0</v>
      </c>
      <c r="Z95" s="136">
        <f t="shared" si="35"/>
        <v>18707.440000000002</v>
      </c>
      <c r="AA95" s="150">
        <f>16600.42+2000</f>
        <v>18600.419999999998</v>
      </c>
      <c r="AB95" s="148" t="s">
        <v>69</v>
      </c>
      <c r="AC95" s="153" t="s">
        <v>1255</v>
      </c>
      <c r="AD95" s="147" t="s">
        <v>1005</v>
      </c>
      <c r="AE95" s="147" t="s">
        <v>49</v>
      </c>
      <c r="AF95" s="147" t="s">
        <v>210</v>
      </c>
    </row>
    <row r="96" spans="1:32" ht="49.9" hidden="1" customHeight="1" x14ac:dyDescent="0.2">
      <c r="A96" s="422"/>
      <c r="B96" s="162" t="s">
        <v>163</v>
      </c>
      <c r="C96" s="147" t="s">
        <v>1007</v>
      </c>
      <c r="D96" s="148" t="s">
        <v>164</v>
      </c>
      <c r="E96" s="163" t="s">
        <v>7</v>
      </c>
      <c r="F96" s="149">
        <v>0</v>
      </c>
      <c r="G96" s="149">
        <v>0</v>
      </c>
      <c r="H96" s="148" t="s">
        <v>46</v>
      </c>
      <c r="I96" s="149">
        <v>0</v>
      </c>
      <c r="J96" s="149"/>
      <c r="K96" s="149">
        <v>0</v>
      </c>
      <c r="L96" s="149">
        <v>0</v>
      </c>
      <c r="M96" s="149">
        <v>0</v>
      </c>
      <c r="N96" s="149">
        <v>0</v>
      </c>
      <c r="O96" s="149">
        <f t="shared" ref="O96" si="49">SUM(I96:N96)</f>
        <v>0</v>
      </c>
      <c r="P96" s="149"/>
      <c r="Q96" s="149">
        <v>0</v>
      </c>
      <c r="R96" s="149">
        <v>0</v>
      </c>
      <c r="S96" s="149">
        <v>0</v>
      </c>
      <c r="T96" s="149">
        <v>0</v>
      </c>
      <c r="U96" s="149">
        <v>0</v>
      </c>
      <c r="V96" s="149">
        <f>SUM(Q96:U96)</f>
        <v>0</v>
      </c>
      <c r="W96" s="149">
        <v>0</v>
      </c>
      <c r="X96" s="136">
        <f>O96+V96+W96</f>
        <v>0</v>
      </c>
      <c r="Y96" s="149">
        <v>0</v>
      </c>
      <c r="Z96" s="136">
        <f t="shared" si="35"/>
        <v>0</v>
      </c>
      <c r="AA96" s="136">
        <f>Z96</f>
        <v>0</v>
      </c>
      <c r="AB96" s="148" t="s">
        <v>7</v>
      </c>
      <c r="AC96" s="147" t="s">
        <v>1256</v>
      </c>
      <c r="AD96" s="147" t="s">
        <v>1257</v>
      </c>
      <c r="AE96" s="147" t="s">
        <v>169</v>
      </c>
      <c r="AF96" s="147" t="s">
        <v>1258</v>
      </c>
    </row>
    <row r="97" spans="1:32" ht="88.15" customHeight="1" x14ac:dyDescent="0.2">
      <c r="A97" s="422"/>
      <c r="B97" s="162" t="s">
        <v>166</v>
      </c>
      <c r="C97" s="147" t="s">
        <v>1010</v>
      </c>
      <c r="D97" s="148" t="s">
        <v>51</v>
      </c>
      <c r="E97" s="148"/>
      <c r="F97" s="149">
        <v>0</v>
      </c>
      <c r="G97" s="149">
        <v>0</v>
      </c>
      <c r="H97" s="148" t="s">
        <v>152</v>
      </c>
      <c r="I97" s="149">
        <v>0</v>
      </c>
      <c r="J97" s="149">
        <v>0</v>
      </c>
      <c r="K97" s="149">
        <v>0</v>
      </c>
      <c r="L97" s="149">
        <v>0</v>
      </c>
      <c r="M97" s="149">
        <v>0</v>
      </c>
      <c r="N97" s="149">
        <v>0</v>
      </c>
      <c r="O97" s="149">
        <f t="shared" ref="O97" si="50">I97+K97+L97+M97+N97</f>
        <v>0</v>
      </c>
      <c r="P97" s="149">
        <f t="shared" ref="P97" si="51">J97+K97+L97+M97+N97</f>
        <v>0</v>
      </c>
      <c r="Q97" s="149">
        <v>0</v>
      </c>
      <c r="R97" s="149">
        <v>0</v>
      </c>
      <c r="S97" s="149">
        <v>0</v>
      </c>
      <c r="T97" s="149">
        <v>0</v>
      </c>
      <c r="U97" s="149">
        <v>0</v>
      </c>
      <c r="V97" s="149">
        <f>SUM(Q97:U97)</f>
        <v>0</v>
      </c>
      <c r="W97" s="149">
        <v>0</v>
      </c>
      <c r="X97" s="136">
        <f>O97+V97+W97</f>
        <v>0</v>
      </c>
      <c r="Y97" s="149">
        <v>0</v>
      </c>
      <c r="Z97" s="136">
        <f t="shared" si="35"/>
        <v>0</v>
      </c>
      <c r="AA97" s="150">
        <v>700</v>
      </c>
      <c r="AB97" s="148" t="s">
        <v>7</v>
      </c>
      <c r="AC97" s="147" t="s">
        <v>1259</v>
      </c>
      <c r="AD97" s="147" t="s">
        <v>167</v>
      </c>
      <c r="AE97" s="147" t="s">
        <v>169</v>
      </c>
      <c r="AF97" s="147" t="s">
        <v>1260</v>
      </c>
    </row>
    <row r="98" spans="1:32" ht="25.15" customHeight="1" x14ac:dyDescent="0.2">
      <c r="A98" s="422"/>
      <c r="B98" s="421" t="s">
        <v>1012</v>
      </c>
      <c r="C98" s="421"/>
      <c r="D98" s="143" t="s">
        <v>587</v>
      </c>
      <c r="E98" s="143" t="s">
        <v>48</v>
      </c>
      <c r="F98" s="144">
        <f>SUM(F99:F100)</f>
        <v>0</v>
      </c>
      <c r="G98" s="144">
        <f>SUM(G99:G100)</f>
        <v>0</v>
      </c>
      <c r="H98" s="143" t="s">
        <v>48</v>
      </c>
      <c r="I98" s="144">
        <f>SUM(I99:I100)</f>
        <v>9.56</v>
      </c>
      <c r="J98" s="144">
        <f t="shared" ref="J98:N98" si="52">SUM(J99:J100)</f>
        <v>14.52</v>
      </c>
      <c r="K98" s="144">
        <f t="shared" si="52"/>
        <v>0</v>
      </c>
      <c r="L98" s="144">
        <f t="shared" si="52"/>
        <v>0</v>
      </c>
      <c r="M98" s="144">
        <f t="shared" si="52"/>
        <v>0</v>
      </c>
      <c r="N98" s="144">
        <f t="shared" si="52"/>
        <v>0</v>
      </c>
      <c r="O98" s="152">
        <f>I98+K98+L98+M98+N98</f>
        <v>9.56</v>
      </c>
      <c r="P98" s="152">
        <f>J98+K98+L98+M98+N98</f>
        <v>14.52</v>
      </c>
      <c r="Q98" s="144">
        <f>SUM(Q99:Q100)</f>
        <v>0</v>
      </c>
      <c r="R98" s="144">
        <f>SUM(R99:R100)</f>
        <v>0</v>
      </c>
      <c r="S98" s="144">
        <f>SUM(S99:S100)</f>
        <v>0</v>
      </c>
      <c r="T98" s="144">
        <f>SUM(T99:T100)</f>
        <v>0</v>
      </c>
      <c r="U98" s="144">
        <f>SUM(U99:U100)</f>
        <v>0</v>
      </c>
      <c r="V98" s="152">
        <f t="shared" si="42"/>
        <v>0</v>
      </c>
      <c r="W98" s="144">
        <f>SUM(W99:W100)</f>
        <v>0</v>
      </c>
      <c r="X98" s="145">
        <f t="shared" si="37"/>
        <v>9.56</v>
      </c>
      <c r="Y98" s="144">
        <f>SUM(Y99:Y100)</f>
        <v>0</v>
      </c>
      <c r="Z98" s="145">
        <f t="shared" si="35"/>
        <v>9.56</v>
      </c>
      <c r="AA98" s="142" t="s">
        <v>48</v>
      </c>
      <c r="AB98" s="143" t="s">
        <v>48</v>
      </c>
      <c r="AC98" s="143" t="s">
        <v>48</v>
      </c>
      <c r="AD98" s="143" t="s">
        <v>48</v>
      </c>
      <c r="AE98" s="143" t="s">
        <v>48</v>
      </c>
      <c r="AF98" s="143" t="s">
        <v>48</v>
      </c>
    </row>
    <row r="99" spans="1:32" ht="102.6" customHeight="1" x14ac:dyDescent="0.2">
      <c r="A99" s="422"/>
      <c r="B99" s="161" t="s">
        <v>588</v>
      </c>
      <c r="C99" s="147" t="s">
        <v>21</v>
      </c>
      <c r="D99" s="148" t="s">
        <v>589</v>
      </c>
      <c r="E99" s="148" t="s">
        <v>69</v>
      </c>
      <c r="F99" s="149">
        <v>0</v>
      </c>
      <c r="G99" s="149">
        <v>0</v>
      </c>
      <c r="H99" s="148" t="s">
        <v>152</v>
      </c>
      <c r="I99" s="149">
        <v>9.56</v>
      </c>
      <c r="J99" s="149">
        <v>14.52</v>
      </c>
      <c r="K99" s="149">
        <v>0</v>
      </c>
      <c r="L99" s="149">
        <v>0</v>
      </c>
      <c r="M99" s="149">
        <v>0</v>
      </c>
      <c r="N99" s="149">
        <v>0</v>
      </c>
      <c r="O99" s="149">
        <f t="shared" ref="O99" si="53">I99+K99+L99+M99+N99</f>
        <v>9.56</v>
      </c>
      <c r="P99" s="149">
        <f t="shared" ref="P99" si="54">J99+K99+L99+M99+N99</f>
        <v>14.52</v>
      </c>
      <c r="Q99" s="149">
        <v>0</v>
      </c>
      <c r="R99" s="149">
        <v>0</v>
      </c>
      <c r="S99" s="149">
        <v>0</v>
      </c>
      <c r="T99" s="149">
        <v>0</v>
      </c>
      <c r="U99" s="149">
        <v>0</v>
      </c>
      <c r="V99" s="149">
        <f t="shared" si="42"/>
        <v>0</v>
      </c>
      <c r="W99" s="149">
        <v>0</v>
      </c>
      <c r="X99" s="136">
        <f t="shared" si="37"/>
        <v>9.56</v>
      </c>
      <c r="Y99" s="149">
        <v>0</v>
      </c>
      <c r="Z99" s="136">
        <f t="shared" si="35"/>
        <v>9.56</v>
      </c>
      <c r="AA99" s="150">
        <v>240</v>
      </c>
      <c r="AB99" s="148" t="s">
        <v>69</v>
      </c>
      <c r="AC99" s="147" t="s">
        <v>1261</v>
      </c>
      <c r="AD99" s="147" t="s">
        <v>590</v>
      </c>
      <c r="AE99" s="147" t="s">
        <v>538</v>
      </c>
      <c r="AF99" s="147" t="s">
        <v>1262</v>
      </c>
    </row>
    <row r="100" spans="1:32" ht="74.45" customHeight="1" x14ac:dyDescent="0.2">
      <c r="A100" s="422"/>
      <c r="B100" s="162" t="s">
        <v>235</v>
      </c>
      <c r="C100" s="147" t="s">
        <v>1263</v>
      </c>
      <c r="D100" s="148" t="s">
        <v>237</v>
      </c>
      <c r="E100" s="148"/>
      <c r="F100" s="149">
        <v>0</v>
      </c>
      <c r="G100" s="149">
        <v>0</v>
      </c>
      <c r="H100" s="148" t="s">
        <v>46</v>
      </c>
      <c r="I100" s="149">
        <v>0</v>
      </c>
      <c r="J100" s="149">
        <v>0</v>
      </c>
      <c r="K100" s="149">
        <v>0</v>
      </c>
      <c r="L100" s="149">
        <v>0</v>
      </c>
      <c r="M100" s="149">
        <v>0</v>
      </c>
      <c r="N100" s="149">
        <v>0</v>
      </c>
      <c r="O100" s="149">
        <f>I100+K100+L100+M100+N100</f>
        <v>0</v>
      </c>
      <c r="P100" s="149">
        <f>J100+K100+L100+M100+N100</f>
        <v>0</v>
      </c>
      <c r="Q100" s="149">
        <v>0</v>
      </c>
      <c r="R100" s="149">
        <v>0</v>
      </c>
      <c r="S100" s="149">
        <v>0</v>
      </c>
      <c r="T100" s="149">
        <v>0</v>
      </c>
      <c r="U100" s="149">
        <v>0</v>
      </c>
      <c r="V100" s="149">
        <f t="shared" si="42"/>
        <v>0</v>
      </c>
      <c r="W100" s="149">
        <v>0</v>
      </c>
      <c r="X100" s="136">
        <f t="shared" si="37"/>
        <v>0</v>
      </c>
      <c r="Y100" s="149">
        <v>0</v>
      </c>
      <c r="Z100" s="136">
        <f t="shared" si="35"/>
        <v>0</v>
      </c>
      <c r="AA100" s="150">
        <v>165.85</v>
      </c>
      <c r="AB100" s="148" t="s">
        <v>69</v>
      </c>
      <c r="AC100" s="147" t="s">
        <v>252</v>
      </c>
      <c r="AD100" s="147" t="s">
        <v>253</v>
      </c>
      <c r="AE100" s="147" t="s">
        <v>238</v>
      </c>
      <c r="AF100" s="147" t="s">
        <v>169</v>
      </c>
    </row>
    <row r="101" spans="1:32" ht="36" customHeight="1" x14ac:dyDescent="0.2">
      <c r="A101" s="422"/>
      <c r="B101" s="421" t="s">
        <v>592</v>
      </c>
      <c r="C101" s="421"/>
      <c r="D101" s="143" t="s">
        <v>593</v>
      </c>
      <c r="E101" s="143" t="s">
        <v>48</v>
      </c>
      <c r="F101" s="144">
        <f>SUM(F102)</f>
        <v>0</v>
      </c>
      <c r="G101" s="144">
        <f>SUM(G102)</f>
        <v>24.2</v>
      </c>
      <c r="H101" s="143" t="s">
        <v>48</v>
      </c>
      <c r="I101" s="144">
        <f>SUM(I102)</f>
        <v>7.6989999999999998</v>
      </c>
      <c r="J101" s="144">
        <f t="shared" ref="J101:N101" si="55">SUM(J102)</f>
        <v>72.858000000000004</v>
      </c>
      <c r="K101" s="144">
        <f t="shared" si="55"/>
        <v>0</v>
      </c>
      <c r="L101" s="144">
        <f t="shared" si="55"/>
        <v>0</v>
      </c>
      <c r="M101" s="144">
        <f t="shared" si="55"/>
        <v>0</v>
      </c>
      <c r="N101" s="144">
        <f t="shared" si="55"/>
        <v>0</v>
      </c>
      <c r="O101" s="152">
        <f>I101+K101+L101+M101+N101</f>
        <v>7.6989999999999998</v>
      </c>
      <c r="P101" s="152">
        <f>J101+K101+L101+M101+N101</f>
        <v>72.858000000000004</v>
      </c>
      <c r="Q101" s="144">
        <f>SUM(Q102)</f>
        <v>0</v>
      </c>
      <c r="R101" s="144">
        <f>SUM(R102)</f>
        <v>0</v>
      </c>
      <c r="S101" s="144">
        <f>SUM(S102)</f>
        <v>0</v>
      </c>
      <c r="T101" s="144">
        <f>SUM(T102)</f>
        <v>0</v>
      </c>
      <c r="U101" s="144">
        <f>SUM(U102)</f>
        <v>0</v>
      </c>
      <c r="V101" s="152">
        <f t="shared" si="42"/>
        <v>0</v>
      </c>
      <c r="W101" s="144">
        <f>SUM(W102)</f>
        <v>0</v>
      </c>
      <c r="X101" s="145">
        <f t="shared" si="37"/>
        <v>7.6989999999999998</v>
      </c>
      <c r="Y101" s="144">
        <f>SUM(Y102)</f>
        <v>0</v>
      </c>
      <c r="Z101" s="145">
        <f t="shared" si="35"/>
        <v>31.899000000000001</v>
      </c>
      <c r="AA101" s="142" t="s">
        <v>48</v>
      </c>
      <c r="AB101" s="143" t="s">
        <v>48</v>
      </c>
      <c r="AC101" s="143" t="s">
        <v>48</v>
      </c>
      <c r="AD101" s="143" t="s">
        <v>48</v>
      </c>
      <c r="AE101" s="143" t="s">
        <v>48</v>
      </c>
      <c r="AF101" s="143" t="s">
        <v>48</v>
      </c>
    </row>
    <row r="102" spans="1:32" ht="91.9" customHeight="1" x14ac:dyDescent="0.2">
      <c r="A102" s="422"/>
      <c r="B102" s="161" t="s">
        <v>594</v>
      </c>
      <c r="C102" s="147" t="s">
        <v>595</v>
      </c>
      <c r="D102" s="148" t="s">
        <v>596</v>
      </c>
      <c r="E102" s="148" t="s">
        <v>69</v>
      </c>
      <c r="F102" s="149">
        <v>0</v>
      </c>
      <c r="G102" s="149">
        <v>24.2</v>
      </c>
      <c r="H102" s="148" t="s">
        <v>152</v>
      </c>
      <c r="I102" s="149">
        <v>7.6989999999999998</v>
      </c>
      <c r="J102" s="149">
        <v>72.858000000000004</v>
      </c>
      <c r="K102" s="149">
        <v>0</v>
      </c>
      <c r="L102" s="149">
        <v>0</v>
      </c>
      <c r="M102" s="149">
        <v>0</v>
      </c>
      <c r="N102" s="149">
        <v>0</v>
      </c>
      <c r="O102" s="149">
        <f t="shared" ref="O102" si="56">I102+K102+L102+M102+N102</f>
        <v>7.6989999999999998</v>
      </c>
      <c r="P102" s="149">
        <f t="shared" ref="P102" si="57">J102+K102+L102+M102+N102</f>
        <v>72.858000000000004</v>
      </c>
      <c r="Q102" s="149">
        <v>0</v>
      </c>
      <c r="R102" s="149">
        <v>0</v>
      </c>
      <c r="S102" s="149">
        <v>0</v>
      </c>
      <c r="T102" s="149">
        <v>0</v>
      </c>
      <c r="U102" s="149">
        <v>0</v>
      </c>
      <c r="V102" s="149">
        <f t="shared" si="42"/>
        <v>0</v>
      </c>
      <c r="W102" s="149">
        <v>0</v>
      </c>
      <c r="X102" s="136">
        <f t="shared" si="37"/>
        <v>7.6989999999999998</v>
      </c>
      <c r="Y102" s="149">
        <v>0</v>
      </c>
      <c r="Z102" s="136">
        <f t="shared" si="35"/>
        <v>31.899000000000001</v>
      </c>
      <c r="AA102" s="150">
        <v>240</v>
      </c>
      <c r="AB102" s="148" t="s">
        <v>69</v>
      </c>
      <c r="AC102" s="147" t="s">
        <v>1264</v>
      </c>
      <c r="AD102" s="147" t="s">
        <v>598</v>
      </c>
      <c r="AE102" s="147" t="s">
        <v>538</v>
      </c>
      <c r="AF102" s="147" t="s">
        <v>1265</v>
      </c>
    </row>
    <row r="103" spans="1:32" ht="25.15" customHeight="1" x14ac:dyDescent="0.2">
      <c r="A103" s="426"/>
      <c r="B103" s="427" t="s">
        <v>1015</v>
      </c>
      <c r="C103" s="427"/>
      <c r="D103" s="165" t="s">
        <v>601</v>
      </c>
      <c r="E103" s="165" t="s">
        <v>48</v>
      </c>
      <c r="F103" s="166">
        <f>F104+F108+F111</f>
        <v>279.89</v>
      </c>
      <c r="G103" s="166">
        <f>G104+G108+G111</f>
        <v>40.03</v>
      </c>
      <c r="H103" s="165" t="s">
        <v>48</v>
      </c>
      <c r="I103" s="166">
        <f>I104+I108+I111</f>
        <v>18.276</v>
      </c>
      <c r="J103" s="166">
        <f t="shared" ref="J103:N103" si="58">J104+J108+J111</f>
        <v>385.67399999999998</v>
      </c>
      <c r="K103" s="166">
        <f t="shared" si="58"/>
        <v>0</v>
      </c>
      <c r="L103" s="166">
        <f t="shared" si="58"/>
        <v>0</v>
      </c>
      <c r="M103" s="166">
        <f t="shared" si="58"/>
        <v>0</v>
      </c>
      <c r="N103" s="166">
        <f t="shared" si="58"/>
        <v>25</v>
      </c>
      <c r="O103" s="166">
        <f>I103+K103+L103+M103+N103</f>
        <v>43.275999999999996</v>
      </c>
      <c r="P103" s="166">
        <f>J103+K103+L103+M103+N103</f>
        <v>410.67399999999998</v>
      </c>
      <c r="Q103" s="166">
        <f>Q104+Q108+Q111</f>
        <v>18</v>
      </c>
      <c r="R103" s="166">
        <f>R104+R108+R111</f>
        <v>0</v>
      </c>
      <c r="S103" s="166">
        <f>S104+S108+S111</f>
        <v>0</v>
      </c>
      <c r="T103" s="166">
        <f>T104+T108+T111</f>
        <v>0</v>
      </c>
      <c r="U103" s="166">
        <f>U104+U108+U111</f>
        <v>5</v>
      </c>
      <c r="V103" s="166">
        <f t="shared" si="42"/>
        <v>23</v>
      </c>
      <c r="W103" s="166">
        <f>W104+W108+W111</f>
        <v>245</v>
      </c>
      <c r="X103" s="167">
        <f t="shared" si="37"/>
        <v>311.27600000000001</v>
      </c>
      <c r="Y103" s="166">
        <f>Y104+Y108+Y111</f>
        <v>0</v>
      </c>
      <c r="Z103" s="167">
        <f t="shared" si="35"/>
        <v>631.19600000000003</v>
      </c>
      <c r="AA103" s="164" t="s">
        <v>48</v>
      </c>
      <c r="AB103" s="165" t="s">
        <v>48</v>
      </c>
      <c r="AC103" s="165" t="s">
        <v>48</v>
      </c>
      <c r="AD103" s="165" t="s">
        <v>48</v>
      </c>
      <c r="AE103" s="165" t="s">
        <v>48</v>
      </c>
      <c r="AF103" s="165" t="s">
        <v>48</v>
      </c>
    </row>
    <row r="104" spans="1:32" ht="25.15" customHeight="1" x14ac:dyDescent="0.2">
      <c r="A104" s="426"/>
      <c r="B104" s="421" t="s">
        <v>1016</v>
      </c>
      <c r="C104" s="421"/>
      <c r="D104" s="143" t="s">
        <v>603</v>
      </c>
      <c r="E104" s="143" t="s">
        <v>48</v>
      </c>
      <c r="F104" s="144">
        <f>SUM(F105:F107)</f>
        <v>0</v>
      </c>
      <c r="G104" s="144">
        <f>SUM(G105:G107)</f>
        <v>0</v>
      </c>
      <c r="H104" s="143" t="s">
        <v>48</v>
      </c>
      <c r="I104" s="144">
        <f>SUM(I105:I107)</f>
        <v>13.92</v>
      </c>
      <c r="J104" s="144">
        <f t="shared" ref="J104:N104" si="59">SUM(J105:J107)</f>
        <v>122.83199999999999</v>
      </c>
      <c r="K104" s="144">
        <f t="shared" si="59"/>
        <v>0</v>
      </c>
      <c r="L104" s="144">
        <f t="shared" si="59"/>
        <v>0</v>
      </c>
      <c r="M104" s="144">
        <f t="shared" si="59"/>
        <v>0</v>
      </c>
      <c r="N104" s="144">
        <f t="shared" si="59"/>
        <v>0</v>
      </c>
      <c r="O104" s="152">
        <f>I104+K104+L104+M104+N104</f>
        <v>13.92</v>
      </c>
      <c r="P104" s="152">
        <f>J104+K104+L104+M104+N104</f>
        <v>122.83199999999999</v>
      </c>
      <c r="Q104" s="144">
        <f>SUM(Q105:Q107)</f>
        <v>0</v>
      </c>
      <c r="R104" s="144">
        <f>SUM(R105:R107)</f>
        <v>0</v>
      </c>
      <c r="S104" s="144">
        <f>SUM(S105:S107)</f>
        <v>0</v>
      </c>
      <c r="T104" s="144">
        <f>SUM(T105:T107)</f>
        <v>0</v>
      </c>
      <c r="U104" s="144">
        <f>SUM(U105:U107)</f>
        <v>0</v>
      </c>
      <c r="V104" s="152">
        <f t="shared" si="42"/>
        <v>0</v>
      </c>
      <c r="W104" s="144">
        <f>SUM(W105:W107)</f>
        <v>0</v>
      </c>
      <c r="X104" s="145">
        <f t="shared" si="37"/>
        <v>13.92</v>
      </c>
      <c r="Y104" s="144">
        <f>SUM(Y105:Y107)</f>
        <v>0</v>
      </c>
      <c r="Z104" s="145">
        <f t="shared" si="35"/>
        <v>13.92</v>
      </c>
      <c r="AA104" s="142" t="s">
        <v>48</v>
      </c>
      <c r="AB104" s="143" t="s">
        <v>48</v>
      </c>
      <c r="AC104" s="143" t="s">
        <v>48</v>
      </c>
      <c r="AD104" s="143" t="s">
        <v>48</v>
      </c>
      <c r="AE104" s="143" t="s">
        <v>48</v>
      </c>
      <c r="AF104" s="143" t="s">
        <v>48</v>
      </c>
    </row>
    <row r="105" spans="1:32" ht="90.6" customHeight="1" x14ac:dyDescent="0.2">
      <c r="A105" s="426"/>
      <c r="B105" s="168" t="s">
        <v>604</v>
      </c>
      <c r="C105" s="147" t="s">
        <v>22</v>
      </c>
      <c r="D105" s="148" t="s">
        <v>165</v>
      </c>
      <c r="E105" s="148" t="s">
        <v>7</v>
      </c>
      <c r="F105" s="149">
        <v>0</v>
      </c>
      <c r="G105" s="149">
        <v>0</v>
      </c>
      <c r="H105" s="148" t="s">
        <v>46</v>
      </c>
      <c r="I105" s="149">
        <v>13.92</v>
      </c>
      <c r="J105" s="149">
        <v>122.83199999999999</v>
      </c>
      <c r="K105" s="149">
        <v>0</v>
      </c>
      <c r="L105" s="149">
        <v>0</v>
      </c>
      <c r="M105" s="149">
        <v>0</v>
      </c>
      <c r="N105" s="149">
        <v>0</v>
      </c>
      <c r="O105" s="149">
        <f t="shared" ref="O105:O106" si="60">I105+K105+L105+M105+N105</f>
        <v>13.92</v>
      </c>
      <c r="P105" s="149">
        <f t="shared" ref="P105:P106" si="61">J105+K105+L105+M105+N105</f>
        <v>122.83199999999999</v>
      </c>
      <c r="Q105" s="149">
        <v>0</v>
      </c>
      <c r="R105" s="149">
        <v>0</v>
      </c>
      <c r="S105" s="149">
        <v>0</v>
      </c>
      <c r="T105" s="149">
        <v>0</v>
      </c>
      <c r="U105" s="149">
        <v>0</v>
      </c>
      <c r="V105" s="149">
        <f t="shared" si="42"/>
        <v>0</v>
      </c>
      <c r="W105" s="149">
        <v>0</v>
      </c>
      <c r="X105" s="136">
        <f t="shared" si="37"/>
        <v>13.92</v>
      </c>
      <c r="Y105" s="149">
        <v>0</v>
      </c>
      <c r="Z105" s="136">
        <f t="shared" si="35"/>
        <v>13.92</v>
      </c>
      <c r="AA105" s="150">
        <v>240</v>
      </c>
      <c r="AB105" s="148" t="s">
        <v>69</v>
      </c>
      <c r="AC105" s="147" t="s">
        <v>1266</v>
      </c>
      <c r="AD105" s="147" t="s">
        <v>48</v>
      </c>
      <c r="AE105" s="147" t="s">
        <v>538</v>
      </c>
      <c r="AF105" s="147" t="s">
        <v>1267</v>
      </c>
    </row>
    <row r="106" spans="1:32" ht="57.6" customHeight="1" x14ac:dyDescent="0.2">
      <c r="A106" s="426"/>
      <c r="B106" s="168" t="s">
        <v>608</v>
      </c>
      <c r="C106" s="147" t="s">
        <v>609</v>
      </c>
      <c r="D106" s="148" t="s">
        <v>610</v>
      </c>
      <c r="E106" s="148" t="s">
        <v>7</v>
      </c>
      <c r="F106" s="149">
        <v>0</v>
      </c>
      <c r="G106" s="149">
        <v>0</v>
      </c>
      <c r="H106" s="148" t="s">
        <v>152</v>
      </c>
      <c r="I106" s="149">
        <v>0</v>
      </c>
      <c r="J106" s="149">
        <v>0</v>
      </c>
      <c r="K106" s="149">
        <v>0</v>
      </c>
      <c r="L106" s="149">
        <v>0</v>
      </c>
      <c r="M106" s="149">
        <v>0</v>
      </c>
      <c r="N106" s="149">
        <v>0</v>
      </c>
      <c r="O106" s="149">
        <f t="shared" si="60"/>
        <v>0</v>
      </c>
      <c r="P106" s="149">
        <f t="shared" si="61"/>
        <v>0</v>
      </c>
      <c r="Q106" s="149">
        <v>0</v>
      </c>
      <c r="R106" s="149">
        <v>0</v>
      </c>
      <c r="S106" s="149">
        <v>0</v>
      </c>
      <c r="T106" s="149">
        <v>0</v>
      </c>
      <c r="U106" s="149">
        <v>0</v>
      </c>
      <c r="V106" s="149">
        <f t="shared" si="42"/>
        <v>0</v>
      </c>
      <c r="W106" s="149">
        <v>0</v>
      </c>
      <c r="X106" s="136">
        <f t="shared" si="37"/>
        <v>0</v>
      </c>
      <c r="Y106" s="149">
        <v>0</v>
      </c>
      <c r="Z106" s="136">
        <f t="shared" si="35"/>
        <v>0</v>
      </c>
      <c r="AA106" s="150">
        <v>240</v>
      </c>
      <c r="AB106" s="148" t="s">
        <v>69</v>
      </c>
      <c r="AC106" s="147" t="s">
        <v>606</v>
      </c>
      <c r="AD106" s="147" t="s">
        <v>48</v>
      </c>
      <c r="AE106" s="147" t="s">
        <v>538</v>
      </c>
      <c r="AF106" s="147" t="s">
        <v>1268</v>
      </c>
    </row>
    <row r="107" spans="1:32" ht="21" hidden="1" x14ac:dyDescent="0.2">
      <c r="A107" s="426"/>
      <c r="B107" s="168" t="s">
        <v>1019</v>
      </c>
      <c r="C107" s="147" t="s">
        <v>1020</v>
      </c>
      <c r="D107" s="148" t="s">
        <v>1021</v>
      </c>
      <c r="E107" s="148" t="s">
        <v>7</v>
      </c>
      <c r="F107" s="149">
        <v>0</v>
      </c>
      <c r="G107" s="149">
        <v>0</v>
      </c>
      <c r="H107" s="148" t="s">
        <v>152</v>
      </c>
      <c r="I107" s="149">
        <v>0</v>
      </c>
      <c r="J107" s="149"/>
      <c r="K107" s="149">
        <v>0</v>
      </c>
      <c r="L107" s="149">
        <v>0</v>
      </c>
      <c r="M107" s="149">
        <v>0</v>
      </c>
      <c r="N107" s="149">
        <v>0</v>
      </c>
      <c r="O107" s="149">
        <f>SUM(I107:N107)</f>
        <v>0</v>
      </c>
      <c r="P107" s="149"/>
      <c r="Q107" s="149">
        <v>0</v>
      </c>
      <c r="R107" s="149">
        <v>0</v>
      </c>
      <c r="S107" s="149">
        <v>0</v>
      </c>
      <c r="T107" s="149">
        <v>0</v>
      </c>
      <c r="U107" s="149">
        <v>0</v>
      </c>
      <c r="V107" s="149">
        <f t="shared" si="42"/>
        <v>0</v>
      </c>
      <c r="W107" s="149">
        <v>0</v>
      </c>
      <c r="X107" s="136">
        <f t="shared" si="37"/>
        <v>0</v>
      </c>
      <c r="Y107" s="149">
        <v>0</v>
      </c>
      <c r="Z107" s="136">
        <f t="shared" si="35"/>
        <v>0</v>
      </c>
      <c r="AA107" s="150">
        <v>2400</v>
      </c>
      <c r="AB107" s="148" t="s">
        <v>7</v>
      </c>
      <c r="AC107" s="147" t="s">
        <v>1022</v>
      </c>
      <c r="AD107" s="147" t="s">
        <v>1023</v>
      </c>
      <c r="AE107" s="147" t="s">
        <v>87</v>
      </c>
      <c r="AF107" s="169"/>
    </row>
    <row r="108" spans="1:32" ht="25.15" customHeight="1" x14ac:dyDescent="0.2">
      <c r="A108" s="426"/>
      <c r="B108" s="421" t="s">
        <v>1024</v>
      </c>
      <c r="C108" s="421"/>
      <c r="D108" s="143" t="s">
        <v>612</v>
      </c>
      <c r="E108" s="143" t="s">
        <v>48</v>
      </c>
      <c r="F108" s="144">
        <f>SUM(F109:F110)</f>
        <v>270.33</v>
      </c>
      <c r="G108" s="144">
        <f>SUM(G109:G110)</f>
        <v>37</v>
      </c>
      <c r="H108" s="143" t="s">
        <v>48</v>
      </c>
      <c r="I108" s="144">
        <f>SUM(I109:I110)</f>
        <v>0</v>
      </c>
      <c r="J108" s="144">
        <f t="shared" ref="J108:N108" si="62">SUM(J109:J110)</f>
        <v>177.48099999999999</v>
      </c>
      <c r="K108" s="144">
        <f t="shared" si="62"/>
        <v>0</v>
      </c>
      <c r="L108" s="144">
        <f t="shared" si="62"/>
        <v>0</v>
      </c>
      <c r="M108" s="144">
        <f t="shared" si="62"/>
        <v>0</v>
      </c>
      <c r="N108" s="144">
        <f t="shared" si="62"/>
        <v>25</v>
      </c>
      <c r="O108" s="152">
        <f>I108+K108+L108+M108+N108</f>
        <v>25</v>
      </c>
      <c r="P108" s="152">
        <f>J108+K108+L108+M108+N108</f>
        <v>202.48099999999999</v>
      </c>
      <c r="Q108" s="144">
        <f>SUM(Q109:Q110)</f>
        <v>18</v>
      </c>
      <c r="R108" s="144">
        <f>SUM(R109:R110)</f>
        <v>0</v>
      </c>
      <c r="S108" s="144">
        <f>SUM(S109:S110)</f>
        <v>0</v>
      </c>
      <c r="T108" s="144">
        <f>SUM(T109:T110)</f>
        <v>0</v>
      </c>
      <c r="U108" s="144">
        <f>SUM(U109:U110)</f>
        <v>5</v>
      </c>
      <c r="V108" s="152">
        <f t="shared" si="42"/>
        <v>23</v>
      </c>
      <c r="W108" s="144">
        <f>SUM(W109:W110)</f>
        <v>245</v>
      </c>
      <c r="X108" s="145">
        <f t="shared" si="37"/>
        <v>293</v>
      </c>
      <c r="Y108" s="144">
        <f>SUM(Y109:Y110)</f>
        <v>0</v>
      </c>
      <c r="Z108" s="145">
        <f t="shared" si="35"/>
        <v>600.32999999999993</v>
      </c>
      <c r="AA108" s="142" t="s">
        <v>48</v>
      </c>
      <c r="AB108" s="143" t="s">
        <v>48</v>
      </c>
      <c r="AC108" s="143" t="s">
        <v>48</v>
      </c>
      <c r="AD108" s="143" t="s">
        <v>48</v>
      </c>
      <c r="AE108" s="143" t="s">
        <v>48</v>
      </c>
      <c r="AF108" s="143" t="s">
        <v>48</v>
      </c>
    </row>
    <row r="109" spans="1:32" ht="107.45" customHeight="1" x14ac:dyDescent="0.2">
      <c r="A109" s="426"/>
      <c r="B109" s="168" t="s">
        <v>613</v>
      </c>
      <c r="C109" s="147" t="s">
        <v>614</v>
      </c>
      <c r="D109" s="148" t="s">
        <v>615</v>
      </c>
      <c r="E109" s="148" t="s">
        <v>7</v>
      </c>
      <c r="F109" s="149">
        <v>270.33</v>
      </c>
      <c r="G109" s="149">
        <v>37</v>
      </c>
      <c r="H109" s="148" t="s">
        <v>152</v>
      </c>
      <c r="I109" s="149">
        <v>0</v>
      </c>
      <c r="J109" s="149">
        <v>177.48099999999999</v>
      </c>
      <c r="K109" s="149">
        <v>0</v>
      </c>
      <c r="L109" s="149">
        <v>0</v>
      </c>
      <c r="M109" s="149">
        <v>0</v>
      </c>
      <c r="N109" s="149">
        <v>25</v>
      </c>
      <c r="O109" s="149">
        <f t="shared" ref="O109" si="63">I109+K109+L109+M109+N109</f>
        <v>25</v>
      </c>
      <c r="P109" s="149">
        <f t="shared" ref="P109" si="64">J109+K109+L109+M109+N109</f>
        <v>202.48099999999999</v>
      </c>
      <c r="Q109" s="149">
        <v>18</v>
      </c>
      <c r="R109" s="149">
        <v>0</v>
      </c>
      <c r="S109" s="149">
        <v>0</v>
      </c>
      <c r="T109" s="149">
        <v>0</v>
      </c>
      <c r="U109" s="149">
        <v>5</v>
      </c>
      <c r="V109" s="149">
        <f t="shared" si="42"/>
        <v>23</v>
      </c>
      <c r="W109" s="149">
        <v>245</v>
      </c>
      <c r="X109" s="136">
        <f t="shared" si="37"/>
        <v>293</v>
      </c>
      <c r="Y109" s="149">
        <v>0</v>
      </c>
      <c r="Z109" s="136">
        <f t="shared" si="35"/>
        <v>600.32999999999993</v>
      </c>
      <c r="AA109" s="150">
        <v>9600</v>
      </c>
      <c r="AB109" s="148" t="s">
        <v>81</v>
      </c>
      <c r="AC109" s="147" t="s">
        <v>48</v>
      </c>
      <c r="AD109" s="147" t="s">
        <v>1026</v>
      </c>
      <c r="AE109" s="147" t="s">
        <v>124</v>
      </c>
      <c r="AF109" s="147" t="s">
        <v>1269</v>
      </c>
    </row>
    <row r="110" spans="1:32" ht="63" hidden="1" x14ac:dyDescent="0.2">
      <c r="A110" s="426"/>
      <c r="B110" s="168" t="s">
        <v>619</v>
      </c>
      <c r="C110" s="147" t="s">
        <v>620</v>
      </c>
      <c r="D110" s="148" t="s">
        <v>621</v>
      </c>
      <c r="E110" s="148" t="s">
        <v>69</v>
      </c>
      <c r="F110" s="149">
        <v>0</v>
      </c>
      <c r="G110" s="149">
        <v>0</v>
      </c>
      <c r="H110" s="148" t="s">
        <v>152</v>
      </c>
      <c r="I110" s="149">
        <v>0</v>
      </c>
      <c r="J110" s="149"/>
      <c r="K110" s="149">
        <v>0</v>
      </c>
      <c r="L110" s="149">
        <v>0</v>
      </c>
      <c r="M110" s="149">
        <v>0</v>
      </c>
      <c r="N110" s="149">
        <v>0</v>
      </c>
      <c r="O110" s="149">
        <f t="shared" ref="O110:O122" si="65">SUM(I110:N110)</f>
        <v>0</v>
      </c>
      <c r="P110" s="149"/>
      <c r="Q110" s="149">
        <v>0</v>
      </c>
      <c r="R110" s="149">
        <v>0</v>
      </c>
      <c r="S110" s="149">
        <v>0</v>
      </c>
      <c r="T110" s="149">
        <v>0</v>
      </c>
      <c r="U110" s="149">
        <v>0</v>
      </c>
      <c r="V110" s="149">
        <f t="shared" si="42"/>
        <v>0</v>
      </c>
      <c r="W110" s="149">
        <v>0</v>
      </c>
      <c r="X110" s="136">
        <f t="shared" si="37"/>
        <v>0</v>
      </c>
      <c r="Y110" s="149">
        <v>0</v>
      </c>
      <c r="Z110" s="136">
        <f t="shared" si="35"/>
        <v>0</v>
      </c>
      <c r="AA110" s="150">
        <v>240</v>
      </c>
      <c r="AB110" s="148" t="s">
        <v>7</v>
      </c>
      <c r="AC110" s="147" t="s">
        <v>1028</v>
      </c>
      <c r="AD110" s="147" t="s">
        <v>623</v>
      </c>
      <c r="AE110" s="147" t="s">
        <v>538</v>
      </c>
      <c r="AF110" s="147" t="s">
        <v>624</v>
      </c>
    </row>
    <row r="111" spans="1:32" ht="25.15" customHeight="1" x14ac:dyDescent="0.2">
      <c r="A111" s="426"/>
      <c r="B111" s="421" t="s">
        <v>1029</v>
      </c>
      <c r="C111" s="421"/>
      <c r="D111" s="143" t="s">
        <v>626</v>
      </c>
      <c r="E111" s="143" t="s">
        <v>48</v>
      </c>
      <c r="F111" s="144">
        <f>SUM(F112:F113)</f>
        <v>9.56</v>
      </c>
      <c r="G111" s="144">
        <f>SUM(G112:G113)</f>
        <v>3.03</v>
      </c>
      <c r="H111" s="143" t="s">
        <v>48</v>
      </c>
      <c r="I111" s="144">
        <f>SUM(I112:I113)</f>
        <v>4.3559999999999999</v>
      </c>
      <c r="J111" s="144">
        <f t="shared" ref="J111:N111" si="66">SUM(J112:J113)</f>
        <v>85.361000000000004</v>
      </c>
      <c r="K111" s="144">
        <f t="shared" si="66"/>
        <v>0</v>
      </c>
      <c r="L111" s="144">
        <f t="shared" si="66"/>
        <v>0</v>
      </c>
      <c r="M111" s="144">
        <f t="shared" si="66"/>
        <v>0</v>
      </c>
      <c r="N111" s="144">
        <f t="shared" si="66"/>
        <v>0</v>
      </c>
      <c r="O111" s="152">
        <f>I111+K111+L111+M111+N111</f>
        <v>4.3559999999999999</v>
      </c>
      <c r="P111" s="152">
        <f>J111+K111+L111+M111+N111</f>
        <v>85.361000000000004</v>
      </c>
      <c r="Q111" s="144">
        <f>SUM(Q112:Q113)</f>
        <v>0</v>
      </c>
      <c r="R111" s="144">
        <f>SUM(R112:R113)</f>
        <v>0</v>
      </c>
      <c r="S111" s="144">
        <f>SUM(S112:S113)</f>
        <v>0</v>
      </c>
      <c r="T111" s="144">
        <f>SUM(T112:T113)</f>
        <v>0</v>
      </c>
      <c r="U111" s="144">
        <f>SUM(U112:U113)</f>
        <v>0</v>
      </c>
      <c r="V111" s="152">
        <f t="shared" si="42"/>
        <v>0</v>
      </c>
      <c r="W111" s="144">
        <f>SUM(W112:W113)</f>
        <v>0</v>
      </c>
      <c r="X111" s="145">
        <f t="shared" si="37"/>
        <v>4.3559999999999999</v>
      </c>
      <c r="Y111" s="144">
        <f>SUM(Y112:Y113)</f>
        <v>0</v>
      </c>
      <c r="Z111" s="145">
        <f t="shared" si="35"/>
        <v>16.945999999999998</v>
      </c>
      <c r="AA111" s="142" t="s">
        <v>48</v>
      </c>
      <c r="AB111" s="143" t="s">
        <v>48</v>
      </c>
      <c r="AC111" s="143" t="s">
        <v>48</v>
      </c>
      <c r="AD111" s="143" t="s">
        <v>48</v>
      </c>
      <c r="AE111" s="143" t="s">
        <v>48</v>
      </c>
      <c r="AF111" s="143" t="s">
        <v>48</v>
      </c>
    </row>
    <row r="112" spans="1:32" ht="88.9" customHeight="1" x14ac:dyDescent="0.2">
      <c r="A112" s="426"/>
      <c r="B112" s="168" t="s">
        <v>627</v>
      </c>
      <c r="C112" s="147" t="s">
        <v>75</v>
      </c>
      <c r="D112" s="148" t="s">
        <v>118</v>
      </c>
      <c r="E112" s="148" t="s">
        <v>7</v>
      </c>
      <c r="F112" s="149">
        <v>9.56</v>
      </c>
      <c r="G112" s="149">
        <v>3.03</v>
      </c>
      <c r="H112" s="148" t="s">
        <v>152</v>
      </c>
      <c r="I112" s="149">
        <v>3.0249999999999999</v>
      </c>
      <c r="J112" s="149">
        <v>84.03</v>
      </c>
      <c r="K112" s="149">
        <v>0</v>
      </c>
      <c r="L112" s="149">
        <v>0</v>
      </c>
      <c r="M112" s="149">
        <v>0</v>
      </c>
      <c r="N112" s="149">
        <v>0</v>
      </c>
      <c r="O112" s="149">
        <f t="shared" ref="O112:O113" si="67">I112+K112+L112+M112+N112</f>
        <v>3.0249999999999999</v>
      </c>
      <c r="P112" s="149">
        <f t="shared" ref="P112:P113" si="68">J112+K112+L112+M112+N112</f>
        <v>84.03</v>
      </c>
      <c r="Q112" s="149">
        <v>0</v>
      </c>
      <c r="R112" s="149">
        <v>0</v>
      </c>
      <c r="S112" s="149">
        <v>0</v>
      </c>
      <c r="T112" s="149">
        <v>0</v>
      </c>
      <c r="U112" s="149">
        <v>0</v>
      </c>
      <c r="V112" s="149">
        <f t="shared" si="42"/>
        <v>0</v>
      </c>
      <c r="W112" s="149">
        <v>0</v>
      </c>
      <c r="X112" s="136">
        <f t="shared" si="37"/>
        <v>3.0249999999999999</v>
      </c>
      <c r="Y112" s="149">
        <v>0</v>
      </c>
      <c r="Z112" s="136">
        <f t="shared" si="35"/>
        <v>15.615</v>
      </c>
      <c r="AA112" s="150">
        <v>1200</v>
      </c>
      <c r="AB112" s="148" t="s">
        <v>7</v>
      </c>
      <c r="AC112" s="147" t="s">
        <v>1270</v>
      </c>
      <c r="AD112" s="147" t="s">
        <v>48</v>
      </c>
      <c r="AE112" s="147" t="s">
        <v>538</v>
      </c>
      <c r="AF112" s="147" t="s">
        <v>1271</v>
      </c>
    </row>
    <row r="113" spans="1:32" ht="34.5" customHeight="1" x14ac:dyDescent="0.2">
      <c r="A113" s="426"/>
      <c r="B113" s="168" t="s">
        <v>1031</v>
      </c>
      <c r="C113" s="147" t="s">
        <v>1032</v>
      </c>
      <c r="D113" s="148" t="s">
        <v>1033</v>
      </c>
      <c r="E113" s="148" t="s">
        <v>69</v>
      </c>
      <c r="F113" s="149">
        <v>0</v>
      </c>
      <c r="G113" s="149">
        <v>0</v>
      </c>
      <c r="H113" s="148" t="s">
        <v>446</v>
      </c>
      <c r="I113" s="149">
        <v>1.331</v>
      </c>
      <c r="J113" s="149">
        <v>1.331</v>
      </c>
      <c r="K113" s="149">
        <v>0</v>
      </c>
      <c r="L113" s="149">
        <v>0</v>
      </c>
      <c r="M113" s="149">
        <v>0</v>
      </c>
      <c r="N113" s="149">
        <v>0</v>
      </c>
      <c r="O113" s="149">
        <f t="shared" si="67"/>
        <v>1.331</v>
      </c>
      <c r="P113" s="149">
        <f t="shared" si="68"/>
        <v>1.331</v>
      </c>
      <c r="Q113" s="149">
        <v>0</v>
      </c>
      <c r="R113" s="149">
        <v>0</v>
      </c>
      <c r="S113" s="149">
        <v>0</v>
      </c>
      <c r="T113" s="149">
        <v>0</v>
      </c>
      <c r="U113" s="149">
        <v>0</v>
      </c>
      <c r="V113" s="149">
        <f t="shared" si="42"/>
        <v>0</v>
      </c>
      <c r="W113" s="149">
        <v>0</v>
      </c>
      <c r="X113" s="136">
        <f t="shared" si="37"/>
        <v>1.331</v>
      </c>
      <c r="Y113" s="149">
        <v>0</v>
      </c>
      <c r="Z113" s="136">
        <f t="shared" si="35"/>
        <v>1.331</v>
      </c>
      <c r="AA113" s="149">
        <v>1.33</v>
      </c>
      <c r="AB113" s="148" t="s">
        <v>48</v>
      </c>
      <c r="AC113" s="147" t="s">
        <v>1034</v>
      </c>
      <c r="AD113" s="147" t="s">
        <v>1035</v>
      </c>
      <c r="AE113" s="147" t="s">
        <v>332</v>
      </c>
      <c r="AF113" s="147" t="s">
        <v>87</v>
      </c>
    </row>
    <row r="114" spans="1:32" ht="25.15" customHeight="1" x14ac:dyDescent="0.2">
      <c r="A114" s="432"/>
      <c r="B114" s="433" t="s">
        <v>1036</v>
      </c>
      <c r="C114" s="433"/>
      <c r="D114" s="171" t="s">
        <v>638</v>
      </c>
      <c r="E114" s="171" t="s">
        <v>48</v>
      </c>
      <c r="F114" s="172">
        <f>F115+F123+F128+F131+F134</f>
        <v>1000.29</v>
      </c>
      <c r="G114" s="172">
        <f>G115+G123+G128+G131+G134</f>
        <v>6600.32</v>
      </c>
      <c r="H114" s="171" t="s">
        <v>48</v>
      </c>
      <c r="I114" s="172">
        <f>I115+I123+I128+I131+I134</f>
        <v>107.43</v>
      </c>
      <c r="J114" s="172">
        <f t="shared" ref="J114:N114" si="69">J115+J123+J128+J131+J134</f>
        <v>507.21799999999996</v>
      </c>
      <c r="K114" s="172">
        <f t="shared" si="69"/>
        <v>0</v>
      </c>
      <c r="L114" s="172">
        <f t="shared" si="69"/>
        <v>191.274</v>
      </c>
      <c r="M114" s="172">
        <f t="shared" si="69"/>
        <v>0</v>
      </c>
      <c r="N114" s="172">
        <f t="shared" si="69"/>
        <v>2396.5460000000003</v>
      </c>
      <c r="O114" s="172">
        <f>I114+K114+L114+M114+N114</f>
        <v>2695.2500000000005</v>
      </c>
      <c r="P114" s="172">
        <f>J114+K114+L114+M114+N114</f>
        <v>3095.0380000000005</v>
      </c>
      <c r="Q114" s="172">
        <f>Q115+Q123+Q128+Q131+Q134</f>
        <v>333.85</v>
      </c>
      <c r="R114" s="172">
        <f>R115+R123+R128+R131+R134</f>
        <v>0</v>
      </c>
      <c r="S114" s="172">
        <f>S115+S123+S128+S131+S134</f>
        <v>564.32399999999996</v>
      </c>
      <c r="T114" s="172">
        <f>T115+T123+T128+T131+T134</f>
        <v>0</v>
      </c>
      <c r="U114" s="172">
        <f>U115+U123+U128+U131+U134</f>
        <v>7305.6040000000003</v>
      </c>
      <c r="V114" s="166">
        <f t="shared" si="42"/>
        <v>8203.7780000000002</v>
      </c>
      <c r="W114" s="172">
        <f>W115+W123+W128+W131+W134</f>
        <v>3394.4479999999994</v>
      </c>
      <c r="X114" s="167">
        <f t="shared" si="37"/>
        <v>14293.475999999999</v>
      </c>
      <c r="Y114" s="172">
        <f>Y115+Y123+Y128+Y131+Y134</f>
        <v>1888.1469999999999</v>
      </c>
      <c r="Z114" s="167">
        <f t="shared" si="35"/>
        <v>23782.233</v>
      </c>
      <c r="AA114" s="170" t="s">
        <v>48</v>
      </c>
      <c r="AB114" s="171" t="s">
        <v>48</v>
      </c>
      <c r="AC114" s="171" t="s">
        <v>48</v>
      </c>
      <c r="AD114" s="171" t="s">
        <v>48</v>
      </c>
      <c r="AE114" s="171" t="s">
        <v>48</v>
      </c>
      <c r="AF114" s="171" t="s">
        <v>48</v>
      </c>
    </row>
    <row r="115" spans="1:32" ht="25.15" customHeight="1" x14ac:dyDescent="0.2">
      <c r="A115" s="432"/>
      <c r="B115" s="421" t="s">
        <v>1037</v>
      </c>
      <c r="C115" s="421"/>
      <c r="D115" s="143" t="s">
        <v>640</v>
      </c>
      <c r="E115" s="143" t="s">
        <v>48</v>
      </c>
      <c r="F115" s="144">
        <f>SUM(F116:F122)</f>
        <v>535.63</v>
      </c>
      <c r="G115" s="144">
        <f>SUM(G116:G122)</f>
        <v>5721.03</v>
      </c>
      <c r="H115" s="143" t="s">
        <v>48</v>
      </c>
      <c r="I115" s="144">
        <f>SUM(I116:I122)</f>
        <v>0</v>
      </c>
      <c r="J115" s="144">
        <f t="shared" ref="J115:N115" si="70">SUM(J116:J122)</f>
        <v>0</v>
      </c>
      <c r="K115" s="144">
        <f t="shared" si="70"/>
        <v>0</v>
      </c>
      <c r="L115" s="144">
        <f t="shared" si="70"/>
        <v>0</v>
      </c>
      <c r="M115" s="144">
        <f t="shared" si="70"/>
        <v>0</v>
      </c>
      <c r="N115" s="144">
        <f t="shared" si="70"/>
        <v>1672</v>
      </c>
      <c r="O115" s="152">
        <f>I115+K115+L115+M115+N115</f>
        <v>1672</v>
      </c>
      <c r="P115" s="152">
        <f>J115+K115+L115+M115+N115</f>
        <v>1672</v>
      </c>
      <c r="Q115" s="144">
        <f>SUM(Q116:Q122)</f>
        <v>219.75</v>
      </c>
      <c r="R115" s="144">
        <f>SUM(R116:R122)</f>
        <v>0</v>
      </c>
      <c r="S115" s="144">
        <f>SUM(S116:S122)</f>
        <v>0</v>
      </c>
      <c r="T115" s="144">
        <f>SUM(T116:T122)</f>
        <v>0</v>
      </c>
      <c r="U115" s="144">
        <f>SUM(U116:U122)</f>
        <v>7060</v>
      </c>
      <c r="V115" s="152">
        <f t="shared" si="42"/>
        <v>7279.75</v>
      </c>
      <c r="W115" s="144">
        <f>SUM(W116:W122)</f>
        <v>0</v>
      </c>
      <c r="X115" s="145">
        <f t="shared" si="37"/>
        <v>8951.75</v>
      </c>
      <c r="Y115" s="144">
        <f>SUM(Y116:Y122)</f>
        <v>0</v>
      </c>
      <c r="Z115" s="145">
        <f t="shared" si="35"/>
        <v>15208.409999999998</v>
      </c>
      <c r="AA115" s="142" t="s">
        <v>48</v>
      </c>
      <c r="AB115" s="143" t="s">
        <v>48</v>
      </c>
      <c r="AC115" s="143" t="s">
        <v>48</v>
      </c>
      <c r="AD115" s="143" t="s">
        <v>48</v>
      </c>
      <c r="AE115" s="143" t="s">
        <v>48</v>
      </c>
      <c r="AF115" s="143" t="s">
        <v>48</v>
      </c>
    </row>
    <row r="116" spans="1:32" ht="105" hidden="1" x14ac:dyDescent="0.2">
      <c r="A116" s="432"/>
      <c r="B116" s="173" t="s">
        <v>641</v>
      </c>
      <c r="C116" s="153" t="s">
        <v>1272</v>
      </c>
      <c r="D116" s="148" t="s">
        <v>643</v>
      </c>
      <c r="E116" s="148" t="s">
        <v>7</v>
      </c>
      <c r="F116" s="149">
        <v>52.18</v>
      </c>
      <c r="G116" s="149">
        <v>1154.19</v>
      </c>
      <c r="H116" s="148" t="s">
        <v>46</v>
      </c>
      <c r="I116" s="149">
        <v>0</v>
      </c>
      <c r="J116" s="149"/>
      <c r="K116" s="149">
        <v>0</v>
      </c>
      <c r="L116" s="149">
        <v>0</v>
      </c>
      <c r="M116" s="149">
        <v>0</v>
      </c>
      <c r="N116" s="149">
        <v>0</v>
      </c>
      <c r="O116" s="149">
        <f t="shared" si="65"/>
        <v>0</v>
      </c>
      <c r="P116" s="149"/>
      <c r="Q116" s="149">
        <v>0</v>
      </c>
      <c r="R116" s="149">
        <v>0</v>
      </c>
      <c r="S116" s="149">
        <v>0</v>
      </c>
      <c r="T116" s="149">
        <v>0</v>
      </c>
      <c r="U116" s="149">
        <v>0</v>
      </c>
      <c r="V116" s="149">
        <f t="shared" si="42"/>
        <v>0</v>
      </c>
      <c r="W116" s="149">
        <v>0</v>
      </c>
      <c r="X116" s="136">
        <f t="shared" si="37"/>
        <v>0</v>
      </c>
      <c r="Y116" s="149">
        <v>0</v>
      </c>
      <c r="Z116" s="136">
        <f t="shared" si="35"/>
        <v>1206.3700000000001</v>
      </c>
      <c r="AA116" s="150">
        <f>Z116</f>
        <v>1206.3700000000001</v>
      </c>
      <c r="AB116" s="148" t="s">
        <v>7</v>
      </c>
      <c r="AC116" s="153" t="s">
        <v>1273</v>
      </c>
      <c r="AD116" s="153" t="s">
        <v>281</v>
      </c>
      <c r="AE116" s="147" t="s">
        <v>49</v>
      </c>
      <c r="AF116" s="147" t="s">
        <v>159</v>
      </c>
    </row>
    <row r="117" spans="1:32" ht="84" hidden="1" x14ac:dyDescent="0.2">
      <c r="A117" s="432"/>
      <c r="B117" s="173" t="s">
        <v>646</v>
      </c>
      <c r="C117" s="153" t="s">
        <v>1274</v>
      </c>
      <c r="D117" s="148" t="s">
        <v>643</v>
      </c>
      <c r="E117" s="148" t="s">
        <v>7</v>
      </c>
      <c r="F117" s="149">
        <v>22.45</v>
      </c>
      <c r="G117" s="149">
        <v>1138.8399999999999</v>
      </c>
      <c r="H117" s="148" t="s">
        <v>46</v>
      </c>
      <c r="I117" s="149">
        <v>0</v>
      </c>
      <c r="J117" s="149"/>
      <c r="K117" s="149">
        <v>0</v>
      </c>
      <c r="L117" s="149">
        <v>0</v>
      </c>
      <c r="M117" s="149">
        <v>0</v>
      </c>
      <c r="N117" s="149">
        <v>0</v>
      </c>
      <c r="O117" s="149">
        <f t="shared" si="65"/>
        <v>0</v>
      </c>
      <c r="P117" s="149"/>
      <c r="Q117" s="149">
        <v>0</v>
      </c>
      <c r="R117" s="149">
        <v>0</v>
      </c>
      <c r="S117" s="149">
        <v>0</v>
      </c>
      <c r="T117" s="149">
        <v>0</v>
      </c>
      <c r="U117" s="149">
        <v>0</v>
      </c>
      <c r="V117" s="149">
        <f t="shared" si="42"/>
        <v>0</v>
      </c>
      <c r="W117" s="149">
        <v>0</v>
      </c>
      <c r="X117" s="136">
        <f t="shared" si="37"/>
        <v>0</v>
      </c>
      <c r="Y117" s="149">
        <v>0</v>
      </c>
      <c r="Z117" s="136">
        <f t="shared" si="35"/>
        <v>1161.29</v>
      </c>
      <c r="AA117" s="150">
        <f>Z117</f>
        <v>1161.29</v>
      </c>
      <c r="AB117" s="148" t="s">
        <v>7</v>
      </c>
      <c r="AC117" s="153" t="s">
        <v>1275</v>
      </c>
      <c r="AD117" s="153" t="s">
        <v>1276</v>
      </c>
      <c r="AE117" s="147" t="s">
        <v>49</v>
      </c>
      <c r="AF117" s="147" t="s">
        <v>159</v>
      </c>
    </row>
    <row r="118" spans="1:32" ht="109.15" customHeight="1" x14ac:dyDescent="0.2">
      <c r="A118" s="432"/>
      <c r="B118" s="173" t="s">
        <v>650</v>
      </c>
      <c r="C118" s="147" t="s">
        <v>651</v>
      </c>
      <c r="D118" s="148" t="s">
        <v>234</v>
      </c>
      <c r="E118" s="148" t="s">
        <v>7</v>
      </c>
      <c r="F118" s="149">
        <v>89</v>
      </c>
      <c r="G118" s="149">
        <v>3200</v>
      </c>
      <c r="H118" s="148" t="s">
        <v>46</v>
      </c>
      <c r="I118" s="149">
        <v>0</v>
      </c>
      <c r="J118" s="149">
        <v>0</v>
      </c>
      <c r="K118" s="149">
        <v>0</v>
      </c>
      <c r="L118" s="149">
        <v>0</v>
      </c>
      <c r="M118" s="149">
        <v>0</v>
      </c>
      <c r="N118" s="149">
        <v>1672</v>
      </c>
      <c r="O118" s="149">
        <f t="shared" ref="O118:O119" si="71">I118+K118+L118+M118+N118</f>
        <v>1672</v>
      </c>
      <c r="P118" s="149">
        <f t="shared" ref="P118:P119" si="72">J118+K118+L118+M118+N118</f>
        <v>1672</v>
      </c>
      <c r="Q118" s="149">
        <v>0</v>
      </c>
      <c r="R118" s="149">
        <v>0</v>
      </c>
      <c r="S118" s="149">
        <v>0</v>
      </c>
      <c r="T118" s="149">
        <v>0</v>
      </c>
      <c r="U118" s="149">
        <v>0</v>
      </c>
      <c r="V118" s="149">
        <f t="shared" si="42"/>
        <v>0</v>
      </c>
      <c r="W118" s="149">
        <v>0</v>
      </c>
      <c r="X118" s="136">
        <f t="shared" si="37"/>
        <v>1672</v>
      </c>
      <c r="Y118" s="149">
        <v>0</v>
      </c>
      <c r="Z118" s="136">
        <f t="shared" si="35"/>
        <v>4961</v>
      </c>
      <c r="AA118" s="150">
        <f>Z118</f>
        <v>4961</v>
      </c>
      <c r="AB118" s="148" t="s">
        <v>69</v>
      </c>
      <c r="AC118" s="147" t="s">
        <v>1277</v>
      </c>
      <c r="AD118" s="147" t="s">
        <v>653</v>
      </c>
      <c r="AE118" s="147" t="s">
        <v>58</v>
      </c>
      <c r="AF118" s="147" t="s">
        <v>1204</v>
      </c>
    </row>
    <row r="119" spans="1:32" ht="87" customHeight="1" x14ac:dyDescent="0.2">
      <c r="A119" s="432"/>
      <c r="B119" s="173" t="s">
        <v>654</v>
      </c>
      <c r="C119" s="147" t="s">
        <v>655</v>
      </c>
      <c r="D119" s="148" t="s">
        <v>234</v>
      </c>
      <c r="E119" s="148" t="s">
        <v>7</v>
      </c>
      <c r="F119" s="149">
        <v>27</v>
      </c>
      <c r="G119" s="149">
        <v>153</v>
      </c>
      <c r="H119" s="148" t="s">
        <v>152</v>
      </c>
      <c r="I119" s="149">
        <v>0</v>
      </c>
      <c r="J119" s="149">
        <v>0</v>
      </c>
      <c r="K119" s="149">
        <v>0</v>
      </c>
      <c r="L119" s="149">
        <v>0</v>
      </c>
      <c r="M119" s="149">
        <v>0</v>
      </c>
      <c r="N119" s="149">
        <v>0</v>
      </c>
      <c r="O119" s="149">
        <f t="shared" si="71"/>
        <v>0</v>
      </c>
      <c r="P119" s="149">
        <f t="shared" si="72"/>
        <v>0</v>
      </c>
      <c r="Q119" s="149">
        <v>219.75</v>
      </c>
      <c r="R119" s="149">
        <v>0</v>
      </c>
      <c r="S119" s="149">
        <v>0</v>
      </c>
      <c r="T119" s="149">
        <v>0</v>
      </c>
      <c r="U119" s="149">
        <v>7060</v>
      </c>
      <c r="V119" s="149">
        <f t="shared" si="42"/>
        <v>7279.75</v>
      </c>
      <c r="W119" s="149">
        <v>0</v>
      </c>
      <c r="X119" s="136">
        <f t="shared" si="37"/>
        <v>7279.75</v>
      </c>
      <c r="Y119" s="149">
        <v>0</v>
      </c>
      <c r="Z119" s="136">
        <f t="shared" si="35"/>
        <v>7459.75</v>
      </c>
      <c r="AA119" s="150">
        <v>7420</v>
      </c>
      <c r="AB119" s="148" t="s">
        <v>7</v>
      </c>
      <c r="AC119" s="147" t="s">
        <v>1278</v>
      </c>
      <c r="AD119" s="147" t="s">
        <v>657</v>
      </c>
      <c r="AE119" s="147" t="s">
        <v>58</v>
      </c>
      <c r="AF119" s="147" t="s">
        <v>1279</v>
      </c>
    </row>
    <row r="120" spans="1:32" ht="73.5" hidden="1" x14ac:dyDescent="0.2">
      <c r="A120" s="432"/>
      <c r="B120" s="173" t="s">
        <v>658</v>
      </c>
      <c r="C120" s="147" t="s">
        <v>659</v>
      </c>
      <c r="D120" s="148" t="s">
        <v>234</v>
      </c>
      <c r="E120" s="148" t="s">
        <v>7</v>
      </c>
      <c r="F120" s="149">
        <v>0</v>
      </c>
      <c r="G120" s="149">
        <v>75</v>
      </c>
      <c r="H120" s="148" t="s">
        <v>46</v>
      </c>
      <c r="I120" s="149">
        <v>0</v>
      </c>
      <c r="J120" s="149"/>
      <c r="K120" s="149">
        <v>0</v>
      </c>
      <c r="L120" s="149">
        <v>0</v>
      </c>
      <c r="M120" s="149">
        <v>0</v>
      </c>
      <c r="N120" s="149">
        <v>0</v>
      </c>
      <c r="O120" s="149">
        <f t="shared" si="65"/>
        <v>0</v>
      </c>
      <c r="P120" s="149"/>
      <c r="Q120" s="149">
        <v>0</v>
      </c>
      <c r="R120" s="149">
        <v>0</v>
      </c>
      <c r="S120" s="149">
        <v>0</v>
      </c>
      <c r="T120" s="149">
        <v>0</v>
      </c>
      <c r="U120" s="149">
        <v>0</v>
      </c>
      <c r="V120" s="149">
        <f t="shared" si="42"/>
        <v>0</v>
      </c>
      <c r="W120" s="149">
        <v>0</v>
      </c>
      <c r="X120" s="136">
        <f t="shared" si="37"/>
        <v>0</v>
      </c>
      <c r="Y120" s="149">
        <v>0</v>
      </c>
      <c r="Z120" s="136">
        <f t="shared" si="35"/>
        <v>75</v>
      </c>
      <c r="AA120" s="150">
        <v>282</v>
      </c>
      <c r="AB120" s="148" t="s">
        <v>7</v>
      </c>
      <c r="AC120" s="147" t="s">
        <v>1280</v>
      </c>
      <c r="AD120" s="147" t="s">
        <v>48</v>
      </c>
      <c r="AE120" s="147" t="s">
        <v>58</v>
      </c>
      <c r="AF120" s="147" t="s">
        <v>124</v>
      </c>
    </row>
    <row r="121" spans="1:32" ht="63" hidden="1" x14ac:dyDescent="0.2">
      <c r="A121" s="432"/>
      <c r="B121" s="173" t="s">
        <v>661</v>
      </c>
      <c r="C121" s="147" t="s">
        <v>662</v>
      </c>
      <c r="D121" s="148" t="s">
        <v>234</v>
      </c>
      <c r="E121" s="148" t="s">
        <v>7</v>
      </c>
      <c r="F121" s="149">
        <v>0</v>
      </c>
      <c r="G121" s="149">
        <v>0</v>
      </c>
      <c r="H121" s="148" t="s">
        <v>152</v>
      </c>
      <c r="I121" s="149">
        <v>0</v>
      </c>
      <c r="J121" s="149"/>
      <c r="K121" s="149">
        <v>0</v>
      </c>
      <c r="L121" s="149">
        <v>0</v>
      </c>
      <c r="M121" s="149">
        <v>0</v>
      </c>
      <c r="N121" s="149">
        <v>0</v>
      </c>
      <c r="O121" s="149">
        <f t="shared" si="65"/>
        <v>0</v>
      </c>
      <c r="P121" s="149"/>
      <c r="Q121" s="149">
        <v>0</v>
      </c>
      <c r="R121" s="149">
        <v>0</v>
      </c>
      <c r="S121" s="149">
        <v>0</v>
      </c>
      <c r="T121" s="149">
        <v>0</v>
      </c>
      <c r="U121" s="149">
        <v>0</v>
      </c>
      <c r="V121" s="149">
        <f t="shared" si="42"/>
        <v>0</v>
      </c>
      <c r="W121" s="149">
        <v>0</v>
      </c>
      <c r="X121" s="136">
        <f t="shared" si="37"/>
        <v>0</v>
      </c>
      <c r="Y121" s="149">
        <v>0</v>
      </c>
      <c r="Z121" s="136">
        <f t="shared" si="35"/>
        <v>0</v>
      </c>
      <c r="AA121" s="150">
        <v>300</v>
      </c>
      <c r="AB121" s="148" t="s">
        <v>69</v>
      </c>
      <c r="AC121" s="147" t="s">
        <v>1013</v>
      </c>
      <c r="AD121" s="147"/>
      <c r="AE121" s="147" t="s">
        <v>538</v>
      </c>
      <c r="AF121" s="147" t="s">
        <v>159</v>
      </c>
    </row>
    <row r="122" spans="1:32" ht="42" hidden="1" x14ac:dyDescent="0.2">
      <c r="A122" s="432"/>
      <c r="B122" s="174" t="s">
        <v>56</v>
      </c>
      <c r="C122" s="147" t="s">
        <v>1281</v>
      </c>
      <c r="D122" s="148" t="s">
        <v>234</v>
      </c>
      <c r="E122" s="148" t="s">
        <v>7</v>
      </c>
      <c r="F122" s="149">
        <v>345</v>
      </c>
      <c r="G122" s="149">
        <v>0</v>
      </c>
      <c r="H122" s="148" t="s">
        <v>46</v>
      </c>
      <c r="I122" s="149">
        <v>0</v>
      </c>
      <c r="J122" s="149"/>
      <c r="K122" s="149">
        <v>0</v>
      </c>
      <c r="L122" s="149">
        <v>0</v>
      </c>
      <c r="M122" s="149">
        <v>0</v>
      </c>
      <c r="N122" s="149">
        <v>0</v>
      </c>
      <c r="O122" s="149">
        <f t="shared" si="65"/>
        <v>0</v>
      </c>
      <c r="P122" s="149"/>
      <c r="Q122" s="149">
        <v>0</v>
      </c>
      <c r="R122" s="149">
        <v>0</v>
      </c>
      <c r="S122" s="149">
        <v>0</v>
      </c>
      <c r="T122" s="149">
        <v>0</v>
      </c>
      <c r="U122" s="149">
        <v>0</v>
      </c>
      <c r="V122" s="149">
        <f t="shared" si="42"/>
        <v>0</v>
      </c>
      <c r="W122" s="149">
        <v>0</v>
      </c>
      <c r="X122" s="136">
        <f t="shared" si="37"/>
        <v>0</v>
      </c>
      <c r="Y122" s="149">
        <v>0</v>
      </c>
      <c r="Z122" s="136">
        <f t="shared" si="35"/>
        <v>345</v>
      </c>
      <c r="AA122" s="150">
        <v>3102</v>
      </c>
      <c r="AB122" s="148" t="s">
        <v>7</v>
      </c>
      <c r="AC122" s="147" t="s">
        <v>1282</v>
      </c>
      <c r="AD122" s="147" t="s">
        <v>57</v>
      </c>
      <c r="AE122" s="147" t="s">
        <v>58</v>
      </c>
      <c r="AF122" s="147" t="s">
        <v>1204</v>
      </c>
    </row>
    <row r="123" spans="1:32" ht="25.15" customHeight="1" x14ac:dyDescent="0.2">
      <c r="A123" s="432"/>
      <c r="B123" s="421" t="s">
        <v>1045</v>
      </c>
      <c r="C123" s="421"/>
      <c r="D123" s="143" t="s">
        <v>666</v>
      </c>
      <c r="E123" s="143" t="s">
        <v>48</v>
      </c>
      <c r="F123" s="144">
        <f>SUM(F124:F127)</f>
        <v>464.65999999999997</v>
      </c>
      <c r="G123" s="144">
        <f>SUM(G124:G127)</f>
        <v>539.13</v>
      </c>
      <c r="H123" s="143" t="s">
        <v>48</v>
      </c>
      <c r="I123" s="144">
        <f>SUM(I124:I127)</f>
        <v>0</v>
      </c>
      <c r="J123" s="144">
        <f t="shared" ref="J123:N123" si="73">SUM(J124:J127)</f>
        <v>0</v>
      </c>
      <c r="K123" s="144">
        <f t="shared" si="73"/>
        <v>0</v>
      </c>
      <c r="L123" s="144">
        <f t="shared" si="73"/>
        <v>22.53</v>
      </c>
      <c r="M123" s="144">
        <f t="shared" si="73"/>
        <v>0</v>
      </c>
      <c r="N123" s="144">
        <f t="shared" si="73"/>
        <v>724.54600000000005</v>
      </c>
      <c r="O123" s="152">
        <f>I123+K123+L123+M123+N123</f>
        <v>747.07600000000002</v>
      </c>
      <c r="P123" s="152">
        <f>J123+K123+L123+M123+N123</f>
        <v>747.07600000000002</v>
      </c>
      <c r="Q123" s="144">
        <f>SUM(Q124:Q127)</f>
        <v>114.1</v>
      </c>
      <c r="R123" s="144">
        <f>SUM(R124:R127)</f>
        <v>0</v>
      </c>
      <c r="S123" s="144">
        <f>SUM(S124:S127)</f>
        <v>395.58</v>
      </c>
      <c r="T123" s="144">
        <f>SUM(T124:T127)</f>
        <v>0</v>
      </c>
      <c r="U123" s="144">
        <f>SUM(U124:U127)</f>
        <v>245.60400000000001</v>
      </c>
      <c r="V123" s="152">
        <f t="shared" si="42"/>
        <v>755.28399999999999</v>
      </c>
      <c r="W123" s="144">
        <f>SUM(W124:W127)</f>
        <v>3225.7029999999995</v>
      </c>
      <c r="X123" s="145">
        <f t="shared" si="37"/>
        <v>4728.0630000000001</v>
      </c>
      <c r="Y123" s="144">
        <f>SUM(Y124:Y127)</f>
        <v>1888.1469999999999</v>
      </c>
      <c r="Z123" s="145">
        <f t="shared" si="35"/>
        <v>7620</v>
      </c>
      <c r="AA123" s="142" t="s">
        <v>48</v>
      </c>
      <c r="AB123" s="143" t="s">
        <v>48</v>
      </c>
      <c r="AC123" s="143" t="s">
        <v>48</v>
      </c>
      <c r="AD123" s="143" t="s">
        <v>48</v>
      </c>
      <c r="AE123" s="143" t="s">
        <v>48</v>
      </c>
      <c r="AF123" s="143" t="s">
        <v>48</v>
      </c>
    </row>
    <row r="124" spans="1:32" ht="159.75" customHeight="1" x14ac:dyDescent="0.2">
      <c r="A124" s="432"/>
      <c r="B124" s="173" t="s">
        <v>667</v>
      </c>
      <c r="C124" s="147" t="s">
        <v>1046</v>
      </c>
      <c r="D124" s="148" t="s">
        <v>669</v>
      </c>
      <c r="E124" s="148" t="s">
        <v>7</v>
      </c>
      <c r="F124" s="149">
        <v>297</v>
      </c>
      <c r="G124" s="149">
        <v>86</v>
      </c>
      <c r="H124" s="148" t="s">
        <v>46</v>
      </c>
      <c r="I124" s="149">
        <v>0</v>
      </c>
      <c r="J124" s="149">
        <v>0</v>
      </c>
      <c r="K124" s="149">
        <v>0</v>
      </c>
      <c r="L124" s="149">
        <v>0</v>
      </c>
      <c r="M124" s="149">
        <v>0</v>
      </c>
      <c r="N124" s="149">
        <v>256.7</v>
      </c>
      <c r="O124" s="149">
        <f t="shared" ref="O124" si="74">I124+K124+L124+M124+N124</f>
        <v>256.7</v>
      </c>
      <c r="P124" s="149">
        <f t="shared" ref="P124" si="75">J124+K124+L124+M124+N124</f>
        <v>256.7</v>
      </c>
      <c r="Q124" s="149">
        <v>0</v>
      </c>
      <c r="R124" s="149">
        <v>0</v>
      </c>
      <c r="S124" s="149">
        <v>0</v>
      </c>
      <c r="T124" s="149">
        <v>0</v>
      </c>
      <c r="U124" s="149">
        <v>51</v>
      </c>
      <c r="V124" s="149">
        <f t="shared" si="42"/>
        <v>51</v>
      </c>
      <c r="W124" s="149">
        <v>3</v>
      </c>
      <c r="X124" s="136">
        <f t="shared" si="37"/>
        <v>310.7</v>
      </c>
      <c r="Y124" s="149">
        <v>25</v>
      </c>
      <c r="Z124" s="136">
        <f t="shared" si="35"/>
        <v>718.7</v>
      </c>
      <c r="AA124" s="150">
        <v>482</v>
      </c>
      <c r="AB124" s="148" t="s">
        <v>69</v>
      </c>
      <c r="AC124" s="147" t="s">
        <v>1283</v>
      </c>
      <c r="AD124" s="147" t="s">
        <v>1048</v>
      </c>
      <c r="AE124" s="147" t="s">
        <v>672</v>
      </c>
      <c r="AF124" s="147" t="s">
        <v>1204</v>
      </c>
    </row>
    <row r="125" spans="1:32" ht="93" hidden="1" customHeight="1" x14ac:dyDescent="0.2">
      <c r="A125" s="432"/>
      <c r="B125" s="173" t="s">
        <v>673</v>
      </c>
      <c r="C125" s="147" t="s">
        <v>674</v>
      </c>
      <c r="D125" s="148" t="s">
        <v>675</v>
      </c>
      <c r="E125" s="148" t="s">
        <v>7</v>
      </c>
      <c r="F125" s="149">
        <v>0</v>
      </c>
      <c r="G125" s="149">
        <v>0</v>
      </c>
      <c r="H125" s="148" t="s">
        <v>46</v>
      </c>
      <c r="I125" s="149">
        <v>0</v>
      </c>
      <c r="J125" s="149"/>
      <c r="K125" s="149">
        <v>0</v>
      </c>
      <c r="L125" s="149">
        <v>0</v>
      </c>
      <c r="M125" s="149">
        <v>0</v>
      </c>
      <c r="N125" s="149">
        <v>0</v>
      </c>
      <c r="O125" s="149">
        <f t="shared" ref="O125:O130" si="76">SUM(I125:N125)</f>
        <v>0</v>
      </c>
      <c r="P125" s="149"/>
      <c r="Q125" s="149">
        <v>0</v>
      </c>
      <c r="R125" s="149">
        <v>0</v>
      </c>
      <c r="S125" s="149">
        <v>0</v>
      </c>
      <c r="T125" s="149">
        <v>0</v>
      </c>
      <c r="U125" s="149">
        <v>0</v>
      </c>
      <c r="V125" s="149">
        <f t="shared" si="42"/>
        <v>0</v>
      </c>
      <c r="W125" s="149">
        <v>0</v>
      </c>
      <c r="X125" s="136">
        <f t="shared" si="37"/>
        <v>0</v>
      </c>
      <c r="Y125" s="149">
        <v>1128.7279999999998</v>
      </c>
      <c r="Z125" s="136">
        <f t="shared" si="35"/>
        <v>1128.7279999999998</v>
      </c>
      <c r="AA125" s="150">
        <v>1284</v>
      </c>
      <c r="AB125" s="148" t="s">
        <v>7</v>
      </c>
      <c r="AC125" s="147" t="s">
        <v>24</v>
      </c>
      <c r="AD125" s="147" t="s">
        <v>1049</v>
      </c>
      <c r="AE125" s="147" t="s">
        <v>226</v>
      </c>
      <c r="AF125" s="147" t="s">
        <v>124</v>
      </c>
    </row>
    <row r="126" spans="1:32" ht="161.44999999999999" customHeight="1" x14ac:dyDescent="0.2">
      <c r="A126" s="432"/>
      <c r="B126" s="174" t="s">
        <v>677</v>
      </c>
      <c r="C126" s="147" t="s">
        <v>25</v>
      </c>
      <c r="D126" s="148" t="s">
        <v>675</v>
      </c>
      <c r="E126" s="148" t="s">
        <v>7</v>
      </c>
      <c r="F126" s="149">
        <v>167.66</v>
      </c>
      <c r="G126" s="149">
        <v>448.8</v>
      </c>
      <c r="H126" s="148" t="s">
        <v>46</v>
      </c>
      <c r="I126" s="149">
        <v>0</v>
      </c>
      <c r="J126" s="149">
        <v>0</v>
      </c>
      <c r="K126" s="149">
        <v>0</v>
      </c>
      <c r="L126" s="149">
        <v>0</v>
      </c>
      <c r="M126" s="149">
        <v>0</v>
      </c>
      <c r="N126" s="149">
        <f>440.376+25</f>
        <v>465.37599999999998</v>
      </c>
      <c r="O126" s="149">
        <f t="shared" ref="O126:O127" si="77">I126+K126+L126+M126+N126</f>
        <v>465.37599999999998</v>
      </c>
      <c r="P126" s="149">
        <f t="shared" ref="P126:P127" si="78">J126+K126+L126+M126+N126</f>
        <v>465.37599999999998</v>
      </c>
      <c r="Q126" s="149">
        <v>114.1</v>
      </c>
      <c r="R126" s="149">
        <v>0</v>
      </c>
      <c r="S126" s="149">
        <v>0</v>
      </c>
      <c r="T126" s="149">
        <v>0</v>
      </c>
      <c r="U126" s="149">
        <v>151.23400000000001</v>
      </c>
      <c r="V126" s="149">
        <f t="shared" si="42"/>
        <v>265.334</v>
      </c>
      <c r="W126" s="149">
        <v>2911.1349999999998</v>
      </c>
      <c r="X126" s="136">
        <f t="shared" si="37"/>
        <v>3641.8449999999998</v>
      </c>
      <c r="Y126" s="149">
        <v>734.41899999999998</v>
      </c>
      <c r="Z126" s="136">
        <f t="shared" si="35"/>
        <v>4992.7240000000002</v>
      </c>
      <c r="AA126" s="150">
        <v>4721.8</v>
      </c>
      <c r="AB126" s="148" t="s">
        <v>7</v>
      </c>
      <c r="AC126" s="147" t="s">
        <v>1284</v>
      </c>
      <c r="AD126" s="147" t="s">
        <v>1051</v>
      </c>
      <c r="AE126" s="147" t="s">
        <v>226</v>
      </c>
      <c r="AF126" s="147" t="s">
        <v>1204</v>
      </c>
    </row>
    <row r="127" spans="1:32" ht="210" customHeight="1" x14ac:dyDescent="0.2">
      <c r="A127" s="432"/>
      <c r="B127" s="174" t="s">
        <v>222</v>
      </c>
      <c r="C127" s="147" t="s">
        <v>223</v>
      </c>
      <c r="D127" s="148" t="s">
        <v>1285</v>
      </c>
      <c r="E127" s="148" t="s">
        <v>69</v>
      </c>
      <c r="F127" s="149">
        <v>0</v>
      </c>
      <c r="G127" s="149">
        <v>4.33</v>
      </c>
      <c r="H127" s="148" t="s">
        <v>46</v>
      </c>
      <c r="I127" s="149">
        <v>0</v>
      </c>
      <c r="J127" s="149">
        <v>0</v>
      </c>
      <c r="K127" s="149">
        <v>0</v>
      </c>
      <c r="L127" s="149">
        <v>22.53</v>
      </c>
      <c r="M127" s="149">
        <v>0</v>
      </c>
      <c r="N127" s="149">
        <v>2.4700000000000002</v>
      </c>
      <c r="O127" s="149">
        <f t="shared" si="77"/>
        <v>25</v>
      </c>
      <c r="P127" s="149">
        <f t="shared" si="78"/>
        <v>25</v>
      </c>
      <c r="Q127" s="149">
        <v>0</v>
      </c>
      <c r="R127" s="149">
        <v>0</v>
      </c>
      <c r="S127" s="149">
        <v>395.58</v>
      </c>
      <c r="T127" s="149">
        <v>0</v>
      </c>
      <c r="U127" s="149">
        <v>43.37</v>
      </c>
      <c r="V127" s="149">
        <v>50</v>
      </c>
      <c r="W127" s="149">
        <v>311.56799999999998</v>
      </c>
      <c r="X127" s="136">
        <f t="shared" si="37"/>
        <v>386.56799999999998</v>
      </c>
      <c r="Y127" s="149">
        <v>0</v>
      </c>
      <c r="Z127" s="136">
        <v>0</v>
      </c>
      <c r="AA127" s="150">
        <v>1452.94</v>
      </c>
      <c r="AB127" s="148" t="s">
        <v>7</v>
      </c>
      <c r="AC127" s="147" t="s">
        <v>1286</v>
      </c>
      <c r="AD127" s="147" t="s">
        <v>225</v>
      </c>
      <c r="AE127" s="147" t="s">
        <v>226</v>
      </c>
      <c r="AF127" s="147" t="s">
        <v>1204</v>
      </c>
    </row>
    <row r="128" spans="1:32" ht="25.15" hidden="1" customHeight="1" x14ac:dyDescent="0.2">
      <c r="A128" s="432"/>
      <c r="B128" s="421" t="s">
        <v>680</v>
      </c>
      <c r="C128" s="421"/>
      <c r="D128" s="143" t="s">
        <v>681</v>
      </c>
      <c r="E128" s="143" t="s">
        <v>48</v>
      </c>
      <c r="F128" s="144">
        <f>SUM(F129:F130)</f>
        <v>0</v>
      </c>
      <c r="G128" s="144">
        <f>SUM(G129:G130)</f>
        <v>0</v>
      </c>
      <c r="H128" s="143" t="s">
        <v>48</v>
      </c>
      <c r="I128" s="144">
        <f>SUM(I129:I130)</f>
        <v>0</v>
      </c>
      <c r="J128" s="144"/>
      <c r="K128" s="144">
        <f>SUM(K129:K130)</f>
        <v>0</v>
      </c>
      <c r="L128" s="144">
        <f>SUM(L129:L130)</f>
        <v>0</v>
      </c>
      <c r="M128" s="144">
        <f>SUM(M129:M130)</f>
        <v>0</v>
      </c>
      <c r="N128" s="144">
        <f>SUM(N129:N130)</f>
        <v>0</v>
      </c>
      <c r="O128" s="144">
        <f t="shared" si="76"/>
        <v>0</v>
      </c>
      <c r="P128" s="144"/>
      <c r="Q128" s="144">
        <f>SUM(Q129:Q130)</f>
        <v>0</v>
      </c>
      <c r="R128" s="144">
        <f>SUM(R129:R130)</f>
        <v>0</v>
      </c>
      <c r="S128" s="144">
        <f>SUM(S129:S130)</f>
        <v>0</v>
      </c>
      <c r="T128" s="144">
        <f>SUM(T129:T130)</f>
        <v>0</v>
      </c>
      <c r="U128" s="144">
        <f>SUM(U129:U130)</f>
        <v>0</v>
      </c>
      <c r="V128" s="152">
        <f t="shared" si="42"/>
        <v>0</v>
      </c>
      <c r="W128" s="144">
        <f>SUM(W129:W130)</f>
        <v>0</v>
      </c>
      <c r="X128" s="145">
        <f t="shared" si="37"/>
        <v>0</v>
      </c>
      <c r="Y128" s="144">
        <f>SUM(Y129:Y130)</f>
        <v>0</v>
      </c>
      <c r="Z128" s="145">
        <f t="shared" ref="Z128:Z188" si="79">Y128+X128+G128+F128</f>
        <v>0</v>
      </c>
      <c r="AA128" s="142" t="s">
        <v>48</v>
      </c>
      <c r="AB128" s="143" t="s">
        <v>48</v>
      </c>
      <c r="AC128" s="143" t="s">
        <v>48</v>
      </c>
      <c r="AD128" s="143" t="s">
        <v>48</v>
      </c>
      <c r="AE128" s="143" t="s">
        <v>48</v>
      </c>
      <c r="AF128" s="143" t="s">
        <v>48</v>
      </c>
    </row>
    <row r="129" spans="1:32" ht="84" hidden="1" x14ac:dyDescent="0.2">
      <c r="A129" s="432"/>
      <c r="B129" s="173" t="s">
        <v>682</v>
      </c>
      <c r="C129" s="147" t="s">
        <v>683</v>
      </c>
      <c r="D129" s="148" t="s">
        <v>120</v>
      </c>
      <c r="E129" s="148" t="s">
        <v>69</v>
      </c>
      <c r="F129" s="149">
        <v>0</v>
      </c>
      <c r="G129" s="149">
        <v>0</v>
      </c>
      <c r="H129" s="148" t="s">
        <v>152</v>
      </c>
      <c r="I129" s="149">
        <v>0</v>
      </c>
      <c r="J129" s="149"/>
      <c r="K129" s="149">
        <v>0</v>
      </c>
      <c r="L129" s="149">
        <v>0</v>
      </c>
      <c r="M129" s="149">
        <v>0</v>
      </c>
      <c r="N129" s="149">
        <v>0</v>
      </c>
      <c r="O129" s="149">
        <f t="shared" si="76"/>
        <v>0</v>
      </c>
      <c r="P129" s="149"/>
      <c r="Q129" s="149">
        <v>0</v>
      </c>
      <c r="R129" s="149">
        <v>0</v>
      </c>
      <c r="S129" s="149">
        <v>0</v>
      </c>
      <c r="T129" s="149">
        <v>0</v>
      </c>
      <c r="U129" s="149">
        <v>0</v>
      </c>
      <c r="V129" s="149">
        <f t="shared" si="42"/>
        <v>0</v>
      </c>
      <c r="W129" s="149">
        <v>0</v>
      </c>
      <c r="X129" s="136">
        <f t="shared" si="37"/>
        <v>0</v>
      </c>
      <c r="Y129" s="149">
        <v>0</v>
      </c>
      <c r="Z129" s="136">
        <f t="shared" si="79"/>
        <v>0</v>
      </c>
      <c r="AA129" s="150">
        <v>5040</v>
      </c>
      <c r="AB129" s="148" t="s">
        <v>69</v>
      </c>
      <c r="AC129" s="147" t="s">
        <v>1053</v>
      </c>
      <c r="AD129" s="147" t="s">
        <v>26</v>
      </c>
      <c r="AE129" s="156" t="s">
        <v>1287</v>
      </c>
      <c r="AF129" s="147" t="s">
        <v>1054</v>
      </c>
    </row>
    <row r="130" spans="1:32" ht="42" hidden="1" x14ac:dyDescent="0.2">
      <c r="A130" s="432"/>
      <c r="B130" s="173" t="s">
        <v>686</v>
      </c>
      <c r="C130" s="147" t="s">
        <v>28</v>
      </c>
      <c r="D130" s="148" t="s">
        <v>687</v>
      </c>
      <c r="E130" s="148" t="s">
        <v>7</v>
      </c>
      <c r="F130" s="149">
        <v>0</v>
      </c>
      <c r="G130" s="149">
        <v>0</v>
      </c>
      <c r="H130" s="148" t="s">
        <v>152</v>
      </c>
      <c r="I130" s="149">
        <v>0</v>
      </c>
      <c r="J130" s="149"/>
      <c r="K130" s="149">
        <v>0</v>
      </c>
      <c r="L130" s="149">
        <v>0</v>
      </c>
      <c r="M130" s="149">
        <v>0</v>
      </c>
      <c r="N130" s="149">
        <v>0</v>
      </c>
      <c r="O130" s="149">
        <f t="shared" si="76"/>
        <v>0</v>
      </c>
      <c r="P130" s="149"/>
      <c r="Q130" s="149">
        <v>0</v>
      </c>
      <c r="R130" s="149">
        <v>0</v>
      </c>
      <c r="S130" s="149">
        <v>0</v>
      </c>
      <c r="T130" s="149">
        <v>0</v>
      </c>
      <c r="U130" s="149">
        <v>0</v>
      </c>
      <c r="V130" s="149">
        <f t="shared" si="42"/>
        <v>0</v>
      </c>
      <c r="W130" s="149">
        <v>0</v>
      </c>
      <c r="X130" s="136">
        <f t="shared" si="37"/>
        <v>0</v>
      </c>
      <c r="Y130" s="149">
        <v>0</v>
      </c>
      <c r="Z130" s="136">
        <f t="shared" si="79"/>
        <v>0</v>
      </c>
      <c r="AA130" s="150">
        <v>480</v>
      </c>
      <c r="AB130" s="148" t="s">
        <v>69</v>
      </c>
      <c r="AC130" s="147" t="s">
        <v>1288</v>
      </c>
      <c r="AD130" s="147" t="s">
        <v>27</v>
      </c>
      <c r="AE130" s="147" t="s">
        <v>243</v>
      </c>
      <c r="AF130" s="147" t="s">
        <v>214</v>
      </c>
    </row>
    <row r="131" spans="1:32" ht="25.15" customHeight="1" x14ac:dyDescent="0.2">
      <c r="A131" s="432"/>
      <c r="B131" s="421" t="s">
        <v>689</v>
      </c>
      <c r="C131" s="421"/>
      <c r="D131" s="143" t="s">
        <v>690</v>
      </c>
      <c r="E131" s="143" t="s">
        <v>48</v>
      </c>
      <c r="F131" s="144">
        <f>SUM(F132)</f>
        <v>0</v>
      </c>
      <c r="G131" s="144">
        <f>SUM(G132)</f>
        <v>229.59</v>
      </c>
      <c r="H131" s="143" t="s">
        <v>48</v>
      </c>
      <c r="I131" s="144">
        <f>SUM(I132+I133)</f>
        <v>42.52</v>
      </c>
      <c r="J131" s="144">
        <f t="shared" ref="J131:N131" si="80">SUM(J132+J133)</f>
        <v>316.62099999999998</v>
      </c>
      <c r="K131" s="144">
        <f t="shared" si="80"/>
        <v>0</v>
      </c>
      <c r="L131" s="144">
        <f t="shared" si="80"/>
        <v>168.744</v>
      </c>
      <c r="M131" s="144">
        <f t="shared" si="80"/>
        <v>0</v>
      </c>
      <c r="N131" s="144">
        <f t="shared" si="80"/>
        <v>0</v>
      </c>
      <c r="O131" s="152">
        <f>I131+K131+L131+M131+N131</f>
        <v>211.26400000000001</v>
      </c>
      <c r="P131" s="152">
        <f>J131+K131+L131+M131+N131</f>
        <v>485.36500000000001</v>
      </c>
      <c r="Q131" s="144">
        <f>SUM(Q132+Q133)</f>
        <v>0</v>
      </c>
      <c r="R131" s="144">
        <f t="shared" ref="R131:U131" si="81">SUM(R132+R133)</f>
        <v>0</v>
      </c>
      <c r="S131" s="144">
        <f t="shared" si="81"/>
        <v>168.744</v>
      </c>
      <c r="T131" s="144">
        <f t="shared" si="81"/>
        <v>0</v>
      </c>
      <c r="U131" s="144">
        <f t="shared" si="81"/>
        <v>0</v>
      </c>
      <c r="V131" s="152">
        <f t="shared" si="42"/>
        <v>168.744</v>
      </c>
      <c r="W131" s="144">
        <f>SUM(W132+W133)</f>
        <v>168.745</v>
      </c>
      <c r="X131" s="145">
        <f t="shared" si="37"/>
        <v>548.75300000000004</v>
      </c>
      <c r="Y131" s="144">
        <f>SUM(Y132+Y133)</f>
        <v>0</v>
      </c>
      <c r="Z131" s="145">
        <f t="shared" si="79"/>
        <v>778.34300000000007</v>
      </c>
      <c r="AA131" s="142" t="s">
        <v>48</v>
      </c>
      <c r="AB131" s="143" t="s">
        <v>48</v>
      </c>
      <c r="AC131" s="143" t="s">
        <v>48</v>
      </c>
      <c r="AD131" s="143" t="s">
        <v>48</v>
      </c>
      <c r="AE131" s="143" t="s">
        <v>48</v>
      </c>
      <c r="AF131" s="143" t="s">
        <v>48</v>
      </c>
    </row>
    <row r="132" spans="1:32" ht="75.599999999999994" customHeight="1" x14ac:dyDescent="0.2">
      <c r="A132" s="432"/>
      <c r="B132" s="173" t="s">
        <v>691</v>
      </c>
      <c r="C132" s="147" t="s">
        <v>692</v>
      </c>
      <c r="D132" s="148" t="s">
        <v>693</v>
      </c>
      <c r="E132" s="148" t="s">
        <v>69</v>
      </c>
      <c r="F132" s="149">
        <v>0</v>
      </c>
      <c r="G132" s="149">
        <v>229.59</v>
      </c>
      <c r="H132" s="148" t="s">
        <v>46</v>
      </c>
      <c r="I132" s="149">
        <v>42.52</v>
      </c>
      <c r="J132" s="149">
        <v>316.62099999999998</v>
      </c>
      <c r="K132" s="149">
        <v>0</v>
      </c>
      <c r="L132" s="149">
        <v>0</v>
      </c>
      <c r="M132" s="149">
        <v>0</v>
      </c>
      <c r="N132" s="149">
        <v>0</v>
      </c>
      <c r="O132" s="149">
        <f t="shared" ref="O132:O133" si="82">I132+K132+L132+M132+N132</f>
        <v>42.52</v>
      </c>
      <c r="P132" s="149">
        <f t="shared" ref="P132:P133" si="83">J132+K132+L132+M132+N132</f>
        <v>316.62099999999998</v>
      </c>
      <c r="Q132" s="149">
        <v>0</v>
      </c>
      <c r="R132" s="149">
        <v>0</v>
      </c>
      <c r="S132" s="149">
        <v>0</v>
      </c>
      <c r="T132" s="149">
        <v>0</v>
      </c>
      <c r="U132" s="149">
        <v>0</v>
      </c>
      <c r="V132" s="149">
        <f t="shared" si="42"/>
        <v>0</v>
      </c>
      <c r="W132" s="149">
        <v>0</v>
      </c>
      <c r="X132" s="136">
        <f t="shared" si="37"/>
        <v>42.52</v>
      </c>
      <c r="Y132" s="149">
        <v>0</v>
      </c>
      <c r="Z132" s="136">
        <f t="shared" si="79"/>
        <v>272.11</v>
      </c>
      <c r="AA132" s="150">
        <v>360</v>
      </c>
      <c r="AB132" s="148" t="s">
        <v>81</v>
      </c>
      <c r="AC132" s="147" t="s">
        <v>1289</v>
      </c>
      <c r="AD132" s="147" t="s">
        <v>48</v>
      </c>
      <c r="AE132" s="147" t="s">
        <v>695</v>
      </c>
      <c r="AF132" s="147" t="s">
        <v>1290</v>
      </c>
    </row>
    <row r="133" spans="1:32" ht="147" customHeight="1" x14ac:dyDescent="0.2">
      <c r="A133" s="432"/>
      <c r="B133" s="173" t="s">
        <v>1131</v>
      </c>
      <c r="C133" s="147" t="s">
        <v>1146</v>
      </c>
      <c r="D133" s="148" t="s">
        <v>1132</v>
      </c>
      <c r="E133" s="148" t="s">
        <v>69</v>
      </c>
      <c r="F133" s="149">
        <v>0</v>
      </c>
      <c r="G133" s="149">
        <v>0</v>
      </c>
      <c r="H133" s="148" t="s">
        <v>46</v>
      </c>
      <c r="I133" s="149">
        <v>0</v>
      </c>
      <c r="J133" s="149">
        <v>0</v>
      </c>
      <c r="K133" s="149">
        <v>0</v>
      </c>
      <c r="L133" s="149">
        <v>168.744</v>
      </c>
      <c r="M133" s="149">
        <v>0</v>
      </c>
      <c r="N133" s="149">
        <v>0</v>
      </c>
      <c r="O133" s="149">
        <f t="shared" si="82"/>
        <v>168.744</v>
      </c>
      <c r="P133" s="149">
        <f t="shared" si="83"/>
        <v>168.744</v>
      </c>
      <c r="Q133" s="149">
        <v>0</v>
      </c>
      <c r="R133" s="149">
        <v>0</v>
      </c>
      <c r="S133" s="149">
        <v>168.744</v>
      </c>
      <c r="T133" s="149">
        <v>0</v>
      </c>
      <c r="U133" s="149">
        <v>0</v>
      </c>
      <c r="V133" s="149">
        <f t="shared" ref="V133" si="84">SUM(Q133:U133)</f>
        <v>168.744</v>
      </c>
      <c r="W133" s="149">
        <v>168.745</v>
      </c>
      <c r="X133" s="136">
        <f t="shared" si="37"/>
        <v>506.233</v>
      </c>
      <c r="Y133" s="149">
        <v>0</v>
      </c>
      <c r="Z133" s="136">
        <f t="shared" si="79"/>
        <v>506.233</v>
      </c>
      <c r="AA133" s="150">
        <v>506.233</v>
      </c>
      <c r="AB133" s="148" t="s">
        <v>7</v>
      </c>
      <c r="AC133" s="147" t="s">
        <v>1291</v>
      </c>
      <c r="AD133" s="147" t="s">
        <v>1133</v>
      </c>
      <c r="AE133" s="147" t="s">
        <v>1134</v>
      </c>
      <c r="AF133" s="147" t="s">
        <v>1292</v>
      </c>
    </row>
    <row r="134" spans="1:32" ht="25.15" customHeight="1" x14ac:dyDescent="0.2">
      <c r="A134" s="432"/>
      <c r="B134" s="421" t="s">
        <v>696</v>
      </c>
      <c r="C134" s="421"/>
      <c r="D134" s="143" t="s">
        <v>697</v>
      </c>
      <c r="E134" s="143" t="s">
        <v>48</v>
      </c>
      <c r="F134" s="144">
        <f>SUM(F135:F138)</f>
        <v>0</v>
      </c>
      <c r="G134" s="144">
        <f>SUM(G135:G138)</f>
        <v>110.57</v>
      </c>
      <c r="H134" s="143" t="s">
        <v>48</v>
      </c>
      <c r="I134" s="144">
        <f>SUM(I135:I138)</f>
        <v>64.91</v>
      </c>
      <c r="J134" s="144">
        <f t="shared" ref="J134:N134" si="85">SUM(J135:J138)</f>
        <v>190.59700000000001</v>
      </c>
      <c r="K134" s="144">
        <f t="shared" si="85"/>
        <v>0</v>
      </c>
      <c r="L134" s="144">
        <f t="shared" si="85"/>
        <v>0</v>
      </c>
      <c r="M134" s="144">
        <f t="shared" si="85"/>
        <v>0</v>
      </c>
      <c r="N134" s="144">
        <f t="shared" si="85"/>
        <v>0</v>
      </c>
      <c r="O134" s="152">
        <f>I134+K134+L134+M134+N134</f>
        <v>64.91</v>
      </c>
      <c r="P134" s="152">
        <f>J134+K134+L134+M134+N134</f>
        <v>190.59700000000001</v>
      </c>
      <c r="Q134" s="144">
        <f>SUM(Q135:Q138)</f>
        <v>0</v>
      </c>
      <c r="R134" s="144">
        <f>SUM(R135:R138)</f>
        <v>0</v>
      </c>
      <c r="S134" s="144">
        <f>SUM(S135:S138)</f>
        <v>0</v>
      </c>
      <c r="T134" s="144">
        <f>SUM(T135:T138)</f>
        <v>0</v>
      </c>
      <c r="U134" s="144">
        <f>SUM(U135:U138)</f>
        <v>0</v>
      </c>
      <c r="V134" s="152">
        <f t="shared" si="42"/>
        <v>0</v>
      </c>
      <c r="W134" s="144">
        <f>SUM(W135:W138)</f>
        <v>0</v>
      </c>
      <c r="X134" s="145">
        <f t="shared" si="37"/>
        <v>64.91</v>
      </c>
      <c r="Y134" s="144">
        <f>SUM(Y135:Y138)</f>
        <v>0</v>
      </c>
      <c r="Z134" s="145">
        <f t="shared" si="79"/>
        <v>175.48</v>
      </c>
      <c r="AA134" s="142" t="s">
        <v>48</v>
      </c>
      <c r="AB134" s="143" t="s">
        <v>48</v>
      </c>
      <c r="AC134" s="143" t="s">
        <v>48</v>
      </c>
      <c r="AD134" s="143" t="s">
        <v>48</v>
      </c>
      <c r="AE134" s="143" t="s">
        <v>48</v>
      </c>
      <c r="AF134" s="143" t="s">
        <v>48</v>
      </c>
    </row>
    <row r="135" spans="1:32" ht="101.45" customHeight="1" x14ac:dyDescent="0.2">
      <c r="A135" s="432"/>
      <c r="B135" s="173" t="s">
        <v>698</v>
      </c>
      <c r="C135" s="147" t="s">
        <v>699</v>
      </c>
      <c r="D135" s="148" t="s">
        <v>700</v>
      </c>
      <c r="E135" s="148" t="s">
        <v>7</v>
      </c>
      <c r="F135" s="149">
        <v>0</v>
      </c>
      <c r="G135" s="149">
        <v>110.57</v>
      </c>
      <c r="H135" s="148" t="s">
        <v>46</v>
      </c>
      <c r="I135" s="149">
        <v>64.91</v>
      </c>
      <c r="J135" s="149">
        <v>190.59700000000001</v>
      </c>
      <c r="K135" s="149">
        <v>0</v>
      </c>
      <c r="L135" s="149">
        <v>0</v>
      </c>
      <c r="M135" s="149">
        <v>0</v>
      </c>
      <c r="N135" s="149">
        <v>0</v>
      </c>
      <c r="O135" s="149">
        <f t="shared" ref="O135" si="86">I135+K135+L135+M135+N135</f>
        <v>64.91</v>
      </c>
      <c r="P135" s="149">
        <f t="shared" ref="P135" si="87">J135+K135+L135+M135+N135</f>
        <v>190.59700000000001</v>
      </c>
      <c r="Q135" s="149">
        <v>0</v>
      </c>
      <c r="R135" s="149">
        <v>0</v>
      </c>
      <c r="S135" s="149">
        <v>0</v>
      </c>
      <c r="T135" s="149">
        <v>0</v>
      </c>
      <c r="U135" s="149">
        <v>0</v>
      </c>
      <c r="V135" s="149">
        <f t="shared" si="42"/>
        <v>0</v>
      </c>
      <c r="W135" s="149">
        <v>0</v>
      </c>
      <c r="X135" s="136">
        <f t="shared" si="37"/>
        <v>64.91</v>
      </c>
      <c r="Y135" s="149">
        <v>0</v>
      </c>
      <c r="Z135" s="136">
        <f t="shared" si="79"/>
        <v>175.48</v>
      </c>
      <c r="AA135" s="150">
        <v>600</v>
      </c>
      <c r="AB135" s="148" t="s">
        <v>69</v>
      </c>
      <c r="AC135" s="147" t="s">
        <v>1293</v>
      </c>
      <c r="AD135" s="147" t="s">
        <v>48</v>
      </c>
      <c r="AE135" s="147" t="s">
        <v>287</v>
      </c>
      <c r="AF135" s="147" t="s">
        <v>1294</v>
      </c>
    </row>
    <row r="136" spans="1:32" ht="42" hidden="1" x14ac:dyDescent="0.2">
      <c r="A136" s="432"/>
      <c r="B136" s="173" t="s">
        <v>1058</v>
      </c>
      <c r="C136" s="147" t="s">
        <v>29</v>
      </c>
      <c r="D136" s="148" t="s">
        <v>700</v>
      </c>
      <c r="E136" s="148" t="s">
        <v>69</v>
      </c>
      <c r="F136" s="149">
        <v>0</v>
      </c>
      <c r="G136" s="149">
        <v>0</v>
      </c>
      <c r="H136" s="148" t="s">
        <v>446</v>
      </c>
      <c r="I136" s="149">
        <v>0</v>
      </c>
      <c r="J136" s="149"/>
      <c r="K136" s="149">
        <v>0</v>
      </c>
      <c r="L136" s="149">
        <v>0</v>
      </c>
      <c r="M136" s="149">
        <v>0</v>
      </c>
      <c r="N136" s="149">
        <v>0</v>
      </c>
      <c r="O136" s="149">
        <f t="shared" ref="O136:O177" si="88">SUM(I136:N136)</f>
        <v>0</v>
      </c>
      <c r="P136" s="149"/>
      <c r="Q136" s="149">
        <v>0</v>
      </c>
      <c r="R136" s="149">
        <v>0</v>
      </c>
      <c r="S136" s="149">
        <v>0</v>
      </c>
      <c r="T136" s="149">
        <v>0</v>
      </c>
      <c r="U136" s="149">
        <v>0</v>
      </c>
      <c r="V136" s="149">
        <f t="shared" si="42"/>
        <v>0</v>
      </c>
      <c r="W136" s="149">
        <v>0</v>
      </c>
      <c r="X136" s="136">
        <f t="shared" si="37"/>
        <v>0</v>
      </c>
      <c r="Y136" s="149">
        <v>0</v>
      </c>
      <c r="Z136" s="136">
        <f t="shared" si="79"/>
        <v>0</v>
      </c>
      <c r="AA136" s="150">
        <v>720</v>
      </c>
      <c r="AB136" s="148" t="s">
        <v>69</v>
      </c>
      <c r="AC136" s="147" t="s">
        <v>1059</v>
      </c>
      <c r="AD136" s="147" t="s">
        <v>1060</v>
      </c>
      <c r="AE136" s="147" t="s">
        <v>123</v>
      </c>
      <c r="AF136" s="147" t="s">
        <v>159</v>
      </c>
    </row>
    <row r="137" spans="1:32" ht="31.5" hidden="1" x14ac:dyDescent="0.2">
      <c r="A137" s="432"/>
      <c r="B137" s="173" t="s">
        <v>1061</v>
      </c>
      <c r="C137" s="147" t="s">
        <v>59</v>
      </c>
      <c r="D137" s="148" t="s">
        <v>700</v>
      </c>
      <c r="E137" s="148" t="s">
        <v>69</v>
      </c>
      <c r="F137" s="149">
        <v>0</v>
      </c>
      <c r="G137" s="149">
        <v>0</v>
      </c>
      <c r="H137" s="148" t="s">
        <v>446</v>
      </c>
      <c r="I137" s="149">
        <v>0</v>
      </c>
      <c r="J137" s="149"/>
      <c r="K137" s="149">
        <v>0</v>
      </c>
      <c r="L137" s="149">
        <v>0</v>
      </c>
      <c r="M137" s="149">
        <v>0</v>
      </c>
      <c r="N137" s="149">
        <v>0</v>
      </c>
      <c r="O137" s="149">
        <f t="shared" si="88"/>
        <v>0</v>
      </c>
      <c r="P137" s="149"/>
      <c r="Q137" s="149">
        <v>0</v>
      </c>
      <c r="R137" s="149">
        <v>0</v>
      </c>
      <c r="S137" s="149">
        <v>0</v>
      </c>
      <c r="T137" s="149">
        <v>0</v>
      </c>
      <c r="U137" s="149">
        <v>0</v>
      </c>
      <c r="V137" s="149">
        <f t="shared" si="42"/>
        <v>0</v>
      </c>
      <c r="W137" s="149">
        <v>0</v>
      </c>
      <c r="X137" s="136">
        <f t="shared" si="37"/>
        <v>0</v>
      </c>
      <c r="Y137" s="149">
        <v>0</v>
      </c>
      <c r="Z137" s="136">
        <f t="shared" si="79"/>
        <v>0</v>
      </c>
      <c r="AA137" s="150">
        <v>720</v>
      </c>
      <c r="AB137" s="148" t="s">
        <v>69</v>
      </c>
      <c r="AC137" s="147" t="s">
        <v>60</v>
      </c>
      <c r="AD137" s="147" t="s">
        <v>1060</v>
      </c>
      <c r="AE137" s="147" t="s">
        <v>123</v>
      </c>
      <c r="AF137" s="147" t="s">
        <v>159</v>
      </c>
    </row>
    <row r="138" spans="1:32" ht="72.599999999999994" customHeight="1" x14ac:dyDescent="0.2">
      <c r="A138" s="432"/>
      <c r="B138" s="173" t="s">
        <v>701</v>
      </c>
      <c r="C138" s="147" t="s">
        <v>30</v>
      </c>
      <c r="D138" s="148" t="s">
        <v>700</v>
      </c>
      <c r="E138" s="148" t="s">
        <v>7</v>
      </c>
      <c r="F138" s="149">
        <v>0</v>
      </c>
      <c r="G138" s="149">
        <v>0</v>
      </c>
      <c r="H138" s="148" t="s">
        <v>152</v>
      </c>
      <c r="I138" s="149">
        <v>0</v>
      </c>
      <c r="J138" s="149">
        <v>0</v>
      </c>
      <c r="K138" s="149">
        <v>0</v>
      </c>
      <c r="L138" s="149">
        <v>0</v>
      </c>
      <c r="M138" s="149">
        <v>0</v>
      </c>
      <c r="N138" s="149">
        <v>0</v>
      </c>
      <c r="O138" s="149">
        <f t="shared" ref="O138" si="89">I138+K138+L138+M138+N138</f>
        <v>0</v>
      </c>
      <c r="P138" s="149">
        <f t="shared" ref="P138" si="90">J138+K138+L138+M138+N138</f>
        <v>0</v>
      </c>
      <c r="Q138" s="149">
        <v>0</v>
      </c>
      <c r="R138" s="149">
        <v>0</v>
      </c>
      <c r="S138" s="149">
        <v>0</v>
      </c>
      <c r="T138" s="149">
        <v>0</v>
      </c>
      <c r="U138" s="149">
        <v>0</v>
      </c>
      <c r="V138" s="149">
        <f t="shared" si="42"/>
        <v>0</v>
      </c>
      <c r="W138" s="149">
        <v>0</v>
      </c>
      <c r="X138" s="136">
        <f t="shared" si="37"/>
        <v>0</v>
      </c>
      <c r="Y138" s="149">
        <v>0</v>
      </c>
      <c r="Z138" s="136">
        <f t="shared" si="79"/>
        <v>0</v>
      </c>
      <c r="AA138" s="150">
        <v>5126.6899999999996</v>
      </c>
      <c r="AB138" s="148" t="s">
        <v>7</v>
      </c>
      <c r="AC138" s="147" t="s">
        <v>31</v>
      </c>
      <c r="AD138" s="147" t="s">
        <v>1295</v>
      </c>
      <c r="AE138" s="147" t="s">
        <v>49</v>
      </c>
      <c r="AF138" s="147" t="s">
        <v>1296</v>
      </c>
    </row>
    <row r="139" spans="1:32" ht="25.15" customHeight="1" x14ac:dyDescent="0.2">
      <c r="A139" s="430"/>
      <c r="B139" s="431" t="s">
        <v>704</v>
      </c>
      <c r="C139" s="431"/>
      <c r="D139" s="177" t="s">
        <v>705</v>
      </c>
      <c r="E139" s="177" t="s">
        <v>48</v>
      </c>
      <c r="F139" s="178">
        <f>F140</f>
        <v>1495.9099999999999</v>
      </c>
      <c r="G139" s="178">
        <f>G140</f>
        <v>10844.99</v>
      </c>
      <c r="H139" s="177" t="s">
        <v>48</v>
      </c>
      <c r="I139" s="178">
        <f>I140</f>
        <v>497.58100000000002</v>
      </c>
      <c r="J139" s="178">
        <f t="shared" ref="J139:N139" si="91">J140</f>
        <v>1685.0959999999998</v>
      </c>
      <c r="K139" s="178">
        <f t="shared" si="91"/>
        <v>4725.134</v>
      </c>
      <c r="L139" s="178">
        <f t="shared" si="91"/>
        <v>0</v>
      </c>
      <c r="M139" s="178">
        <f t="shared" si="91"/>
        <v>734.53899999999999</v>
      </c>
      <c r="N139" s="178">
        <f t="shared" si="91"/>
        <v>492.8</v>
      </c>
      <c r="O139" s="179">
        <f>I139+K139+L139+M139+N139</f>
        <v>6450.0540000000001</v>
      </c>
      <c r="P139" s="179">
        <f>J139+K139+L139+M139+N139</f>
        <v>7637.5689999999995</v>
      </c>
      <c r="Q139" s="178">
        <f>Q140</f>
        <v>907.94</v>
      </c>
      <c r="R139" s="178">
        <f>R140</f>
        <v>1111.72</v>
      </c>
      <c r="S139" s="178">
        <f>S140</f>
        <v>45.944000000000003</v>
      </c>
      <c r="T139" s="178">
        <f>T140</f>
        <v>0</v>
      </c>
      <c r="U139" s="178">
        <f>U140</f>
        <v>0</v>
      </c>
      <c r="V139" s="179">
        <f t="shared" si="42"/>
        <v>2065.6040000000003</v>
      </c>
      <c r="W139" s="178">
        <f>W140</f>
        <v>849.05899999999986</v>
      </c>
      <c r="X139" s="180">
        <f t="shared" si="37"/>
        <v>9364.7169999999987</v>
      </c>
      <c r="Y139" s="178">
        <f>Y140</f>
        <v>1142</v>
      </c>
      <c r="Z139" s="180">
        <f t="shared" si="79"/>
        <v>22847.616999999998</v>
      </c>
      <c r="AA139" s="176" t="s">
        <v>48</v>
      </c>
      <c r="AB139" s="177" t="s">
        <v>48</v>
      </c>
      <c r="AC139" s="177" t="s">
        <v>48</v>
      </c>
      <c r="AD139" s="177" t="s">
        <v>48</v>
      </c>
      <c r="AE139" s="177" t="s">
        <v>48</v>
      </c>
      <c r="AF139" s="177" t="s">
        <v>48</v>
      </c>
    </row>
    <row r="140" spans="1:32" ht="25.15" customHeight="1" x14ac:dyDescent="0.2">
      <c r="A140" s="430"/>
      <c r="B140" s="421" t="s">
        <v>1063</v>
      </c>
      <c r="C140" s="421"/>
      <c r="D140" s="143" t="s">
        <v>707</v>
      </c>
      <c r="E140" s="143" t="s">
        <v>48</v>
      </c>
      <c r="F140" s="144">
        <f>SUM(F141:F163)</f>
        <v>1495.9099999999999</v>
      </c>
      <c r="G140" s="144">
        <f>SUM(G141:G163)</f>
        <v>10844.99</v>
      </c>
      <c r="H140" s="143" t="s">
        <v>48</v>
      </c>
      <c r="I140" s="144">
        <f>SUM(I141:I164)</f>
        <v>497.58100000000002</v>
      </c>
      <c r="J140" s="144">
        <f t="shared" ref="J140:N140" si="92">SUM(J141:J164)</f>
        <v>1685.0959999999998</v>
      </c>
      <c r="K140" s="144">
        <f t="shared" si="92"/>
        <v>4725.134</v>
      </c>
      <c r="L140" s="144">
        <f t="shared" si="92"/>
        <v>0</v>
      </c>
      <c r="M140" s="144">
        <f t="shared" si="92"/>
        <v>734.53899999999999</v>
      </c>
      <c r="N140" s="144">
        <f t="shared" si="92"/>
        <v>492.8</v>
      </c>
      <c r="O140" s="152">
        <f>I140+K140+L140+M140+N140</f>
        <v>6450.0540000000001</v>
      </c>
      <c r="P140" s="152">
        <f>J140+K140+L140+M140+N140</f>
        <v>7637.5689999999995</v>
      </c>
      <c r="Q140" s="144">
        <f>SUM(Q141:Q164)</f>
        <v>907.94</v>
      </c>
      <c r="R140" s="144">
        <f t="shared" ref="R140:U140" si="93">SUM(R141:R164)</f>
        <v>1111.72</v>
      </c>
      <c r="S140" s="144">
        <f t="shared" si="93"/>
        <v>45.944000000000003</v>
      </c>
      <c r="T140" s="144">
        <f t="shared" si="93"/>
        <v>0</v>
      </c>
      <c r="U140" s="144">
        <f t="shared" si="93"/>
        <v>0</v>
      </c>
      <c r="V140" s="152">
        <f t="shared" si="42"/>
        <v>2065.6040000000003</v>
      </c>
      <c r="W140" s="144">
        <f>SUM(W141:W164)</f>
        <v>849.05899999999986</v>
      </c>
      <c r="X140" s="145">
        <f t="shared" si="37"/>
        <v>9364.7169999999987</v>
      </c>
      <c r="Y140" s="144">
        <f>SUM(Y141:Y164)</f>
        <v>1142</v>
      </c>
      <c r="Z140" s="145">
        <f t="shared" si="79"/>
        <v>22847.616999999998</v>
      </c>
      <c r="AA140" s="142" t="s">
        <v>48</v>
      </c>
      <c r="AB140" s="143" t="s">
        <v>48</v>
      </c>
      <c r="AC140" s="143" t="s">
        <v>48</v>
      </c>
      <c r="AD140" s="143" t="s">
        <v>48</v>
      </c>
      <c r="AE140" s="143" t="s">
        <v>48</v>
      </c>
      <c r="AF140" s="143" t="s">
        <v>48</v>
      </c>
    </row>
    <row r="141" spans="1:32" ht="185.45" customHeight="1" x14ac:dyDescent="0.2">
      <c r="A141" s="430"/>
      <c r="B141" s="181" t="s">
        <v>708</v>
      </c>
      <c r="C141" s="147" t="s">
        <v>32</v>
      </c>
      <c r="D141" s="148" t="s">
        <v>66</v>
      </c>
      <c r="E141" s="148" t="s">
        <v>7</v>
      </c>
      <c r="F141" s="149">
        <v>0</v>
      </c>
      <c r="G141" s="149">
        <v>110.46</v>
      </c>
      <c r="H141" s="148" t="s">
        <v>46</v>
      </c>
      <c r="I141" s="149">
        <v>15.776</v>
      </c>
      <c r="J141" s="149">
        <v>84.828000000000003</v>
      </c>
      <c r="K141" s="149">
        <v>0</v>
      </c>
      <c r="L141" s="149">
        <v>0</v>
      </c>
      <c r="M141" s="149">
        <v>0</v>
      </c>
      <c r="N141" s="149">
        <v>0</v>
      </c>
      <c r="O141" s="149">
        <f t="shared" ref="O141:O168" si="94">I141+K141+L141+M141+N141</f>
        <v>15.776</v>
      </c>
      <c r="P141" s="149">
        <f t="shared" ref="P141:P168" si="95">J141+K141+L141+M141+N141</f>
        <v>84.828000000000003</v>
      </c>
      <c r="Q141" s="149">
        <v>0</v>
      </c>
      <c r="R141" s="149">
        <v>0</v>
      </c>
      <c r="S141" s="149">
        <v>0</v>
      </c>
      <c r="T141" s="149">
        <v>0</v>
      </c>
      <c r="U141" s="149">
        <v>0</v>
      </c>
      <c r="V141" s="149">
        <f t="shared" si="42"/>
        <v>0</v>
      </c>
      <c r="W141" s="149">
        <v>0</v>
      </c>
      <c r="X141" s="136">
        <f t="shared" si="37"/>
        <v>15.776</v>
      </c>
      <c r="Y141" s="149">
        <v>0</v>
      </c>
      <c r="Z141" s="136">
        <f t="shared" si="79"/>
        <v>126.23599999999999</v>
      </c>
      <c r="AA141" s="150">
        <f t="shared" ref="AA141:AA147" si="96">Z141</f>
        <v>126.23599999999999</v>
      </c>
      <c r="AB141" s="148" t="s">
        <v>81</v>
      </c>
      <c r="AC141" s="147" t="s">
        <v>1297</v>
      </c>
      <c r="AD141" s="147" t="s">
        <v>33</v>
      </c>
      <c r="AE141" s="147" t="s">
        <v>1298</v>
      </c>
      <c r="AF141" s="147" t="s">
        <v>1299</v>
      </c>
    </row>
    <row r="142" spans="1:32" ht="250.15" customHeight="1" x14ac:dyDescent="0.2">
      <c r="A142" s="430"/>
      <c r="B142" s="181" t="s">
        <v>712</v>
      </c>
      <c r="C142" s="147" t="s">
        <v>713</v>
      </c>
      <c r="D142" s="148" t="s">
        <v>714</v>
      </c>
      <c r="E142" s="148" t="s">
        <v>7</v>
      </c>
      <c r="F142" s="149">
        <v>0</v>
      </c>
      <c r="G142" s="149">
        <v>418.88</v>
      </c>
      <c r="H142" s="148" t="s">
        <v>46</v>
      </c>
      <c r="I142" s="149">
        <v>144.06</v>
      </c>
      <c r="J142" s="149">
        <v>184.76599999999999</v>
      </c>
      <c r="K142" s="149">
        <v>0</v>
      </c>
      <c r="L142" s="149">
        <v>0</v>
      </c>
      <c r="M142" s="149">
        <v>20</v>
      </c>
      <c r="N142" s="149">
        <v>0</v>
      </c>
      <c r="O142" s="149">
        <f t="shared" si="94"/>
        <v>164.06</v>
      </c>
      <c r="P142" s="149">
        <f t="shared" si="95"/>
        <v>204.76599999999999</v>
      </c>
      <c r="Q142" s="149">
        <v>0</v>
      </c>
      <c r="R142" s="149">
        <v>0</v>
      </c>
      <c r="S142" s="149">
        <v>0</v>
      </c>
      <c r="T142" s="149">
        <v>0</v>
      </c>
      <c r="U142" s="149">
        <v>0</v>
      </c>
      <c r="V142" s="149">
        <f t="shared" si="42"/>
        <v>0</v>
      </c>
      <c r="W142" s="149">
        <v>0</v>
      </c>
      <c r="X142" s="136">
        <f t="shared" si="37"/>
        <v>164.06</v>
      </c>
      <c r="Y142" s="149">
        <v>0</v>
      </c>
      <c r="Z142" s="136">
        <f t="shared" si="79"/>
        <v>582.94000000000005</v>
      </c>
      <c r="AA142" s="150">
        <f t="shared" si="96"/>
        <v>582.94000000000005</v>
      </c>
      <c r="AB142" s="148" t="s">
        <v>69</v>
      </c>
      <c r="AC142" s="147" t="s">
        <v>1300</v>
      </c>
      <c r="AD142" s="147" t="s">
        <v>48</v>
      </c>
      <c r="AE142" s="147" t="s">
        <v>1298</v>
      </c>
      <c r="AF142" s="147" t="s">
        <v>48</v>
      </c>
    </row>
    <row r="143" spans="1:32" ht="97.15" customHeight="1" x14ac:dyDescent="0.2">
      <c r="A143" s="430"/>
      <c r="B143" s="181" t="s">
        <v>716</v>
      </c>
      <c r="C143" s="147" t="s">
        <v>717</v>
      </c>
      <c r="D143" s="148" t="s">
        <v>718</v>
      </c>
      <c r="E143" s="148" t="s">
        <v>7</v>
      </c>
      <c r="F143" s="149">
        <v>0</v>
      </c>
      <c r="G143" s="149">
        <v>414.42</v>
      </c>
      <c r="H143" s="148" t="s">
        <v>46</v>
      </c>
      <c r="I143" s="149">
        <v>1.82</v>
      </c>
      <c r="J143" s="149">
        <v>0</v>
      </c>
      <c r="K143" s="149">
        <v>0</v>
      </c>
      <c r="L143" s="149">
        <v>0</v>
      </c>
      <c r="M143" s="149">
        <v>0</v>
      </c>
      <c r="N143" s="149">
        <v>0</v>
      </c>
      <c r="O143" s="149">
        <f t="shared" si="94"/>
        <v>1.82</v>
      </c>
      <c r="P143" s="149">
        <f t="shared" si="95"/>
        <v>0</v>
      </c>
      <c r="Q143" s="149">
        <v>0</v>
      </c>
      <c r="R143" s="149">
        <v>0</v>
      </c>
      <c r="S143" s="149">
        <v>0</v>
      </c>
      <c r="T143" s="149">
        <v>0</v>
      </c>
      <c r="U143" s="149">
        <v>0</v>
      </c>
      <c r="V143" s="149">
        <f t="shared" si="42"/>
        <v>0</v>
      </c>
      <c r="W143" s="149">
        <v>0</v>
      </c>
      <c r="X143" s="136">
        <f t="shared" si="37"/>
        <v>1.82</v>
      </c>
      <c r="Y143" s="149">
        <v>0</v>
      </c>
      <c r="Z143" s="136">
        <f t="shared" si="79"/>
        <v>416.24</v>
      </c>
      <c r="AA143" s="150">
        <f t="shared" si="96"/>
        <v>416.24</v>
      </c>
      <c r="AB143" s="148" t="s">
        <v>69</v>
      </c>
      <c r="AC143" s="147" t="s">
        <v>1301</v>
      </c>
      <c r="AD143" s="147" t="s">
        <v>720</v>
      </c>
      <c r="AE143" s="147" t="s">
        <v>128</v>
      </c>
      <c r="AF143" s="147" t="s">
        <v>48</v>
      </c>
    </row>
    <row r="144" spans="1:32" ht="274.14999999999998" customHeight="1" x14ac:dyDescent="0.2">
      <c r="A144" s="430"/>
      <c r="B144" s="181" t="s">
        <v>721</v>
      </c>
      <c r="C144" s="147" t="s">
        <v>722</v>
      </c>
      <c r="D144" s="148" t="s">
        <v>723</v>
      </c>
      <c r="E144" s="148" t="s">
        <v>7</v>
      </c>
      <c r="F144" s="149">
        <v>0</v>
      </c>
      <c r="G144" s="149">
        <v>2306.94</v>
      </c>
      <c r="H144" s="148" t="s">
        <v>46</v>
      </c>
      <c r="I144" s="149">
        <v>72.787000000000006</v>
      </c>
      <c r="J144" s="149">
        <v>182.864</v>
      </c>
      <c r="K144" s="149">
        <v>1299.31</v>
      </c>
      <c r="L144" s="149">
        <v>0</v>
      </c>
      <c r="M144" s="149">
        <v>238.732</v>
      </c>
      <c r="N144" s="149">
        <v>0</v>
      </c>
      <c r="O144" s="149">
        <f t="shared" si="94"/>
        <v>1610.829</v>
      </c>
      <c r="P144" s="149">
        <f t="shared" si="95"/>
        <v>1720.9059999999999</v>
      </c>
      <c r="Q144" s="149">
        <v>0</v>
      </c>
      <c r="R144" s="149">
        <v>0</v>
      </c>
      <c r="S144" s="149">
        <v>0</v>
      </c>
      <c r="T144" s="149">
        <v>0</v>
      </c>
      <c r="U144" s="149">
        <v>0</v>
      </c>
      <c r="V144" s="149">
        <f t="shared" si="42"/>
        <v>0</v>
      </c>
      <c r="W144" s="149">
        <v>0</v>
      </c>
      <c r="X144" s="136">
        <f t="shared" si="37"/>
        <v>1610.829</v>
      </c>
      <c r="Y144" s="149">
        <v>0</v>
      </c>
      <c r="Z144" s="136">
        <f t="shared" si="79"/>
        <v>3917.7690000000002</v>
      </c>
      <c r="AA144" s="150">
        <f>Z144</f>
        <v>3917.7690000000002</v>
      </c>
      <c r="AB144" s="148" t="s">
        <v>69</v>
      </c>
      <c r="AC144" s="147" t="s">
        <v>1302</v>
      </c>
      <c r="AD144" s="147" t="s">
        <v>48</v>
      </c>
      <c r="AE144" s="147" t="s">
        <v>128</v>
      </c>
      <c r="AF144" s="147" t="s">
        <v>48</v>
      </c>
    </row>
    <row r="145" spans="1:32" ht="102.6" customHeight="1" x14ac:dyDescent="0.2">
      <c r="A145" s="430"/>
      <c r="B145" s="181" t="s">
        <v>725</v>
      </c>
      <c r="C145" s="147" t="s">
        <v>726</v>
      </c>
      <c r="D145" s="148" t="s">
        <v>723</v>
      </c>
      <c r="E145" s="148" t="s">
        <v>7</v>
      </c>
      <c r="F145" s="149">
        <v>0</v>
      </c>
      <c r="G145" s="149">
        <v>597.63</v>
      </c>
      <c r="H145" s="148" t="s">
        <v>46</v>
      </c>
      <c r="I145" s="149">
        <v>31.25</v>
      </c>
      <c r="J145" s="149">
        <v>0</v>
      </c>
      <c r="K145" s="149">
        <v>0</v>
      </c>
      <c r="L145" s="149">
        <v>0</v>
      </c>
      <c r="M145" s="149">
        <v>0</v>
      </c>
      <c r="N145" s="149">
        <v>0</v>
      </c>
      <c r="O145" s="149">
        <f t="shared" si="94"/>
        <v>31.25</v>
      </c>
      <c r="P145" s="149">
        <f t="shared" si="95"/>
        <v>0</v>
      </c>
      <c r="Q145" s="149">
        <v>0</v>
      </c>
      <c r="R145" s="149">
        <v>0</v>
      </c>
      <c r="S145" s="149">
        <v>0</v>
      </c>
      <c r="T145" s="149">
        <v>0</v>
      </c>
      <c r="U145" s="149">
        <v>0</v>
      </c>
      <c r="V145" s="149">
        <f t="shared" si="42"/>
        <v>0</v>
      </c>
      <c r="W145" s="149">
        <v>0</v>
      </c>
      <c r="X145" s="136">
        <f t="shared" si="37"/>
        <v>31.25</v>
      </c>
      <c r="Y145" s="149">
        <v>0</v>
      </c>
      <c r="Z145" s="136">
        <f t="shared" si="79"/>
        <v>628.88</v>
      </c>
      <c r="AA145" s="150">
        <v>1126.42</v>
      </c>
      <c r="AB145" s="148" t="s">
        <v>69</v>
      </c>
      <c r="AC145" s="147" t="s">
        <v>1303</v>
      </c>
      <c r="AD145" s="147" t="s">
        <v>48</v>
      </c>
      <c r="AE145" s="147" t="s">
        <v>128</v>
      </c>
      <c r="AF145" s="147" t="s">
        <v>48</v>
      </c>
    </row>
    <row r="146" spans="1:32" ht="183" customHeight="1" x14ac:dyDescent="0.2">
      <c r="A146" s="430"/>
      <c r="B146" s="181" t="s">
        <v>728</v>
      </c>
      <c r="C146" s="147" t="s">
        <v>729</v>
      </c>
      <c r="D146" s="148" t="s">
        <v>723</v>
      </c>
      <c r="E146" s="148" t="s">
        <v>7</v>
      </c>
      <c r="F146" s="149">
        <v>0</v>
      </c>
      <c r="G146" s="149">
        <v>166.38</v>
      </c>
      <c r="H146" s="148" t="s">
        <v>46</v>
      </c>
      <c r="I146" s="149">
        <v>57.28</v>
      </c>
      <c r="J146" s="149">
        <v>517.37300000000005</v>
      </c>
      <c r="K146" s="149">
        <v>499.21</v>
      </c>
      <c r="L146" s="149">
        <v>0</v>
      </c>
      <c r="M146" s="149">
        <v>0</v>
      </c>
      <c r="N146" s="149">
        <v>0</v>
      </c>
      <c r="O146" s="149">
        <f t="shared" si="94"/>
        <v>556.49</v>
      </c>
      <c r="P146" s="149">
        <f t="shared" si="95"/>
        <v>1016.5830000000001</v>
      </c>
      <c r="Q146" s="149">
        <v>71.98</v>
      </c>
      <c r="R146" s="149">
        <v>331.32</v>
      </c>
      <c r="S146" s="149">
        <v>0</v>
      </c>
      <c r="T146" s="149">
        <v>0</v>
      </c>
      <c r="U146" s="149">
        <v>0</v>
      </c>
      <c r="V146" s="149">
        <f t="shared" si="42"/>
        <v>403.3</v>
      </c>
      <c r="W146" s="149">
        <v>0</v>
      </c>
      <c r="X146" s="136">
        <f t="shared" si="37"/>
        <v>959.79</v>
      </c>
      <c r="Y146" s="149">
        <v>0</v>
      </c>
      <c r="Z146" s="136">
        <f t="shared" si="79"/>
        <v>1126.17</v>
      </c>
      <c r="AA146" s="150">
        <f t="shared" si="96"/>
        <v>1126.17</v>
      </c>
      <c r="AB146" s="148" t="s">
        <v>69</v>
      </c>
      <c r="AC146" s="147" t="s">
        <v>1304</v>
      </c>
      <c r="AD146" s="147" t="s">
        <v>1305</v>
      </c>
      <c r="AE146" s="147" t="s">
        <v>128</v>
      </c>
      <c r="AF146" s="147" t="s">
        <v>1306</v>
      </c>
    </row>
    <row r="147" spans="1:32" ht="37.15" customHeight="1" x14ac:dyDescent="0.2">
      <c r="A147" s="430"/>
      <c r="B147" s="181" t="s">
        <v>731</v>
      </c>
      <c r="C147" s="147" t="s">
        <v>732</v>
      </c>
      <c r="D147" s="148" t="s">
        <v>723</v>
      </c>
      <c r="E147" s="148" t="s">
        <v>7</v>
      </c>
      <c r="F147" s="149">
        <v>0</v>
      </c>
      <c r="G147" s="149">
        <v>9.94</v>
      </c>
      <c r="H147" s="148" t="s">
        <v>152</v>
      </c>
      <c r="I147" s="149">
        <v>0</v>
      </c>
      <c r="J147" s="149">
        <v>115.883</v>
      </c>
      <c r="K147" s="149">
        <v>0</v>
      </c>
      <c r="L147" s="149">
        <v>0</v>
      </c>
      <c r="M147" s="149">
        <v>0</v>
      </c>
      <c r="N147" s="149">
        <v>0</v>
      </c>
      <c r="O147" s="149">
        <f t="shared" si="94"/>
        <v>0</v>
      </c>
      <c r="P147" s="149">
        <v>3</v>
      </c>
      <c r="Q147" s="149">
        <v>0</v>
      </c>
      <c r="R147" s="149">
        <v>0</v>
      </c>
      <c r="S147" s="149">
        <v>0</v>
      </c>
      <c r="T147" s="149">
        <v>0</v>
      </c>
      <c r="U147" s="149">
        <v>0</v>
      </c>
      <c r="V147" s="149">
        <f t="shared" si="42"/>
        <v>0</v>
      </c>
      <c r="W147" s="149">
        <v>0</v>
      </c>
      <c r="X147" s="136">
        <f t="shared" si="37"/>
        <v>0</v>
      </c>
      <c r="Y147" s="149">
        <v>0</v>
      </c>
      <c r="Z147" s="136">
        <f t="shared" si="79"/>
        <v>9.94</v>
      </c>
      <c r="AA147" s="150">
        <f t="shared" si="96"/>
        <v>9.94</v>
      </c>
      <c r="AB147" s="148" t="s">
        <v>69</v>
      </c>
      <c r="AC147" s="147" t="s">
        <v>1307</v>
      </c>
      <c r="AD147" s="147" t="s">
        <v>734</v>
      </c>
      <c r="AE147" s="147" t="s">
        <v>128</v>
      </c>
      <c r="AF147" s="147" t="s">
        <v>48</v>
      </c>
    </row>
    <row r="148" spans="1:32" ht="34.9" hidden="1" customHeight="1" x14ac:dyDescent="0.2">
      <c r="A148" s="430"/>
      <c r="B148" s="181" t="s">
        <v>1072</v>
      </c>
      <c r="C148" s="147" t="s">
        <v>1073</v>
      </c>
      <c r="D148" s="148" t="s">
        <v>723</v>
      </c>
      <c r="E148" s="148" t="s">
        <v>69</v>
      </c>
      <c r="F148" s="149">
        <v>0</v>
      </c>
      <c r="G148" s="149">
        <v>9.94</v>
      </c>
      <c r="H148" s="148" t="s">
        <v>446</v>
      </c>
      <c r="I148" s="149">
        <v>0</v>
      </c>
      <c r="J148" s="149"/>
      <c r="K148" s="149">
        <v>0</v>
      </c>
      <c r="L148" s="149">
        <v>0</v>
      </c>
      <c r="M148" s="149">
        <v>0</v>
      </c>
      <c r="N148" s="149">
        <v>0</v>
      </c>
      <c r="O148" s="149">
        <f t="shared" si="94"/>
        <v>0</v>
      </c>
      <c r="P148" s="149">
        <f t="shared" si="95"/>
        <v>0</v>
      </c>
      <c r="Q148" s="149">
        <v>0</v>
      </c>
      <c r="R148" s="149">
        <v>0</v>
      </c>
      <c r="S148" s="149">
        <v>0</v>
      </c>
      <c r="T148" s="149">
        <v>0</v>
      </c>
      <c r="U148" s="149">
        <v>0</v>
      </c>
      <c r="V148" s="149">
        <f t="shared" si="42"/>
        <v>0</v>
      </c>
      <c r="W148" s="149">
        <v>0</v>
      </c>
      <c r="X148" s="136">
        <f t="shared" ref="X148:X188" si="97">O148+V148+W148</f>
        <v>0</v>
      </c>
      <c r="Y148" s="149">
        <v>0</v>
      </c>
      <c r="Z148" s="136">
        <f t="shared" si="79"/>
        <v>9.94</v>
      </c>
      <c r="AA148" s="150">
        <v>24000</v>
      </c>
      <c r="AB148" s="148" t="s">
        <v>7</v>
      </c>
      <c r="AC148" s="147" t="s">
        <v>1074</v>
      </c>
      <c r="AD148" s="147" t="s">
        <v>1075</v>
      </c>
      <c r="AE148" s="147" t="s">
        <v>128</v>
      </c>
      <c r="AF148" s="147" t="s">
        <v>48</v>
      </c>
    </row>
    <row r="149" spans="1:32" ht="75" customHeight="1" x14ac:dyDescent="0.2">
      <c r="A149" s="430"/>
      <c r="B149" s="181" t="s">
        <v>735</v>
      </c>
      <c r="C149" s="147" t="s">
        <v>736</v>
      </c>
      <c r="D149" s="148" t="s">
        <v>723</v>
      </c>
      <c r="E149" s="148" t="s">
        <v>7</v>
      </c>
      <c r="F149" s="149">
        <v>0</v>
      </c>
      <c r="G149" s="149">
        <v>287.11</v>
      </c>
      <c r="H149" s="148" t="s">
        <v>46</v>
      </c>
      <c r="I149" s="149">
        <v>0</v>
      </c>
      <c r="J149" s="149">
        <v>66.143000000000001</v>
      </c>
      <c r="K149" s="149">
        <v>390.86799999999999</v>
      </c>
      <c r="L149" s="149">
        <v>0</v>
      </c>
      <c r="M149" s="149">
        <v>66.971000000000004</v>
      </c>
      <c r="N149" s="149">
        <v>0</v>
      </c>
      <c r="O149" s="149">
        <f t="shared" si="94"/>
        <v>457.839</v>
      </c>
      <c r="P149" s="149">
        <f t="shared" si="95"/>
        <v>523.98199999999997</v>
      </c>
      <c r="Q149" s="149">
        <v>0</v>
      </c>
      <c r="R149" s="149">
        <v>0</v>
      </c>
      <c r="S149" s="149">
        <v>0</v>
      </c>
      <c r="T149" s="149">
        <v>0</v>
      </c>
      <c r="U149" s="149">
        <v>0</v>
      </c>
      <c r="V149" s="149">
        <f t="shared" si="42"/>
        <v>0</v>
      </c>
      <c r="W149" s="149">
        <v>0</v>
      </c>
      <c r="X149" s="136">
        <f t="shared" si="97"/>
        <v>457.839</v>
      </c>
      <c r="Y149" s="149">
        <v>0</v>
      </c>
      <c r="Z149" s="136">
        <f t="shared" si="79"/>
        <v>744.94900000000007</v>
      </c>
      <c r="AA149" s="150">
        <v>776.29700000000003</v>
      </c>
      <c r="AB149" s="148" t="s">
        <v>69</v>
      </c>
      <c r="AC149" s="147" t="s">
        <v>1308</v>
      </c>
      <c r="AD149" s="147" t="s">
        <v>48</v>
      </c>
      <c r="AE149" s="147" t="s">
        <v>128</v>
      </c>
      <c r="AF149" s="147" t="s">
        <v>48</v>
      </c>
    </row>
    <row r="150" spans="1:32" ht="149.44999999999999" customHeight="1" x14ac:dyDescent="0.2">
      <c r="A150" s="430"/>
      <c r="B150" s="181" t="s">
        <v>738</v>
      </c>
      <c r="C150" s="147" t="s">
        <v>739</v>
      </c>
      <c r="D150" s="148" t="s">
        <v>723</v>
      </c>
      <c r="E150" s="148" t="s">
        <v>7</v>
      </c>
      <c r="F150" s="149">
        <v>165.52</v>
      </c>
      <c r="G150" s="149">
        <v>6065.47</v>
      </c>
      <c r="H150" s="148" t="s">
        <v>46</v>
      </c>
      <c r="I150" s="149">
        <v>138.23400000000001</v>
      </c>
      <c r="J150" s="149">
        <v>271.39699999999999</v>
      </c>
      <c r="K150" s="149">
        <v>2340.9560000000001</v>
      </c>
      <c r="L150" s="149">
        <v>0</v>
      </c>
      <c r="M150" s="149">
        <v>408.83600000000001</v>
      </c>
      <c r="N150" s="149">
        <v>0</v>
      </c>
      <c r="O150" s="149">
        <f t="shared" si="94"/>
        <v>2888.0259999999998</v>
      </c>
      <c r="P150" s="149">
        <f t="shared" si="95"/>
        <v>3021.1890000000003</v>
      </c>
      <c r="Q150" s="149">
        <v>0</v>
      </c>
      <c r="R150" s="149">
        <v>0</v>
      </c>
      <c r="S150" s="149">
        <v>0</v>
      </c>
      <c r="T150" s="149">
        <v>0</v>
      </c>
      <c r="U150" s="149">
        <v>0</v>
      </c>
      <c r="V150" s="149">
        <f t="shared" si="42"/>
        <v>0</v>
      </c>
      <c r="W150" s="149">
        <v>0</v>
      </c>
      <c r="X150" s="136">
        <f t="shared" si="97"/>
        <v>2888.0259999999998</v>
      </c>
      <c r="Y150" s="149">
        <v>0</v>
      </c>
      <c r="Z150" s="136">
        <f t="shared" si="79"/>
        <v>9119.0159999999996</v>
      </c>
      <c r="AA150" s="150">
        <f>Z150</f>
        <v>9119.0159999999996</v>
      </c>
      <c r="AB150" s="148" t="s">
        <v>69</v>
      </c>
      <c r="AC150" s="147" t="s">
        <v>1309</v>
      </c>
      <c r="AD150" s="147" t="s">
        <v>1310</v>
      </c>
      <c r="AE150" s="147" t="s">
        <v>10</v>
      </c>
      <c r="AF150" s="147" t="s">
        <v>48</v>
      </c>
    </row>
    <row r="151" spans="1:32" ht="42" hidden="1" x14ac:dyDescent="0.2">
      <c r="A151" s="430"/>
      <c r="B151" s="181" t="s">
        <v>1079</v>
      </c>
      <c r="C151" s="147" t="s">
        <v>1080</v>
      </c>
      <c r="D151" s="148" t="s">
        <v>723</v>
      </c>
      <c r="E151" s="148" t="s">
        <v>69</v>
      </c>
      <c r="F151" s="149">
        <v>0</v>
      </c>
      <c r="G151" s="149">
        <v>0</v>
      </c>
      <c r="H151" s="148" t="s">
        <v>446</v>
      </c>
      <c r="I151" s="149">
        <v>0</v>
      </c>
      <c r="J151" s="149"/>
      <c r="K151" s="149">
        <v>0</v>
      </c>
      <c r="L151" s="149">
        <v>0</v>
      </c>
      <c r="M151" s="149">
        <v>0</v>
      </c>
      <c r="N151" s="149">
        <v>0</v>
      </c>
      <c r="O151" s="149">
        <f t="shared" si="94"/>
        <v>0</v>
      </c>
      <c r="P151" s="149">
        <f t="shared" si="95"/>
        <v>0</v>
      </c>
      <c r="Q151" s="149">
        <v>0</v>
      </c>
      <c r="R151" s="149">
        <v>0</v>
      </c>
      <c r="S151" s="149">
        <v>0</v>
      </c>
      <c r="T151" s="149">
        <v>0</v>
      </c>
      <c r="U151" s="149">
        <v>0</v>
      </c>
      <c r="V151" s="149">
        <f t="shared" ref="V151:V188" si="98">SUM(Q151:U151)</f>
        <v>0</v>
      </c>
      <c r="W151" s="149">
        <v>0</v>
      </c>
      <c r="X151" s="136">
        <f t="shared" si="97"/>
        <v>0</v>
      </c>
      <c r="Y151" s="149">
        <v>0</v>
      </c>
      <c r="Z151" s="136">
        <f t="shared" si="79"/>
        <v>0</v>
      </c>
      <c r="AA151" s="150">
        <v>120</v>
      </c>
      <c r="AB151" s="148" t="s">
        <v>7</v>
      </c>
      <c r="AC151" s="147" t="s">
        <v>1081</v>
      </c>
      <c r="AD151" s="147" t="s">
        <v>1082</v>
      </c>
      <c r="AE151" s="147" t="s">
        <v>128</v>
      </c>
      <c r="AF151" s="147" t="s">
        <v>88</v>
      </c>
    </row>
    <row r="152" spans="1:32" ht="78" hidden="1" customHeight="1" x14ac:dyDescent="0.2">
      <c r="A152" s="430"/>
      <c r="B152" s="181" t="s">
        <v>742</v>
      </c>
      <c r="C152" s="147" t="s">
        <v>743</v>
      </c>
      <c r="D152" s="148" t="s">
        <v>744</v>
      </c>
      <c r="E152" s="148" t="s">
        <v>7</v>
      </c>
      <c r="F152" s="149">
        <v>0</v>
      </c>
      <c r="G152" s="149">
        <v>0</v>
      </c>
      <c r="H152" s="148" t="s">
        <v>152</v>
      </c>
      <c r="I152" s="149">
        <v>0</v>
      </c>
      <c r="J152" s="149"/>
      <c r="K152" s="149">
        <v>0</v>
      </c>
      <c r="L152" s="149">
        <v>0</v>
      </c>
      <c r="M152" s="149">
        <v>0</v>
      </c>
      <c r="N152" s="149">
        <v>0</v>
      </c>
      <c r="O152" s="149">
        <f t="shared" si="94"/>
        <v>0</v>
      </c>
      <c r="P152" s="149">
        <f t="shared" si="95"/>
        <v>0</v>
      </c>
      <c r="Q152" s="149">
        <v>0</v>
      </c>
      <c r="R152" s="149">
        <v>0</v>
      </c>
      <c r="S152" s="149">
        <v>0</v>
      </c>
      <c r="T152" s="149">
        <v>0</v>
      </c>
      <c r="U152" s="149">
        <v>0</v>
      </c>
      <c r="V152" s="149">
        <f t="shared" si="98"/>
        <v>0</v>
      </c>
      <c r="W152" s="149">
        <v>0</v>
      </c>
      <c r="X152" s="136">
        <f t="shared" si="97"/>
        <v>0</v>
      </c>
      <c r="Y152" s="149">
        <v>0</v>
      </c>
      <c r="Z152" s="136">
        <f t="shared" si="79"/>
        <v>0</v>
      </c>
      <c r="AA152" s="150">
        <f>Z152</f>
        <v>0</v>
      </c>
      <c r="AB152" s="148" t="s">
        <v>69</v>
      </c>
      <c r="AC152" s="147" t="s">
        <v>1311</v>
      </c>
      <c r="AD152" s="147" t="s">
        <v>746</v>
      </c>
      <c r="AE152" s="147" t="s">
        <v>128</v>
      </c>
      <c r="AF152" s="147" t="s">
        <v>48</v>
      </c>
    </row>
    <row r="153" spans="1:32" ht="223.9" customHeight="1" x14ac:dyDescent="0.2">
      <c r="A153" s="430"/>
      <c r="B153" s="181" t="s">
        <v>747</v>
      </c>
      <c r="C153" s="147" t="s">
        <v>748</v>
      </c>
      <c r="D153" s="148" t="s">
        <v>83</v>
      </c>
      <c r="E153" s="148" t="s">
        <v>7</v>
      </c>
      <c r="F153" s="149">
        <v>0</v>
      </c>
      <c r="G153" s="149">
        <v>61.89</v>
      </c>
      <c r="H153" s="148" t="s">
        <v>46</v>
      </c>
      <c r="I153" s="149">
        <v>0</v>
      </c>
      <c r="J153" s="149">
        <v>225.47200000000001</v>
      </c>
      <c r="K153" s="149">
        <v>0</v>
      </c>
      <c r="L153" s="149">
        <v>0</v>
      </c>
      <c r="M153" s="149">
        <v>0</v>
      </c>
      <c r="N153" s="149">
        <v>0</v>
      </c>
      <c r="O153" s="149">
        <f t="shared" si="94"/>
        <v>0</v>
      </c>
      <c r="P153" s="149">
        <f t="shared" si="95"/>
        <v>225.47200000000001</v>
      </c>
      <c r="Q153" s="149">
        <v>251</v>
      </c>
      <c r="R153" s="149">
        <v>0</v>
      </c>
      <c r="S153" s="149">
        <v>0</v>
      </c>
      <c r="T153" s="149">
        <v>0</v>
      </c>
      <c r="U153" s="149">
        <v>0</v>
      </c>
      <c r="V153" s="149">
        <f t="shared" si="98"/>
        <v>251</v>
      </c>
      <c r="W153" s="149">
        <v>90.4</v>
      </c>
      <c r="X153" s="136">
        <f t="shared" si="97"/>
        <v>341.4</v>
      </c>
      <c r="Y153" s="149">
        <v>97.2</v>
      </c>
      <c r="Z153" s="136">
        <f t="shared" si="79"/>
        <v>500.48999999999995</v>
      </c>
      <c r="AA153" s="150">
        <f>Z153</f>
        <v>500.48999999999995</v>
      </c>
      <c r="AB153" s="148" t="s">
        <v>69</v>
      </c>
      <c r="AC153" s="147" t="s">
        <v>1312</v>
      </c>
      <c r="AD153" s="147" t="s">
        <v>48</v>
      </c>
      <c r="AE153" s="147" t="s">
        <v>128</v>
      </c>
      <c r="AF153" s="147" t="s">
        <v>1313</v>
      </c>
    </row>
    <row r="154" spans="1:32" ht="151.9" customHeight="1" x14ac:dyDescent="0.2">
      <c r="A154" s="430"/>
      <c r="B154" s="181" t="s">
        <v>752</v>
      </c>
      <c r="C154" s="147" t="s">
        <v>1314</v>
      </c>
      <c r="D154" s="148" t="s">
        <v>754</v>
      </c>
      <c r="E154" s="148" t="s">
        <v>7</v>
      </c>
      <c r="F154" s="149">
        <v>477</v>
      </c>
      <c r="G154" s="149">
        <v>72</v>
      </c>
      <c r="H154" s="148" t="s">
        <v>46</v>
      </c>
      <c r="I154" s="149">
        <v>0</v>
      </c>
      <c r="J154" s="149">
        <v>0</v>
      </c>
      <c r="K154" s="149">
        <v>0</v>
      </c>
      <c r="L154" s="149">
        <v>0</v>
      </c>
      <c r="M154" s="149">
        <v>0</v>
      </c>
      <c r="N154" s="149">
        <v>492.8</v>
      </c>
      <c r="O154" s="149">
        <f t="shared" si="94"/>
        <v>492.8</v>
      </c>
      <c r="P154" s="149">
        <f t="shared" si="95"/>
        <v>492.8</v>
      </c>
      <c r="Q154" s="149">
        <v>0</v>
      </c>
      <c r="R154" s="149">
        <v>0</v>
      </c>
      <c r="S154" s="149">
        <v>0</v>
      </c>
      <c r="T154" s="149">
        <v>0</v>
      </c>
      <c r="U154" s="149">
        <v>0</v>
      </c>
      <c r="V154" s="149">
        <f t="shared" si="98"/>
        <v>0</v>
      </c>
      <c r="W154" s="149">
        <v>10.1</v>
      </c>
      <c r="X154" s="136">
        <f t="shared" si="97"/>
        <v>502.90000000000003</v>
      </c>
      <c r="Y154" s="149">
        <v>325.7</v>
      </c>
      <c r="Z154" s="136">
        <f t="shared" si="79"/>
        <v>1377.6</v>
      </c>
      <c r="AA154" s="150">
        <v>3600</v>
      </c>
      <c r="AB154" s="148" t="s">
        <v>81</v>
      </c>
      <c r="AC154" s="147" t="s">
        <v>1315</v>
      </c>
      <c r="AD154" s="147" t="s">
        <v>48</v>
      </c>
      <c r="AE154" s="147" t="s">
        <v>750</v>
      </c>
      <c r="AF154" s="147" t="s">
        <v>1204</v>
      </c>
    </row>
    <row r="155" spans="1:32" ht="199.15" customHeight="1" x14ac:dyDescent="0.2">
      <c r="A155" s="430"/>
      <c r="B155" s="181" t="s">
        <v>756</v>
      </c>
      <c r="C155" s="147" t="s">
        <v>757</v>
      </c>
      <c r="D155" s="148" t="s">
        <v>754</v>
      </c>
      <c r="E155" s="148" t="s">
        <v>7</v>
      </c>
      <c r="F155" s="149">
        <v>16.399999999999999</v>
      </c>
      <c r="G155" s="149">
        <v>43.2</v>
      </c>
      <c r="H155" s="148" t="s">
        <v>46</v>
      </c>
      <c r="I155" s="149">
        <v>0</v>
      </c>
      <c r="J155" s="149">
        <v>0</v>
      </c>
      <c r="K155" s="149">
        <v>0</v>
      </c>
      <c r="L155" s="149">
        <v>0</v>
      </c>
      <c r="M155" s="149">
        <v>0</v>
      </c>
      <c r="N155" s="149">
        <v>0</v>
      </c>
      <c r="O155" s="149">
        <f t="shared" si="94"/>
        <v>0</v>
      </c>
      <c r="P155" s="149">
        <f t="shared" si="95"/>
        <v>0</v>
      </c>
      <c r="Q155" s="149">
        <v>46.9</v>
      </c>
      <c r="R155" s="149">
        <v>0</v>
      </c>
      <c r="S155" s="149">
        <v>0</v>
      </c>
      <c r="T155" s="149">
        <v>0</v>
      </c>
      <c r="U155" s="149">
        <v>0</v>
      </c>
      <c r="V155" s="149">
        <f t="shared" si="98"/>
        <v>46.9</v>
      </c>
      <c r="W155" s="149">
        <v>594.59999999999991</v>
      </c>
      <c r="X155" s="136">
        <f t="shared" si="97"/>
        <v>641.49999999999989</v>
      </c>
      <c r="Y155" s="149">
        <v>163.80000000000001</v>
      </c>
      <c r="Z155" s="136">
        <f t="shared" si="79"/>
        <v>864.9</v>
      </c>
      <c r="AA155" s="150">
        <f>Z155</f>
        <v>864.9</v>
      </c>
      <c r="AB155" s="148" t="s">
        <v>69</v>
      </c>
      <c r="AC155" s="147" t="s">
        <v>1316</v>
      </c>
      <c r="AD155" s="147" t="s">
        <v>48</v>
      </c>
      <c r="AE155" s="147" t="s">
        <v>750</v>
      </c>
      <c r="AF155" s="147" t="s">
        <v>1198</v>
      </c>
    </row>
    <row r="156" spans="1:32" ht="73.5" hidden="1" customHeight="1" x14ac:dyDescent="0.2">
      <c r="A156" s="430"/>
      <c r="B156" s="181" t="s">
        <v>759</v>
      </c>
      <c r="C156" s="147" t="s">
        <v>760</v>
      </c>
      <c r="D156" s="148" t="s">
        <v>761</v>
      </c>
      <c r="E156" s="148" t="s">
        <v>69</v>
      </c>
      <c r="F156" s="149">
        <v>0</v>
      </c>
      <c r="G156" s="149">
        <v>0</v>
      </c>
      <c r="H156" s="148" t="s">
        <v>152</v>
      </c>
      <c r="I156" s="149">
        <v>0</v>
      </c>
      <c r="J156" s="149"/>
      <c r="K156" s="149">
        <v>0</v>
      </c>
      <c r="L156" s="149">
        <v>0</v>
      </c>
      <c r="M156" s="149">
        <v>0</v>
      </c>
      <c r="N156" s="149">
        <v>0</v>
      </c>
      <c r="O156" s="149">
        <f t="shared" si="94"/>
        <v>0</v>
      </c>
      <c r="P156" s="149">
        <f t="shared" si="95"/>
        <v>0</v>
      </c>
      <c r="Q156" s="149">
        <v>0</v>
      </c>
      <c r="R156" s="149">
        <v>0</v>
      </c>
      <c r="S156" s="149">
        <v>0</v>
      </c>
      <c r="T156" s="149">
        <v>0</v>
      </c>
      <c r="U156" s="149">
        <v>0</v>
      </c>
      <c r="V156" s="149">
        <f t="shared" si="98"/>
        <v>0</v>
      </c>
      <c r="W156" s="149">
        <v>0</v>
      </c>
      <c r="X156" s="136">
        <f t="shared" si="97"/>
        <v>0</v>
      </c>
      <c r="Y156" s="149">
        <v>0</v>
      </c>
      <c r="Z156" s="136">
        <f t="shared" si="79"/>
        <v>0</v>
      </c>
      <c r="AA156" s="150">
        <v>2041</v>
      </c>
      <c r="AB156" s="148" t="s">
        <v>81</v>
      </c>
      <c r="AC156" s="147" t="s">
        <v>1088</v>
      </c>
      <c r="AD156" s="147" t="s">
        <v>48</v>
      </c>
      <c r="AE156" s="147" t="s">
        <v>750</v>
      </c>
      <c r="AF156" s="147" t="s">
        <v>124</v>
      </c>
    </row>
    <row r="157" spans="1:32" ht="130.15" customHeight="1" x14ac:dyDescent="0.2">
      <c r="A157" s="430"/>
      <c r="B157" s="181" t="s">
        <v>763</v>
      </c>
      <c r="C157" s="147" t="s">
        <v>35</v>
      </c>
      <c r="D157" s="148" t="s">
        <v>764</v>
      </c>
      <c r="E157" s="148" t="s">
        <v>7</v>
      </c>
      <c r="F157" s="149">
        <v>58.9</v>
      </c>
      <c r="G157" s="149">
        <v>90</v>
      </c>
      <c r="H157" s="148" t="s">
        <v>152</v>
      </c>
      <c r="I157" s="149">
        <v>2</v>
      </c>
      <c r="J157" s="149">
        <v>2</v>
      </c>
      <c r="K157" s="149">
        <v>0</v>
      </c>
      <c r="L157" s="149">
        <v>0</v>
      </c>
      <c r="M157" s="149">
        <v>0</v>
      </c>
      <c r="N157" s="149">
        <v>0</v>
      </c>
      <c r="O157" s="149">
        <f t="shared" si="94"/>
        <v>2</v>
      </c>
      <c r="P157" s="149">
        <f t="shared" si="95"/>
        <v>2</v>
      </c>
      <c r="Q157" s="149">
        <v>313.5</v>
      </c>
      <c r="R157" s="149">
        <v>0</v>
      </c>
      <c r="S157" s="149">
        <v>0</v>
      </c>
      <c r="T157" s="149">
        <v>0</v>
      </c>
      <c r="U157" s="149">
        <v>0</v>
      </c>
      <c r="V157" s="149">
        <f t="shared" si="98"/>
        <v>313.5</v>
      </c>
      <c r="W157" s="149">
        <v>134.30000000000001</v>
      </c>
      <c r="X157" s="136">
        <f t="shared" si="97"/>
        <v>449.8</v>
      </c>
      <c r="Y157" s="149">
        <v>555.29999999999995</v>
      </c>
      <c r="Z157" s="136">
        <f t="shared" si="79"/>
        <v>1154</v>
      </c>
      <c r="AA157" s="150">
        <v>840</v>
      </c>
      <c r="AB157" s="148" t="s">
        <v>69</v>
      </c>
      <c r="AC157" s="147" t="s">
        <v>1317</v>
      </c>
      <c r="AD157" s="147" t="s">
        <v>48</v>
      </c>
      <c r="AE157" s="147" t="s">
        <v>750</v>
      </c>
      <c r="AF157" s="147" t="s">
        <v>1204</v>
      </c>
    </row>
    <row r="158" spans="1:32" ht="89.45" customHeight="1" x14ac:dyDescent="0.2">
      <c r="A158" s="430"/>
      <c r="B158" s="181" t="s">
        <v>766</v>
      </c>
      <c r="C158" s="147" t="s">
        <v>767</v>
      </c>
      <c r="D158" s="148" t="s">
        <v>121</v>
      </c>
      <c r="E158" s="148" t="s">
        <v>69</v>
      </c>
      <c r="F158" s="149">
        <v>0</v>
      </c>
      <c r="G158" s="149">
        <v>0</v>
      </c>
      <c r="H158" s="148" t="s">
        <v>152</v>
      </c>
      <c r="I158" s="149">
        <v>0</v>
      </c>
      <c r="J158" s="149">
        <v>0</v>
      </c>
      <c r="K158" s="149">
        <v>0</v>
      </c>
      <c r="L158" s="149">
        <v>0</v>
      </c>
      <c r="M158" s="149">
        <v>0</v>
      </c>
      <c r="N158" s="149">
        <v>0</v>
      </c>
      <c r="O158" s="149">
        <f t="shared" si="94"/>
        <v>0</v>
      </c>
      <c r="P158" s="149">
        <f t="shared" si="95"/>
        <v>0</v>
      </c>
      <c r="Q158" s="149">
        <v>0</v>
      </c>
      <c r="R158" s="149">
        <v>0</v>
      </c>
      <c r="S158" s="149">
        <v>0</v>
      </c>
      <c r="T158" s="149">
        <v>0</v>
      </c>
      <c r="U158" s="149">
        <v>0</v>
      </c>
      <c r="V158" s="149">
        <f t="shared" si="98"/>
        <v>0</v>
      </c>
      <c r="W158" s="149">
        <v>0</v>
      </c>
      <c r="X158" s="136">
        <f t="shared" si="97"/>
        <v>0</v>
      </c>
      <c r="Y158" s="149">
        <v>0</v>
      </c>
      <c r="Z158" s="136">
        <f t="shared" si="79"/>
        <v>0</v>
      </c>
      <c r="AA158" s="150">
        <v>960</v>
      </c>
      <c r="AB158" s="148" t="s">
        <v>7</v>
      </c>
      <c r="AC158" s="147" t="s">
        <v>1090</v>
      </c>
      <c r="AD158" s="147" t="s">
        <v>36</v>
      </c>
      <c r="AE158" s="147" t="s">
        <v>233</v>
      </c>
      <c r="AF158" s="147" t="s">
        <v>1318</v>
      </c>
    </row>
    <row r="159" spans="1:32" ht="124.15" customHeight="1" x14ac:dyDescent="0.2">
      <c r="A159" s="430"/>
      <c r="B159" s="181" t="s">
        <v>769</v>
      </c>
      <c r="C159" s="147" t="s">
        <v>770</v>
      </c>
      <c r="D159" s="148" t="s">
        <v>771</v>
      </c>
      <c r="E159" s="148" t="s">
        <v>69</v>
      </c>
      <c r="F159" s="149">
        <v>0</v>
      </c>
      <c r="G159" s="149">
        <v>0</v>
      </c>
      <c r="H159" s="148" t="s">
        <v>152</v>
      </c>
      <c r="I159" s="149">
        <v>0</v>
      </c>
      <c r="J159" s="149">
        <v>0</v>
      </c>
      <c r="K159" s="149">
        <v>0</v>
      </c>
      <c r="L159" s="149">
        <v>0</v>
      </c>
      <c r="M159" s="149">
        <v>0</v>
      </c>
      <c r="N159" s="149">
        <v>0</v>
      </c>
      <c r="O159" s="149">
        <f t="shared" si="94"/>
        <v>0</v>
      </c>
      <c r="P159" s="149">
        <f t="shared" si="95"/>
        <v>0</v>
      </c>
      <c r="Q159" s="149">
        <v>0</v>
      </c>
      <c r="R159" s="149">
        <v>0</v>
      </c>
      <c r="S159" s="149">
        <v>0</v>
      </c>
      <c r="T159" s="149">
        <v>0</v>
      </c>
      <c r="U159" s="149">
        <v>0</v>
      </c>
      <c r="V159" s="149">
        <f t="shared" si="98"/>
        <v>0</v>
      </c>
      <c r="W159" s="149">
        <v>0</v>
      </c>
      <c r="X159" s="136">
        <f t="shared" si="97"/>
        <v>0</v>
      </c>
      <c r="Y159" s="149">
        <v>0</v>
      </c>
      <c r="Z159" s="136">
        <f t="shared" si="79"/>
        <v>0</v>
      </c>
      <c r="AA159" s="150">
        <v>3600</v>
      </c>
      <c r="AB159" s="148" t="s">
        <v>69</v>
      </c>
      <c r="AC159" s="147" t="s">
        <v>1091</v>
      </c>
      <c r="AD159" s="147" t="s">
        <v>48</v>
      </c>
      <c r="AE159" s="147" t="s">
        <v>233</v>
      </c>
      <c r="AF159" s="147" t="s">
        <v>1319</v>
      </c>
    </row>
    <row r="160" spans="1:32" ht="31.5" hidden="1" x14ac:dyDescent="0.2">
      <c r="A160" s="430"/>
      <c r="B160" s="181" t="s">
        <v>773</v>
      </c>
      <c r="C160" s="147" t="s">
        <v>774</v>
      </c>
      <c r="D160" s="148" t="s">
        <v>775</v>
      </c>
      <c r="E160" s="148" t="s">
        <v>69</v>
      </c>
      <c r="F160" s="149">
        <v>0</v>
      </c>
      <c r="G160" s="149">
        <v>0</v>
      </c>
      <c r="H160" s="148" t="s">
        <v>46</v>
      </c>
      <c r="I160" s="149">
        <v>0</v>
      </c>
      <c r="J160" s="149"/>
      <c r="K160" s="149">
        <v>0</v>
      </c>
      <c r="L160" s="149">
        <v>0</v>
      </c>
      <c r="M160" s="149">
        <v>0</v>
      </c>
      <c r="N160" s="149">
        <v>0</v>
      </c>
      <c r="O160" s="149">
        <f t="shared" si="94"/>
        <v>0</v>
      </c>
      <c r="P160" s="149">
        <f t="shared" si="95"/>
        <v>0</v>
      </c>
      <c r="Q160" s="149">
        <v>0</v>
      </c>
      <c r="R160" s="149">
        <v>0</v>
      </c>
      <c r="S160" s="149">
        <v>0</v>
      </c>
      <c r="T160" s="149">
        <v>0</v>
      </c>
      <c r="U160" s="149">
        <v>0</v>
      </c>
      <c r="V160" s="149">
        <f t="shared" si="98"/>
        <v>0</v>
      </c>
      <c r="W160" s="149">
        <v>0</v>
      </c>
      <c r="X160" s="136">
        <f t="shared" si="97"/>
        <v>0</v>
      </c>
      <c r="Y160" s="149">
        <v>0</v>
      </c>
      <c r="Z160" s="136">
        <f t="shared" si="79"/>
        <v>0</v>
      </c>
      <c r="AA160" s="150">
        <v>240</v>
      </c>
      <c r="AB160" s="148" t="s">
        <v>81</v>
      </c>
      <c r="AC160" s="147" t="s">
        <v>1092</v>
      </c>
      <c r="AD160" s="147" t="s">
        <v>37</v>
      </c>
      <c r="AE160" s="147" t="s">
        <v>133</v>
      </c>
      <c r="AF160" s="147" t="s">
        <v>48</v>
      </c>
    </row>
    <row r="161" spans="1:32" ht="58.15" hidden="1" customHeight="1" x14ac:dyDescent="0.2">
      <c r="A161" s="430"/>
      <c r="B161" s="181" t="s">
        <v>64</v>
      </c>
      <c r="C161" s="147" t="s">
        <v>1320</v>
      </c>
      <c r="D161" s="148" t="s">
        <v>66</v>
      </c>
      <c r="E161" s="148" t="s">
        <v>7</v>
      </c>
      <c r="F161" s="149">
        <v>778.09</v>
      </c>
      <c r="G161" s="149">
        <v>0</v>
      </c>
      <c r="H161" s="148" t="s">
        <v>46</v>
      </c>
      <c r="I161" s="149">
        <v>0</v>
      </c>
      <c r="J161" s="149"/>
      <c r="K161" s="149">
        <v>0</v>
      </c>
      <c r="L161" s="149">
        <v>0</v>
      </c>
      <c r="M161" s="149">
        <v>0</v>
      </c>
      <c r="N161" s="149">
        <v>0</v>
      </c>
      <c r="O161" s="149">
        <f t="shared" si="94"/>
        <v>0</v>
      </c>
      <c r="P161" s="149">
        <f t="shared" si="95"/>
        <v>0</v>
      </c>
      <c r="Q161" s="149">
        <v>0</v>
      </c>
      <c r="R161" s="149">
        <v>0</v>
      </c>
      <c r="S161" s="149">
        <v>0</v>
      </c>
      <c r="T161" s="149">
        <v>0</v>
      </c>
      <c r="U161" s="149">
        <v>0</v>
      </c>
      <c r="V161" s="149">
        <f t="shared" si="98"/>
        <v>0</v>
      </c>
      <c r="W161" s="149">
        <v>0</v>
      </c>
      <c r="X161" s="136">
        <f t="shared" si="97"/>
        <v>0</v>
      </c>
      <c r="Y161" s="149">
        <v>0</v>
      </c>
      <c r="Z161" s="136">
        <f t="shared" si="79"/>
        <v>778.09</v>
      </c>
      <c r="AA161" s="150">
        <v>1294.7034699999999</v>
      </c>
      <c r="AB161" s="148" t="s">
        <v>7</v>
      </c>
      <c r="AC161" s="147" t="s">
        <v>1321</v>
      </c>
      <c r="AD161" s="147" t="s">
        <v>48</v>
      </c>
      <c r="AE161" s="147" t="s">
        <v>128</v>
      </c>
      <c r="AF161" s="147" t="s">
        <v>48</v>
      </c>
    </row>
    <row r="162" spans="1:32" ht="213" customHeight="1" x14ac:dyDescent="0.2">
      <c r="A162" s="430"/>
      <c r="B162" s="181" t="s">
        <v>67</v>
      </c>
      <c r="C162" s="147" t="s">
        <v>68</v>
      </c>
      <c r="D162" s="148" t="s">
        <v>85</v>
      </c>
      <c r="E162" s="148" t="s">
        <v>69</v>
      </c>
      <c r="F162" s="149">
        <v>0</v>
      </c>
      <c r="G162" s="149">
        <v>190.73</v>
      </c>
      <c r="H162" s="148" t="s">
        <v>46</v>
      </c>
      <c r="I162" s="149">
        <v>0</v>
      </c>
      <c r="J162" s="149">
        <v>0</v>
      </c>
      <c r="K162" s="149">
        <v>0</v>
      </c>
      <c r="L162" s="149">
        <v>0</v>
      </c>
      <c r="M162" s="149">
        <v>0</v>
      </c>
      <c r="N162" s="149">
        <v>0</v>
      </c>
      <c r="O162" s="149">
        <f t="shared" si="94"/>
        <v>0</v>
      </c>
      <c r="P162" s="149">
        <f t="shared" si="95"/>
        <v>0</v>
      </c>
      <c r="Q162" s="149">
        <v>0</v>
      </c>
      <c r="R162" s="149">
        <v>0</v>
      </c>
      <c r="S162" s="149">
        <v>0</v>
      </c>
      <c r="T162" s="149">
        <v>0</v>
      </c>
      <c r="U162" s="149">
        <v>0</v>
      </c>
      <c r="V162" s="149">
        <f t="shared" si="98"/>
        <v>0</v>
      </c>
      <c r="W162" s="149">
        <v>0</v>
      </c>
      <c r="X162" s="136">
        <f t="shared" si="97"/>
        <v>0</v>
      </c>
      <c r="Y162" s="149">
        <v>0</v>
      </c>
      <c r="Z162" s="136">
        <f t="shared" si="79"/>
        <v>190.73</v>
      </c>
      <c r="AA162" s="150">
        <v>190.73</v>
      </c>
      <c r="AB162" s="148" t="s">
        <v>7</v>
      </c>
      <c r="AC162" s="147" t="s">
        <v>1322</v>
      </c>
      <c r="AD162" s="147" t="s">
        <v>255</v>
      </c>
      <c r="AE162" s="147" t="s">
        <v>70</v>
      </c>
      <c r="AF162" s="147" t="s">
        <v>1323</v>
      </c>
    </row>
    <row r="163" spans="1:32" ht="204.75" customHeight="1" x14ac:dyDescent="0.2">
      <c r="A163" s="430"/>
      <c r="B163" s="181" t="s">
        <v>76</v>
      </c>
      <c r="C163" s="147" t="s">
        <v>82</v>
      </c>
      <c r="D163" s="148" t="s">
        <v>83</v>
      </c>
      <c r="E163" s="148" t="s">
        <v>69</v>
      </c>
      <c r="F163" s="149">
        <v>0</v>
      </c>
      <c r="G163" s="149">
        <v>0</v>
      </c>
      <c r="H163" s="148" t="s">
        <v>46</v>
      </c>
      <c r="I163" s="149">
        <v>0</v>
      </c>
      <c r="J163" s="149">
        <v>0</v>
      </c>
      <c r="K163" s="149">
        <v>0</v>
      </c>
      <c r="L163" s="149">
        <v>0</v>
      </c>
      <c r="M163" s="149">
        <v>0</v>
      </c>
      <c r="N163" s="149">
        <v>0</v>
      </c>
      <c r="O163" s="149">
        <f t="shared" si="94"/>
        <v>0</v>
      </c>
      <c r="P163" s="149">
        <f t="shared" si="95"/>
        <v>0</v>
      </c>
      <c r="Q163" s="149">
        <v>0</v>
      </c>
      <c r="R163" s="149">
        <v>0</v>
      </c>
      <c r="S163" s="149">
        <v>45.944000000000003</v>
      </c>
      <c r="T163" s="149">
        <v>0</v>
      </c>
      <c r="U163" s="149">
        <v>0</v>
      </c>
      <c r="V163" s="149">
        <f t="shared" si="98"/>
        <v>45.944000000000003</v>
      </c>
      <c r="W163" s="149">
        <v>19.658999999999999</v>
      </c>
      <c r="X163" s="136">
        <f t="shared" si="97"/>
        <v>65.603000000000009</v>
      </c>
      <c r="Y163" s="149">
        <v>0</v>
      </c>
      <c r="Z163" s="136">
        <f t="shared" si="79"/>
        <v>65.603000000000009</v>
      </c>
      <c r="AA163" s="150">
        <v>110</v>
      </c>
      <c r="AB163" s="148" t="s">
        <v>7</v>
      </c>
      <c r="AC163" s="147" t="s">
        <v>1324</v>
      </c>
      <c r="AD163" s="147" t="s">
        <v>1325</v>
      </c>
      <c r="AE163" s="147" t="s">
        <v>70</v>
      </c>
      <c r="AF163" s="147" t="s">
        <v>1326</v>
      </c>
    </row>
    <row r="164" spans="1:32" ht="163.9" customHeight="1" x14ac:dyDescent="0.2">
      <c r="A164" s="175"/>
      <c r="B164" s="181" t="s">
        <v>1139</v>
      </c>
      <c r="C164" s="147" t="s">
        <v>1140</v>
      </c>
      <c r="D164" s="148" t="s">
        <v>1141</v>
      </c>
      <c r="E164" s="148" t="s">
        <v>7</v>
      </c>
      <c r="F164" s="149">
        <v>3.72</v>
      </c>
      <c r="G164" s="149">
        <v>14.82</v>
      </c>
      <c r="H164" s="148" t="s">
        <v>46</v>
      </c>
      <c r="I164" s="149">
        <v>34.374000000000002</v>
      </c>
      <c r="J164" s="149">
        <v>34.369999999999997</v>
      </c>
      <c r="K164" s="149">
        <v>194.79</v>
      </c>
      <c r="L164" s="149">
        <v>0</v>
      </c>
      <c r="M164" s="149">
        <v>0</v>
      </c>
      <c r="N164" s="149">
        <v>0</v>
      </c>
      <c r="O164" s="149">
        <f t="shared" si="94"/>
        <v>229.16399999999999</v>
      </c>
      <c r="P164" s="149">
        <f t="shared" si="95"/>
        <v>229.16</v>
      </c>
      <c r="Q164" s="149">
        <v>224.56</v>
      </c>
      <c r="R164" s="149">
        <v>780.4</v>
      </c>
      <c r="S164" s="149">
        <v>0</v>
      </c>
      <c r="T164" s="149">
        <v>0</v>
      </c>
      <c r="U164" s="149">
        <v>0</v>
      </c>
      <c r="V164" s="149">
        <f t="shared" si="98"/>
        <v>1004.96</v>
      </c>
      <c r="W164" s="149">
        <v>0</v>
      </c>
      <c r="X164" s="136">
        <f>P164+V164+W164</f>
        <v>1234.1200000000001</v>
      </c>
      <c r="Y164" s="149">
        <v>0</v>
      </c>
      <c r="Z164" s="136">
        <f t="shared" si="79"/>
        <v>1252.6600000000001</v>
      </c>
      <c r="AA164" s="150">
        <v>1252.6600000000001</v>
      </c>
      <c r="AB164" s="148" t="s">
        <v>7</v>
      </c>
      <c r="AC164" s="147" t="s">
        <v>1327</v>
      </c>
      <c r="AD164" s="147" t="s">
        <v>1142</v>
      </c>
      <c r="AE164" s="147" t="s">
        <v>1328</v>
      </c>
      <c r="AF164" s="147" t="s">
        <v>1329</v>
      </c>
    </row>
    <row r="165" spans="1:32" ht="25.15" customHeight="1" x14ac:dyDescent="0.2">
      <c r="A165" s="428"/>
      <c r="B165" s="429" t="s">
        <v>1097</v>
      </c>
      <c r="C165" s="429"/>
      <c r="D165" s="183" t="s">
        <v>785</v>
      </c>
      <c r="E165" s="183" t="s">
        <v>48</v>
      </c>
      <c r="F165" s="184">
        <f>F166+F173+F171</f>
        <v>4486.2199999999993</v>
      </c>
      <c r="G165" s="184">
        <f>G166+G173+G171</f>
        <v>2238.64</v>
      </c>
      <c r="H165" s="183" t="s">
        <v>48</v>
      </c>
      <c r="I165" s="184">
        <f>I166+I173+I171</f>
        <v>497.97500000000002</v>
      </c>
      <c r="J165" s="184">
        <f t="shared" ref="J165:N165" si="99">J166+J173+J171</f>
        <v>6710.5869999999995</v>
      </c>
      <c r="K165" s="184">
        <f t="shared" si="99"/>
        <v>1970.9459999999999</v>
      </c>
      <c r="L165" s="184">
        <f t="shared" si="99"/>
        <v>147.39100000000002</v>
      </c>
      <c r="M165" s="184">
        <f t="shared" si="99"/>
        <v>0</v>
      </c>
      <c r="N165" s="184">
        <f t="shared" si="99"/>
        <v>0</v>
      </c>
      <c r="O165" s="184">
        <f t="shared" si="94"/>
        <v>2616.3119999999999</v>
      </c>
      <c r="P165" s="184">
        <f t="shared" si="95"/>
        <v>8828.9239999999991</v>
      </c>
      <c r="Q165" s="184">
        <f t="shared" ref="Q165:U165" si="100">Q166+Q173+Q171</f>
        <v>9750.3559999999998</v>
      </c>
      <c r="R165" s="184">
        <f t="shared" si="100"/>
        <v>7.7450000000000001</v>
      </c>
      <c r="S165" s="184">
        <f t="shared" si="100"/>
        <v>5208.33</v>
      </c>
      <c r="T165" s="184">
        <f t="shared" si="100"/>
        <v>0</v>
      </c>
      <c r="U165" s="184">
        <f t="shared" si="100"/>
        <v>24</v>
      </c>
      <c r="V165" s="185">
        <f>SUM(Q165:U165)</f>
        <v>14990.431</v>
      </c>
      <c r="W165" s="184">
        <f>W166+W173+W171</f>
        <v>8357.33</v>
      </c>
      <c r="X165" s="186">
        <f>O165+V165+W165</f>
        <v>25964.073000000004</v>
      </c>
      <c r="Y165" s="184">
        <f>Y166+Y173+Y171</f>
        <v>4190.67</v>
      </c>
      <c r="Z165" s="186">
        <f t="shared" si="79"/>
        <v>36879.603000000003</v>
      </c>
      <c r="AA165" s="182" t="s">
        <v>48</v>
      </c>
      <c r="AB165" s="183" t="s">
        <v>48</v>
      </c>
      <c r="AC165" s="183" t="s">
        <v>48</v>
      </c>
      <c r="AD165" s="183" t="s">
        <v>48</v>
      </c>
      <c r="AE165" s="183" t="s">
        <v>48</v>
      </c>
      <c r="AF165" s="183" t="s">
        <v>48</v>
      </c>
    </row>
    <row r="166" spans="1:32" ht="25.15" customHeight="1" x14ac:dyDescent="0.2">
      <c r="A166" s="428"/>
      <c r="B166" s="421" t="s">
        <v>786</v>
      </c>
      <c r="C166" s="421"/>
      <c r="D166" s="143" t="s">
        <v>787</v>
      </c>
      <c r="E166" s="143" t="s">
        <v>48</v>
      </c>
      <c r="F166" s="144">
        <f>SUM(F167:F170)</f>
        <v>4486.2199999999993</v>
      </c>
      <c r="G166" s="144">
        <f>SUM(G167:G170)</f>
        <v>1328</v>
      </c>
      <c r="H166" s="143" t="s">
        <v>48</v>
      </c>
      <c r="I166" s="144">
        <f>SUM(I167:I170)</f>
        <v>153.86799999999999</v>
      </c>
      <c r="J166" s="144">
        <f t="shared" ref="J166:N166" si="101">SUM(J167:J170)</f>
        <v>6343.49</v>
      </c>
      <c r="K166" s="144">
        <f t="shared" si="101"/>
        <v>504.887</v>
      </c>
      <c r="L166" s="144">
        <f t="shared" si="101"/>
        <v>67.5</v>
      </c>
      <c r="M166" s="144">
        <f t="shared" si="101"/>
        <v>0</v>
      </c>
      <c r="N166" s="144">
        <f t="shared" si="101"/>
        <v>0</v>
      </c>
      <c r="O166" s="152">
        <f t="shared" si="94"/>
        <v>726.255</v>
      </c>
      <c r="P166" s="152">
        <f t="shared" si="95"/>
        <v>6915.8769999999995</v>
      </c>
      <c r="Q166" s="144">
        <f>SUM(Q167:Q170)</f>
        <v>9750.3559999999998</v>
      </c>
      <c r="R166" s="144">
        <f>SUM(R167:R170)</f>
        <v>7.7450000000000001</v>
      </c>
      <c r="S166" s="144">
        <f>SUM(S167:S170)</f>
        <v>5208.33</v>
      </c>
      <c r="T166" s="144">
        <f>SUM(T167:T170)</f>
        <v>0</v>
      </c>
      <c r="U166" s="144">
        <f>SUM(U167:U170)</f>
        <v>24</v>
      </c>
      <c r="V166" s="152">
        <f t="shared" si="98"/>
        <v>14990.431</v>
      </c>
      <c r="W166" s="144">
        <f>SUM(W167:W170)</f>
        <v>8357.33</v>
      </c>
      <c r="X166" s="145">
        <f t="shared" si="97"/>
        <v>24074.016</v>
      </c>
      <c r="Y166" s="144">
        <f>SUM(Y167:Y170)</f>
        <v>4190.67</v>
      </c>
      <c r="Z166" s="145">
        <f t="shared" si="79"/>
        <v>34078.906000000003</v>
      </c>
      <c r="AA166" s="142" t="s">
        <v>48</v>
      </c>
      <c r="AB166" s="143" t="s">
        <v>48</v>
      </c>
      <c r="AC166" s="143" t="s">
        <v>48</v>
      </c>
      <c r="AD166" s="143" t="s">
        <v>48</v>
      </c>
      <c r="AE166" s="143" t="s">
        <v>48</v>
      </c>
      <c r="AF166" s="143" t="s">
        <v>48</v>
      </c>
    </row>
    <row r="167" spans="1:32" ht="147.6" customHeight="1" x14ac:dyDescent="0.2">
      <c r="A167" s="428"/>
      <c r="B167" s="187" t="s">
        <v>788</v>
      </c>
      <c r="C167" s="147" t="s">
        <v>293</v>
      </c>
      <c r="D167" s="148" t="s">
        <v>790</v>
      </c>
      <c r="E167" s="148" t="s">
        <v>7</v>
      </c>
      <c r="F167" s="149">
        <v>3105.64</v>
      </c>
      <c r="G167" s="149">
        <v>346.57</v>
      </c>
      <c r="H167" s="148" t="s">
        <v>46</v>
      </c>
      <c r="I167" s="149">
        <v>7.2190000000000003</v>
      </c>
      <c r="J167" s="149">
        <v>6343.24</v>
      </c>
      <c r="K167" s="149">
        <v>0</v>
      </c>
      <c r="L167" s="149">
        <v>0</v>
      </c>
      <c r="M167" s="149">
        <v>0</v>
      </c>
      <c r="N167" s="149">
        <v>0</v>
      </c>
      <c r="O167" s="149">
        <f t="shared" si="94"/>
        <v>7.2190000000000003</v>
      </c>
      <c r="P167" s="149">
        <f t="shared" si="95"/>
        <v>6343.24</v>
      </c>
      <c r="Q167" s="149">
        <v>9663.56</v>
      </c>
      <c r="R167" s="149">
        <v>0</v>
      </c>
      <c r="S167" s="149">
        <v>5208.33</v>
      </c>
      <c r="T167" s="149">
        <v>0</v>
      </c>
      <c r="U167" s="149">
        <v>0</v>
      </c>
      <c r="V167" s="149">
        <f t="shared" si="98"/>
        <v>14871.89</v>
      </c>
      <c r="W167" s="149">
        <v>8333.33</v>
      </c>
      <c r="X167" s="136">
        <f t="shared" si="97"/>
        <v>23212.438999999998</v>
      </c>
      <c r="Y167" s="149">
        <v>4166.67</v>
      </c>
      <c r="Z167" s="136">
        <f t="shared" si="79"/>
        <v>30831.318999999996</v>
      </c>
      <c r="AA167" s="150">
        <v>13786.25411</v>
      </c>
      <c r="AB167" s="148" t="s">
        <v>7</v>
      </c>
      <c r="AC167" s="147" t="s">
        <v>1330</v>
      </c>
      <c r="AD167" s="147" t="s">
        <v>294</v>
      </c>
      <c r="AE167" s="147" t="s">
        <v>10</v>
      </c>
      <c r="AF167" s="147" t="s">
        <v>1331</v>
      </c>
    </row>
    <row r="168" spans="1:32" ht="334.9" customHeight="1" x14ac:dyDescent="0.2">
      <c r="A168" s="428"/>
      <c r="B168" s="187" t="s">
        <v>793</v>
      </c>
      <c r="C168" s="147" t="s">
        <v>1332</v>
      </c>
      <c r="D168" s="148" t="s">
        <v>790</v>
      </c>
      <c r="E168" s="148" t="s">
        <v>7</v>
      </c>
      <c r="F168" s="149">
        <v>1380.58</v>
      </c>
      <c r="G168" s="149">
        <v>963.43</v>
      </c>
      <c r="H168" s="148" t="s">
        <v>46</v>
      </c>
      <c r="I168" s="149">
        <v>146.649</v>
      </c>
      <c r="J168" s="149">
        <v>0.25</v>
      </c>
      <c r="K168" s="149">
        <v>504.887</v>
      </c>
      <c r="L168" s="149">
        <v>67.5</v>
      </c>
      <c r="M168" s="149">
        <v>0</v>
      </c>
      <c r="N168" s="149">
        <v>0</v>
      </c>
      <c r="O168" s="149">
        <f t="shared" si="94"/>
        <v>719.03600000000006</v>
      </c>
      <c r="P168" s="149">
        <f t="shared" si="95"/>
        <v>572.63699999999994</v>
      </c>
      <c r="Q168" s="149">
        <v>86.796000000000006</v>
      </c>
      <c r="R168" s="149">
        <v>7.7450000000000001</v>
      </c>
      <c r="S168" s="149">
        <v>0</v>
      </c>
      <c r="T168" s="149">
        <v>0</v>
      </c>
      <c r="U168" s="149">
        <v>0</v>
      </c>
      <c r="V168" s="149">
        <f t="shared" si="98"/>
        <v>94.541000000000011</v>
      </c>
      <c r="W168" s="149">
        <v>0</v>
      </c>
      <c r="X168" s="136">
        <f t="shared" si="97"/>
        <v>813.57700000000011</v>
      </c>
      <c r="Y168" s="149">
        <v>0</v>
      </c>
      <c r="Z168" s="136">
        <f t="shared" si="79"/>
        <v>3157.587</v>
      </c>
      <c r="AA168" s="150">
        <v>8839.9245599999995</v>
      </c>
      <c r="AB168" s="148" t="s">
        <v>7</v>
      </c>
      <c r="AC168" s="147" t="s">
        <v>1333</v>
      </c>
      <c r="AD168" s="147" t="s">
        <v>295</v>
      </c>
      <c r="AE168" s="147" t="s">
        <v>10</v>
      </c>
      <c r="AF168" s="147" t="s">
        <v>1334</v>
      </c>
    </row>
    <row r="169" spans="1:32" ht="70.150000000000006" hidden="1" customHeight="1" x14ac:dyDescent="0.2">
      <c r="A169" s="428"/>
      <c r="B169" s="187" t="s">
        <v>797</v>
      </c>
      <c r="C169" s="147" t="s">
        <v>38</v>
      </c>
      <c r="D169" s="148" t="s">
        <v>798</v>
      </c>
      <c r="E169" s="148" t="s">
        <v>7</v>
      </c>
      <c r="F169" s="149">
        <v>0</v>
      </c>
      <c r="G169" s="149">
        <v>18</v>
      </c>
      <c r="H169" s="148" t="s">
        <v>152</v>
      </c>
      <c r="I169" s="149">
        <v>0</v>
      </c>
      <c r="J169" s="149"/>
      <c r="K169" s="149">
        <v>0</v>
      </c>
      <c r="L169" s="149">
        <v>0</v>
      </c>
      <c r="M169" s="149">
        <v>0</v>
      </c>
      <c r="N169" s="149">
        <v>0</v>
      </c>
      <c r="O169" s="149">
        <f t="shared" si="88"/>
        <v>0</v>
      </c>
      <c r="P169" s="149"/>
      <c r="Q169" s="149">
        <v>0</v>
      </c>
      <c r="R169" s="149">
        <v>0</v>
      </c>
      <c r="S169" s="149">
        <v>0</v>
      </c>
      <c r="T169" s="149">
        <v>0</v>
      </c>
      <c r="U169" s="188">
        <v>24</v>
      </c>
      <c r="V169" s="149">
        <f t="shared" si="98"/>
        <v>24</v>
      </c>
      <c r="W169" s="149">
        <v>24</v>
      </c>
      <c r="X169" s="136">
        <f t="shared" si="97"/>
        <v>48</v>
      </c>
      <c r="Y169" s="149">
        <v>24</v>
      </c>
      <c r="Z169" s="136">
        <f t="shared" si="79"/>
        <v>90</v>
      </c>
      <c r="AA169" s="150">
        <v>260</v>
      </c>
      <c r="AB169" s="148" t="s">
        <v>7</v>
      </c>
      <c r="AC169" s="147" t="s">
        <v>799</v>
      </c>
      <c r="AD169" s="147" t="s">
        <v>800</v>
      </c>
      <c r="AE169" s="147" t="s">
        <v>153</v>
      </c>
      <c r="AF169" s="169" t="s">
        <v>1335</v>
      </c>
    </row>
    <row r="170" spans="1:32" ht="91.15" hidden="1" customHeight="1" x14ac:dyDescent="0.2">
      <c r="A170" s="428"/>
      <c r="B170" s="187" t="s">
        <v>802</v>
      </c>
      <c r="C170" s="147" t="s">
        <v>803</v>
      </c>
      <c r="D170" s="148" t="s">
        <v>804</v>
      </c>
      <c r="E170" s="148" t="s">
        <v>7</v>
      </c>
      <c r="F170" s="149">
        <v>0</v>
      </c>
      <c r="G170" s="149">
        <v>0</v>
      </c>
      <c r="H170" s="148" t="s">
        <v>152</v>
      </c>
      <c r="I170" s="149">
        <v>0</v>
      </c>
      <c r="J170" s="149"/>
      <c r="K170" s="149">
        <v>0</v>
      </c>
      <c r="L170" s="149">
        <v>0</v>
      </c>
      <c r="M170" s="149">
        <v>0</v>
      </c>
      <c r="N170" s="149">
        <v>0</v>
      </c>
      <c r="O170" s="149">
        <f t="shared" si="88"/>
        <v>0</v>
      </c>
      <c r="P170" s="149"/>
      <c r="Q170" s="149">
        <v>0</v>
      </c>
      <c r="R170" s="149">
        <v>0</v>
      </c>
      <c r="S170" s="149">
        <v>0</v>
      </c>
      <c r="T170" s="149">
        <v>0</v>
      </c>
      <c r="U170" s="149">
        <v>0</v>
      </c>
      <c r="V170" s="149">
        <f t="shared" si="98"/>
        <v>0</v>
      </c>
      <c r="W170" s="149">
        <v>0</v>
      </c>
      <c r="X170" s="136">
        <f t="shared" si="97"/>
        <v>0</v>
      </c>
      <c r="Y170" s="149">
        <v>0</v>
      </c>
      <c r="Z170" s="136">
        <f t="shared" si="79"/>
        <v>0</v>
      </c>
      <c r="AA170" s="150">
        <v>500</v>
      </c>
      <c r="AB170" s="148" t="s">
        <v>7</v>
      </c>
      <c r="AC170" s="147" t="s">
        <v>1104</v>
      </c>
      <c r="AD170" s="147" t="s">
        <v>48</v>
      </c>
      <c r="AE170" s="147" t="s">
        <v>153</v>
      </c>
      <c r="AF170" s="147" t="s">
        <v>48</v>
      </c>
    </row>
    <row r="171" spans="1:32" ht="25.15" customHeight="1" x14ac:dyDescent="0.2">
      <c r="A171" s="428"/>
      <c r="B171" s="421" t="s">
        <v>1336</v>
      </c>
      <c r="C171" s="421"/>
      <c r="D171" s="143" t="s">
        <v>1337</v>
      </c>
      <c r="E171" s="143"/>
      <c r="F171" s="144">
        <f>SUM(F172:F175)</f>
        <v>0</v>
      </c>
      <c r="G171" s="144">
        <f>SUM(G172:G175)</f>
        <v>455.32</v>
      </c>
      <c r="H171" s="143" t="s">
        <v>48</v>
      </c>
      <c r="I171" s="144">
        <f>I172</f>
        <v>0</v>
      </c>
      <c r="J171" s="144">
        <f t="shared" ref="J171:N171" si="102">J172</f>
        <v>0</v>
      </c>
      <c r="K171" s="144">
        <f t="shared" si="102"/>
        <v>0</v>
      </c>
      <c r="L171" s="144">
        <f t="shared" si="102"/>
        <v>0</v>
      </c>
      <c r="M171" s="144">
        <f t="shared" si="102"/>
        <v>0</v>
      </c>
      <c r="N171" s="144">
        <f t="shared" si="102"/>
        <v>0</v>
      </c>
      <c r="O171" s="152">
        <f>I171+K171+L171+M171+N171</f>
        <v>0</v>
      </c>
      <c r="P171" s="152">
        <f>J171+K171+L171+M171+N171</f>
        <v>0</v>
      </c>
      <c r="Q171" s="144">
        <f>Q172</f>
        <v>0</v>
      </c>
      <c r="R171" s="144">
        <f>R172</f>
        <v>0</v>
      </c>
      <c r="S171" s="144">
        <f>S172</f>
        <v>0</v>
      </c>
      <c r="T171" s="144">
        <f>T172</f>
        <v>0</v>
      </c>
      <c r="U171" s="144">
        <f>U172</f>
        <v>0</v>
      </c>
      <c r="V171" s="142">
        <f t="shared" si="98"/>
        <v>0</v>
      </c>
      <c r="W171" s="142">
        <f>SUM(W172:W175)</f>
        <v>0</v>
      </c>
      <c r="X171" s="142">
        <f t="shared" si="97"/>
        <v>0</v>
      </c>
      <c r="Y171" s="142">
        <f>SUM(Y172:Y175)</f>
        <v>0</v>
      </c>
      <c r="Z171" s="142">
        <f t="shared" si="79"/>
        <v>455.32</v>
      </c>
      <c r="AA171" s="143" t="s">
        <v>48</v>
      </c>
      <c r="AB171" s="143" t="s">
        <v>48</v>
      </c>
      <c r="AC171" s="143" t="s">
        <v>48</v>
      </c>
      <c r="AD171" s="143" t="s">
        <v>48</v>
      </c>
      <c r="AE171" s="143" t="s">
        <v>48</v>
      </c>
      <c r="AF171" s="143" t="s">
        <v>48</v>
      </c>
    </row>
    <row r="172" spans="1:32" ht="262.89999999999998" customHeight="1" x14ac:dyDescent="0.2">
      <c r="A172" s="428"/>
      <c r="B172" s="187" t="s">
        <v>149</v>
      </c>
      <c r="C172" s="147" t="s">
        <v>150</v>
      </c>
      <c r="D172" s="189" t="s">
        <v>151</v>
      </c>
      <c r="E172" s="148"/>
      <c r="F172" s="149">
        <v>0</v>
      </c>
      <c r="G172" s="149">
        <v>0</v>
      </c>
      <c r="H172" s="148" t="s">
        <v>152</v>
      </c>
      <c r="I172" s="149">
        <v>0</v>
      </c>
      <c r="J172" s="149">
        <v>0</v>
      </c>
      <c r="K172" s="149">
        <v>0</v>
      </c>
      <c r="L172" s="149">
        <v>0</v>
      </c>
      <c r="M172" s="149">
        <v>0</v>
      </c>
      <c r="N172" s="149">
        <v>0</v>
      </c>
      <c r="O172" s="149">
        <f>I172+K172+L172+M172+N172</f>
        <v>0</v>
      </c>
      <c r="P172" s="149">
        <f>J172+K172+L172+M172+N172</f>
        <v>0</v>
      </c>
      <c r="Q172" s="149">
        <v>0</v>
      </c>
      <c r="R172" s="149">
        <v>0</v>
      </c>
      <c r="S172" s="149">
        <v>0</v>
      </c>
      <c r="T172" s="149">
        <v>0</v>
      </c>
      <c r="U172" s="149">
        <v>0</v>
      </c>
      <c r="V172" s="149">
        <f t="shared" si="98"/>
        <v>0</v>
      </c>
      <c r="W172" s="149">
        <v>0</v>
      </c>
      <c r="X172" s="136">
        <f t="shared" si="97"/>
        <v>0</v>
      </c>
      <c r="Y172" s="149">
        <v>0</v>
      </c>
      <c r="Z172" s="136">
        <f t="shared" si="79"/>
        <v>0</v>
      </c>
      <c r="AA172" s="150">
        <f>Z172</f>
        <v>0</v>
      </c>
      <c r="AB172" s="148" t="s">
        <v>7</v>
      </c>
      <c r="AC172" s="147" t="s">
        <v>1338</v>
      </c>
      <c r="AD172" s="147" t="s">
        <v>1106</v>
      </c>
      <c r="AE172" s="147" t="s">
        <v>144</v>
      </c>
      <c r="AF172" s="147" t="s">
        <v>1339</v>
      </c>
    </row>
    <row r="173" spans="1:32" ht="25.15" customHeight="1" x14ac:dyDescent="0.2">
      <c r="A173" s="428"/>
      <c r="B173" s="421" t="s">
        <v>1108</v>
      </c>
      <c r="C173" s="421"/>
      <c r="D173" s="143" t="s">
        <v>807</v>
      </c>
      <c r="E173" s="143" t="s">
        <v>48</v>
      </c>
      <c r="F173" s="144">
        <f>SUM(F174:F177)</f>
        <v>0</v>
      </c>
      <c r="G173" s="144">
        <f>SUM(G174:G177)</f>
        <v>455.32</v>
      </c>
      <c r="H173" s="143" t="s">
        <v>48</v>
      </c>
      <c r="I173" s="144">
        <f>SUM(I174:I177)</f>
        <v>344.10700000000003</v>
      </c>
      <c r="J173" s="144">
        <f t="shared" ref="J173:N173" si="103">SUM(J174:J177)</f>
        <v>367.09699999999998</v>
      </c>
      <c r="K173" s="144">
        <f t="shared" si="103"/>
        <v>1466.059</v>
      </c>
      <c r="L173" s="144">
        <f t="shared" si="103"/>
        <v>79.891000000000005</v>
      </c>
      <c r="M173" s="144">
        <f t="shared" si="103"/>
        <v>0</v>
      </c>
      <c r="N173" s="144">
        <f t="shared" si="103"/>
        <v>0</v>
      </c>
      <c r="O173" s="152">
        <f>I173+K173+L173+M173+N173</f>
        <v>1890.057</v>
      </c>
      <c r="P173" s="152">
        <f>J173+K173+L173+M173+N173</f>
        <v>1913.047</v>
      </c>
      <c r="Q173" s="144">
        <f>SUM(Q174:Q177)</f>
        <v>0</v>
      </c>
      <c r="R173" s="144">
        <f>SUM(R174:R177)</f>
        <v>0</v>
      </c>
      <c r="S173" s="144">
        <f>SUM(S174:S177)</f>
        <v>0</v>
      </c>
      <c r="T173" s="144">
        <f>SUM(T174:T177)</f>
        <v>0</v>
      </c>
      <c r="U173" s="144">
        <f>SUM(U174:U177)</f>
        <v>0</v>
      </c>
      <c r="V173" s="152">
        <f t="shared" si="98"/>
        <v>0</v>
      </c>
      <c r="W173" s="144">
        <f>SUM(W174:W177)</f>
        <v>0</v>
      </c>
      <c r="X173" s="145">
        <f t="shared" si="97"/>
        <v>1890.057</v>
      </c>
      <c r="Y173" s="144">
        <f>SUM(Y174:Y177)</f>
        <v>0</v>
      </c>
      <c r="Z173" s="145">
        <f t="shared" si="79"/>
        <v>2345.377</v>
      </c>
      <c r="AA173" s="142" t="s">
        <v>48</v>
      </c>
      <c r="AB173" s="143" t="s">
        <v>48</v>
      </c>
      <c r="AC173" s="143" t="s">
        <v>48</v>
      </c>
      <c r="AD173" s="143" t="s">
        <v>48</v>
      </c>
      <c r="AE173" s="143" t="s">
        <v>48</v>
      </c>
      <c r="AF173" s="143" t="s">
        <v>48</v>
      </c>
    </row>
    <row r="174" spans="1:32" ht="63" hidden="1" x14ac:dyDescent="0.2">
      <c r="A174" s="428"/>
      <c r="B174" s="187" t="s">
        <v>808</v>
      </c>
      <c r="C174" s="147" t="s">
        <v>809</v>
      </c>
      <c r="D174" s="148" t="s">
        <v>810</v>
      </c>
      <c r="E174" s="148" t="s">
        <v>7</v>
      </c>
      <c r="F174" s="149">
        <v>0</v>
      </c>
      <c r="G174" s="149">
        <v>0</v>
      </c>
      <c r="H174" s="148" t="s">
        <v>152</v>
      </c>
      <c r="I174" s="149">
        <v>0</v>
      </c>
      <c r="J174" s="149"/>
      <c r="K174" s="149">
        <v>0</v>
      </c>
      <c r="L174" s="149">
        <v>0</v>
      </c>
      <c r="M174" s="149">
        <v>0</v>
      </c>
      <c r="N174" s="149">
        <v>0</v>
      </c>
      <c r="O174" s="149">
        <f t="shared" si="88"/>
        <v>0</v>
      </c>
      <c r="P174" s="149"/>
      <c r="Q174" s="149">
        <v>0</v>
      </c>
      <c r="R174" s="149">
        <v>0</v>
      </c>
      <c r="S174" s="149">
        <v>0</v>
      </c>
      <c r="T174" s="149">
        <v>0</v>
      </c>
      <c r="U174" s="149">
        <v>0</v>
      </c>
      <c r="V174" s="149">
        <f t="shared" si="98"/>
        <v>0</v>
      </c>
      <c r="W174" s="149">
        <v>0</v>
      </c>
      <c r="X174" s="136">
        <f t="shared" si="97"/>
        <v>0</v>
      </c>
      <c r="Y174" s="149">
        <v>0</v>
      </c>
      <c r="Z174" s="136">
        <f t="shared" si="79"/>
        <v>0</v>
      </c>
      <c r="AA174" s="150">
        <v>1204.8</v>
      </c>
      <c r="AB174" s="148" t="s">
        <v>7</v>
      </c>
      <c r="AC174" s="147" t="s">
        <v>811</v>
      </c>
      <c r="AD174" s="147" t="s">
        <v>48</v>
      </c>
      <c r="AE174" s="147" t="s">
        <v>226</v>
      </c>
      <c r="AF174" s="147" t="s">
        <v>135</v>
      </c>
    </row>
    <row r="175" spans="1:32" ht="63" hidden="1" x14ac:dyDescent="0.2">
      <c r="A175" s="428"/>
      <c r="B175" s="187" t="s">
        <v>812</v>
      </c>
      <c r="C175" s="147" t="s">
        <v>813</v>
      </c>
      <c r="D175" s="148" t="s">
        <v>814</v>
      </c>
      <c r="E175" s="148" t="s">
        <v>69</v>
      </c>
      <c r="F175" s="149">
        <v>0</v>
      </c>
      <c r="G175" s="149">
        <v>0</v>
      </c>
      <c r="H175" s="148" t="s">
        <v>152</v>
      </c>
      <c r="I175" s="149">
        <v>0</v>
      </c>
      <c r="J175" s="149"/>
      <c r="K175" s="149">
        <v>0</v>
      </c>
      <c r="L175" s="149">
        <v>0</v>
      </c>
      <c r="M175" s="149">
        <v>0</v>
      </c>
      <c r="N175" s="149">
        <v>0</v>
      </c>
      <c r="O175" s="149">
        <f t="shared" si="88"/>
        <v>0</v>
      </c>
      <c r="P175" s="149"/>
      <c r="Q175" s="149">
        <v>0</v>
      </c>
      <c r="R175" s="149">
        <v>0</v>
      </c>
      <c r="S175" s="149">
        <v>0</v>
      </c>
      <c r="T175" s="149">
        <v>0</v>
      </c>
      <c r="U175" s="149">
        <v>0</v>
      </c>
      <c r="V175" s="149">
        <f t="shared" si="98"/>
        <v>0</v>
      </c>
      <c r="W175" s="149">
        <v>0</v>
      </c>
      <c r="X175" s="136">
        <f t="shared" si="97"/>
        <v>0</v>
      </c>
      <c r="Y175" s="149">
        <v>0</v>
      </c>
      <c r="Z175" s="136">
        <f t="shared" si="79"/>
        <v>0</v>
      </c>
      <c r="AA175" s="150">
        <v>360</v>
      </c>
      <c r="AB175" s="148" t="s">
        <v>69</v>
      </c>
      <c r="AC175" s="147" t="s">
        <v>1109</v>
      </c>
      <c r="AD175" s="147" t="s">
        <v>48</v>
      </c>
      <c r="AE175" s="147" t="s">
        <v>816</v>
      </c>
      <c r="AF175" s="147" t="s">
        <v>90</v>
      </c>
    </row>
    <row r="176" spans="1:32" ht="154.15" customHeight="1" x14ac:dyDescent="0.2">
      <c r="A176" s="428"/>
      <c r="B176" s="187" t="s">
        <v>817</v>
      </c>
      <c r="C176" s="147" t="s">
        <v>818</v>
      </c>
      <c r="D176" s="148" t="s">
        <v>819</v>
      </c>
      <c r="E176" s="148" t="s">
        <v>7</v>
      </c>
      <c r="F176" s="149">
        <v>0</v>
      </c>
      <c r="G176" s="149">
        <v>455.32</v>
      </c>
      <c r="H176" s="148" t="s">
        <v>152</v>
      </c>
      <c r="I176" s="149">
        <v>344.10700000000003</v>
      </c>
      <c r="J176" s="149">
        <v>367.09699999999998</v>
      </c>
      <c r="K176" s="149">
        <v>1466.059</v>
      </c>
      <c r="L176" s="149">
        <v>79.891000000000005</v>
      </c>
      <c r="M176" s="149">
        <v>0</v>
      </c>
      <c r="N176" s="149">
        <v>0</v>
      </c>
      <c r="O176" s="149">
        <f>I176+K176+L176+M176+N176</f>
        <v>1890.057</v>
      </c>
      <c r="P176" s="149">
        <f>J176+K176+L176+M176+N176</f>
        <v>1913.047</v>
      </c>
      <c r="Q176" s="149">
        <v>0</v>
      </c>
      <c r="R176" s="149">
        <v>0</v>
      </c>
      <c r="S176" s="149">
        <v>0</v>
      </c>
      <c r="T176" s="149">
        <v>0</v>
      </c>
      <c r="U176" s="149">
        <v>0</v>
      </c>
      <c r="V176" s="149">
        <f t="shared" si="98"/>
        <v>0</v>
      </c>
      <c r="W176" s="149">
        <v>0</v>
      </c>
      <c r="X176" s="136">
        <f t="shared" si="97"/>
        <v>1890.057</v>
      </c>
      <c r="Y176" s="149">
        <v>0</v>
      </c>
      <c r="Z176" s="136">
        <f t="shared" si="79"/>
        <v>2345.377</v>
      </c>
      <c r="AA176" s="150">
        <v>1910</v>
      </c>
      <c r="AB176" s="148" t="s">
        <v>7</v>
      </c>
      <c r="AC176" s="147" t="s">
        <v>1340</v>
      </c>
      <c r="AD176" s="147" t="s">
        <v>48</v>
      </c>
      <c r="AE176" s="147" t="s">
        <v>206</v>
      </c>
      <c r="AF176" s="147" t="s">
        <v>821</v>
      </c>
    </row>
    <row r="177" spans="1:32" ht="94.5" hidden="1" x14ac:dyDescent="0.2">
      <c r="A177" s="428"/>
      <c r="B177" s="187" t="s">
        <v>1111</v>
      </c>
      <c r="C177" s="147" t="s">
        <v>1112</v>
      </c>
      <c r="D177" s="148" t="s">
        <v>1113</v>
      </c>
      <c r="E177" s="148" t="s">
        <v>69</v>
      </c>
      <c r="F177" s="149">
        <v>0</v>
      </c>
      <c r="G177" s="149">
        <v>0</v>
      </c>
      <c r="H177" s="148" t="s">
        <v>446</v>
      </c>
      <c r="I177" s="149">
        <v>0</v>
      </c>
      <c r="J177" s="149"/>
      <c r="K177" s="149">
        <v>0</v>
      </c>
      <c r="L177" s="149">
        <v>0</v>
      </c>
      <c r="M177" s="149">
        <v>0</v>
      </c>
      <c r="N177" s="149">
        <v>0</v>
      </c>
      <c r="O177" s="149">
        <f t="shared" si="88"/>
        <v>0</v>
      </c>
      <c r="P177" s="149"/>
      <c r="Q177" s="149">
        <v>0</v>
      </c>
      <c r="R177" s="149">
        <v>0</v>
      </c>
      <c r="S177" s="149">
        <v>0</v>
      </c>
      <c r="T177" s="149">
        <v>0</v>
      </c>
      <c r="U177" s="149">
        <v>0</v>
      </c>
      <c r="V177" s="149">
        <f t="shared" si="98"/>
        <v>0</v>
      </c>
      <c r="W177" s="149">
        <v>0</v>
      </c>
      <c r="X177" s="136">
        <f t="shared" si="97"/>
        <v>0</v>
      </c>
      <c r="Y177" s="149">
        <v>0</v>
      </c>
      <c r="Z177" s="136">
        <f t="shared" si="79"/>
        <v>0</v>
      </c>
      <c r="AA177" s="150">
        <v>11604</v>
      </c>
      <c r="AB177" s="148" t="s">
        <v>1114</v>
      </c>
      <c r="AC177" s="147" t="s">
        <v>1115</v>
      </c>
      <c r="AD177" s="147" t="s">
        <v>1116</v>
      </c>
      <c r="AE177" s="156" t="s">
        <v>1225</v>
      </c>
      <c r="AF177" s="147" t="s">
        <v>1341</v>
      </c>
    </row>
    <row r="178" spans="1:32" ht="25.15" customHeight="1" x14ac:dyDescent="0.2">
      <c r="A178" s="434"/>
      <c r="B178" s="435" t="s">
        <v>822</v>
      </c>
      <c r="C178" s="435"/>
      <c r="D178" s="191" t="s">
        <v>46</v>
      </c>
      <c r="E178" s="191" t="s">
        <v>48</v>
      </c>
      <c r="F178" s="192">
        <f>F179+F187</f>
        <v>0</v>
      </c>
      <c r="G178" s="192">
        <f>G179+G187</f>
        <v>87.990000000000009</v>
      </c>
      <c r="H178" s="191" t="s">
        <v>48</v>
      </c>
      <c r="I178" s="192">
        <f>I179+I187</f>
        <v>232.00691999999998</v>
      </c>
      <c r="J178" s="192">
        <f t="shared" ref="J178:N178" si="104">J179+J187</f>
        <v>1848.4069200000001</v>
      </c>
      <c r="K178" s="192">
        <f t="shared" si="104"/>
        <v>0</v>
      </c>
      <c r="L178" s="192">
        <f t="shared" si="104"/>
        <v>0</v>
      </c>
      <c r="M178" s="192">
        <f t="shared" si="104"/>
        <v>0</v>
      </c>
      <c r="N178" s="192">
        <f t="shared" si="104"/>
        <v>400</v>
      </c>
      <c r="O178" s="192">
        <f>I178+K178+L178+M178+N178</f>
        <v>632.00692000000004</v>
      </c>
      <c r="P178" s="192">
        <f>J178+K178+L178+M178+N178</f>
        <v>2248.4069200000004</v>
      </c>
      <c r="Q178" s="192">
        <f>Q179+Q187</f>
        <v>309.03999999999996</v>
      </c>
      <c r="R178" s="192">
        <f>R179+R187</f>
        <v>0</v>
      </c>
      <c r="S178" s="192">
        <f>S179+S187</f>
        <v>790.4</v>
      </c>
      <c r="T178" s="192">
        <f>T179+T187</f>
        <v>0</v>
      </c>
      <c r="U178" s="192">
        <f>U179+U187</f>
        <v>197.6</v>
      </c>
      <c r="V178" s="192">
        <f t="shared" si="98"/>
        <v>1297.04</v>
      </c>
      <c r="W178" s="192">
        <f>W179+W187</f>
        <v>1366.3600000000001</v>
      </c>
      <c r="X178" s="193">
        <f t="shared" si="97"/>
        <v>3295.4069200000004</v>
      </c>
      <c r="Y178" s="192">
        <f>Y179+Y187</f>
        <v>2541.6799999999998</v>
      </c>
      <c r="Z178" s="193">
        <f t="shared" si="79"/>
        <v>5925.0769199999995</v>
      </c>
      <c r="AA178" s="190" t="s">
        <v>48</v>
      </c>
      <c r="AB178" s="191" t="s">
        <v>48</v>
      </c>
      <c r="AC178" s="191" t="s">
        <v>48</v>
      </c>
      <c r="AD178" s="191" t="s">
        <v>48</v>
      </c>
      <c r="AE178" s="191" t="s">
        <v>48</v>
      </c>
      <c r="AF178" s="191" t="s">
        <v>48</v>
      </c>
    </row>
    <row r="179" spans="1:32" ht="25.15" customHeight="1" x14ac:dyDescent="0.2">
      <c r="A179" s="434"/>
      <c r="B179" s="421" t="s">
        <v>823</v>
      </c>
      <c r="C179" s="421"/>
      <c r="D179" s="143" t="s">
        <v>824</v>
      </c>
      <c r="E179" s="143" t="s">
        <v>48</v>
      </c>
      <c r="F179" s="144">
        <f>SUM(F180:F186)</f>
        <v>0</v>
      </c>
      <c r="G179" s="144">
        <f>SUM(G180:G186)</f>
        <v>87.990000000000009</v>
      </c>
      <c r="H179" s="143" t="s">
        <v>48</v>
      </c>
      <c r="I179" s="144">
        <f>SUM(I180:I186)</f>
        <v>162.18691999999999</v>
      </c>
      <c r="J179" s="144">
        <f t="shared" ref="J179:N179" si="105">SUM(J180:J186)</f>
        <v>1778.5869200000002</v>
      </c>
      <c r="K179" s="144">
        <f t="shared" si="105"/>
        <v>0</v>
      </c>
      <c r="L179" s="144">
        <f t="shared" si="105"/>
        <v>0</v>
      </c>
      <c r="M179" s="144">
        <f t="shared" si="105"/>
        <v>0</v>
      </c>
      <c r="N179" s="144">
        <f t="shared" si="105"/>
        <v>400</v>
      </c>
      <c r="O179" s="152">
        <f>I179+K179+L179+M179+N179</f>
        <v>562.18691999999999</v>
      </c>
      <c r="P179" s="152">
        <f>J179+K179+L179+M179+N179</f>
        <v>2178.5869200000002</v>
      </c>
      <c r="Q179" s="144">
        <f>SUM(Q180:Q186)</f>
        <v>169.4</v>
      </c>
      <c r="R179" s="144">
        <f>SUM(R180:R186)</f>
        <v>0</v>
      </c>
      <c r="S179" s="144">
        <f>SUM(S180:S186)</f>
        <v>790.4</v>
      </c>
      <c r="T179" s="144">
        <f>SUM(T180:T186)</f>
        <v>0</v>
      </c>
      <c r="U179" s="144">
        <f>SUM(U180:U186)</f>
        <v>197.6</v>
      </c>
      <c r="V179" s="152">
        <f>SUM(Q179:U179)</f>
        <v>1157.3999999999999</v>
      </c>
      <c r="W179" s="144">
        <f>SUM(W180:W186)</f>
        <v>1156.9000000000001</v>
      </c>
      <c r="X179" s="145">
        <f>O179+V179+W179</f>
        <v>2876.4869199999998</v>
      </c>
      <c r="Y179" s="144">
        <f>SUM(Y180:Y186)</f>
        <v>1913.3</v>
      </c>
      <c r="Z179" s="145">
        <f>Y179+X179+G179+F179</f>
        <v>4877.7769199999993</v>
      </c>
      <c r="AA179" s="142" t="s">
        <v>48</v>
      </c>
      <c r="AB179" s="143" t="s">
        <v>48</v>
      </c>
      <c r="AC179" s="143" t="s">
        <v>48</v>
      </c>
      <c r="AD179" s="143" t="s">
        <v>48</v>
      </c>
      <c r="AE179" s="143" t="s">
        <v>48</v>
      </c>
      <c r="AF179" s="143" t="s">
        <v>48</v>
      </c>
    </row>
    <row r="180" spans="1:32" ht="77.45" customHeight="1" x14ac:dyDescent="0.2">
      <c r="A180" s="434"/>
      <c r="B180" s="194" t="s">
        <v>825</v>
      </c>
      <c r="C180" s="147" t="s">
        <v>826</v>
      </c>
      <c r="D180" s="148" t="s">
        <v>827</v>
      </c>
      <c r="E180" s="148" t="s">
        <v>7</v>
      </c>
      <c r="F180" s="149">
        <v>0</v>
      </c>
      <c r="G180" s="149">
        <v>22.39</v>
      </c>
      <c r="H180" s="148" t="s">
        <v>152</v>
      </c>
      <c r="I180" s="149">
        <v>0</v>
      </c>
      <c r="J180" s="149">
        <v>169.4</v>
      </c>
      <c r="K180" s="149">
        <v>0</v>
      </c>
      <c r="L180" s="149">
        <v>0</v>
      </c>
      <c r="M180" s="149">
        <v>0</v>
      </c>
      <c r="N180" s="149">
        <v>0</v>
      </c>
      <c r="O180" s="149">
        <f t="shared" ref="O180:O184" si="106">I180+K180+L180+N180+M180</f>
        <v>0</v>
      </c>
      <c r="P180" s="149">
        <f t="shared" ref="P180:P184" si="107">J180+K180+L180+M180+N180+O180</f>
        <v>169.4</v>
      </c>
      <c r="Q180" s="149">
        <v>169.4</v>
      </c>
      <c r="R180" s="149">
        <v>0</v>
      </c>
      <c r="S180" s="149">
        <v>0</v>
      </c>
      <c r="T180" s="149">
        <v>0</v>
      </c>
      <c r="U180" s="149">
        <v>0</v>
      </c>
      <c r="V180" s="149">
        <f t="shared" si="98"/>
        <v>169.4</v>
      </c>
      <c r="W180" s="149">
        <v>169.4</v>
      </c>
      <c r="X180" s="136">
        <f t="shared" si="97"/>
        <v>338.8</v>
      </c>
      <c r="Y180" s="149">
        <f>169.4*2</f>
        <v>338.8</v>
      </c>
      <c r="Z180" s="136">
        <f t="shared" si="79"/>
        <v>699.99</v>
      </c>
      <c r="AA180" s="150">
        <v>960</v>
      </c>
      <c r="AB180" s="148" t="s">
        <v>69</v>
      </c>
      <c r="AC180" s="147" t="s">
        <v>41</v>
      </c>
      <c r="AD180" s="147" t="s">
        <v>48</v>
      </c>
      <c r="AE180" s="147" t="s">
        <v>155</v>
      </c>
      <c r="AF180" s="147" t="s">
        <v>1342</v>
      </c>
    </row>
    <row r="181" spans="1:32" ht="87" customHeight="1" x14ac:dyDescent="0.2">
      <c r="A181" s="434"/>
      <c r="B181" s="194" t="s">
        <v>831</v>
      </c>
      <c r="C181" s="147" t="s">
        <v>832</v>
      </c>
      <c r="D181" s="148" t="s">
        <v>833</v>
      </c>
      <c r="E181" s="148" t="s">
        <v>7</v>
      </c>
      <c r="F181" s="149">
        <v>0</v>
      </c>
      <c r="G181" s="149">
        <v>16</v>
      </c>
      <c r="H181" s="148" t="s">
        <v>152</v>
      </c>
      <c r="I181" s="149">
        <v>162.18691999999999</v>
      </c>
      <c r="J181" s="149">
        <f>1385.52+162.18692</f>
        <v>1547.7069200000001</v>
      </c>
      <c r="K181" s="149">
        <v>0</v>
      </c>
      <c r="L181" s="149">
        <v>0</v>
      </c>
      <c r="M181" s="149">
        <v>0</v>
      </c>
      <c r="N181" s="149">
        <v>0</v>
      </c>
      <c r="O181" s="149">
        <f t="shared" si="106"/>
        <v>162.18691999999999</v>
      </c>
      <c r="P181" s="149">
        <f t="shared" si="107"/>
        <v>1709.8938400000002</v>
      </c>
      <c r="Q181" s="149">
        <v>0</v>
      </c>
      <c r="R181" s="149">
        <v>0</v>
      </c>
      <c r="S181" s="149">
        <v>0</v>
      </c>
      <c r="T181" s="149">
        <v>0</v>
      </c>
      <c r="U181" s="149">
        <v>0</v>
      </c>
      <c r="V181" s="149">
        <f t="shared" si="98"/>
        <v>0</v>
      </c>
      <c r="W181" s="149">
        <v>0</v>
      </c>
      <c r="X181" s="136">
        <f t="shared" si="97"/>
        <v>162.18691999999999</v>
      </c>
      <c r="Y181" s="149">
        <v>0</v>
      </c>
      <c r="Z181" s="136">
        <f t="shared" si="79"/>
        <v>178.18691999999999</v>
      </c>
      <c r="AA181" s="150">
        <v>600</v>
      </c>
      <c r="AB181" s="148"/>
      <c r="AC181" s="147" t="s">
        <v>1343</v>
      </c>
      <c r="AD181" s="147" t="s">
        <v>48</v>
      </c>
      <c r="AE181" s="147" t="s">
        <v>78</v>
      </c>
      <c r="AF181" s="147" t="s">
        <v>1344</v>
      </c>
    </row>
    <row r="182" spans="1:32" ht="100.9" customHeight="1" x14ac:dyDescent="0.2">
      <c r="A182" s="434"/>
      <c r="B182" s="194" t="s">
        <v>835</v>
      </c>
      <c r="C182" s="147" t="s">
        <v>1145</v>
      </c>
      <c r="D182" s="148" t="s">
        <v>833</v>
      </c>
      <c r="E182" s="148" t="s">
        <v>7</v>
      </c>
      <c r="F182" s="149">
        <v>0</v>
      </c>
      <c r="G182" s="149">
        <v>0</v>
      </c>
      <c r="H182" s="148" t="s">
        <v>152</v>
      </c>
      <c r="I182" s="149">
        <v>0</v>
      </c>
      <c r="J182" s="149">
        <v>61.48</v>
      </c>
      <c r="K182" s="149">
        <v>0</v>
      </c>
      <c r="L182" s="149">
        <v>0</v>
      </c>
      <c r="M182" s="149">
        <v>0</v>
      </c>
      <c r="N182" s="149">
        <v>0</v>
      </c>
      <c r="O182" s="149">
        <f t="shared" si="106"/>
        <v>0</v>
      </c>
      <c r="P182" s="149">
        <f t="shared" si="107"/>
        <v>61.48</v>
      </c>
      <c r="Q182" s="149">
        <v>0</v>
      </c>
      <c r="R182" s="149">
        <v>0</v>
      </c>
      <c r="S182" s="149">
        <v>0</v>
      </c>
      <c r="T182" s="149">
        <v>0</v>
      </c>
      <c r="U182" s="149">
        <v>0</v>
      </c>
      <c r="V182" s="149">
        <f t="shared" si="98"/>
        <v>0</v>
      </c>
      <c r="W182" s="149">
        <v>0</v>
      </c>
      <c r="X182" s="136">
        <f t="shared" si="97"/>
        <v>0</v>
      </c>
      <c r="Y182" s="149">
        <v>0</v>
      </c>
      <c r="Z182" s="136">
        <f t="shared" si="79"/>
        <v>0</v>
      </c>
      <c r="AA182" s="150">
        <v>2000</v>
      </c>
      <c r="AB182" s="148" t="s">
        <v>69</v>
      </c>
      <c r="AC182" s="147" t="s">
        <v>1345</v>
      </c>
      <c r="AD182" s="147" t="s">
        <v>1138</v>
      </c>
      <c r="AE182" s="147" t="s">
        <v>78</v>
      </c>
      <c r="AF182" s="147" t="s">
        <v>1346</v>
      </c>
    </row>
    <row r="183" spans="1:32" ht="52.15" customHeight="1" x14ac:dyDescent="0.2">
      <c r="A183" s="434"/>
      <c r="B183" s="194" t="s">
        <v>840</v>
      </c>
      <c r="C183" s="147" t="s">
        <v>841</v>
      </c>
      <c r="D183" s="148" t="s">
        <v>842</v>
      </c>
      <c r="E183" s="148" t="s">
        <v>7</v>
      </c>
      <c r="F183" s="149">
        <v>0</v>
      </c>
      <c r="G183" s="149">
        <v>49.6</v>
      </c>
      <c r="H183" s="148" t="s">
        <v>46</v>
      </c>
      <c r="I183" s="149">
        <v>0</v>
      </c>
      <c r="J183" s="149">
        <v>0</v>
      </c>
      <c r="K183" s="149">
        <v>0</v>
      </c>
      <c r="L183" s="149">
        <v>0</v>
      </c>
      <c r="M183" s="149">
        <v>0</v>
      </c>
      <c r="N183" s="149">
        <v>0</v>
      </c>
      <c r="O183" s="149">
        <f t="shared" si="106"/>
        <v>0</v>
      </c>
      <c r="P183" s="149">
        <f t="shared" si="107"/>
        <v>0</v>
      </c>
      <c r="Q183" s="149">
        <v>0</v>
      </c>
      <c r="R183" s="149">
        <v>0</v>
      </c>
      <c r="S183" s="149">
        <v>0</v>
      </c>
      <c r="T183" s="149">
        <v>0</v>
      </c>
      <c r="U183" s="149">
        <v>0</v>
      </c>
      <c r="V183" s="149">
        <f t="shared" si="98"/>
        <v>0</v>
      </c>
      <c r="W183" s="149">
        <v>0</v>
      </c>
      <c r="X183" s="136">
        <f t="shared" si="97"/>
        <v>0</v>
      </c>
      <c r="Y183" s="149">
        <v>0</v>
      </c>
      <c r="Z183" s="136">
        <f t="shared" si="79"/>
        <v>49.6</v>
      </c>
      <c r="AA183" s="150">
        <v>420</v>
      </c>
      <c r="AB183" s="148" t="s">
        <v>7</v>
      </c>
      <c r="AC183" s="147" t="s">
        <v>1347</v>
      </c>
      <c r="AD183" s="147" t="s">
        <v>48</v>
      </c>
      <c r="AE183" s="147" t="s">
        <v>233</v>
      </c>
      <c r="AF183" s="147" t="s">
        <v>1348</v>
      </c>
    </row>
    <row r="184" spans="1:32" ht="111.6" customHeight="1" x14ac:dyDescent="0.2">
      <c r="A184" s="434"/>
      <c r="B184" s="194" t="s">
        <v>844</v>
      </c>
      <c r="C184" s="147" t="s">
        <v>845</v>
      </c>
      <c r="D184" s="148" t="s">
        <v>846</v>
      </c>
      <c r="E184" s="148" t="s">
        <v>7</v>
      </c>
      <c r="F184" s="149">
        <v>0</v>
      </c>
      <c r="G184" s="149">
        <v>0</v>
      </c>
      <c r="H184" s="148" t="s">
        <v>152</v>
      </c>
      <c r="I184" s="149">
        <v>0</v>
      </c>
      <c r="J184" s="149">
        <v>0</v>
      </c>
      <c r="K184" s="149">
        <v>0</v>
      </c>
      <c r="L184" s="149">
        <v>0</v>
      </c>
      <c r="M184" s="149">
        <v>0</v>
      </c>
      <c r="N184" s="149">
        <v>0</v>
      </c>
      <c r="O184" s="149">
        <f t="shared" si="106"/>
        <v>0</v>
      </c>
      <c r="P184" s="149">
        <f t="shared" si="107"/>
        <v>0</v>
      </c>
      <c r="Q184" s="149">
        <v>0</v>
      </c>
      <c r="R184" s="149">
        <v>0</v>
      </c>
      <c r="S184" s="149">
        <v>0</v>
      </c>
      <c r="T184" s="149">
        <v>0</v>
      </c>
      <c r="U184" s="149">
        <v>0</v>
      </c>
      <c r="V184" s="149">
        <f t="shared" si="98"/>
        <v>0</v>
      </c>
      <c r="W184" s="149">
        <v>0</v>
      </c>
      <c r="X184" s="136">
        <f t="shared" si="97"/>
        <v>0</v>
      </c>
      <c r="Y184" s="149">
        <v>0</v>
      </c>
      <c r="Z184" s="136">
        <f t="shared" si="79"/>
        <v>0</v>
      </c>
      <c r="AA184" s="150">
        <v>360</v>
      </c>
      <c r="AB184" s="148" t="s">
        <v>69</v>
      </c>
      <c r="AC184" s="147" t="s">
        <v>1121</v>
      </c>
      <c r="AD184" s="147" t="s">
        <v>848</v>
      </c>
      <c r="AE184" s="147" t="s">
        <v>695</v>
      </c>
      <c r="AF184" s="147" t="s">
        <v>1349</v>
      </c>
    </row>
    <row r="185" spans="1:32" ht="51" customHeight="1" x14ac:dyDescent="0.2">
      <c r="A185" s="434"/>
      <c r="B185" s="194" t="s">
        <v>850</v>
      </c>
      <c r="C185" s="147" t="s">
        <v>851</v>
      </c>
      <c r="D185" s="148" t="s">
        <v>852</v>
      </c>
      <c r="E185" s="148" t="s">
        <v>7</v>
      </c>
      <c r="F185" s="149">
        <v>0</v>
      </c>
      <c r="G185" s="149">
        <v>0</v>
      </c>
      <c r="H185" s="148" t="s">
        <v>46</v>
      </c>
      <c r="I185" s="149">
        <v>0</v>
      </c>
      <c r="J185" s="149">
        <v>0</v>
      </c>
      <c r="K185" s="149">
        <v>0</v>
      </c>
      <c r="L185" s="149">
        <v>0</v>
      </c>
      <c r="M185" s="149">
        <v>0</v>
      </c>
      <c r="N185" s="149">
        <v>0</v>
      </c>
      <c r="O185" s="149">
        <f>I185+K185+L185+N185+M185</f>
        <v>0</v>
      </c>
      <c r="P185" s="149">
        <f>J185+K185+L185+M185+N185+O185</f>
        <v>0</v>
      </c>
      <c r="Q185" s="149">
        <v>0</v>
      </c>
      <c r="R185" s="149">
        <v>0</v>
      </c>
      <c r="S185" s="149">
        <v>0</v>
      </c>
      <c r="T185" s="149">
        <v>0</v>
      </c>
      <c r="U185" s="149">
        <v>0</v>
      </c>
      <c r="V185" s="149">
        <f t="shared" si="98"/>
        <v>0</v>
      </c>
      <c r="W185" s="149">
        <v>0</v>
      </c>
      <c r="X185" s="136">
        <f t="shared" si="97"/>
        <v>0</v>
      </c>
      <c r="Y185" s="149">
        <v>0</v>
      </c>
      <c r="Z185" s="136">
        <f t="shared" si="79"/>
        <v>0</v>
      </c>
      <c r="AA185" s="150">
        <v>2400</v>
      </c>
      <c r="AB185" s="148" t="s">
        <v>69</v>
      </c>
      <c r="AC185" s="147" t="s">
        <v>1122</v>
      </c>
      <c r="AD185" s="147" t="s">
        <v>48</v>
      </c>
      <c r="AE185" s="147" t="s">
        <v>695</v>
      </c>
      <c r="AF185" s="147" t="s">
        <v>1350</v>
      </c>
    </row>
    <row r="186" spans="1:32" ht="280.14999999999998" customHeight="1" x14ac:dyDescent="0.2">
      <c r="A186" s="434"/>
      <c r="B186" s="195" t="s">
        <v>239</v>
      </c>
      <c r="C186" s="147" t="s">
        <v>240</v>
      </c>
      <c r="D186" s="148" t="s">
        <v>241</v>
      </c>
      <c r="E186" s="148" t="s">
        <v>69</v>
      </c>
      <c r="F186" s="149">
        <v>0</v>
      </c>
      <c r="G186" s="149">
        <v>0</v>
      </c>
      <c r="H186" s="148" t="s">
        <v>46</v>
      </c>
      <c r="I186" s="149">
        <v>0</v>
      </c>
      <c r="J186" s="149">
        <v>0</v>
      </c>
      <c r="K186" s="149">
        <v>0</v>
      </c>
      <c r="L186" s="149">
        <v>0</v>
      </c>
      <c r="M186" s="149">
        <v>0</v>
      </c>
      <c r="N186" s="149">
        <v>400</v>
      </c>
      <c r="O186" s="149">
        <f>I186+K186+L186+M186+N186</f>
        <v>400</v>
      </c>
      <c r="P186" s="149">
        <f>J186+K186+L186+M186+N186</f>
        <v>400</v>
      </c>
      <c r="Q186" s="149">
        <v>0</v>
      </c>
      <c r="R186" s="149">
        <v>0</v>
      </c>
      <c r="S186" s="149">
        <v>790.4</v>
      </c>
      <c r="T186" s="149">
        <v>0</v>
      </c>
      <c r="U186" s="149">
        <v>197.6</v>
      </c>
      <c r="V186" s="149">
        <f t="shared" si="98"/>
        <v>988</v>
      </c>
      <c r="W186" s="149">
        <v>987.5</v>
      </c>
      <c r="X186" s="136">
        <f t="shared" si="97"/>
        <v>2375.5</v>
      </c>
      <c r="Y186" s="149">
        <v>1574.5</v>
      </c>
      <c r="Z186" s="136">
        <f t="shared" si="79"/>
        <v>3950</v>
      </c>
      <c r="AA186" s="150">
        <v>3950</v>
      </c>
      <c r="AB186" s="148" t="s">
        <v>7</v>
      </c>
      <c r="AC186" s="147" t="s">
        <v>1351</v>
      </c>
      <c r="AD186" s="147" t="s">
        <v>1352</v>
      </c>
      <c r="AE186" s="147" t="s">
        <v>157</v>
      </c>
      <c r="AF186" s="147" t="s">
        <v>1353</v>
      </c>
    </row>
    <row r="187" spans="1:32" ht="25.15" customHeight="1" x14ac:dyDescent="0.2">
      <c r="A187" s="434"/>
      <c r="B187" s="421" t="s">
        <v>1123</v>
      </c>
      <c r="C187" s="421"/>
      <c r="D187" s="143" t="s">
        <v>855</v>
      </c>
      <c r="E187" s="196" t="s">
        <v>48</v>
      </c>
      <c r="F187" s="144">
        <f>SUM(F188)</f>
        <v>0</v>
      </c>
      <c r="G187" s="144">
        <f>SUM(G188)</f>
        <v>0</v>
      </c>
      <c r="H187" s="143" t="s">
        <v>48</v>
      </c>
      <c r="I187" s="144">
        <f>SUM(I188)</f>
        <v>69.819999999999993</v>
      </c>
      <c r="J187" s="144">
        <f t="shared" ref="J187:N187" si="108">SUM(J188)</f>
        <v>69.819999999999993</v>
      </c>
      <c r="K187" s="144">
        <f t="shared" si="108"/>
        <v>0</v>
      </c>
      <c r="L187" s="144">
        <f t="shared" si="108"/>
        <v>0</v>
      </c>
      <c r="M187" s="144">
        <f t="shared" si="108"/>
        <v>0</v>
      </c>
      <c r="N187" s="144">
        <f t="shared" si="108"/>
        <v>0</v>
      </c>
      <c r="O187" s="152">
        <f>I187+K187+L187+M187+N187</f>
        <v>69.819999999999993</v>
      </c>
      <c r="P187" s="152">
        <f>J187+K187+L187+M187+N187</f>
        <v>69.819999999999993</v>
      </c>
      <c r="Q187" s="144">
        <f>SUM(Q188)</f>
        <v>139.63999999999999</v>
      </c>
      <c r="R187" s="144">
        <f>SUM(R188)</f>
        <v>0</v>
      </c>
      <c r="S187" s="144">
        <f>SUM(S188)</f>
        <v>0</v>
      </c>
      <c r="T187" s="144">
        <f>SUM(T188)</f>
        <v>0</v>
      </c>
      <c r="U187" s="144">
        <f>SUM(U188)</f>
        <v>0</v>
      </c>
      <c r="V187" s="152">
        <f t="shared" si="98"/>
        <v>139.63999999999999</v>
      </c>
      <c r="W187" s="144">
        <f>SUM(W188)</f>
        <v>209.46</v>
      </c>
      <c r="X187" s="145">
        <f t="shared" si="97"/>
        <v>418.91999999999996</v>
      </c>
      <c r="Y187" s="144">
        <f>SUM(Y188)</f>
        <v>628.38</v>
      </c>
      <c r="Z187" s="145">
        <f t="shared" si="79"/>
        <v>1047.3</v>
      </c>
      <c r="AA187" s="142" t="s">
        <v>48</v>
      </c>
      <c r="AB187" s="143" t="s">
        <v>48</v>
      </c>
      <c r="AC187" s="143" t="s">
        <v>48</v>
      </c>
      <c r="AD187" s="143" t="s">
        <v>48</v>
      </c>
      <c r="AE187" s="143" t="s">
        <v>48</v>
      </c>
      <c r="AF187" s="143" t="s">
        <v>48</v>
      </c>
    </row>
    <row r="188" spans="1:32" ht="159" customHeight="1" x14ac:dyDescent="0.2">
      <c r="A188" s="434"/>
      <c r="B188" s="194" t="s">
        <v>856</v>
      </c>
      <c r="C188" s="147" t="s">
        <v>857</v>
      </c>
      <c r="D188" s="148" t="s">
        <v>858</v>
      </c>
      <c r="E188" s="148" t="s">
        <v>69</v>
      </c>
      <c r="F188" s="149">
        <v>0</v>
      </c>
      <c r="G188" s="149">
        <v>0</v>
      </c>
      <c r="H188" s="148" t="s">
        <v>46</v>
      </c>
      <c r="I188" s="149">
        <v>69.819999999999993</v>
      </c>
      <c r="J188" s="149">
        <v>69.819999999999993</v>
      </c>
      <c r="K188" s="149">
        <v>0</v>
      </c>
      <c r="L188" s="149">
        <v>0</v>
      </c>
      <c r="M188" s="149">
        <v>0</v>
      </c>
      <c r="N188" s="149">
        <v>0</v>
      </c>
      <c r="O188" s="149">
        <f>I188+K188+L188+M188+N188</f>
        <v>69.819999999999993</v>
      </c>
      <c r="P188" s="149">
        <f>J188+K188+L188+M188+N188</f>
        <v>69.819999999999993</v>
      </c>
      <c r="Q188" s="149">
        <v>139.63999999999999</v>
      </c>
      <c r="R188" s="149">
        <v>0</v>
      </c>
      <c r="S188" s="149">
        <v>0</v>
      </c>
      <c r="T188" s="149">
        <v>0</v>
      </c>
      <c r="U188" s="149">
        <v>0</v>
      </c>
      <c r="V188" s="149">
        <f t="shared" si="98"/>
        <v>139.63999999999999</v>
      </c>
      <c r="W188" s="149">
        <v>209.46</v>
      </c>
      <c r="X188" s="136">
        <f t="shared" si="97"/>
        <v>418.91999999999996</v>
      </c>
      <c r="Y188" s="149">
        <v>628.38</v>
      </c>
      <c r="Z188" s="136">
        <f t="shared" si="79"/>
        <v>1047.3</v>
      </c>
      <c r="AA188" s="150">
        <f>69.82*5</f>
        <v>349.09999999999997</v>
      </c>
      <c r="AB188" s="148" t="s">
        <v>69</v>
      </c>
      <c r="AC188" s="147" t="s">
        <v>1354</v>
      </c>
      <c r="AD188" s="147" t="s">
        <v>860</v>
      </c>
      <c r="AE188" s="147" t="s">
        <v>158</v>
      </c>
      <c r="AF188" s="147" t="s">
        <v>1355</v>
      </c>
    </row>
    <row r="189" spans="1:32" ht="12.75" customHeight="1" x14ac:dyDescent="0.2">
      <c r="A189" s="436" t="s">
        <v>1125</v>
      </c>
      <c r="B189" s="436"/>
      <c r="C189" s="436"/>
      <c r="D189" s="436"/>
      <c r="E189" s="436"/>
      <c r="F189" s="436"/>
      <c r="G189" s="436"/>
      <c r="H189" s="436"/>
      <c r="I189" s="436"/>
      <c r="J189" s="436"/>
      <c r="K189" s="436"/>
      <c r="L189" s="436"/>
      <c r="M189" s="436"/>
      <c r="N189" s="436"/>
      <c r="O189" s="436"/>
      <c r="P189" s="436"/>
      <c r="Q189" s="436"/>
      <c r="R189" s="436"/>
      <c r="S189" s="436"/>
      <c r="T189" s="436"/>
      <c r="U189" s="436"/>
      <c r="V189" s="436"/>
      <c r="W189" s="436"/>
      <c r="X189" s="436"/>
      <c r="Y189" s="436"/>
      <c r="Z189" s="436"/>
      <c r="AA189" s="436"/>
      <c r="AB189" s="436"/>
      <c r="AC189" s="436"/>
      <c r="AD189" s="436"/>
      <c r="AE189" s="436"/>
      <c r="AF189" s="436"/>
    </row>
  </sheetData>
  <mergeCells count="73">
    <mergeCell ref="A178:A188"/>
    <mergeCell ref="B178:C178"/>
    <mergeCell ref="B179:C179"/>
    <mergeCell ref="B187:C187"/>
    <mergeCell ref="A189:AF189"/>
    <mergeCell ref="B131:C131"/>
    <mergeCell ref="B134:C134"/>
    <mergeCell ref="A139:A163"/>
    <mergeCell ref="B139:C139"/>
    <mergeCell ref="B140:C140"/>
    <mergeCell ref="A114:A138"/>
    <mergeCell ref="B114:C114"/>
    <mergeCell ref="B115:C115"/>
    <mergeCell ref="B123:C123"/>
    <mergeCell ref="B128:C128"/>
    <mergeCell ref="A165:A177"/>
    <mergeCell ref="B165:C165"/>
    <mergeCell ref="B166:C166"/>
    <mergeCell ref="B171:C171"/>
    <mergeCell ref="B173:C173"/>
    <mergeCell ref="A103:A113"/>
    <mergeCell ref="B103:C103"/>
    <mergeCell ref="B104:C104"/>
    <mergeCell ref="B108:C108"/>
    <mergeCell ref="B111:C111"/>
    <mergeCell ref="B62:C62"/>
    <mergeCell ref="A68:A102"/>
    <mergeCell ref="B68:C68"/>
    <mergeCell ref="B69:C69"/>
    <mergeCell ref="B98:C98"/>
    <mergeCell ref="B101:C101"/>
    <mergeCell ref="A8:A67"/>
    <mergeCell ref="B8:C8"/>
    <mergeCell ref="B9:C9"/>
    <mergeCell ref="B31:C31"/>
    <mergeCell ref="B42:C42"/>
    <mergeCell ref="B7:C7"/>
    <mergeCell ref="L5:L6"/>
    <mergeCell ref="M5:M6"/>
    <mergeCell ref="N5:N6"/>
    <mergeCell ref="O5:P5"/>
    <mergeCell ref="AA3:AA6"/>
    <mergeCell ref="AB3:AB6"/>
    <mergeCell ref="AC3:AC6"/>
    <mergeCell ref="AD3:AD6"/>
    <mergeCell ref="AE3:AE6"/>
    <mergeCell ref="Z3:Z6"/>
    <mergeCell ref="I4:P4"/>
    <mergeCell ref="Q4:V4"/>
    <mergeCell ref="I5:J5"/>
    <mergeCell ref="K5:K6"/>
    <mergeCell ref="S5:S6"/>
    <mergeCell ref="T5:T6"/>
    <mergeCell ref="U5:U6"/>
    <mergeCell ref="V5:V6"/>
    <mergeCell ref="Q5:Q6"/>
    <mergeCell ref="R5:R6"/>
    <mergeCell ref="A1:AF1"/>
    <mergeCell ref="A2:AF2"/>
    <mergeCell ref="A3:A7"/>
    <mergeCell ref="B3:B6"/>
    <mergeCell ref="C3:C6"/>
    <mergeCell ref="D3:D6"/>
    <mergeCell ref="E3:E6"/>
    <mergeCell ref="F3:F6"/>
    <mergeCell ref="G3:G6"/>
    <mergeCell ref="H3:H6"/>
    <mergeCell ref="AF3:AF6"/>
    <mergeCell ref="I3:P3"/>
    <mergeCell ref="Q3:V3"/>
    <mergeCell ref="W3:W6"/>
    <mergeCell ref="X3:X6"/>
    <mergeCell ref="Y3:Y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IP 2023-2029</vt:lpstr>
      <vt:lpstr>2023-2025</vt:lpstr>
      <vt:lpstr>2024-2026</vt:lpstr>
      <vt:lpstr>2025-2027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Sabīne Rozova</dc:creator>
  <cp:lastModifiedBy>Jana Lapteva</cp:lastModifiedBy>
  <cp:lastPrinted>2024-04-09T11:26:14Z</cp:lastPrinted>
  <dcterms:created xsi:type="dcterms:W3CDTF">2022-08-26T12:09:40Z</dcterms:created>
  <dcterms:modified xsi:type="dcterms:W3CDTF">2025-12-15T13:11:11Z</dcterms:modified>
</cp:coreProperties>
</file>